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omments6.xml" ContentType="application/vnd.openxmlformats-officedocument.spreadsheetml.comments+xml"/>
  <Override PartName="/xl/threadedComments/threadedComment4.xml" ContentType="application/vnd.ms-excel.threadedcomments+xml"/>
  <Override PartName="/xl/tables/table1.xml" ContentType="application/vnd.openxmlformats-officedocument.spreadsheetml.table+xml"/>
  <Override PartName="/xl/comments7.xml" ContentType="application/vnd.openxmlformats-officedocument.spreadsheetml.comments+xml"/>
  <Override PartName="/xl/threadedComments/threadedComment5.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comments9.xml" ContentType="application/vnd.openxmlformats-officedocument.spreadsheetml.comments+xml"/>
  <Override PartName="/xl/threadedComments/threadedComment7.xml" ContentType="application/vnd.ms-excel.threadedcomments+xml"/>
  <Override PartName="/xl/comments10.xml" ContentType="application/vnd.openxmlformats-officedocument.spreadsheetml.comments+xml"/>
  <Override PartName="/xl/threadedComments/threadedComment8.xml" ContentType="application/vnd.ms-excel.threaded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hidePivotFieldList="1" autoCompressPictures="0" defaultThemeVersion="166925"/>
  <mc:AlternateContent xmlns:mc="http://schemas.openxmlformats.org/markup-compatibility/2006">
    <mc:Choice Requires="x15">
      <x15ac:absPath xmlns:x15ac="http://schemas.microsoft.com/office/spreadsheetml/2010/11/ac" url="https://hacienda365.sharepoint.com/sites/WorkspaceProyectoTransparencia/Documentos compartidos/TRANSPARENCIA/UCP - Hacienda/3. Componentes/8. Componente III/DRL1150 Mayo/"/>
    </mc:Choice>
  </mc:AlternateContent>
  <xr:revisionPtr revIDLastSave="249" documentId="8_{8FDABFE1-1D47-9649-BB87-EA95517AF182}" xr6:coauthVersionLast="47" xr6:coauthVersionMax="47" xr10:uidLastSave="{8FCD8FC3-B72B-D641-B082-4CB973788462}"/>
  <bookViews>
    <workbookView xWindow="0" yWindow="500" windowWidth="38400" windowHeight="19820" tabRatio="857" activeTab="16" xr2:uid="{00000000-000D-0000-FFFF-FFFF00000000}"/>
  </bookViews>
  <sheets>
    <sheet name="MH" sheetId="111" state="hidden" r:id="rId1"/>
    <sheet name="Índice" sheetId="1" r:id="rId2"/>
    <sheet name="1_MdR_Limpia" sheetId="27" state="hidden" r:id="rId3"/>
    <sheet name="Próximos pasos" sheetId="92" state="hidden" r:id="rId4"/>
    <sheet name="1_MdR" sheetId="93" r:id="rId5"/>
    <sheet name="1_MdR_con cambios" sheetId="113" state="hidden" r:id="rId6"/>
    <sheet name="2_EDT" sheetId="3" r:id="rId7"/>
    <sheet name="3_EE" sheetId="4" r:id="rId8"/>
    <sheet name="4.1_CC C" sheetId="6" r:id="rId9"/>
    <sheet name="4.2_CC P" sheetId="26" r:id="rId10"/>
    <sheet name="GC_Estruc. Prod." sheetId="85" r:id="rId11"/>
    <sheet name="GC_CC P" sheetId="84" r:id="rId12"/>
    <sheet name="C.C ADQUISICIONES" sheetId="114" state="hidden" r:id="rId13"/>
    <sheet name="6_PD" sheetId="7" r:id="rId14"/>
    <sheet name="5_Info_PMR" sheetId="115" r:id="rId15"/>
    <sheet name="Flujo Caja" sheetId="116" state="hidden" r:id="rId16"/>
    <sheet name="8_MP" sheetId="9" r:id="rId17"/>
    <sheet name="7_Curva S" sheetId="8" r:id="rId18"/>
    <sheet name="Rev MH" sheetId="109" state="hidden" r:id="rId19"/>
    <sheet name="Teoría del Cambio" sheetId="110" state="hidden" r:id="rId20"/>
    <sheet name="PA 25-28 SIN AGRUPAR " sheetId="117" state="hidden" r:id="rId21"/>
    <sheet name="Adq Detalle" sheetId="120" r:id="rId22"/>
    <sheet name="9_Resumen del PA - MH" sheetId="64" state="hidden" r:id="rId23"/>
    <sheet name="PA" sheetId="90" state="hidden" r:id="rId24"/>
    <sheet name="EAdq" sheetId="112" state="hidden" r:id="rId25"/>
    <sheet name="Rev CGR" sheetId="108" state="hidden" r:id="rId26"/>
    <sheet name="PFM_v17-08" sheetId="106" state="hidden" r:id="rId27"/>
    <sheet name="9_Resumen del PA - MH (3)" sheetId="99" state="hidden" r:id="rId28"/>
    <sheet name="9.1_PA_OB&amp;S - MH" sheetId="65" state="hidden" r:id="rId29"/>
    <sheet name="9.2_PA_SC - MH" sheetId="66" state="hidden" r:id="rId30"/>
    <sheet name="9.3_PA_Aud. - MH" sheetId="67" state="hidden" r:id="rId31"/>
    <sheet name="9.4_PA_SN - MH" sheetId="68" state="hidden" r:id="rId32"/>
    <sheet name="9.1_PA_OB&amp;S - MH (3)" sheetId="100" state="hidden" r:id="rId33"/>
    <sheet name="9.2_PA_SC - MH (3)" sheetId="101" state="hidden" r:id="rId34"/>
    <sheet name="9.3_PA_Aud. - MH (3)" sheetId="102" state="hidden" r:id="rId35"/>
    <sheet name="9.4_PA_SN - MH (3)" sheetId="103" state="hidden" r:id="rId36"/>
    <sheet name="10_Resumen del PA - CGR" sheetId="94" state="hidden" r:id="rId37"/>
    <sheet name="10.1_PA_OB&amp;S - CGR" sheetId="95" state="hidden" r:id="rId38"/>
    <sheet name="10.2_PA_SC - CGR" sheetId="96" state="hidden" r:id="rId39"/>
    <sheet name="10.3_PA_Aud. - CGR" sheetId="97" state="hidden" r:id="rId40"/>
    <sheet name="10.4_PA_SN - CGR" sheetId="98" state="hidden" r:id="rId41"/>
    <sheet name="Tiempos adq." sheetId="107" state="hidden" r:id="rId42"/>
    <sheet name="Quick Wins" sheetId="91" state="hidden" r:id="rId43"/>
    <sheet name="Prior 18m" sheetId="89" state="hidden" r:id="rId44"/>
    <sheet name="9.1_Est_Proy" sheetId="78" state="hidden" r:id="rId45"/>
    <sheet name="9.2_PA" sheetId="79" state="hidden" r:id="rId46"/>
    <sheet name="CriterioFechas" sheetId="82" state="hidden" r:id="rId47"/>
    <sheet name="Cooperación Técnica" sheetId="77" state="hidden" r:id="rId48"/>
    <sheet name="CA_C2" sheetId="69" state="hidden" r:id="rId49"/>
    <sheet name="CA_Costos_Admin." sheetId="73" state="hidden" r:id="rId50"/>
    <sheet name="9.3_PA_Det" sheetId="80" state="hidden" r:id="rId51"/>
    <sheet name="PA Inicial" sheetId="81" state="hidden" r:id="rId52"/>
    <sheet name="1_MdR (2)" sheetId="88" state="hidden" r:id="rId53"/>
    <sheet name="8_MP_PEP (3)" sheetId="87" state="hidden" r:id="rId54"/>
    <sheet name="8_MP_PEP_v.diseño" sheetId="86" state="hidden" r:id="rId55"/>
    <sheet name="Agenda" sheetId="75" state="hidden" r:id="rId56"/>
    <sheet name="Criterios" sheetId="52" state="hidden" r:id="rId57"/>
    <sheet name="CA1_ET" sheetId="10" state="hidden" r:id="rId58"/>
    <sheet name="CA2_U" sheetId="5" state="hidden" r:id="rId59"/>
  </sheets>
  <definedNames>
    <definedName name="_____ACT1" localSheetId="23">#REF!</definedName>
    <definedName name="_____ACT1" localSheetId="42">#REF!</definedName>
    <definedName name="_____ACT1" localSheetId="19">#REF!</definedName>
    <definedName name="_____ACT1">#REF!</definedName>
    <definedName name="_____ACT2" localSheetId="23">#REF!</definedName>
    <definedName name="_____ACT2" localSheetId="42">#REF!</definedName>
    <definedName name="_____ACT2">#REF!</definedName>
    <definedName name="_____VLR1">(#REF!)</definedName>
    <definedName name="____ACT1">#REF!</definedName>
    <definedName name="____ACT2">#REF!</definedName>
    <definedName name="____VLR1">(#REF!)</definedName>
    <definedName name="___ACT1">#REF!</definedName>
    <definedName name="___ACT2">#REF!</definedName>
    <definedName name="___VLR1">(#REF!)</definedName>
    <definedName name="__123Graph_A" localSheetId="19" hidden="1">#REF!</definedName>
    <definedName name="__123Graph_A" localSheetId="41" hidden="1">#REF!</definedName>
    <definedName name="__123Graph_A" hidden="1">#REF!</definedName>
    <definedName name="__123Graph_AGRAF" localSheetId="19" hidden="1">#REF!</definedName>
    <definedName name="__123Graph_AGRAF" localSheetId="41" hidden="1">#REF!</definedName>
    <definedName name="__123Graph_AGRAF" hidden="1">#REF!</definedName>
    <definedName name="__123Graph_B" localSheetId="19" hidden="1">#REF!</definedName>
    <definedName name="__123Graph_B" localSheetId="41" hidden="1">#REF!</definedName>
    <definedName name="__123Graph_B" hidden="1">#REF!</definedName>
    <definedName name="__123Graph_BGRAF" localSheetId="19" hidden="1">#REF!</definedName>
    <definedName name="__123Graph_BGRAF" hidden="1">#REF!</definedName>
    <definedName name="__123Graph_C" hidden="1">#REF!</definedName>
    <definedName name="__123Graph_CGRAF" hidden="1">#REF!</definedName>
    <definedName name="__123Graph_D" hidden="1">#REF!</definedName>
    <definedName name="__123Graph_DGRAF" hidden="1">#REF!</definedName>
    <definedName name="__123Graph_E" hidden="1">#REF!</definedName>
    <definedName name="__123Graph_EGRAF" hidden="1">#REF!</definedName>
    <definedName name="__123Graph_F" hidden="1">#REF!</definedName>
    <definedName name="__123Graph_FGRAF" hidden="1">#REF!</definedName>
    <definedName name="__123Graph_X" hidden="1">#REF!</definedName>
    <definedName name="__123Graph_XGRAF" hidden="1">#REF!</definedName>
    <definedName name="__ACT1">#REF!</definedName>
    <definedName name="__ACT2">#REF!</definedName>
    <definedName name="__POA2" localSheetId="16">#REF!</definedName>
    <definedName name="__POA2" localSheetId="53">#REF!</definedName>
    <definedName name="__POA2" localSheetId="54">#REF!</definedName>
    <definedName name="__POA2" localSheetId="57">#REF!</definedName>
    <definedName name="__POA2" localSheetId="26">#REF!</definedName>
    <definedName name="__POA2">#REF!</definedName>
    <definedName name="__VLR1">(#REF!)</definedName>
    <definedName name="_1990">#REF!</definedName>
    <definedName name="_2" localSheetId="16">#REF!</definedName>
    <definedName name="_2" localSheetId="53">#REF!</definedName>
    <definedName name="_2" localSheetId="54">#REF!</definedName>
    <definedName name="_2" localSheetId="57">#REF!</definedName>
    <definedName name="_2" localSheetId="26">#REF!</definedName>
    <definedName name="_2" localSheetId="19">#REF!</definedName>
    <definedName name="_2">#REF!</definedName>
    <definedName name="_6" localSheetId="16">#REF!</definedName>
    <definedName name="_6" localSheetId="53">#REF!</definedName>
    <definedName name="_6" localSheetId="54">#REF!</definedName>
    <definedName name="_6" localSheetId="57">#REF!</definedName>
    <definedName name="_6" localSheetId="26">#REF!</definedName>
    <definedName name="_6" localSheetId="19">#REF!</definedName>
    <definedName name="_6">#REF!</definedName>
    <definedName name="_ACT1" localSheetId="19">#REF!</definedName>
    <definedName name="_ACT1">#REF!</definedName>
    <definedName name="_ACT2">#REF!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16" hidden="1">#REF!</definedName>
    <definedName name="_Fill" localSheetId="53" hidden="1">#REF!</definedName>
    <definedName name="_Fill" localSheetId="54" hidden="1">#REF!</definedName>
    <definedName name="_Fill" localSheetId="26" hidden="1">#REF!</definedName>
    <definedName name="_Fill" hidden="1">#REF!</definedName>
    <definedName name="_xlnm._FilterDatabase" localSheetId="16" hidden="1">'8_MP'!$G$5:$G$544</definedName>
    <definedName name="_xlnm._FilterDatabase" localSheetId="53" hidden="1">'8_MP_PEP (3)'!$R$1:$R$466</definedName>
    <definedName name="_xlnm._FilterDatabase" localSheetId="54" hidden="1">'8_MP_PEP_v.diseño'!$R$1:$R$425</definedName>
    <definedName name="_xlnm._FilterDatabase" localSheetId="21" hidden="1">'Adq Detalle'!$A$1:$T$47</definedName>
    <definedName name="_xlnm._FilterDatabase" localSheetId="23" hidden="1">PA!$B$3:$I$53</definedName>
    <definedName name="_xlnm._FilterDatabase" localSheetId="26" hidden="1">'PFM_v17-08'!$C$5:$C$533</definedName>
    <definedName name="_ftn1" localSheetId="16">'8_MP'!#REF!</definedName>
    <definedName name="_ftn1" localSheetId="53">'8_MP_PEP (3)'!#REF!</definedName>
    <definedName name="_ftn1" localSheetId="54">'8_MP_PEP_v.diseño'!#REF!</definedName>
    <definedName name="_ftn1" localSheetId="26">'PFM_v17-08'!#REF!</definedName>
    <definedName name="_ftn2" localSheetId="4">'1_MdR'!#REF!</definedName>
    <definedName name="_ftn2" localSheetId="52">'1_MdR (2)'!#REF!</definedName>
    <definedName name="_ftn2" localSheetId="5">'1_MdR_con cambios'!#REF!</definedName>
    <definedName name="_ftn2" localSheetId="2">'1_MdR_Limpia'!#REF!</definedName>
    <definedName name="_ftnref1" localSheetId="16">'8_MP'!#REF!</definedName>
    <definedName name="_ftnref1" localSheetId="53">'8_MP_PEP (3)'!#REF!</definedName>
    <definedName name="_ftnref1" localSheetId="54">'8_MP_PEP_v.diseño'!#REF!</definedName>
    <definedName name="_ftnref1" localSheetId="26">'PFM_v17-08'!#REF!</definedName>
    <definedName name="_ftnref2" localSheetId="4">'1_MdR'!#REF!</definedName>
    <definedName name="_ftnref2" localSheetId="52">'1_MdR (2)'!#REF!</definedName>
    <definedName name="_ftnref2" localSheetId="5">'1_MdR_con cambios'!#REF!</definedName>
    <definedName name="_ftnref2" localSheetId="2">'1_MdR_Limpia'!#REF!</definedName>
    <definedName name="_Hlk485736022" localSheetId="4">'1_MdR'!#REF!</definedName>
    <definedName name="_Hlk485736022" localSheetId="52">'1_MdR (2)'!#REF!</definedName>
    <definedName name="_Hlk485736022" localSheetId="5">'1_MdR_con cambios'!#REF!</definedName>
    <definedName name="_Hlk485736022" localSheetId="2">'1_MdR_Limpia'!#REF!</definedName>
    <definedName name="_Key1" localSheetId="15" hidden="1">#REF!</definedName>
    <definedName name="_Key1" localSheetId="23" hidden="1">#REF!</definedName>
    <definedName name="_Key1" localSheetId="42" hidden="1">#REF!</definedName>
    <definedName name="_Key1" localSheetId="19" hidden="1">#REF!</definedName>
    <definedName name="_Key1" localSheetId="41" hidden="1">#REF!</definedName>
    <definedName name="_Key1" hidden="1">#REF!</definedName>
    <definedName name="_msoanchor_1" localSheetId="19">#REF!</definedName>
    <definedName name="_msoanchor_1">#REF!</definedName>
    <definedName name="_msoanchor_2" localSheetId="19">#REF!</definedName>
    <definedName name="_msoanchor_2">#REF!</definedName>
    <definedName name="_Order1" hidden="1">255</definedName>
    <definedName name="_POA2" localSheetId="16">#REF!</definedName>
    <definedName name="_POA2" localSheetId="53">#REF!</definedName>
    <definedName name="_POA2" localSheetId="54">#REF!</definedName>
    <definedName name="_POA2" localSheetId="50">'9.3_PA_Det'!#REF!</definedName>
    <definedName name="_POA2" localSheetId="15">#REF!</definedName>
    <definedName name="_POA2" localSheetId="23">#REF!</definedName>
    <definedName name="_POA2" localSheetId="26">#REF!</definedName>
    <definedName name="_POA2" localSheetId="42">#REF!</definedName>
    <definedName name="_POA2" localSheetId="19">#REF!</definedName>
    <definedName name="_POA2" localSheetId="41">#REF!</definedName>
    <definedName name="_POA2">#REF!</definedName>
    <definedName name="_POAAAA" localSheetId="16">#REF!</definedName>
    <definedName name="_POAAAA" localSheetId="53">#REF!</definedName>
    <definedName name="_POAAAA" localSheetId="54">#REF!</definedName>
    <definedName name="_POAAAA" localSheetId="50">'9.3_PA_Det'!#REF!</definedName>
    <definedName name="_POAAAA" localSheetId="23">#REF!</definedName>
    <definedName name="_POAAAA" localSheetId="26">#REF!</definedName>
    <definedName name="_POAAAA" localSheetId="42">#REF!</definedName>
    <definedName name="_POAAAA" localSheetId="19">#REF!</definedName>
    <definedName name="_POAAAA" localSheetId="41">#REF!</definedName>
    <definedName name="_POAAAA">#REF!</definedName>
    <definedName name="_Sort" localSheetId="23" hidden="1">#REF!</definedName>
    <definedName name="_Sort" localSheetId="42" hidden="1">#REF!</definedName>
    <definedName name="_Sort" localSheetId="19" hidden="1">#REF!</definedName>
    <definedName name="_Sort" localSheetId="41" hidden="1">#REF!</definedName>
    <definedName name="_Sort" hidden="1">#REF!</definedName>
    <definedName name="_Toc8047014" localSheetId="19">#REF!</definedName>
    <definedName name="_Toc8047014">#REF!</definedName>
    <definedName name="_VLR1" localSheetId="19">(#REF!)</definedName>
    <definedName name="_VLR1">(#REF!)</definedName>
    <definedName name="\A" localSheetId="46">#REF!</definedName>
    <definedName name="\A" localSheetId="15">#REF!</definedName>
    <definedName name="\A" localSheetId="19">#REF!</definedName>
    <definedName name="\A">#REF!</definedName>
    <definedName name="\C" localSheetId="46">#REF!</definedName>
    <definedName name="\C">#REF!</definedName>
    <definedName name="\e" localSheetId="19">#REF!</definedName>
    <definedName name="\e">#REF!</definedName>
    <definedName name="\S">#N/A</definedName>
    <definedName name="\x" localSheetId="15">#REF!</definedName>
    <definedName name="\x" localSheetId="23">#REF!</definedName>
    <definedName name="\x" localSheetId="42">#REF!</definedName>
    <definedName name="\x" localSheetId="19">#REF!</definedName>
    <definedName name="\x">#REF!</definedName>
    <definedName name="A">#REF!</definedName>
    <definedName name="A_IMPRESION_IM">#REF!</definedName>
    <definedName name="A_impresión_IM">#REF!</definedName>
    <definedName name="A11_ABR_10">#REF!</definedName>
    <definedName name="A11_ABR_30">#REF!</definedName>
    <definedName name="A11_AGO_10">#REF!</definedName>
    <definedName name="A11_AGO_30">#REF!</definedName>
    <definedName name="A11_DIC_10">#REF!</definedName>
    <definedName name="A11_DIC_30">#REF!</definedName>
    <definedName name="A11_ENE_10">#REF!</definedName>
    <definedName name="A11_ENE_30">#REF!</definedName>
    <definedName name="A11_FEB_10">#REF!</definedName>
    <definedName name="A11_FEB_30">#REF!</definedName>
    <definedName name="A11_JUL_10">#REF!</definedName>
    <definedName name="A11_JUL_30">#REF!</definedName>
    <definedName name="A11_JUN_10">#REF!</definedName>
    <definedName name="A11_JUN_30">#REF!</definedName>
    <definedName name="A11_MAR_10">#REF!</definedName>
    <definedName name="A11_MAR_30">#REF!</definedName>
    <definedName name="A11_MAY_10">#REF!</definedName>
    <definedName name="A11_MAY_30">#REF!</definedName>
    <definedName name="A11_NOV_10">#REF!</definedName>
    <definedName name="A11_NOV_30">#REF!</definedName>
    <definedName name="A11_OCT_10">#REF!</definedName>
    <definedName name="A11_OCT_30">#REF!</definedName>
    <definedName name="A11_SET_10">#REF!</definedName>
    <definedName name="A11_SET_30">#REF!</definedName>
    <definedName name="A12_ABR_10">#REF!</definedName>
    <definedName name="A12_ABR_20">#REF!</definedName>
    <definedName name="A12_ABR_30">#REF!</definedName>
    <definedName name="A12_AGO_10">#REF!</definedName>
    <definedName name="A12_AGO_20">#REF!</definedName>
    <definedName name="A12_AGO_30">#REF!</definedName>
    <definedName name="A12_DIC_10">#REF!</definedName>
    <definedName name="A12_DIC_20">#REF!</definedName>
    <definedName name="A12_DIC_30">#REF!</definedName>
    <definedName name="A12_ENE_10">#REF!</definedName>
    <definedName name="A12_ENE_20">#REF!</definedName>
    <definedName name="A12_ENE_30">#REF!</definedName>
    <definedName name="A12_FEB_10">#REF!</definedName>
    <definedName name="A12_FEB_20">#REF!</definedName>
    <definedName name="A12_FEB_30">#REF!</definedName>
    <definedName name="A12_JUL_10">#REF!</definedName>
    <definedName name="A12_JUL_20">#REF!</definedName>
    <definedName name="A12_JUL_30">#REF!</definedName>
    <definedName name="A12_JUN_10">#REF!</definedName>
    <definedName name="A12_JUN_20">#REF!</definedName>
    <definedName name="A12_JUN_30">#REF!</definedName>
    <definedName name="A12_MAR_10">#REF!</definedName>
    <definedName name="A12_MAR_20">#REF!</definedName>
    <definedName name="A12_MAR_30">#REF!</definedName>
    <definedName name="A12_MAY_10">#REF!</definedName>
    <definedName name="A12_MAY_20">#REF!</definedName>
    <definedName name="A12_MAY_30">#REF!</definedName>
    <definedName name="A12_NOV_10">#REF!</definedName>
    <definedName name="A12_NOV_20">#REF!</definedName>
    <definedName name="A12_NOV_30">#REF!</definedName>
    <definedName name="A12_OCT_10">#REF!</definedName>
    <definedName name="A12_OCT_20">#REF!</definedName>
    <definedName name="A12_OCT_30">#REF!</definedName>
    <definedName name="A12_SET_10">#REF!</definedName>
    <definedName name="A12_SET_20">#REF!</definedName>
    <definedName name="A12_SET_30">#REF!</definedName>
    <definedName name="A19_ABR_10">#REF!</definedName>
    <definedName name="A19_ABR_20">#REF!</definedName>
    <definedName name="A19_ABR_30">#REF!</definedName>
    <definedName name="A19_AGO_10">#REF!</definedName>
    <definedName name="A19_AGO_20">#REF!</definedName>
    <definedName name="A19_AGO_30">#REF!</definedName>
    <definedName name="A19_DIC_10">#REF!</definedName>
    <definedName name="A19_DIC_20">#REF!</definedName>
    <definedName name="A19_DIC_30">#REF!</definedName>
    <definedName name="A19_ENE_10">#REF!</definedName>
    <definedName name="A19_ENE_20">#REF!</definedName>
    <definedName name="A19_ENE_30">#REF!</definedName>
    <definedName name="A19_FEB_10">#REF!</definedName>
    <definedName name="A19_FEB_20">#REF!</definedName>
    <definedName name="A19_FEB_30">#REF!</definedName>
    <definedName name="A19_JUL_10">#REF!</definedName>
    <definedName name="A19_JUL_20">#REF!</definedName>
    <definedName name="A19_JUL_30">#REF!</definedName>
    <definedName name="A19_JUN_10">#REF!</definedName>
    <definedName name="A19_JUN_20">#REF!</definedName>
    <definedName name="A19_JUN_30">#REF!</definedName>
    <definedName name="A19_MAR_10">#REF!</definedName>
    <definedName name="A19_MAR_20">#REF!</definedName>
    <definedName name="A19_MAR_30">#REF!</definedName>
    <definedName name="A19_MAY_10">#REF!</definedName>
    <definedName name="A19_MAY_20">#REF!</definedName>
    <definedName name="A19_MAY_30">#REF!</definedName>
    <definedName name="A19_NOV_10">#REF!</definedName>
    <definedName name="A19_NOV_20">#REF!</definedName>
    <definedName name="A19_NOV_30">#REF!</definedName>
    <definedName name="A19_OCT_10">#REF!</definedName>
    <definedName name="A19_OCT_20">#REF!</definedName>
    <definedName name="A19_OCT_30">#REF!</definedName>
    <definedName name="A19_SET_10">#REF!</definedName>
    <definedName name="A19_SET_20">#REF!</definedName>
    <definedName name="A19_SET_30">#REF!</definedName>
    <definedName name="A20_ABR_10">#REF!</definedName>
    <definedName name="A20_ABR_30">#REF!</definedName>
    <definedName name="A20_AGO_10">#REF!</definedName>
    <definedName name="A20_AGO_30">#REF!</definedName>
    <definedName name="A20_DIC_10">#REF!</definedName>
    <definedName name="A20_DIC_30">#REF!</definedName>
    <definedName name="A20_ENE_10">#REF!</definedName>
    <definedName name="A20_ENE_30">#REF!</definedName>
    <definedName name="A20_FEB_10">#REF!</definedName>
    <definedName name="A20_FEB_30">#REF!</definedName>
    <definedName name="A20_JUL_10">#REF!</definedName>
    <definedName name="A20_JUL_30">#REF!</definedName>
    <definedName name="A20_JUN_10">#REF!</definedName>
    <definedName name="A20_JUN_30">#REF!</definedName>
    <definedName name="A20_MAR_10">#REF!</definedName>
    <definedName name="A20_MAR_30">#REF!</definedName>
    <definedName name="A20_MAY_10">#REF!</definedName>
    <definedName name="A20_MAY_30">#REF!</definedName>
    <definedName name="A20_NOV_10">#REF!</definedName>
    <definedName name="A20_NOV_30">#REF!</definedName>
    <definedName name="A20_OCT_10">#REF!</definedName>
    <definedName name="A20_OCT_30">#REF!</definedName>
    <definedName name="A20_SET_10">#REF!</definedName>
    <definedName name="A20_SET_30">#REF!</definedName>
    <definedName name="A34_ABR_10">#REF!</definedName>
    <definedName name="A34_ABR_20">#REF!</definedName>
    <definedName name="A34_ABR_30">#REF!</definedName>
    <definedName name="A34_AGO_10">#REF!</definedName>
    <definedName name="A34_AGO_20">#REF!</definedName>
    <definedName name="A34_AGO_30">#REF!</definedName>
    <definedName name="A34_DIC_10">#REF!</definedName>
    <definedName name="A34_DIC_20">#REF!</definedName>
    <definedName name="A34_DIC_30">#REF!</definedName>
    <definedName name="A34_ENE_10">#REF!</definedName>
    <definedName name="A34_ENE_20">#REF!</definedName>
    <definedName name="A34_ENE_30">#REF!</definedName>
    <definedName name="A34_FEB_10">#REF!</definedName>
    <definedName name="A34_FEB_20">#REF!</definedName>
    <definedName name="A34_FEB_30">#REF!</definedName>
    <definedName name="A34_JUL_10">#REF!</definedName>
    <definedName name="A34_JUL_20">#REF!</definedName>
    <definedName name="A34_JUL_30">#REF!</definedName>
    <definedName name="A34_JUN_10">#REF!</definedName>
    <definedName name="A34_JUN_20">#REF!</definedName>
    <definedName name="A34_JUN_30">#REF!</definedName>
    <definedName name="A34_MAR_10">#REF!</definedName>
    <definedName name="A34_MAR_20">#REF!</definedName>
    <definedName name="A34_MAR_30">#REF!</definedName>
    <definedName name="A34_MAY_10">#REF!</definedName>
    <definedName name="A34_MAY_20">#REF!</definedName>
    <definedName name="A34_MAY_30">#REF!</definedName>
    <definedName name="A34_NOV_10">#REF!</definedName>
    <definedName name="A34_NOV_20">#REF!</definedName>
    <definedName name="A34_NOV_30">#REF!</definedName>
    <definedName name="A34_OCT_10">#REF!</definedName>
    <definedName name="A34_OCT_20">#REF!</definedName>
    <definedName name="A34_OCT_30">#REF!</definedName>
    <definedName name="A34_SET_10">#REF!</definedName>
    <definedName name="A34_SET_20">#REF!</definedName>
    <definedName name="A34_SET_30">#REF!</definedName>
    <definedName name="A50_ABR_10">#REF!</definedName>
    <definedName name="A50_ABR_20">#REF!</definedName>
    <definedName name="A50_ABR_30">#REF!</definedName>
    <definedName name="A50_AGO_10">#REF!</definedName>
    <definedName name="A50_AGO_20">#REF!</definedName>
    <definedName name="A50_AGO_30">#REF!</definedName>
    <definedName name="A50_DIC_10">#REF!</definedName>
    <definedName name="A50_DIC_20">#REF!</definedName>
    <definedName name="A50_DIC_30">#REF!</definedName>
    <definedName name="A50_ENE_10">#REF!</definedName>
    <definedName name="A50_ENE_20">#REF!</definedName>
    <definedName name="A50_ENE_30">#REF!</definedName>
    <definedName name="A50_FEB_10">#REF!</definedName>
    <definedName name="A50_FEB_20">#REF!</definedName>
    <definedName name="A50_FEB_30">#REF!</definedName>
    <definedName name="A50_JUL_10">#REF!</definedName>
    <definedName name="A50_JUL_20">#REF!</definedName>
    <definedName name="A50_JUL_30">#REF!</definedName>
    <definedName name="A50_JUN_10">#REF!</definedName>
    <definedName name="A50_JUN_20">#REF!</definedName>
    <definedName name="A50_JUN_30">#REF!</definedName>
    <definedName name="A50_MAR_10">#REF!</definedName>
    <definedName name="A50_MAR_20">#REF!</definedName>
    <definedName name="A50_MAR_30">#REF!</definedName>
    <definedName name="A50_MAY_10">#REF!</definedName>
    <definedName name="A50_MAY_20">#REF!</definedName>
    <definedName name="A50_MAY_30">#REF!</definedName>
    <definedName name="A50_MAY_50">#REF!</definedName>
    <definedName name="A50_NOV_10">#REF!</definedName>
    <definedName name="A50_NOV_20">#REF!</definedName>
    <definedName name="A50_NOV_30">#REF!</definedName>
    <definedName name="A50_OCT_10">#REF!</definedName>
    <definedName name="A50_OCT_20">#REF!</definedName>
    <definedName name="A50_OCT_30">#REF!</definedName>
    <definedName name="A50_SET_10">#REF!</definedName>
    <definedName name="A50_SET_20">#REF!</definedName>
    <definedName name="A50_SET_30">#REF!</definedName>
    <definedName name="A61_ABR_10">#REF!</definedName>
    <definedName name="A61_ABR_30">#REF!</definedName>
    <definedName name="A61_AGO_10">#REF!</definedName>
    <definedName name="A61_AGO_30">#REF!</definedName>
    <definedName name="A61_DIC_10">#REF!</definedName>
    <definedName name="A61_DIC_30">#REF!</definedName>
    <definedName name="A61_ENE_10">#REF!</definedName>
    <definedName name="A61_ENE_30">#REF!</definedName>
    <definedName name="A61_FEB_10">#REF!</definedName>
    <definedName name="A61_FEB_30">#REF!</definedName>
    <definedName name="A61_JUL_10">#REF!</definedName>
    <definedName name="A61_JUL_30">#REF!</definedName>
    <definedName name="A61_JUN_10">#REF!</definedName>
    <definedName name="A61_JUN_30">#REF!</definedName>
    <definedName name="A61_MAR_10">#REF!</definedName>
    <definedName name="A61_MAR_30">#REF!</definedName>
    <definedName name="A61_MAY_10">#REF!</definedName>
    <definedName name="A61_MAY_30">#REF!</definedName>
    <definedName name="A61_NOV_10">#REF!</definedName>
    <definedName name="A61_NOV_30">#REF!</definedName>
    <definedName name="A61_OCT_10">#REF!</definedName>
    <definedName name="A61_OCT_30">#REF!</definedName>
    <definedName name="A61_SET_10">#REF!</definedName>
    <definedName name="A61_SET_30">#REF!</definedName>
    <definedName name="A62_ABR_10">#REF!</definedName>
    <definedName name="A62_ABR_30">#REF!</definedName>
    <definedName name="A62_AGO_10">#REF!</definedName>
    <definedName name="A62_AGO_30">#REF!</definedName>
    <definedName name="A62_DIC_10">#REF!</definedName>
    <definedName name="A62_DIC_30">#REF!</definedName>
    <definedName name="A62_ENE_10">#REF!</definedName>
    <definedName name="A62_ENE_30">#REF!</definedName>
    <definedName name="A62_FEB_10">#REF!</definedName>
    <definedName name="A62_FEB_30">#REF!</definedName>
    <definedName name="A62_JUL_10">#REF!</definedName>
    <definedName name="A62_JUL_30">#REF!</definedName>
    <definedName name="A62_JUN_10">#REF!</definedName>
    <definedName name="A62_JUN_30">#REF!</definedName>
    <definedName name="A62_MAR_10">#REF!</definedName>
    <definedName name="A62_MAR_30">#REF!</definedName>
    <definedName name="A62_MAY_10">#REF!</definedName>
    <definedName name="A62_MAY_30">#REF!</definedName>
    <definedName name="A62_NOV_10">#REF!</definedName>
    <definedName name="A62_NOV_30">#REF!</definedName>
    <definedName name="A62_OCT_10">#REF!</definedName>
    <definedName name="A62_OCT_30">#REF!</definedName>
    <definedName name="A62_SET_10">#REF!</definedName>
    <definedName name="A62_SET_30">#REF!</definedName>
    <definedName name="A63_ABR_10">#REF!</definedName>
    <definedName name="A63_ABR_30">#REF!</definedName>
    <definedName name="A63_AGO_10">#REF!</definedName>
    <definedName name="A63_AGO_30">#REF!</definedName>
    <definedName name="A63_DIC_10">#REF!</definedName>
    <definedName name="A63_DIC_30">#REF!</definedName>
    <definedName name="A63_ENE_10">#REF!</definedName>
    <definedName name="A63_ENE_30">#REF!</definedName>
    <definedName name="A63_FEB_10">#REF!</definedName>
    <definedName name="A63_FEB_30">#REF!</definedName>
    <definedName name="A63_JUL_10">#REF!</definedName>
    <definedName name="A63_JUL_30">#REF!</definedName>
    <definedName name="A63_JUN_10">#REF!</definedName>
    <definedName name="A63_JUN_30">#REF!</definedName>
    <definedName name="A63_MAR_10">#REF!</definedName>
    <definedName name="A63_MAR_30">#REF!</definedName>
    <definedName name="A63_MAY_10">#REF!</definedName>
    <definedName name="A63_MAY_30">#REF!</definedName>
    <definedName name="A63_NOV_10">#REF!</definedName>
    <definedName name="A63_NOV_30">#REF!</definedName>
    <definedName name="A63_OCT_10">#REF!</definedName>
    <definedName name="A63_OCT_30">#REF!</definedName>
    <definedName name="A63_SET_10">#REF!</definedName>
    <definedName name="A63_SET_30">#REF!</definedName>
    <definedName name="A70_ABR_10">#REF!</definedName>
    <definedName name="A70_ABR_20">#REF!</definedName>
    <definedName name="A70_ABR_30">#REF!</definedName>
    <definedName name="A70_AGO_10">#REF!</definedName>
    <definedName name="A70_AGO_20">#REF!</definedName>
    <definedName name="A70_AGO_30">#REF!</definedName>
    <definedName name="A70_DIC_10">#REF!</definedName>
    <definedName name="A70_DIC_20">#REF!</definedName>
    <definedName name="A70_DIC_30">#REF!</definedName>
    <definedName name="A70_ENE_10">#REF!</definedName>
    <definedName name="A70_ENE_20">#REF!</definedName>
    <definedName name="A70_ENE_30">#REF!</definedName>
    <definedName name="A70_FEB_10">#REF!</definedName>
    <definedName name="A70_FEB_20">#REF!</definedName>
    <definedName name="A70_FEB_30">#REF!</definedName>
    <definedName name="A70_JUL_10">#REF!</definedName>
    <definedName name="A70_JUL_20">#REF!</definedName>
    <definedName name="A70_JUL_30">#REF!</definedName>
    <definedName name="A70_JUN_10">#REF!</definedName>
    <definedName name="A70_JUN_20">#REF!</definedName>
    <definedName name="A70_JUN_30">#REF!</definedName>
    <definedName name="A70_MAR_10">#REF!</definedName>
    <definedName name="A70_MAR_20">#REF!</definedName>
    <definedName name="A70_MAR_30">#REF!</definedName>
    <definedName name="A70_MAY_10">#REF!</definedName>
    <definedName name="A70_MAY_20">#REF!</definedName>
    <definedName name="A70_MAY_30">#REF!</definedName>
    <definedName name="A70_NOV_10">#REF!</definedName>
    <definedName name="A70_NOV_20">#REF!</definedName>
    <definedName name="A70_NOV_30">#REF!</definedName>
    <definedName name="A70_OCT_10">#REF!</definedName>
    <definedName name="A70_OCT_20">#REF!</definedName>
    <definedName name="A70_OCT_30">#REF!</definedName>
    <definedName name="A70_SET_10">#REF!</definedName>
    <definedName name="A70_SET_20">#REF!</definedName>
    <definedName name="A70_SET_30">#REF!</definedName>
    <definedName name="AA">#REF!</definedName>
    <definedName name="aaa" localSheetId="16">#REF!</definedName>
    <definedName name="aaa" localSheetId="53">#REF!</definedName>
    <definedName name="aaa" localSheetId="54">#REF!</definedName>
    <definedName name="aaa" localSheetId="50">'9.3_PA_Det'!#REF!</definedName>
    <definedName name="aaa" localSheetId="23">#REF!</definedName>
    <definedName name="aaa" localSheetId="26">#REF!</definedName>
    <definedName name="aaa" localSheetId="42">#REF!</definedName>
    <definedName name="aaa" localSheetId="19">#REF!</definedName>
    <definedName name="aaa" localSheetId="41">#REF!</definedName>
    <definedName name="aaa">#REF!</definedName>
    <definedName name="AAAA" localSheetId="23">#REF!</definedName>
    <definedName name="AAAA" localSheetId="42">#REF!</definedName>
    <definedName name="AAAA" localSheetId="19">#REF!</definedName>
    <definedName name="AAAA">#REF!</definedName>
    <definedName name="AAAAA">#REF!</definedName>
    <definedName name="AAAAAA" localSheetId="16">#REF!</definedName>
    <definedName name="AAAAAA" localSheetId="53">#REF!</definedName>
    <definedName name="AAAAAA" localSheetId="54">#REF!</definedName>
    <definedName name="AAAAAA" localSheetId="26">#REF!</definedName>
    <definedName name="AAAAAA" localSheetId="19">#REF!</definedName>
    <definedName name="AAAAAA">#REF!</definedName>
    <definedName name="ACUM" localSheetId="19">#REF!</definedName>
    <definedName name="ACUM">#REF!</definedName>
    <definedName name="ACUM1">(#REF!)</definedName>
    <definedName name="ACUM2">#REF!</definedName>
    <definedName name="ad">#REF!</definedName>
    <definedName name="AGO" localSheetId="19">#REF!</definedName>
    <definedName name="AGO">#REF!</definedName>
    <definedName name="alo" localSheetId="16">#REF!</definedName>
    <definedName name="alo" localSheetId="53">#REF!</definedName>
    <definedName name="alo" localSheetId="54">#REF!</definedName>
    <definedName name="alo" localSheetId="26">#REF!</definedName>
    <definedName name="alo" localSheetId="19">#REF!</definedName>
    <definedName name="alo">#REF!</definedName>
    <definedName name="_xlnm.Print_Area" localSheetId="12">'C.C ADQUISICIONES'!$A$1:$M$182</definedName>
    <definedName name="_xlnm.Print_Area" localSheetId="15">'Flujo Caja'!$B$1:$J$66</definedName>
    <definedName name="_xlnm.Print_Area" localSheetId="23">PA!$A$1:$I$55</definedName>
    <definedName name="_xlnm.Print_Area">#N/A</definedName>
    <definedName name="ASDFASDFASDFASDF" localSheetId="15">#REF!</definedName>
    <definedName name="ASDFASDFASDFASDF" localSheetId="23">#REF!</definedName>
    <definedName name="ASDFASDFASDFASDF" localSheetId="42">#REF!</definedName>
    <definedName name="ASDFASDFASDFASDF" localSheetId="19">#REF!</definedName>
    <definedName name="ASDFASDFASDFASDF">#REF!</definedName>
    <definedName name="B" localSheetId="23">#REF!</definedName>
    <definedName name="B" localSheetId="42">#REF!</definedName>
    <definedName name="B">#REF!</definedName>
    <definedName name="Balances">#REF!</definedName>
    <definedName name="_xlnm.Database" localSheetId="16">#REF!</definedName>
    <definedName name="_xlnm.Database" localSheetId="53">#REF!</definedName>
    <definedName name="_xlnm.Database" localSheetId="54">#REF!</definedName>
    <definedName name="_xlnm.Database" localSheetId="15">#REF!</definedName>
    <definedName name="_xlnm.Database" localSheetId="26">#REF!</definedName>
    <definedName name="_xlnm.Database" localSheetId="19">#REF!</definedName>
    <definedName name="_xlnm.Database">#REF!</definedName>
    <definedName name="Buscar" localSheetId="19">#REF!</definedName>
    <definedName name="Buscar">#REF!</definedName>
    <definedName name="CAP_10" localSheetId="19">#REF!</definedName>
    <definedName name="CAP_10">#REF!</definedName>
    <definedName name="CAP_10_1" localSheetId="19">#REF!</definedName>
    <definedName name="CAP_10_1">#REF!</definedName>
    <definedName name="CAP_10_27">#REF!</definedName>
    <definedName name="Carga_1" localSheetId="46">#REF!,#REF!,#REF!,#REF!</definedName>
    <definedName name="Carga_1" localSheetId="15">#REF!,#REF!,#REF!,#REF!</definedName>
    <definedName name="Carga_1" localSheetId="23">#REF!,#REF!,#REF!,#REF!</definedName>
    <definedName name="Carga_1" localSheetId="42">#REF!,#REF!,#REF!,#REF!</definedName>
    <definedName name="Carga_1">#REF!,#REF!,#REF!,#REF!</definedName>
    <definedName name="carne" localSheetId="15">#REF!</definedName>
    <definedName name="carne">#REF!</definedName>
    <definedName name="CATA_2008" localSheetId="23">#REF!</definedName>
    <definedName name="CATA_2008" localSheetId="42">#REF!</definedName>
    <definedName name="CATA_2008">#REF!</definedName>
    <definedName name="cebollaC" localSheetId="19">#REF!</definedName>
    <definedName name="cebollaC">#REF!</definedName>
    <definedName name="cebollaP" localSheetId="19">#REF!</definedName>
    <definedName name="cebollaP">#REF!</definedName>
    <definedName name="cebollaPr" localSheetId="19">#REF!</definedName>
    <definedName name="cebollaPr">#REF!</definedName>
    <definedName name="cebollaR" localSheetId="19">#REF!</definedName>
    <definedName name="cebollaR">#REF!</definedName>
    <definedName name="cebollaS" localSheetId="19">#REF!</definedName>
    <definedName name="cebollaS">#REF!</definedName>
    <definedName name="CLASIFICA">#REF!</definedName>
    <definedName name="Code">#REF!</definedName>
    <definedName name="Component1">#REF!</definedName>
    <definedName name="Component10">#REF!</definedName>
    <definedName name="Component11">#REF!</definedName>
    <definedName name="Component12">#REF!</definedName>
    <definedName name="Component13">#REF!</definedName>
    <definedName name="Component14">#REF!</definedName>
    <definedName name="Component15">#REF!</definedName>
    <definedName name="Component16">#REF!</definedName>
    <definedName name="Component17">#REF!</definedName>
    <definedName name="Component18">#REF!</definedName>
    <definedName name="Component19">#REF!</definedName>
    <definedName name="Component2">#REF!</definedName>
    <definedName name="Component20">#REF!</definedName>
    <definedName name="Component3">#REF!</definedName>
    <definedName name="Component4">#REF!</definedName>
    <definedName name="Component5">#REF!</definedName>
    <definedName name="Component6">#REF!</definedName>
    <definedName name="Component7">#REF!</definedName>
    <definedName name="Component8">#REF!</definedName>
    <definedName name="Component9">#REF!</definedName>
    <definedName name="Componente1">#REF!</definedName>
    <definedName name="Componente11">#REF!</definedName>
    <definedName name="COR_10" localSheetId="19">#REF!</definedName>
    <definedName name="COR_10">#REF!</definedName>
    <definedName name="CR111_1" localSheetId="19">#REF!</definedName>
    <definedName name="CR111_1">#REF!</definedName>
    <definedName name="CR111_2" localSheetId="19">#REF!</definedName>
    <definedName name="CR111_2">#REF!</definedName>
    <definedName name="CR111_3" localSheetId="19">#REF!</definedName>
    <definedName name="CR111_3">#REF!</definedName>
    <definedName name="CR111_4" localSheetId="19">#REF!</definedName>
    <definedName name="CR111_4">#REF!</definedName>
    <definedName name="CR111_5">#REF!</definedName>
    <definedName name="CR111_6">#REF!</definedName>
    <definedName name="CR111_7">#REF!</definedName>
    <definedName name="CR111_8">#REF!</definedName>
    <definedName name="CR111_9">#REF!</definedName>
    <definedName name="CR112_1">#REF!</definedName>
    <definedName name="CR112_2">#REF!</definedName>
    <definedName name="CR112_3">#REF!</definedName>
    <definedName name="CR112_4">#REF!</definedName>
    <definedName name="CR112_5">#REF!</definedName>
    <definedName name="CR112_6">#REF!</definedName>
    <definedName name="CR112_7">#REF!</definedName>
    <definedName name="CR112_8">#REF!</definedName>
    <definedName name="CR112_9">#REF!</definedName>
    <definedName name="CR113_1">#REF!</definedName>
    <definedName name="CR113_2">#REF!</definedName>
    <definedName name="CR113_3">#REF!</definedName>
    <definedName name="CR113_4">#REF!</definedName>
    <definedName name="CR113_5">#REF!</definedName>
    <definedName name="CR113_6">#REF!</definedName>
    <definedName name="CR113_7">#REF!</definedName>
    <definedName name="CR113_8">#REF!</definedName>
    <definedName name="CR113_9">#REF!</definedName>
    <definedName name="CR114_1">#REF!</definedName>
    <definedName name="CR114_2">#REF!</definedName>
    <definedName name="CR114_3">#REF!</definedName>
    <definedName name="CR114_4">#REF!</definedName>
    <definedName name="CR114_5">#REF!</definedName>
    <definedName name="CR114_6">#REF!</definedName>
    <definedName name="CR114_7">#REF!</definedName>
    <definedName name="CR114_8">#REF!</definedName>
    <definedName name="CR114_9">#REF!</definedName>
    <definedName name="CR115_1">#REF!</definedName>
    <definedName name="CR115_2">#REF!</definedName>
    <definedName name="CR115_3">#REF!</definedName>
    <definedName name="CR115_4">#REF!</definedName>
    <definedName name="CR115_5">#REF!</definedName>
    <definedName name="CR115_6">#REF!</definedName>
    <definedName name="CR115_7">#REF!</definedName>
    <definedName name="CR115_8">#REF!</definedName>
    <definedName name="CR115_9">#REF!</definedName>
    <definedName name="CR116_1">#REF!</definedName>
    <definedName name="CR116_2">#REF!</definedName>
    <definedName name="CR116_3">#REF!</definedName>
    <definedName name="CR116_4">#REF!</definedName>
    <definedName name="CR116_5">#REF!</definedName>
    <definedName name="CR116_6">#REF!</definedName>
    <definedName name="CR116_7">#REF!</definedName>
    <definedName name="CR116_8">#REF!</definedName>
    <definedName name="CR116_9">#REF!</definedName>
    <definedName name="CRIT_090">#REF!</definedName>
    <definedName name="CRIT_095">#REF!</definedName>
    <definedName name="CRIT_1_10">#REF!</definedName>
    <definedName name="CRIT_1_20">#REF!</definedName>
    <definedName name="CRIT_1_30">#REF!</definedName>
    <definedName name="CRIT_2_10">#REF!</definedName>
    <definedName name="CRIT_2_20">#REF!</definedName>
    <definedName name="CRIT_2_30">#REF!</definedName>
    <definedName name="CRIT_20303">#REF!</definedName>
    <definedName name="CRIT_3_10">#REF!</definedName>
    <definedName name="CRIT_3_20">#REF!</definedName>
    <definedName name="CRIT_3_30">#REF!</definedName>
    <definedName name="CRIT_4_10">#REF!</definedName>
    <definedName name="CRIT_4_20">#REF!</definedName>
    <definedName name="CRIT_4_30">#REF!</definedName>
    <definedName name="CRIT_5_10">#REF!</definedName>
    <definedName name="CRIT_5_20">#REF!</definedName>
    <definedName name="CRIT_5_30">#REF!</definedName>
    <definedName name="CRIT_6_10">#REF!</definedName>
    <definedName name="CRIT_6_20">#REF!</definedName>
    <definedName name="CRIT_6_30">#REF!</definedName>
    <definedName name="CRIT_7_10" localSheetId="19">#REF!</definedName>
    <definedName name="CRIT_7_10">#REF!</definedName>
    <definedName name="CRIT_7_20" localSheetId="19">#REF!</definedName>
    <definedName name="CRIT_7_20">#REF!</definedName>
    <definedName name="CRIT_7_30" localSheetId="19">#REF!</definedName>
    <definedName name="CRIT_7_30">#REF!</definedName>
    <definedName name="CRIT_8_10" localSheetId="19">#REF!</definedName>
    <definedName name="CRIT_8_10">#REF!</definedName>
    <definedName name="CRIT_8_20" localSheetId="19">#REF!</definedName>
    <definedName name="CRIT_8_20">#REF!</definedName>
    <definedName name="CRIT_8_30" localSheetId="19">#REF!</definedName>
    <definedName name="CRIT_8_30">#REF!</definedName>
    <definedName name="CRIT_9_10" localSheetId="19">#REF!</definedName>
    <definedName name="CRIT_9_10">#REF!</definedName>
    <definedName name="CRIT_9_20" localSheetId="19">#REF!</definedName>
    <definedName name="CRIT_9_20">#REF!</definedName>
    <definedName name="CRIT_9_30">#REF!</definedName>
    <definedName name="CRIT_BON_1">#REF!</definedName>
    <definedName name="CRIT_BON_10">#REF!</definedName>
    <definedName name="CRIT_BON_11">#REF!</definedName>
    <definedName name="CRIT_BON_12">#REF!</definedName>
    <definedName name="CRIT_BON_2">#REF!</definedName>
    <definedName name="CRIT_BON_3">#REF!</definedName>
    <definedName name="CRIT_BON_4">#REF!</definedName>
    <definedName name="CRIT_BON_5">#REF!</definedName>
    <definedName name="CRIT_BON_6">#REF!</definedName>
    <definedName name="CRIT_BON_7">#REF!</definedName>
    <definedName name="CRIT_BON_8">#REF!</definedName>
    <definedName name="CRIT_BON_9">#REF!</definedName>
    <definedName name="CRIT_CAP">#REF!</definedName>
    <definedName name="CRIT_CAP_1">#REF!</definedName>
    <definedName name="CRIT_CAP_1_27">#REF!</definedName>
    <definedName name="CRIT_CAP_10">#REF!</definedName>
    <definedName name="CRIT_CAP_10_27">#REF!</definedName>
    <definedName name="CRIT_CAP_11">#REF!</definedName>
    <definedName name="CRIT_CAP_11_27">#REF!</definedName>
    <definedName name="CRIT_CAP_12">#REF!</definedName>
    <definedName name="CRIT_CAP_12_27">#REF!</definedName>
    <definedName name="CRIT_CAP_2">#REF!</definedName>
    <definedName name="CRIT_CAP_2_27">#REF!</definedName>
    <definedName name="CRIT_CAP_3">#REF!</definedName>
    <definedName name="CRIT_CAP_3_27">#REF!</definedName>
    <definedName name="CRIT_CAP_4">#REF!</definedName>
    <definedName name="CRIT_CAP_4_27">#REF!</definedName>
    <definedName name="CRIT_CAP_5">#REF!</definedName>
    <definedName name="CRIT_CAP_5_27">#REF!</definedName>
    <definedName name="CRIT_CAP_6">#REF!</definedName>
    <definedName name="CRIT_CAP_6_27">#REF!</definedName>
    <definedName name="CRIT_CAP_7">#REF!</definedName>
    <definedName name="CRIT_CAP_7_27">#REF!</definedName>
    <definedName name="CRIT_CAP_8">#REF!</definedName>
    <definedName name="CRIT_CAP_8_27">#REF!</definedName>
    <definedName name="CRIT_CAP_9">#REF!</definedName>
    <definedName name="CRIT_CAP_9_27">#REF!</definedName>
    <definedName name="CRIT_COR">#REF!</definedName>
    <definedName name="CRIT_COR_1">#REF!</definedName>
    <definedName name="CRIT_COR_10">#REF!</definedName>
    <definedName name="CRIT_COR_11">#REF!</definedName>
    <definedName name="CRIT_COR_12">#REF!</definedName>
    <definedName name="CRIT_COR_2">#REF!</definedName>
    <definedName name="CRIT_COR_3">#REF!</definedName>
    <definedName name="CRIT_COR_4">#REF!</definedName>
    <definedName name="CRIT_COR_5">#REF!</definedName>
    <definedName name="CRIT_COR_6">#REF!</definedName>
    <definedName name="CRIT_COR_7">#REF!</definedName>
    <definedName name="CRIT_COR_8">#REF!</definedName>
    <definedName name="CRIT_COR_9">#REF!</definedName>
    <definedName name="CRIT_NIV_1">#REF!</definedName>
    <definedName name="CRIT_NIV_2">#REF!</definedName>
    <definedName name="CRIT_NIV_3">#REF!</definedName>
    <definedName name="CRIT_NIV_4">#REF!</definedName>
    <definedName name="CRIT_NIV_5">#REF!</definedName>
    <definedName name="CRIT_NIV_8">#REF!</definedName>
    <definedName name="CRIT_NIV_9">#REF!</definedName>
    <definedName name="CRIT_RUBRO">#REF!</definedName>
    <definedName name="CRIT_TIPO_1">#REF!</definedName>
    <definedName name="CRIT_TIPO_3">#REF!</definedName>
    <definedName name="crit101">#REF!</definedName>
    <definedName name="CRIT1022">#REF!</definedName>
    <definedName name="crit1027">#REF!</definedName>
    <definedName name="CRIT11_1_1">#REF!</definedName>
    <definedName name="CRIT11_1_2" localSheetId="19">#REF!</definedName>
    <definedName name="CRIT11_1_2">#REF!</definedName>
    <definedName name="CRIT11_1_3" localSheetId="19">#REF!</definedName>
    <definedName name="CRIT11_1_3">#REF!</definedName>
    <definedName name="CRIT11_1_4" localSheetId="19">#REF!</definedName>
    <definedName name="CRIT11_1_4">#REF!</definedName>
    <definedName name="CRIT11_1_5" localSheetId="19">#REF!</definedName>
    <definedName name="CRIT11_1_5">#REF!</definedName>
    <definedName name="CRIT11_1_6" localSheetId="19">#REF!</definedName>
    <definedName name="CRIT11_1_6">#REF!</definedName>
    <definedName name="CRIT11_1_7">#REF!</definedName>
    <definedName name="CRIT11_1_8">#REF!</definedName>
    <definedName name="CRIT11_1_9">#REF!</definedName>
    <definedName name="CRIT159">#REF!</definedName>
    <definedName name="CRIT2013">#REF!</definedName>
    <definedName name="CRIT20401">#REF!</definedName>
    <definedName name="CRIT20402">#REF!</definedName>
    <definedName name="CRIT20403">#REF!</definedName>
    <definedName name="CRIT20409">#REF!</definedName>
    <definedName name="CRIT20503">#REF!</definedName>
    <definedName name="CRIT20655">#REF!</definedName>
    <definedName name="crit20999">#REF!</definedName>
    <definedName name="CRIT30">#REF!</definedName>
    <definedName name="crit301">#REF!</definedName>
    <definedName name="crit3027">#REF!</definedName>
    <definedName name="CRIT30359">#REF!</definedName>
    <definedName name="CRIT30402">#REF!</definedName>
    <definedName name="CRIT30409">#REF!</definedName>
    <definedName name="CRIT30503">#REF!</definedName>
    <definedName name="crit30506">#REF!</definedName>
    <definedName name="CRIT30509">#REF!</definedName>
    <definedName name="_xlnm.Criteria">#REF!</definedName>
    <definedName name="CRITODO">#REF!</definedName>
    <definedName name="Cronograma">#REF!</definedName>
    <definedName name="CUERPO" localSheetId="19">#REF!</definedName>
    <definedName name="CUERPO">#REF!</definedName>
    <definedName name="DATOS" localSheetId="19">#REF!</definedName>
    <definedName name="DATOS">#REF!</definedName>
    <definedName name="DATOS_001">#REF!</definedName>
    <definedName name="DATOS_0101">#REF!</definedName>
    <definedName name="DATOS_PFI" localSheetId="19">#REF!</definedName>
    <definedName name="DATOS_PFI">#REF!</definedName>
    <definedName name="DATOS_TIPO_1" localSheetId="19">#REF!</definedName>
    <definedName name="DATOS_TIPO_1">#REF!</definedName>
    <definedName name="DATOS_TIPO_3" localSheetId="19">#REF!</definedName>
    <definedName name="DATOS_TIPO_3">#REF!</definedName>
    <definedName name="DES_2013" localSheetId="19">#REF!</definedName>
    <definedName name="DES_2013">#REF!</definedName>
    <definedName name="DES_20303" localSheetId="19">#REF!</definedName>
    <definedName name="DES_20303">#REF!</definedName>
    <definedName name="DES_20401">#REF!</definedName>
    <definedName name="DES_20403">#REF!</definedName>
    <definedName name="DES_20409">#REF!</definedName>
    <definedName name="DES_20503">#REF!</definedName>
    <definedName name="DES_20655">#REF!</definedName>
    <definedName name="DES_30027">#REF!</definedName>
    <definedName name="DES_30359">#REF!</definedName>
    <definedName name="DES_30402">#REF!</definedName>
    <definedName name="DES_30509">#REF!</definedName>
    <definedName name="dfbdbg">#REF!</definedName>
    <definedName name="dotacion">#REF!</definedName>
    <definedName name="e" localSheetId="16">#REF!</definedName>
    <definedName name="e" localSheetId="53">#REF!</definedName>
    <definedName name="e" localSheetId="54">#REF!</definedName>
    <definedName name="e" localSheetId="26">#REF!</definedName>
    <definedName name="e" localSheetId="19">#REF!</definedName>
    <definedName name="e">#REF!</definedName>
    <definedName name="ebtgb" localSheetId="19">#REF!</definedName>
    <definedName name="ebtgb">#REF!</definedName>
    <definedName name="EINVESTIGACION" localSheetId="19">#REF!</definedName>
    <definedName name="EINVESTIGACION">#REF!</definedName>
    <definedName name="ENCA" localSheetId="19">#REF!</definedName>
    <definedName name="ENCA">#REF!</definedName>
    <definedName name="enter" localSheetId="19">#REF!</definedName>
    <definedName name="enter">#REF!</definedName>
    <definedName name="Entidades" localSheetId="19">#REF!</definedName>
    <definedName name="Entidades">#REF!</definedName>
    <definedName name="entro" localSheetId="19">#REF!</definedName>
    <definedName name="entro">#REF!</definedName>
    <definedName name="EXTERNO" localSheetId="19">#REF!</definedName>
    <definedName name="EXTERNO">#REF!</definedName>
    <definedName name="ffff" localSheetId="16">#REF!</definedName>
    <definedName name="ffff" localSheetId="53">#REF!</definedName>
    <definedName name="ffff" localSheetId="54">#REF!</definedName>
    <definedName name="ffff" localSheetId="26">#REF!</definedName>
    <definedName name="ffff" localSheetId="19">#REF!</definedName>
    <definedName name="ffff">#REF!</definedName>
    <definedName name="Gabinete">#REF!</definedName>
    <definedName name="GABINETE_REPART" localSheetId="19">#REF!</definedName>
    <definedName name="GABINETE_REPART">#REF!</definedName>
    <definedName name="Garfico1" localSheetId="16">#REF!</definedName>
    <definedName name="Garfico1" localSheetId="53">#REF!</definedName>
    <definedName name="Garfico1" localSheetId="54">#REF!</definedName>
    <definedName name="Garfico1" localSheetId="26">#REF!</definedName>
    <definedName name="Garfico1" localSheetId="19">#REF!</definedName>
    <definedName name="Garfico1">#REF!</definedName>
    <definedName name="GGGGGGG" localSheetId="16">#REF!</definedName>
    <definedName name="GGGGGGG" localSheetId="53">#REF!</definedName>
    <definedName name="GGGGGGG" localSheetId="54">#REF!</definedName>
    <definedName name="GGGGGGG" localSheetId="26">#REF!</definedName>
    <definedName name="GGGGGGG" localSheetId="19">#REF!</definedName>
    <definedName name="GGGGGGG">#REF!</definedName>
    <definedName name="Gra" localSheetId="19">#REF!</definedName>
    <definedName name="Gra">#REF!</definedName>
    <definedName name="GRAFI" localSheetId="16">#REF!</definedName>
    <definedName name="GRAFI" localSheetId="53">#REF!</definedName>
    <definedName name="GRAFI" localSheetId="54">#REF!</definedName>
    <definedName name="GRAFI" localSheetId="26">#REF!</definedName>
    <definedName name="GRAFI">#REF!</definedName>
    <definedName name="GRAFI1" localSheetId="16">#REF!</definedName>
    <definedName name="GRAFI1" localSheetId="53">#REF!</definedName>
    <definedName name="GRAFI1" localSheetId="54">#REF!</definedName>
    <definedName name="GRAFI1" localSheetId="26">#REF!</definedName>
    <definedName name="GRAFI1">#REF!</definedName>
    <definedName name="GRAFICO" localSheetId="16">#REF!</definedName>
    <definedName name="GRAFICO" localSheetId="53">#REF!</definedName>
    <definedName name="GRAFICO" localSheetId="54">#REF!</definedName>
    <definedName name="GRAFICO" localSheetId="26">#REF!</definedName>
    <definedName name="GRAFICO">#REF!</definedName>
    <definedName name="Impact1">#REF!</definedName>
    <definedName name="Impact10">#REF!</definedName>
    <definedName name="Impact11">#REF!</definedName>
    <definedName name="Impact12">#REF!</definedName>
    <definedName name="Impact13">#REF!</definedName>
    <definedName name="Impact14">#REF!</definedName>
    <definedName name="Impact15">#REF!</definedName>
    <definedName name="Impact16">#REF!</definedName>
    <definedName name="Impact17">#REF!</definedName>
    <definedName name="Impact18">#REF!</definedName>
    <definedName name="Impact19">#REF!</definedName>
    <definedName name="Impact2">#REF!</definedName>
    <definedName name="Impact20">#REF!</definedName>
    <definedName name="Impact3">#REF!</definedName>
    <definedName name="Impact4">#REF!</definedName>
    <definedName name="Impact5">#REF!</definedName>
    <definedName name="Impact6">#REF!</definedName>
    <definedName name="Impact7">#REF!</definedName>
    <definedName name="Impact8">#REF!</definedName>
    <definedName name="Impact9">#REF!</definedName>
    <definedName name="inf">#REF!</definedName>
    <definedName name="INVER">#REF!</definedName>
    <definedName name="INVESTIGA">#REF!</definedName>
    <definedName name="joleor">#REF!</definedName>
    <definedName name="KL">#REF!</definedName>
    <definedName name="Level1">#REF!</definedName>
    <definedName name="Level10">#REF!</definedName>
    <definedName name="Level11">#REF!</definedName>
    <definedName name="Level2">#REF!</definedName>
    <definedName name="Level3">#REF!</definedName>
    <definedName name="Level4">#REF!</definedName>
    <definedName name="Level5">#REF!</definedName>
    <definedName name="Level6">#REF!</definedName>
    <definedName name="Level7">#REF!</definedName>
    <definedName name="Level8">#REF!</definedName>
    <definedName name="Level9">#REF!</definedName>
    <definedName name="LOCAL" localSheetId="19">#REF!</definedName>
    <definedName name="LOCAL">#REF!</definedName>
    <definedName name="MIL" localSheetId="19">#REF!</definedName>
    <definedName name="MIL">#REF!</definedName>
    <definedName name="Modalidad" localSheetId="19">#REF!</definedName>
    <definedName name="Modalidad">#REF!</definedName>
    <definedName name="Moneda" localSheetId="19">#REF!</definedName>
    <definedName name="Moneda">#REF!</definedName>
    <definedName name="MPA">#REF!</definedName>
    <definedName name="nu" localSheetId="19">#REF!</definedName>
    <definedName name="nu">#REF!</definedName>
    <definedName name="olp" localSheetId="19">#REF!</definedName>
    <definedName name="olp">#REF!</definedName>
    <definedName name="Pal_Workbook_GUID" hidden="1">"8MAZQ1ICKXZHGXFQBCV4XLED"</definedName>
    <definedName name="Pbas" localSheetId="15">#REF!</definedName>
    <definedName name="Pbas">#REF!</definedName>
    <definedName name="PC_11_10" localSheetId="23">#REF!</definedName>
    <definedName name="PC_11_10" localSheetId="42">#REF!</definedName>
    <definedName name="PC_11_10" localSheetId="19">#REF!</definedName>
    <definedName name="PC_11_10">#REF!</definedName>
    <definedName name="PC_11_20" localSheetId="19">#REF!</definedName>
    <definedName name="PC_11_20">#REF!</definedName>
    <definedName name="PC_11_30" localSheetId="19">#REF!</definedName>
    <definedName name="PC_11_30">#REF!</definedName>
    <definedName name="PC_12_10" localSheetId="19">#REF!</definedName>
    <definedName name="PC_12_10">#REF!</definedName>
    <definedName name="PC_12_20" localSheetId="19">#REF!</definedName>
    <definedName name="PC_12_20">#REF!</definedName>
    <definedName name="PC_12_30">#REF!</definedName>
    <definedName name="PC_19_10">#REF!</definedName>
    <definedName name="PC_19_20">#REF!</definedName>
    <definedName name="PC_19_30">#REF!</definedName>
    <definedName name="PC_20_10">#REF!</definedName>
    <definedName name="PC_20_20">#REF!</definedName>
    <definedName name="PC_20_30">#REF!</definedName>
    <definedName name="PC_34_10">#REF!</definedName>
    <definedName name="PC_34_20">#REF!</definedName>
    <definedName name="PC_34_30">#REF!</definedName>
    <definedName name="PC_42_10">#REF!</definedName>
    <definedName name="PC_42_20">#REF!</definedName>
    <definedName name="PC_50_10">#REF!</definedName>
    <definedName name="PC_50_20">#REF!</definedName>
    <definedName name="PC_50_30">#REF!</definedName>
    <definedName name="PC_61_10">#REF!</definedName>
    <definedName name="PC_61_20">#REF!</definedName>
    <definedName name="PC_61_30">#REF!</definedName>
    <definedName name="PC_62_10">#REF!</definedName>
    <definedName name="PC_62_20">#REF!</definedName>
    <definedName name="PC_62_30">#REF!</definedName>
    <definedName name="PC_63_10">#REF!</definedName>
    <definedName name="PC_63_20">#REF!</definedName>
    <definedName name="PC_63_30">#REF!</definedName>
    <definedName name="PC_70_10">#REF!</definedName>
    <definedName name="PC_70_20">#REF!</definedName>
    <definedName name="PC_70_30">#REF!</definedName>
    <definedName name="Pluri">#REF!</definedName>
    <definedName name="POA_21" localSheetId="17">#REF!</definedName>
    <definedName name="POA_21" localSheetId="16">#REF!</definedName>
    <definedName name="POA_21" localSheetId="53">#REF!</definedName>
    <definedName name="POA_21" localSheetId="54">#REF!</definedName>
    <definedName name="POA_21" localSheetId="57">#REF!</definedName>
    <definedName name="POA_21" localSheetId="26">#REF!</definedName>
    <definedName name="POA_21" localSheetId="19">#REF!</definedName>
    <definedName name="POA_21">#REF!</definedName>
    <definedName name="Pres" localSheetId="16">#REF!</definedName>
    <definedName name="Pres" localSheetId="53">#REF!</definedName>
    <definedName name="Pres" localSheetId="54">#REF!</definedName>
    <definedName name="Pres" localSheetId="26">#REF!</definedName>
    <definedName name="Pres" localSheetId="19">#REF!</definedName>
    <definedName name="Pres">#REF!</definedName>
    <definedName name="Print_Area_MI" localSheetId="19">#REF!</definedName>
    <definedName name="Print_Area_MI">#REF!</definedName>
    <definedName name="PRO0501_04_3" localSheetId="19">#REF!</definedName>
    <definedName name="PRO0501_04_3">#REF!</definedName>
    <definedName name="Probability1">#REF!</definedName>
    <definedName name="Probability10">#REF!</definedName>
    <definedName name="Probability11">#REF!</definedName>
    <definedName name="Probability12">#REF!</definedName>
    <definedName name="Probability13">#REF!</definedName>
    <definedName name="Probability14">#REF!</definedName>
    <definedName name="Probability15">#REF!</definedName>
    <definedName name="Probability16">#REF!</definedName>
    <definedName name="Probability17">#REF!</definedName>
    <definedName name="Probability18">#REF!</definedName>
    <definedName name="Probability19">#REF!</definedName>
    <definedName name="Probability2">#REF!</definedName>
    <definedName name="Probability20">#REF!</definedName>
    <definedName name="Probability3">#REF!</definedName>
    <definedName name="Probability4">#REF!</definedName>
    <definedName name="Probability5">#REF!</definedName>
    <definedName name="Probability6">#REF!</definedName>
    <definedName name="Probability7">#REF!</definedName>
    <definedName name="Probability8">#REF!</definedName>
    <definedName name="Probability9">#REF!</definedName>
    <definedName name="PROD0101_01_1">#REF!</definedName>
    <definedName name="PROD0101_01_2">#REF!</definedName>
    <definedName name="PROD0101_01_3">#REF!</definedName>
    <definedName name="PROD0101_01_4">#REF!</definedName>
    <definedName name="PROD0101_02_1">#REF!</definedName>
    <definedName name="PROD0101_02_2">#REF!</definedName>
    <definedName name="PROD0101_02_3">#REF!</definedName>
    <definedName name="PROD0101_03_1">#REF!</definedName>
    <definedName name="PROD0101_03_10">#REF!</definedName>
    <definedName name="PROD0101_03_11">#REF!</definedName>
    <definedName name="PROD0101_03_12">#REF!</definedName>
    <definedName name="PROD0101_03_13">#REF!</definedName>
    <definedName name="PROD0101_03_14">#REF!</definedName>
    <definedName name="PROD0101_03_15">#REF!</definedName>
    <definedName name="PROD0101_03_16">#REF!</definedName>
    <definedName name="PROD0101_03_17">#REF!</definedName>
    <definedName name="PROD0101_03_18">#REF!</definedName>
    <definedName name="PROD0101_03_19">#REF!</definedName>
    <definedName name="PROD0101_03_2">#REF!</definedName>
    <definedName name="PROD0101_03_20">#REF!</definedName>
    <definedName name="PROD0101_03_21">#REF!</definedName>
    <definedName name="PROD0101_03_22">#REF!</definedName>
    <definedName name="PROD0101_03_23">#REF!</definedName>
    <definedName name="PROD0101_03_24">#REF!</definedName>
    <definedName name="PROD0101_03_25">#REF!</definedName>
    <definedName name="PROD0101_03_26">#REF!</definedName>
    <definedName name="PROD0101_03_27">#REF!</definedName>
    <definedName name="PROD0101_03_28">#REF!</definedName>
    <definedName name="PROD0101_03_29">#REF!</definedName>
    <definedName name="PROD0101_03_3">#REF!</definedName>
    <definedName name="PROD0101_03_30">#REF!</definedName>
    <definedName name="PROD0101_03_31">#REF!</definedName>
    <definedName name="PROD0101_03_32">#REF!</definedName>
    <definedName name="PROD0101_03_33">#REF!</definedName>
    <definedName name="PROD0101_03_34">#REF!</definedName>
    <definedName name="PROD0101_03_35">#REF!</definedName>
    <definedName name="PROD0101_03_36">#REF!</definedName>
    <definedName name="PROD0101_03_37">#REF!</definedName>
    <definedName name="PROD0101_03_38">#REF!</definedName>
    <definedName name="PROD0101_03_39">#REF!</definedName>
    <definedName name="PROD0101_03_4">#REF!</definedName>
    <definedName name="PROD0101_03_40">#REF!</definedName>
    <definedName name="PROD0101_03_41">#REF!</definedName>
    <definedName name="PROD0101_03_42">#REF!</definedName>
    <definedName name="PROD0101_03_43">#REF!</definedName>
    <definedName name="PROD0101_03_44">#REF!</definedName>
    <definedName name="PROD0101_03_45">#REF!</definedName>
    <definedName name="PROD0101_03_5">#REF!</definedName>
    <definedName name="PROD0101_03_6">#REF!</definedName>
    <definedName name="PROD0101_03_7">#REF!</definedName>
    <definedName name="PROD0101_03_8">#REF!</definedName>
    <definedName name="PROD0101_03_9">#REF!</definedName>
    <definedName name="PROD0101_03_OF359">#REF!</definedName>
    <definedName name="PROD0102_01_1" localSheetId="19">#REF!</definedName>
    <definedName name="PROD0102_01_1">#REF!</definedName>
    <definedName name="PROD0102_01_2" localSheetId="19">#REF!</definedName>
    <definedName name="PROD0102_01_2">#REF!</definedName>
    <definedName name="PROD0102_02_1" localSheetId="19">#REF!</definedName>
    <definedName name="PROD0102_02_1">#REF!</definedName>
    <definedName name="PROD0102_02_2" localSheetId="19">#REF!</definedName>
    <definedName name="PROD0102_02_2">#REF!</definedName>
    <definedName name="PROD0102_03_1" localSheetId="19">#REF!</definedName>
    <definedName name="PROD0102_03_1">#REF!</definedName>
    <definedName name="PROD0102_03_2">#REF!</definedName>
    <definedName name="PROD0102_04_1">#REF!</definedName>
    <definedName name="PROD0102_04_10">#REF!</definedName>
    <definedName name="PROD0102_04_11">#REF!</definedName>
    <definedName name="PROD0102_04_12">#REF!</definedName>
    <definedName name="PROD0102_04_13">#REF!</definedName>
    <definedName name="PROD0102_04_14">#REF!</definedName>
    <definedName name="PROD0102_04_2">#REF!</definedName>
    <definedName name="PROD0102_04_3">#REF!</definedName>
    <definedName name="PROD0102_04_4">#REF!</definedName>
    <definedName name="PROD0102_04_5">#REF!</definedName>
    <definedName name="PROD0102_04_6">#REF!</definedName>
    <definedName name="PROD0102_04_7">#REF!</definedName>
    <definedName name="PROD0102_04_8">#REF!</definedName>
    <definedName name="PROD0102_04_9">#REF!</definedName>
    <definedName name="PROD0103_01_1">#REF!</definedName>
    <definedName name="PROD0103_01_2">#REF!</definedName>
    <definedName name="PROD0103_02_1">#REF!</definedName>
    <definedName name="PROD0103_02_2">#REF!</definedName>
    <definedName name="PROD0104_01_1">#REF!</definedName>
    <definedName name="PROD0104_01_2">#REF!</definedName>
    <definedName name="PROD0104_02_1">#REF!</definedName>
    <definedName name="PROD0105_01_1">#REF!</definedName>
    <definedName name="PROD0105_01_2">#REF!</definedName>
    <definedName name="PROD0105_02_1">#REF!</definedName>
    <definedName name="PROD0203_01_1">#REF!</definedName>
    <definedName name="PROD0203_02_1">#REF!</definedName>
    <definedName name="PROD0203_02_2">#REF!</definedName>
    <definedName name="PROD0203_02_3">#REF!</definedName>
    <definedName name="PROD0203_02_4">#REF!</definedName>
    <definedName name="PROD0203_02_5">#REF!</definedName>
    <definedName name="PROD0203_02_6">#REF!</definedName>
    <definedName name="PROD0203_02_7">#REF!</definedName>
    <definedName name="PROD0205_01_1">#REF!</definedName>
    <definedName name="PROD0205_01_2">#REF!</definedName>
    <definedName name="PROD0205_01_3">#REF!</definedName>
    <definedName name="PROD0205_01_4">#REF!</definedName>
    <definedName name="PROD0205_01_5">#REF!</definedName>
    <definedName name="PROD0205_02_1">#REF!</definedName>
    <definedName name="PROD0205_02_2">#REF!</definedName>
    <definedName name="PROD0205_02_3">#REF!</definedName>
    <definedName name="PROD0205_02_4">#REF!</definedName>
    <definedName name="PROD0205_03_1">#REF!</definedName>
    <definedName name="PROD0205_03_2">#REF!</definedName>
    <definedName name="PROD0205_03_3">#REF!</definedName>
    <definedName name="PROD0205_03_4">#REF!</definedName>
    <definedName name="PROD0205_04_1">#REF!</definedName>
    <definedName name="PROD0205_04_2">#REF!</definedName>
    <definedName name="PROD0205_05_1">#REF!</definedName>
    <definedName name="PROD0205_05_2">#REF!</definedName>
    <definedName name="PROD0205_05_3">#REF!</definedName>
    <definedName name="PROD0208_01_1">#REF!</definedName>
    <definedName name="PROD0208_02_1">#REF!</definedName>
    <definedName name="PROD0208_02_2">#REF!</definedName>
    <definedName name="PROD0208_02_3">#REF!</definedName>
    <definedName name="PROD0208_02_4">#REF!</definedName>
    <definedName name="PROD0208_02_5">#REF!</definedName>
    <definedName name="PROD0210_01_1">#REF!</definedName>
    <definedName name="PROD0213_01_1">#REF!</definedName>
    <definedName name="PROD0215_01_1">#REF!</definedName>
    <definedName name="PROD0215_01_2">#REF!</definedName>
    <definedName name="PROD0215_01_3">#REF!</definedName>
    <definedName name="PROD0301_01_1">#REF!</definedName>
    <definedName name="PROD0301_01_2">#REF!</definedName>
    <definedName name="PROD0401_01_1">#REF!</definedName>
    <definedName name="PROD0401_01_2">#REF!</definedName>
    <definedName name="PROD0401_01_3">#REF!</definedName>
    <definedName name="PROD0401_02_1">#REF!</definedName>
    <definedName name="PROD0401_02_2">#REF!</definedName>
    <definedName name="PROD0416_01_1">#REF!</definedName>
    <definedName name="PROD0416_01_2">#REF!</definedName>
    <definedName name="PROD0416_02_1">#REF!</definedName>
    <definedName name="PROD0416_02_2">#REF!</definedName>
    <definedName name="PROD0417_01_1">#REF!</definedName>
    <definedName name="PROD0417_02_1">#REF!</definedName>
    <definedName name="PROD0418_01_1">#REF!</definedName>
    <definedName name="PROD0418_02_1">#REF!</definedName>
    <definedName name="PROD0419_01_1">#REF!</definedName>
    <definedName name="PROD0419_01_2">#REF!</definedName>
    <definedName name="PROD0420_01_1">#REF!</definedName>
    <definedName name="PROD0421_01_1">#REF!</definedName>
    <definedName name="PROD0421_01_2">#REF!</definedName>
    <definedName name="PROD0421_02_1">#REF!</definedName>
    <definedName name="PROD0422_01_1">#REF!</definedName>
    <definedName name="PROD0422_01_2">#REF!</definedName>
    <definedName name="PROD0423_01_1">#REF!</definedName>
    <definedName name="PROD0423_01_2">#REF!</definedName>
    <definedName name="PROD0424_01_1">#REF!</definedName>
    <definedName name="PROD0424_01_2">#REF!</definedName>
    <definedName name="PROD0425_01_1">#REF!</definedName>
    <definedName name="PROD0425_01_2">#REF!</definedName>
    <definedName name="PROD0426_01_1">#REF!</definedName>
    <definedName name="PROD0426_01_2">#REF!</definedName>
    <definedName name="PROD0501_01_1">#REF!</definedName>
    <definedName name="PROD0501_01_2">#REF!</definedName>
    <definedName name="PROD0501_01_3">#REF!</definedName>
    <definedName name="PROD0501_01_4">#REF!</definedName>
    <definedName name="PROD0501_01_5">#REF!</definedName>
    <definedName name="PROD0501_02_1">#REF!</definedName>
    <definedName name="PROD0501_02_2">#REF!</definedName>
    <definedName name="PROD0501_02_3">#REF!</definedName>
    <definedName name="PROD0501_02_4">#REF!</definedName>
    <definedName name="PROD0501_02_5">#REF!</definedName>
    <definedName name="PROD0501_03_1">#REF!</definedName>
    <definedName name="PROD0501_03_2">#REF!</definedName>
    <definedName name="PROD0501_03_3">#REF!</definedName>
    <definedName name="PROD0501_03_4">#REF!</definedName>
    <definedName name="PROD0501_03_5">#REF!</definedName>
    <definedName name="PROD0501_04_1">#REF!</definedName>
    <definedName name="PROD0501_04_2">#REF!</definedName>
    <definedName name="PROD0501_04_3">#REF!</definedName>
    <definedName name="PROD0501_04_4">#REF!</definedName>
    <definedName name="PROD0501_04_5">#REF!</definedName>
    <definedName name="PROD0501_05_1">#REF!</definedName>
    <definedName name="PROD0501_05_2">#REF!</definedName>
    <definedName name="PROD0501_05_3">#REF!</definedName>
    <definedName name="PROD0501_05_4">#REF!</definedName>
    <definedName name="PROD0501_05_5">#REF!</definedName>
    <definedName name="PROD0501_06_1">#REF!</definedName>
    <definedName name="PROD0501_06_2">#REF!</definedName>
    <definedName name="PROD0501_06_3">#REF!</definedName>
    <definedName name="PROD0501_06_4">#REF!</definedName>
    <definedName name="PROD0501_06_5">#REF!</definedName>
    <definedName name="PROD0501_07_1">#REF!</definedName>
    <definedName name="PROD0501_07_10">#REF!</definedName>
    <definedName name="PROD0501_07_11">#REF!</definedName>
    <definedName name="PROD0501_07_12">#REF!</definedName>
    <definedName name="PROD0501_07_13">#REF!</definedName>
    <definedName name="PROD0501_07_14">#REF!</definedName>
    <definedName name="PROD0501_07_15">#REF!</definedName>
    <definedName name="PROD0501_07_16">#REF!</definedName>
    <definedName name="PROD0501_07_17">#REF!</definedName>
    <definedName name="PROD0501_07_18">#REF!</definedName>
    <definedName name="PROD0501_07_19">#REF!</definedName>
    <definedName name="PROD0501_07_2">#REF!</definedName>
    <definedName name="PROD0501_07_20">#REF!</definedName>
    <definedName name="PROD0501_07_3">#REF!</definedName>
    <definedName name="PROD0501_07_4">#REF!</definedName>
    <definedName name="PROD0501_07_5">#REF!</definedName>
    <definedName name="PROD0501_07_6">#REF!</definedName>
    <definedName name="PROD0501_07_7">#REF!</definedName>
    <definedName name="PROD0501_07_8">#REF!</definedName>
    <definedName name="PROD0501_07_9">#REF!</definedName>
    <definedName name="PROD0601_01_1">#REF!</definedName>
    <definedName name="PROD0601_02_1">#REF!</definedName>
    <definedName name="PROD0601_03_1">#REF!</definedName>
    <definedName name="PROD0601_03_2">#REF!</definedName>
    <definedName name="PROD0601_04_1">#REF!</definedName>
    <definedName name="PROD0601_05_1">#REF!</definedName>
    <definedName name="PROD0601_06_1">#REF!</definedName>
    <definedName name="PROD0601_07_1">#REF!</definedName>
    <definedName name="PROD0601_07_10">#REF!</definedName>
    <definedName name="PROD0601_07_11">#REF!</definedName>
    <definedName name="PROD0601_07_2">#REF!</definedName>
    <definedName name="PROD0601_07_3">#REF!</definedName>
    <definedName name="PROD0601_07_4">#REF!</definedName>
    <definedName name="PROD0601_07_5">#REF!</definedName>
    <definedName name="PROD0601_07_6">#REF!</definedName>
    <definedName name="PROD0601_07_7">#REF!</definedName>
    <definedName name="PROD0601_07_8">#REF!</definedName>
    <definedName name="PROD0601_07_9">#REF!</definedName>
    <definedName name="PROD0603_01_1">#REF!</definedName>
    <definedName name="PROD0603_01_2">#REF!</definedName>
    <definedName name="PROD0603_02_1">#REF!</definedName>
    <definedName name="PROD0603_02_2">#REF!</definedName>
    <definedName name="PROD0603_03_1">#REF!</definedName>
    <definedName name="PROD0603_03_2">#REF!</definedName>
    <definedName name="PROD0603_04_1">#REF!</definedName>
    <definedName name="PROD0603_04_2">#REF!</definedName>
    <definedName name="PROD0603_05_1">#REF!</definedName>
    <definedName name="PROD0603_05_10">#REF!</definedName>
    <definedName name="PROD0603_05_11">#REF!</definedName>
    <definedName name="PROD0603_05_2">#REF!</definedName>
    <definedName name="PROD0603_05_3">#REF!</definedName>
    <definedName name="PROD0603_05_4">#REF!</definedName>
    <definedName name="PROD0603_05_5">#REF!</definedName>
    <definedName name="PROD0603_05_6">#REF!</definedName>
    <definedName name="PROD0603_05_7">#REF!</definedName>
    <definedName name="PROD0603_05_8">#REF!</definedName>
    <definedName name="PROD0603_05_9">#REF!</definedName>
    <definedName name="PROD0604_01_1">#REF!</definedName>
    <definedName name="PROD0604_01_2">#REF!</definedName>
    <definedName name="PROD0604_01_3">#REF!</definedName>
    <definedName name="PROD0604_01_4">#REF!</definedName>
    <definedName name="PROD0605_01_1">#REF!</definedName>
    <definedName name="PROD0605_01_2">#REF!</definedName>
    <definedName name="PROD0605_01_3">#REF!</definedName>
    <definedName name="PROD0605_02_1">#REF!</definedName>
    <definedName name="PROD0605_02_2">#REF!</definedName>
    <definedName name="PROD0701_01_1">#REF!</definedName>
    <definedName name="PROD0701_01_2">#REF!</definedName>
    <definedName name="PROD0701_01_3">#REF!</definedName>
    <definedName name="PROD0701_01_4">#REF!</definedName>
    <definedName name="PROD0701_01_5">#REF!</definedName>
    <definedName name="PROD0701_01_6">#REF!</definedName>
    <definedName name="PROD0701_01_7">#REF!</definedName>
    <definedName name="PROD0701_01_8">#REF!</definedName>
    <definedName name="PROD0701_01_9">#REF!</definedName>
    <definedName name="PROD0701_02_1">#REF!</definedName>
    <definedName name="PROD0701_03_1">#REF!</definedName>
    <definedName name="PROD0701_03_2">#REF!</definedName>
    <definedName name="PROD0701_03_3">#REF!</definedName>
    <definedName name="PROD0701_03_4">#REF!</definedName>
    <definedName name="PROD0702_01_1">#REF!</definedName>
    <definedName name="PROD0702_01_2">#REF!</definedName>
    <definedName name="PROD0702_01_3">#REF!</definedName>
    <definedName name="PROD0702_01_4">#REF!</definedName>
    <definedName name="PROD0702_02_1">#REF!</definedName>
    <definedName name="PROD0702_02_10">#REF!</definedName>
    <definedName name="PROD0702_02_11">#REF!</definedName>
    <definedName name="PROD0702_02_12">#REF!</definedName>
    <definedName name="PROD0702_02_2">#REF!</definedName>
    <definedName name="PROD0702_02_3">#REF!</definedName>
    <definedName name="PROD0702_02_4">#REF!</definedName>
    <definedName name="PROD0702_02_5">#REF!</definedName>
    <definedName name="PROD0702_02_6">#REF!</definedName>
    <definedName name="PROD0702_02_7">#REF!</definedName>
    <definedName name="PROD0702_02_8">#REF!</definedName>
    <definedName name="PROD0702_02_9">#REF!</definedName>
    <definedName name="PROD0703_01_1">#REF!</definedName>
    <definedName name="PROD0703_01_2">#REF!</definedName>
    <definedName name="PROD0703_01_3">#REF!</definedName>
    <definedName name="PROD0704_01_1">#REF!</definedName>
    <definedName name="PROD0704_01_2">#REF!</definedName>
    <definedName name="PROD0704_01_3">#REF!</definedName>
    <definedName name="PROD0705_01_1">#REF!</definedName>
    <definedName name="PROD0705_01_2">#REF!</definedName>
    <definedName name="PROD0801_01_1">#REF!</definedName>
    <definedName name="PROD0801_01_2">#REF!</definedName>
    <definedName name="PROD0801_02_1">#REF!</definedName>
    <definedName name="PROD0801_03_1">#REF!</definedName>
    <definedName name="PROD0801_03_10">#REF!</definedName>
    <definedName name="PROD0801_03_11">#REF!</definedName>
    <definedName name="PROD0801_03_12">#REF!</definedName>
    <definedName name="PROD0801_03_13">#REF!</definedName>
    <definedName name="PROD0801_03_14">#REF!</definedName>
    <definedName name="PROD0801_03_15">#REF!</definedName>
    <definedName name="PROD0801_03_16">#REF!</definedName>
    <definedName name="PROD0801_03_17">#REF!</definedName>
    <definedName name="PROD0801_03_18">#REF!</definedName>
    <definedName name="PROD0801_03_19">#REF!</definedName>
    <definedName name="PROD0801_03_2">#REF!</definedName>
    <definedName name="PROD0801_03_20">#REF!</definedName>
    <definedName name="PROD0801_03_21">#REF!</definedName>
    <definedName name="PROD0801_03_22">#REF!</definedName>
    <definedName name="PROD0801_03_23">#REF!</definedName>
    <definedName name="PROD0801_03_3">#REF!</definedName>
    <definedName name="PROD0801_03_4">#REF!</definedName>
    <definedName name="PROD0801_03_5">#REF!</definedName>
    <definedName name="PROD0801_03_6">#REF!</definedName>
    <definedName name="PROD0801_03_7">#REF!</definedName>
    <definedName name="PROD0801_03_8">#REF!</definedName>
    <definedName name="PROD0801_03_9">#REF!</definedName>
    <definedName name="PROD0901_01_1">#REF!</definedName>
    <definedName name="PROD0901_01_2">#REF!</definedName>
    <definedName name="PROD0901_02_1">#REF!</definedName>
    <definedName name="PROD0901_03_1">#REF!</definedName>
    <definedName name="PROD0901_03_10">#REF!</definedName>
    <definedName name="PROD0901_03_11">#REF!</definedName>
    <definedName name="PROD0901_03_12">#REF!</definedName>
    <definedName name="PROD0901_03_13">#REF!</definedName>
    <definedName name="PROD0901_03_14">#REF!</definedName>
    <definedName name="PROD0901_03_15">#REF!</definedName>
    <definedName name="PROD0901_03_16">#REF!</definedName>
    <definedName name="PROD0901_03_17">#REF!</definedName>
    <definedName name="PROD0901_03_18">#REF!</definedName>
    <definedName name="PROD0901_03_19">#REF!</definedName>
    <definedName name="PROD0901_03_2">#REF!</definedName>
    <definedName name="PROD0901_03_20">#REF!</definedName>
    <definedName name="PROD0901_03_21">#REF!</definedName>
    <definedName name="PROD0901_03_22">#REF!</definedName>
    <definedName name="PROD0901_03_23">#REF!</definedName>
    <definedName name="PROD0901_03_24">#REF!</definedName>
    <definedName name="PROD0901_03_25">#REF!</definedName>
    <definedName name="PROD0901_03_26">#REF!</definedName>
    <definedName name="PROD0901_03_27">#REF!</definedName>
    <definedName name="PROD0901_03_3">#REF!</definedName>
    <definedName name="PROD0901_03_4">#REF!</definedName>
    <definedName name="PROD0901_03_5">#REF!</definedName>
    <definedName name="PROD0901_03_6">#REF!</definedName>
    <definedName name="PROD0901_03_7">#REF!</definedName>
    <definedName name="PROD0901_03_8">#REF!</definedName>
    <definedName name="PROD0901_03_9">#REF!</definedName>
    <definedName name="PROD1401_01_1">#REF!</definedName>
    <definedName name="PROD1401_01_2">#REF!</definedName>
    <definedName name="PROD1401_01_3">#REF!</definedName>
    <definedName name="PROD1401_01_4">#REF!</definedName>
    <definedName name="PROD1401_02_1">#REF!</definedName>
    <definedName name="PROD1401_02_2">#REF!</definedName>
    <definedName name="PROD1401_02_3">#REF!</definedName>
    <definedName name="PROD1402_01_1">#REF!</definedName>
    <definedName name="PROD1402_01_2">#REF!</definedName>
    <definedName name="PROD1402_01_3">#REF!</definedName>
    <definedName name="PROD1402_02_1">#REF!</definedName>
    <definedName name="PROD1402_02_2">#REF!</definedName>
    <definedName name="PROD1402_02_3">#REF!</definedName>
    <definedName name="PROD1403_01_1">#REF!</definedName>
    <definedName name="PROD1403_02_1">#REF!</definedName>
    <definedName name="PROD1404_01_1">#REF!</definedName>
    <definedName name="PROD1404_02_1">#REF!</definedName>
    <definedName name="PROD1405_01_1">#REF!</definedName>
    <definedName name="PROD1405_02_1">#REF!</definedName>
    <definedName name="PROD1406_01_1">#REF!</definedName>
    <definedName name="PROD1406_01_2">#REF!</definedName>
    <definedName name="PROD1501_01_1">#REF!</definedName>
    <definedName name="PROD1501_01_2">#REF!</definedName>
    <definedName name="PROD1501_01_3">#REF!</definedName>
    <definedName name="PROD1501_01_4">#REF!</definedName>
    <definedName name="PROD1501_01_5">#REF!</definedName>
    <definedName name="PROD1501_02_1">#REF!</definedName>
    <definedName name="PROD1501_02_2">#REF!</definedName>
    <definedName name="PROD1501_02_3">#REF!</definedName>
    <definedName name="PROD1501_02_4">#REF!</definedName>
    <definedName name="PROD1501_02_5">#REF!</definedName>
    <definedName name="PROD1501_03_1">#REF!</definedName>
    <definedName name="PROD1501_03_2">#REF!</definedName>
    <definedName name="PROD1501_03_3">#REF!</definedName>
    <definedName name="PROD1501_04_1">#REF!</definedName>
    <definedName name="PROD1501_04_2">#REF!</definedName>
    <definedName name="PROD1501_04_3">#REF!</definedName>
    <definedName name="PROD1501_04_4">#REF!</definedName>
    <definedName name="PROD1501_04_5">#REF!</definedName>
    <definedName name="PROD1901_01_1">#REF!</definedName>
    <definedName name="PROD1901_01_2">#REF!</definedName>
    <definedName name="PROD1901_01_3">#REF!</definedName>
    <definedName name="PROD1901_02_1">#REF!</definedName>
    <definedName name="PROD1901_02_2">#REF!</definedName>
    <definedName name="PROD1901_02_3">#REF!</definedName>
    <definedName name="PROD1901_02_4">#REF!</definedName>
    <definedName name="PROD2001_01_1">#REF!</definedName>
    <definedName name="PROD2001_01_2">#REF!</definedName>
    <definedName name="PROD2001_01_3">#REF!</definedName>
    <definedName name="PROD2001_02_1">#REF!</definedName>
    <definedName name="PROD2001_02_2">#REF!</definedName>
    <definedName name="PROD2001_02_3">#REF!</definedName>
    <definedName name="PROD2001_03_1">#REF!</definedName>
    <definedName name="PROD2001_03_2">#REF!</definedName>
    <definedName name="PROD2001_03_3">#REF!</definedName>
    <definedName name="PROD2001_04_1">#REF!</definedName>
    <definedName name="PROD2001_04_2">#REF!</definedName>
    <definedName name="PROD2101_01_1">#REF!</definedName>
    <definedName name="PROD2101_01_2">#REF!</definedName>
    <definedName name="PROD2101_03_1">#REF!</definedName>
    <definedName name="PROD2101_03_2">#REF!</definedName>
    <definedName name="PROD2101_04_1">#REF!</definedName>
    <definedName name="PROD2101_04_10">#REF!</definedName>
    <definedName name="PROD2101_04_11">#REF!</definedName>
    <definedName name="PROD2101_04_12">#REF!</definedName>
    <definedName name="PROD2101_04_13">#REF!</definedName>
    <definedName name="PROD2101_04_14">#REF!</definedName>
    <definedName name="PROD2101_04_15">#REF!</definedName>
    <definedName name="PROD2101_04_16">#REF!</definedName>
    <definedName name="PROD2101_04_17">#REF!</definedName>
    <definedName name="PROD2101_04_18">#REF!</definedName>
    <definedName name="PROD2101_04_2">#REF!</definedName>
    <definedName name="PROD2101_04_3">#REF!</definedName>
    <definedName name="PROD2101_04_4">#REF!</definedName>
    <definedName name="PROD2101_04_5">#REF!</definedName>
    <definedName name="PROD2101_04_6">#REF!</definedName>
    <definedName name="PROD2101_04_7">#REF!</definedName>
    <definedName name="PROD2101_04_8">#REF!</definedName>
    <definedName name="PROD2101_04_9">#REF!</definedName>
    <definedName name="PRODUCTO1">#REF!</definedName>
    <definedName name="PROGRAMA">#REF!</definedName>
    <definedName name="proyec">#REF!</definedName>
    <definedName name="proyectos">#REF!</definedName>
    <definedName name="pruebapsico">#REF!</definedName>
    <definedName name="PUNT1">#REF!</definedName>
    <definedName name="PUNT2">#REF!</definedName>
    <definedName name="RANGO1">#REF!</definedName>
    <definedName name="Reesumen" localSheetId="16">#REF!</definedName>
    <definedName name="Reesumen" localSheetId="53">#REF!</definedName>
    <definedName name="Reesumen" localSheetId="54">#REF!</definedName>
    <definedName name="Reesumen" localSheetId="26">#REF!</definedName>
    <definedName name="Reesumen" localSheetId="19">#REF!</definedName>
    <definedName name="Reesumen">#REF!</definedName>
    <definedName name="REPART_1_002" localSheetId="19">#REF!</definedName>
    <definedName name="REPART_1_002">#REF!</definedName>
    <definedName name="Resumen" localSheetId="16">#REF!</definedName>
    <definedName name="Resumen" localSheetId="53">#REF!</definedName>
    <definedName name="Resumen" localSheetId="54">#REF!</definedName>
    <definedName name="Resumen" localSheetId="26">#REF!</definedName>
    <definedName name="Resumen" localSheetId="19">#REF!</definedName>
    <definedName name="Resumen">#REF!</definedName>
    <definedName name="resumencito" localSheetId="16">#REF!</definedName>
    <definedName name="resumencito" localSheetId="53">#REF!</definedName>
    <definedName name="resumencito" localSheetId="54">#REF!</definedName>
    <definedName name="resumencito" localSheetId="26">#REF!</definedName>
    <definedName name="resumencito" localSheetId="19">#REF!</definedName>
    <definedName name="resumencito">#REF!</definedName>
    <definedName name="Risk1">#REF!</definedName>
    <definedName name="Risk10">#REF!</definedName>
    <definedName name="Risk11">#REF!</definedName>
    <definedName name="Risk12">#REF!</definedName>
    <definedName name="Risk13">#REF!</definedName>
    <definedName name="Risk14">#REF!</definedName>
    <definedName name="Risk15">#REF!</definedName>
    <definedName name="Risk16">#REF!</definedName>
    <definedName name="Risk17">#REF!</definedName>
    <definedName name="Risk18">#REF!</definedName>
    <definedName name="Risk19">#REF!</definedName>
    <definedName name="Risk2">#REF!</definedName>
    <definedName name="Risk20">#REF!</definedName>
    <definedName name="Risk3">#REF!</definedName>
    <definedName name="Risk4">#REF!</definedName>
    <definedName name="Risk5">#REF!</definedName>
    <definedName name="Risk6">#REF!</definedName>
    <definedName name="Risk7">#REF!</definedName>
    <definedName name="Risk8">#REF!</definedName>
    <definedName name="Risk9">#REF!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UBRO" localSheetId="15">#REF!</definedName>
    <definedName name="RUBRO">#REF!</definedName>
    <definedName name="RUBRO_PAC" localSheetId="15">#REF!</definedName>
    <definedName name="RUBRO_PAC" localSheetId="19">#REF!</definedName>
    <definedName name="RUBRO_PAC">#REF!</definedName>
    <definedName name="sff" localSheetId="15">#REF!</definedName>
    <definedName name="sff" localSheetId="19">#REF!</definedName>
    <definedName name="sff">#REF!</definedName>
    <definedName name="sfff" localSheetId="19">#REF!</definedName>
    <definedName name="sfff">#REF!</definedName>
    <definedName name="SFGH" localSheetId="17">#REF!</definedName>
    <definedName name="SFGH" localSheetId="16">#REF!</definedName>
    <definedName name="SFGH" localSheetId="53">#REF!</definedName>
    <definedName name="SFGH" localSheetId="54">#REF!</definedName>
    <definedName name="SFGH" localSheetId="26">#REF!</definedName>
    <definedName name="SFGH" localSheetId="19">#REF!</definedName>
    <definedName name="SFGH">#REF!</definedName>
    <definedName name="si" localSheetId="19">#REF!</definedName>
    <definedName name="si">#REF!</definedName>
    <definedName name="sitioescala">#REF!</definedName>
    <definedName name="subpro" localSheetId="19">#REF!</definedName>
    <definedName name="subpro">#REF!</definedName>
    <definedName name="Tabla_asignación" localSheetId="16">#REF!</definedName>
    <definedName name="Tabla_asignación" localSheetId="53">#REF!</definedName>
    <definedName name="Tabla_asignación" localSheetId="54">#REF!</definedName>
    <definedName name="Tabla_asignación" localSheetId="26">#REF!</definedName>
    <definedName name="Tabla_asignación" localSheetId="19">#REF!</definedName>
    <definedName name="Tabla_asignación">#REF!</definedName>
    <definedName name="Tabla_Recursos" localSheetId="16">#REF!</definedName>
    <definedName name="Tabla_Recursos" localSheetId="53">#REF!</definedName>
    <definedName name="Tabla_Recursos" localSheetId="54">#REF!</definedName>
    <definedName name="Tabla_Recursos" localSheetId="26">#REF!</definedName>
    <definedName name="Tabla_Recursos" localSheetId="19">#REF!</definedName>
    <definedName name="Tabla_Recursos">#REF!</definedName>
    <definedName name="timecito" localSheetId="19">#REF!</definedName>
    <definedName name="timecito">#REF!</definedName>
    <definedName name="Tippre" localSheetId="19">#REF!</definedName>
    <definedName name="Tippre">#REF!</definedName>
    <definedName name="_xlnm.Print_Titles" localSheetId="12">'C.C ADQUISICIONES'!$1:$3</definedName>
    <definedName name="_xlnm.Print_Titles" localSheetId="15">'Flujo Caja'!$2:$2</definedName>
    <definedName name="_xlnm.Print_Titles">#REF!</definedName>
    <definedName name="TTTTT" localSheetId="16">#REF!</definedName>
    <definedName name="TTTTT" localSheetId="53">#REF!</definedName>
    <definedName name="TTTTT" localSheetId="54">#REF!</definedName>
    <definedName name="TTTTT" localSheetId="15">#REF!</definedName>
    <definedName name="TTTTT" localSheetId="26">#REF!</definedName>
    <definedName name="TTTTT">#REF!</definedName>
    <definedName name="Typeofrisk1">#REF!</definedName>
    <definedName name="Typeofrisk10">#REF!</definedName>
    <definedName name="Typeofrisk11">#REF!</definedName>
    <definedName name="Typeofrisk12">#REF!</definedName>
    <definedName name="Typeofrisk13">#REF!</definedName>
    <definedName name="Typeofrisk14">#REF!</definedName>
    <definedName name="Typeofrisk15">#REF!</definedName>
    <definedName name="Typeofrisk16">#REF!</definedName>
    <definedName name="Typeofrisk17">#REF!</definedName>
    <definedName name="Typeofrisk18">#REF!</definedName>
    <definedName name="Typeofrisk19">#REF!</definedName>
    <definedName name="Typeofrisk2">#REF!</definedName>
    <definedName name="Typeofrisk20">#REF!</definedName>
    <definedName name="Typeofrisk3">#REF!</definedName>
    <definedName name="Typeofrisk4">#REF!</definedName>
    <definedName name="Typeofrisk5">#REF!</definedName>
    <definedName name="Typeofrisk6">#REF!</definedName>
    <definedName name="Typeofrisk7">#REF!</definedName>
    <definedName name="Typeofrisk8">#REF!</definedName>
    <definedName name="Typeofrisk9">#REF!</definedName>
    <definedName name="uji">#REF!</definedName>
    <definedName name="Value1">#REF!</definedName>
    <definedName name="Value10">#REF!</definedName>
    <definedName name="Value11">#REF!</definedName>
    <definedName name="Value2">#REF!</definedName>
    <definedName name="Value3">#REF!</definedName>
    <definedName name="Value4">#REF!</definedName>
    <definedName name="Value5">#REF!</definedName>
    <definedName name="Value6">#REF!</definedName>
    <definedName name="Value7">#REF!</definedName>
    <definedName name="Value8">#REF!</definedName>
    <definedName name="Value9">#REF!</definedName>
    <definedName name="xxx">#REF!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1" i="9" l="1"/>
  <c r="AB1" i="9"/>
  <c r="DH7" i="9"/>
  <c r="DG7" i="9"/>
  <c r="DF7" i="9"/>
  <c r="DC7" i="9"/>
  <c r="DB7" i="9"/>
  <c r="DA7" i="9"/>
  <c r="CZ7" i="9"/>
  <c r="CY7" i="9"/>
  <c r="CX7" i="9"/>
  <c r="CW7" i="9"/>
  <c r="CV7" i="9"/>
  <c r="CU7" i="9"/>
  <c r="CT7" i="9"/>
  <c r="CS7" i="9"/>
  <c r="CR7" i="9"/>
  <c r="CO7" i="9"/>
  <c r="CN7" i="9"/>
  <c r="CM7" i="9"/>
  <c r="CL7" i="9"/>
  <c r="CK7" i="9"/>
  <c r="CJ7" i="9"/>
  <c r="CI7" i="9"/>
  <c r="CH7" i="9"/>
  <c r="CG7" i="9"/>
  <c r="CF7" i="9"/>
  <c r="CE7" i="9"/>
  <c r="CD7" i="9"/>
  <c r="CA7" i="9"/>
  <c r="BZ7" i="9"/>
  <c r="BY7" i="9"/>
  <c r="BX7" i="9"/>
  <c r="BW7" i="9"/>
  <c r="BV7" i="9"/>
  <c r="BU7" i="9"/>
  <c r="BT7" i="9"/>
  <c r="BS7" i="9"/>
  <c r="BR7" i="9"/>
  <c r="BQ7" i="9"/>
  <c r="BP7" i="9"/>
  <c r="BM7" i="9"/>
  <c r="BL7" i="9"/>
  <c r="BK7" i="9"/>
  <c r="BJ7" i="9"/>
  <c r="BI7" i="9"/>
  <c r="BH7" i="9"/>
  <c r="BG7" i="9"/>
  <c r="BF7" i="9"/>
  <c r="BE7" i="9"/>
  <c r="BD7" i="9"/>
  <c r="BC7" i="9"/>
  <c r="BB7" i="9"/>
  <c r="AY7" i="9"/>
  <c r="AX7" i="9"/>
  <c r="AW7" i="9"/>
  <c r="AV7" i="9"/>
  <c r="AU7" i="9"/>
  <c r="AT7" i="9"/>
  <c r="AS7" i="9"/>
  <c r="AR7" i="9"/>
  <c r="AQ7" i="9"/>
  <c r="AP7" i="9"/>
  <c r="AN7" i="9"/>
  <c r="AM7" i="9"/>
  <c r="AL7" i="9"/>
  <c r="K154" i="115"/>
  <c r="E39" i="84"/>
  <c r="C39" i="84"/>
  <c r="M39" i="84"/>
  <c r="L39" i="84"/>
  <c r="K39" i="84"/>
  <c r="J39" i="84"/>
  <c r="M22" i="84"/>
  <c r="O17" i="26"/>
  <c r="AI7" i="9"/>
  <c r="AH7" i="9"/>
  <c r="AH107" i="9"/>
  <c r="CA99" i="9"/>
  <c r="BH98" i="9"/>
  <c r="BH97" i="9" s="1"/>
  <c r="AH139" i="9"/>
  <c r="Q41" i="120"/>
  <c r="P41" i="120"/>
  <c r="O41" i="120"/>
  <c r="Q39" i="120"/>
  <c r="P39" i="120"/>
  <c r="O39" i="120"/>
  <c r="O15" i="120"/>
  <c r="O8" i="120"/>
  <c r="Q9" i="120"/>
  <c r="Q12" i="120"/>
  <c r="Q16" i="120"/>
  <c r="Q25" i="120"/>
  <c r="Q35" i="120"/>
  <c r="P17" i="120"/>
  <c r="P26" i="120"/>
  <c r="O7" i="120"/>
  <c r="P13" i="120"/>
  <c r="O6" i="120"/>
  <c r="Q13" i="120"/>
  <c r="Q17" i="120"/>
  <c r="Q26" i="120"/>
  <c r="O24" i="120"/>
  <c r="O23" i="120"/>
  <c r="O40" i="120"/>
  <c r="O22" i="120"/>
  <c r="O38" i="120"/>
  <c r="O21" i="120"/>
  <c r="O5" i="120"/>
  <c r="P14" i="120"/>
  <c r="P27" i="120"/>
  <c r="P36" i="120"/>
  <c r="O2" i="120"/>
  <c r="Q18" i="120"/>
  <c r="Q28" i="120"/>
  <c r="O14" i="120"/>
  <c r="P3" i="120"/>
  <c r="P19" i="120"/>
  <c r="P29" i="120"/>
  <c r="O20" i="120"/>
  <c r="Q36" i="120"/>
  <c r="O18" i="120"/>
  <c r="Q2" i="120"/>
  <c r="O13" i="120"/>
  <c r="Q3" i="120"/>
  <c r="Q19" i="120"/>
  <c r="Q29" i="120"/>
  <c r="P28" i="120"/>
  <c r="O12" i="120"/>
  <c r="P20" i="120"/>
  <c r="P30" i="120"/>
  <c r="P37" i="120"/>
  <c r="Q27" i="120"/>
  <c r="O35" i="120"/>
  <c r="O34" i="120"/>
  <c r="O11" i="120"/>
  <c r="Q20" i="120"/>
  <c r="Q30" i="120"/>
  <c r="Q37" i="120"/>
  <c r="P5" i="120"/>
  <c r="O33" i="120"/>
  <c r="O10" i="120"/>
  <c r="P21" i="120"/>
  <c r="P31" i="120"/>
  <c r="P38" i="120"/>
  <c r="O32" i="120"/>
  <c r="Q5" i="120"/>
  <c r="Q21" i="120"/>
  <c r="Q31" i="120"/>
  <c r="Q38" i="120"/>
  <c r="O19" i="120"/>
  <c r="O31" i="120"/>
  <c r="P6" i="120"/>
  <c r="P22" i="120"/>
  <c r="P32" i="120"/>
  <c r="P40" i="120"/>
  <c r="P18" i="120"/>
  <c r="Q6" i="120"/>
  <c r="Q22" i="120"/>
  <c r="Q32" i="120"/>
  <c r="Q40" i="120"/>
  <c r="O29" i="120"/>
  <c r="P7" i="120"/>
  <c r="P10" i="120"/>
  <c r="P23" i="120"/>
  <c r="P33" i="120"/>
  <c r="O37" i="120"/>
  <c r="Q14" i="120"/>
  <c r="O3" i="120"/>
  <c r="O30" i="120"/>
  <c r="O28" i="120"/>
  <c r="Q7" i="120"/>
  <c r="Q10" i="120"/>
  <c r="Q23" i="120"/>
  <c r="Q33" i="120"/>
  <c r="O36" i="120"/>
  <c r="O27" i="120"/>
  <c r="P8" i="120"/>
  <c r="P11" i="120"/>
  <c r="P15" i="120"/>
  <c r="P24" i="120"/>
  <c r="P34" i="120"/>
  <c r="P2" i="120"/>
  <c r="Q8" i="120"/>
  <c r="Q11" i="120"/>
  <c r="Q15" i="120"/>
  <c r="Q24" i="120"/>
  <c r="Q34" i="120"/>
  <c r="O26" i="120"/>
  <c r="O17" i="120"/>
  <c r="O25" i="120"/>
  <c r="O16" i="120"/>
  <c r="O9" i="120"/>
  <c r="P9" i="120"/>
  <c r="P12" i="120"/>
  <c r="P16" i="120"/>
  <c r="P25" i="120"/>
  <c r="P35" i="120"/>
  <c r="M39" i="120"/>
  <c r="L39" i="120"/>
  <c r="J39" i="120"/>
  <c r="J40" i="120"/>
  <c r="M40" i="120"/>
  <c r="CA393" i="9"/>
  <c r="DH393" i="9"/>
  <c r="DG393" i="9"/>
  <c r="DC393" i="9"/>
  <c r="DB393" i="9"/>
  <c r="DA393" i="9"/>
  <c r="CZ393" i="9"/>
  <c r="CY393" i="9"/>
  <c r="CX393" i="9"/>
  <c r="CW393" i="9"/>
  <c r="CV393" i="9"/>
  <c r="CU393" i="9"/>
  <c r="CT393" i="9"/>
  <c r="CS393" i="9"/>
  <c r="CR393" i="9"/>
  <c r="CO393" i="9"/>
  <c r="CN393" i="9"/>
  <c r="CM393" i="9"/>
  <c r="CL393" i="9"/>
  <c r="CI393" i="9"/>
  <c r="CG393" i="9"/>
  <c r="CF393" i="9"/>
  <c r="BY393" i="9"/>
  <c r="BW393" i="9"/>
  <c r="BV393" i="9"/>
  <c r="BT393" i="9"/>
  <c r="BS393" i="9"/>
  <c r="BQ393" i="9"/>
  <c r="BP393" i="9"/>
  <c r="BM393" i="9"/>
  <c r="BL393" i="9"/>
  <c r="BK393" i="9"/>
  <c r="BJ393" i="9"/>
  <c r="BI393" i="9"/>
  <c r="BH393" i="9"/>
  <c r="BG393" i="9"/>
  <c r="BF393" i="9"/>
  <c r="BE393" i="9"/>
  <c r="BD393" i="9"/>
  <c r="BC393" i="9"/>
  <c r="BB393" i="9"/>
  <c r="DD395" i="9"/>
  <c r="DI395" i="9" s="1"/>
  <c r="AI395" i="9"/>
  <c r="AL395" i="9" s="1"/>
  <c r="AN395" i="9" s="1"/>
  <c r="BU178" i="9"/>
  <c r="Y10" i="8"/>
  <c r="Z9" i="8"/>
  <c r="Z10" i="8" s="1"/>
  <c r="AA10" i="8" s="1"/>
  <c r="AB10" i="8" s="1"/>
  <c r="AC10" i="8" s="1"/>
  <c r="AD10" i="8" s="1"/>
  <c r="Y9" i="8"/>
  <c r="M9" i="8"/>
  <c r="L9" i="8"/>
  <c r="L10" i="8" s="1"/>
  <c r="L7" i="8"/>
  <c r="AC8" i="8"/>
  <c r="Y8" i="8"/>
  <c r="AB7" i="8"/>
  <c r="AD8" i="8"/>
  <c r="P7" i="8"/>
  <c r="N7" i="8"/>
  <c r="AB8" i="8"/>
  <c r="Q7" i="8"/>
  <c r="Z7" i="8"/>
  <c r="M7" i="8"/>
  <c r="AD7" i="8"/>
  <c r="AC7" i="8"/>
  <c r="AA8" i="8"/>
  <c r="Y7" i="8"/>
  <c r="Z8" i="8"/>
  <c r="AA7" i="8"/>
  <c r="O7" i="8"/>
  <c r="CJ395" i="9" l="1"/>
  <c r="CK395" i="9"/>
  <c r="BZ396" i="9"/>
  <c r="CH396" i="9"/>
  <c r="CH393" i="9" s="1"/>
  <c r="CJ396" i="9"/>
  <c r="CK396" i="9"/>
  <c r="CK393" i="9" s="1"/>
  <c r="BX395" i="9"/>
  <c r="BZ395" i="9"/>
  <c r="CB395" i="9" s="1"/>
  <c r="BX396" i="9"/>
  <c r="CH395" i="9"/>
  <c r="Z11" i="8"/>
  <c r="AB11" i="8"/>
  <c r="AC11" i="8"/>
  <c r="Y11" i="8"/>
  <c r="Y12" i="8" s="1"/>
  <c r="AA11" i="8"/>
  <c r="AD11" i="8"/>
  <c r="M11" i="8"/>
  <c r="L11" i="8"/>
  <c r="L12" i="8" s="1"/>
  <c r="L8" i="8"/>
  <c r="M10" i="8"/>
  <c r="N10" i="8" s="1"/>
  <c r="O10" i="8" s="1"/>
  <c r="P10" i="8" s="1"/>
  <c r="Q10" i="8" s="1"/>
  <c r="Q11" i="8"/>
  <c r="P11" i="8"/>
  <c r="N11" i="8"/>
  <c r="O11" i="8"/>
  <c r="CJ393" i="9" l="1"/>
  <c r="BZ393" i="9"/>
  <c r="Z12" i="8"/>
  <c r="AA12" i="8" s="1"/>
  <c r="AB12" i="8" s="1"/>
  <c r="AC12" i="8" s="1"/>
  <c r="AD12" i="8" s="1"/>
  <c r="M12" i="8"/>
  <c r="N12" i="8" s="1"/>
  <c r="O12" i="8" s="1"/>
  <c r="P12" i="8" s="1"/>
  <c r="Q12" i="8" s="1"/>
  <c r="M8" i="8"/>
  <c r="N8" i="8" s="1"/>
  <c r="O8" i="8" s="1"/>
  <c r="P8" i="8" s="1"/>
  <c r="Q8" i="8" s="1"/>
  <c r="DE9" i="9"/>
  <c r="D9" i="8" l="1"/>
  <c r="C9" i="8"/>
  <c r="AH105" i="9" l="1"/>
  <c r="BM105" i="9"/>
  <c r="AH174" i="9"/>
  <c r="BK147" i="9"/>
  <c r="BK173" i="9"/>
  <c r="F73" i="115"/>
  <c r="G73" i="115"/>
  <c r="H73" i="115"/>
  <c r="I73" i="115"/>
  <c r="J73" i="115"/>
  <c r="K73" i="115"/>
  <c r="E73" i="115"/>
  <c r="B37" i="93"/>
  <c r="B68" i="115"/>
  <c r="B73" i="115"/>
  <c r="B72" i="115"/>
  <c r="E69" i="115"/>
  <c r="F69" i="115"/>
  <c r="G69" i="115"/>
  <c r="H69" i="115"/>
  <c r="I69" i="115"/>
  <c r="J69" i="115"/>
  <c r="F65" i="115"/>
  <c r="G65" i="115"/>
  <c r="H65" i="115"/>
  <c r="I65" i="115"/>
  <c r="J65" i="115"/>
  <c r="K65" i="115"/>
  <c r="E65" i="115"/>
  <c r="G62" i="115"/>
  <c r="F62" i="115"/>
  <c r="H62" i="115"/>
  <c r="I62" i="115"/>
  <c r="J62" i="115"/>
  <c r="E62" i="115"/>
  <c r="F59" i="115"/>
  <c r="G59" i="115"/>
  <c r="H59" i="115"/>
  <c r="I59" i="115"/>
  <c r="J59" i="115"/>
  <c r="E59" i="115"/>
  <c r="F55" i="115"/>
  <c r="G55" i="115"/>
  <c r="H55" i="115"/>
  <c r="I55" i="115"/>
  <c r="J55" i="115"/>
  <c r="E55" i="115"/>
  <c r="F52" i="115"/>
  <c r="G52" i="115"/>
  <c r="H52" i="115"/>
  <c r="I52" i="115"/>
  <c r="J52" i="115"/>
  <c r="E52" i="115"/>
  <c r="F49" i="115"/>
  <c r="G49" i="115"/>
  <c r="H49" i="115"/>
  <c r="I49" i="115"/>
  <c r="J49" i="115"/>
  <c r="E49" i="115"/>
  <c r="B65" i="115"/>
  <c r="B62" i="115"/>
  <c r="CM93" i="9"/>
  <c r="CI93" i="9"/>
  <c r="L37" i="120"/>
  <c r="L18" i="120"/>
  <c r="L19" i="120"/>
  <c r="L20" i="120"/>
  <c r="L21" i="120"/>
  <c r="L22" i="120"/>
  <c r="L23" i="120"/>
  <c r="L24" i="120"/>
  <c r="L25" i="120"/>
  <c r="L26" i="120"/>
  <c r="L27" i="120"/>
  <c r="L28" i="120"/>
  <c r="L29" i="120"/>
  <c r="L30" i="120"/>
  <c r="L31" i="120"/>
  <c r="L32" i="120"/>
  <c r="L33" i="120"/>
  <c r="L34" i="120"/>
  <c r="L35" i="120"/>
  <c r="L36" i="120"/>
  <c r="J24" i="120" l="1"/>
  <c r="DR213" i="9"/>
  <c r="DI213" i="9"/>
  <c r="CB213" i="9"/>
  <c r="BN213" i="9"/>
  <c r="AZ213" i="9"/>
  <c r="AI213" i="9"/>
  <c r="AL213" i="9" s="1"/>
  <c r="DR212" i="9"/>
  <c r="DI212" i="9"/>
  <c r="CB212" i="9"/>
  <c r="BN212" i="9"/>
  <c r="AZ212" i="9"/>
  <c r="AI212" i="9"/>
  <c r="AL212" i="9" s="1"/>
  <c r="CK212" i="9" s="1"/>
  <c r="DR211" i="9"/>
  <c r="DH211" i="9"/>
  <c r="DH208" i="9" s="1"/>
  <c r="DG211" i="9"/>
  <c r="DF211" i="9"/>
  <c r="DF208" i="9" s="1"/>
  <c r="DC211" i="9"/>
  <c r="DC208" i="9" s="1"/>
  <c r="DB211" i="9"/>
  <c r="DB208" i="9" s="1"/>
  <c r="DA211" i="9"/>
  <c r="DA208" i="9" s="1"/>
  <c r="CZ211" i="9"/>
  <c r="CZ208" i="9" s="1"/>
  <c r="CY211" i="9"/>
  <c r="CY208" i="9" s="1"/>
  <c r="CX211" i="9"/>
  <c r="CX208" i="9" s="1"/>
  <c r="CW211" i="9"/>
  <c r="CW208" i="9" s="1"/>
  <c r="CV211" i="9"/>
  <c r="CV208" i="9" s="1"/>
  <c r="CU211" i="9"/>
  <c r="CU208" i="9" s="1"/>
  <c r="CS211" i="9"/>
  <c r="CS208" i="9" s="1"/>
  <c r="CR211" i="9"/>
  <c r="CR208" i="9" s="1"/>
  <c r="CO211" i="9"/>
  <c r="CO208" i="9" s="1"/>
  <c r="CM211" i="9"/>
  <c r="CM208" i="9" s="1"/>
  <c r="CL211" i="9"/>
  <c r="CL208" i="9" s="1"/>
  <c r="CJ211" i="9"/>
  <c r="CJ208" i="9" s="1"/>
  <c r="CI211" i="9"/>
  <c r="CI208" i="9" s="1"/>
  <c r="CH211" i="9"/>
  <c r="CH208" i="9" s="1"/>
  <c r="CG211" i="9"/>
  <c r="CG208" i="9" s="1"/>
  <c r="CF211" i="9"/>
  <c r="CF208" i="9" s="1"/>
  <c r="CE211" i="9"/>
  <c r="CE208" i="9" s="1"/>
  <c r="CD211" i="9"/>
  <c r="CD208" i="9" s="1"/>
  <c r="CA211" i="9"/>
  <c r="CA208" i="9" s="1"/>
  <c r="BZ211" i="9"/>
  <c r="BZ208" i="9" s="1"/>
  <c r="BY211" i="9"/>
  <c r="BY208" i="9" s="1"/>
  <c r="BX211" i="9"/>
  <c r="BX208" i="9" s="1"/>
  <c r="BW211" i="9"/>
  <c r="BW208" i="9" s="1"/>
  <c r="BV211" i="9"/>
  <c r="BV208" i="9" s="1"/>
  <c r="BU211" i="9"/>
  <c r="BU208" i="9" s="1"/>
  <c r="BT211" i="9"/>
  <c r="BT208" i="9" s="1"/>
  <c r="BS211" i="9"/>
  <c r="BS208" i="9" s="1"/>
  <c r="BR211" i="9"/>
  <c r="BR208" i="9" s="1"/>
  <c r="BQ211" i="9"/>
  <c r="BQ208" i="9" s="1"/>
  <c r="BP211" i="9"/>
  <c r="BP208" i="9" s="1"/>
  <c r="BM211" i="9"/>
  <c r="BL211" i="9"/>
  <c r="BK211" i="9"/>
  <c r="BJ211" i="9"/>
  <c r="BJ208" i="9" s="1"/>
  <c r="BI211" i="9"/>
  <c r="BI208" i="9" s="1"/>
  <c r="BH211" i="9"/>
  <c r="BH208" i="9" s="1"/>
  <c r="BG211" i="9"/>
  <c r="BG208" i="9" s="1"/>
  <c r="BF211" i="9"/>
  <c r="BF208" i="9" s="1"/>
  <c r="BE211" i="9"/>
  <c r="BE208" i="9" s="1"/>
  <c r="BD211" i="9"/>
  <c r="BD208" i="9" s="1"/>
  <c r="BC211" i="9"/>
  <c r="BC208" i="9" s="1"/>
  <c r="BB211" i="9"/>
  <c r="BB208" i="9" s="1"/>
  <c r="AY211" i="9"/>
  <c r="AY208" i="9" s="1"/>
  <c r="AX211" i="9"/>
  <c r="AX208" i="9" s="1"/>
  <c r="AW211" i="9"/>
  <c r="AW208" i="9" s="1"/>
  <c r="AV211" i="9"/>
  <c r="AV208" i="9" s="1"/>
  <c r="AU211" i="9"/>
  <c r="AU208" i="9" s="1"/>
  <c r="AT211" i="9"/>
  <c r="AT208" i="9" s="1"/>
  <c r="AS211" i="9"/>
  <c r="AS208" i="9" s="1"/>
  <c r="AR211" i="9"/>
  <c r="AR208" i="9" s="1"/>
  <c r="AQ211" i="9"/>
  <c r="AQ208" i="9" s="1"/>
  <c r="AP211" i="9"/>
  <c r="AP208" i="9" s="1"/>
  <c r="AM211" i="9"/>
  <c r="AM208" i="9" s="1"/>
  <c r="DR210" i="9"/>
  <c r="DI210" i="9"/>
  <c r="CB210" i="9"/>
  <c r="BN210" i="9"/>
  <c r="AZ210" i="9"/>
  <c r="AI210" i="9"/>
  <c r="AL210" i="9" s="1"/>
  <c r="DR209" i="9"/>
  <c r="DI209" i="9"/>
  <c r="DD209" i="9"/>
  <c r="CP209" i="9"/>
  <c r="CB209" i="9"/>
  <c r="AZ209" i="9"/>
  <c r="AI209" i="9"/>
  <c r="AL209" i="9" s="1"/>
  <c r="DR208" i="9"/>
  <c r="DR207" i="9"/>
  <c r="DI207" i="9"/>
  <c r="CP207" i="9"/>
  <c r="CB207" i="9"/>
  <c r="BN207" i="9"/>
  <c r="AZ207" i="9"/>
  <c r="AH207" i="9"/>
  <c r="AI207" i="9" s="1"/>
  <c r="DR206" i="9"/>
  <c r="DH206" i="9"/>
  <c r="DG206" i="9"/>
  <c r="DF206" i="9"/>
  <c r="DC206" i="9"/>
  <c r="CZ206" i="9"/>
  <c r="CX206" i="9"/>
  <c r="CW206" i="9"/>
  <c r="CV206" i="9"/>
  <c r="CU206" i="9"/>
  <c r="CT206" i="9"/>
  <c r="CS206" i="9"/>
  <c r="CR206" i="9"/>
  <c r="CO206" i="9"/>
  <c r="CN206" i="9"/>
  <c r="CM206" i="9"/>
  <c r="CL206" i="9"/>
  <c r="CK206" i="9"/>
  <c r="CJ206" i="9"/>
  <c r="CI206" i="9"/>
  <c r="CH206" i="9"/>
  <c r="CG206" i="9"/>
  <c r="CF206" i="9"/>
  <c r="CE206" i="9"/>
  <c r="CD206" i="9"/>
  <c r="CA206" i="9"/>
  <c r="BZ206" i="9"/>
  <c r="BY206" i="9"/>
  <c r="BX206" i="9"/>
  <c r="BW206" i="9"/>
  <c r="BV206" i="9"/>
  <c r="BU206" i="9"/>
  <c r="BT206" i="9"/>
  <c r="BS206" i="9"/>
  <c r="BR206" i="9"/>
  <c r="BQ206" i="9"/>
  <c r="BP206" i="9"/>
  <c r="BM206" i="9"/>
  <c r="BL206" i="9"/>
  <c r="BK206" i="9"/>
  <c r="BJ206" i="9"/>
  <c r="BI206" i="9"/>
  <c r="BH206" i="9"/>
  <c r="BG206" i="9"/>
  <c r="BF206" i="9"/>
  <c r="BE206" i="9"/>
  <c r="BD206" i="9"/>
  <c r="BC206" i="9"/>
  <c r="BB206" i="9"/>
  <c r="AY206" i="9"/>
  <c r="AX206" i="9"/>
  <c r="AW206" i="9"/>
  <c r="AV206" i="9"/>
  <c r="AU206" i="9"/>
  <c r="AT206" i="9"/>
  <c r="AS206" i="9"/>
  <c r="AR206" i="9"/>
  <c r="AQ206" i="9"/>
  <c r="AP206" i="9"/>
  <c r="AM206" i="9"/>
  <c r="DR205" i="9"/>
  <c r="DI205" i="9"/>
  <c r="DD205" i="9"/>
  <c r="CP205" i="9"/>
  <c r="CB205" i="9"/>
  <c r="BN205" i="9"/>
  <c r="AZ205" i="9"/>
  <c r="AN205" i="9"/>
  <c r="DR204" i="9"/>
  <c r="DI204" i="9"/>
  <c r="DD204" i="9"/>
  <c r="CP204" i="9"/>
  <c r="CB204" i="9"/>
  <c r="BN204" i="9"/>
  <c r="AZ204" i="9"/>
  <c r="AN204" i="9"/>
  <c r="DR203" i="9"/>
  <c r="DI203" i="9"/>
  <c r="DB203" i="9"/>
  <c r="DB202" i="9" s="1"/>
  <c r="DB197" i="9" s="1"/>
  <c r="CS203" i="9"/>
  <c r="CK203" i="9"/>
  <c r="CP203" i="9" s="1"/>
  <c r="CB203" i="9"/>
  <c r="BN203" i="9"/>
  <c r="AZ203" i="9"/>
  <c r="AI203" i="9"/>
  <c r="AL203" i="9" s="1"/>
  <c r="DR202" i="9"/>
  <c r="DH202" i="9"/>
  <c r="DH197" i="9" s="1"/>
  <c r="DG202" i="9"/>
  <c r="DG197" i="9" s="1"/>
  <c r="DF202" i="9"/>
  <c r="DF197" i="9" s="1"/>
  <c r="DC202" i="9"/>
  <c r="DC197" i="9" s="1"/>
  <c r="DA202" i="9"/>
  <c r="DA197" i="9" s="1"/>
  <c r="CZ202" i="9"/>
  <c r="CZ197" i="9" s="1"/>
  <c r="CY202" i="9"/>
  <c r="CY197" i="9" s="1"/>
  <c r="CX202" i="9"/>
  <c r="CW202" i="9"/>
  <c r="CW197" i="9" s="1"/>
  <c r="CV202" i="9"/>
  <c r="CV197" i="9" s="1"/>
  <c r="CU202" i="9"/>
  <c r="CU197" i="9" s="1"/>
  <c r="CT202" i="9"/>
  <c r="CT197" i="9" s="1"/>
  <c r="CR202" i="9"/>
  <c r="CR197" i="9" s="1"/>
  <c r="CO202" i="9"/>
  <c r="CO197" i="9" s="1"/>
  <c r="CN202" i="9"/>
  <c r="CN197" i="9" s="1"/>
  <c r="CM202" i="9"/>
  <c r="CM197" i="9" s="1"/>
  <c r="CL202" i="9"/>
  <c r="CL197" i="9" s="1"/>
  <c r="CJ202" i="9"/>
  <c r="CJ197" i="9" s="1"/>
  <c r="CI202" i="9"/>
  <c r="CI197" i="9" s="1"/>
  <c r="CH202" i="9"/>
  <c r="CH197" i="9" s="1"/>
  <c r="CG202" i="9"/>
  <c r="CG197" i="9" s="1"/>
  <c r="CF202" i="9"/>
  <c r="CF197" i="9" s="1"/>
  <c r="CE202" i="9"/>
  <c r="CE197" i="9" s="1"/>
  <c r="CD202" i="9"/>
  <c r="CD197" i="9" s="1"/>
  <c r="CA202" i="9"/>
  <c r="CA197" i="9" s="1"/>
  <c r="BZ202" i="9"/>
  <c r="BZ197" i="9" s="1"/>
  <c r="BY202" i="9"/>
  <c r="BY197" i="9" s="1"/>
  <c r="BX202" i="9"/>
  <c r="BX197" i="9" s="1"/>
  <c r="BW202" i="9"/>
  <c r="BV202" i="9"/>
  <c r="BU202" i="9"/>
  <c r="BT202" i="9"/>
  <c r="BS202" i="9"/>
  <c r="BS197" i="9" s="1"/>
  <c r="BR202" i="9"/>
  <c r="BR197" i="9" s="1"/>
  <c r="BQ202" i="9"/>
  <c r="BQ197" i="9" s="1"/>
  <c r="BP202" i="9"/>
  <c r="BP197" i="9" s="1"/>
  <c r="BM202" i="9"/>
  <c r="BM197" i="9" s="1"/>
  <c r="BL202" i="9"/>
  <c r="BL197" i="9" s="1"/>
  <c r="BK202" i="9"/>
  <c r="BK197" i="9" s="1"/>
  <c r="BJ202" i="9"/>
  <c r="BJ197" i="9" s="1"/>
  <c r="BI202" i="9"/>
  <c r="BI197" i="9" s="1"/>
  <c r="BH202" i="9"/>
  <c r="BH197" i="9" s="1"/>
  <c r="BG202" i="9"/>
  <c r="BG197" i="9" s="1"/>
  <c r="BF202" i="9"/>
  <c r="BF197" i="9" s="1"/>
  <c r="BE202" i="9"/>
  <c r="BE197" i="9" s="1"/>
  <c r="BD202" i="9"/>
  <c r="BD197" i="9" s="1"/>
  <c r="BC202" i="9"/>
  <c r="BC197" i="9" s="1"/>
  <c r="BB202" i="9"/>
  <c r="BB197" i="9" s="1"/>
  <c r="AY202" i="9"/>
  <c r="AY197" i="9" s="1"/>
  <c r="AX202" i="9"/>
  <c r="AX197" i="9" s="1"/>
  <c r="AW202" i="9"/>
  <c r="AW197" i="9" s="1"/>
  <c r="AV202" i="9"/>
  <c r="AV197" i="9" s="1"/>
  <c r="AU202" i="9"/>
  <c r="AT202" i="9"/>
  <c r="AT197" i="9" s="1"/>
  <c r="AS202" i="9"/>
  <c r="AS197" i="9" s="1"/>
  <c r="AR202" i="9"/>
  <c r="AR197" i="9" s="1"/>
  <c r="AQ202" i="9"/>
  <c r="AQ197" i="9" s="1"/>
  <c r="AP202" i="9"/>
  <c r="AP197" i="9" s="1"/>
  <c r="AM202" i="9"/>
  <c r="AM197" i="9" s="1"/>
  <c r="DR201" i="9"/>
  <c r="DI201" i="9"/>
  <c r="CX201" i="9"/>
  <c r="CS201" i="9"/>
  <c r="CK201" i="9"/>
  <c r="CP201" i="9" s="1"/>
  <c r="CB201" i="9"/>
  <c r="BN201" i="9"/>
  <c r="AZ201" i="9"/>
  <c r="AI201" i="9"/>
  <c r="DR200" i="9"/>
  <c r="DI200" i="9"/>
  <c r="CX200" i="9"/>
  <c r="CS200" i="9"/>
  <c r="CK200" i="9"/>
  <c r="CP200" i="9" s="1"/>
  <c r="CB200" i="9"/>
  <c r="BN200" i="9"/>
  <c r="AZ200" i="9"/>
  <c r="AI200" i="9"/>
  <c r="AL200" i="9" s="1"/>
  <c r="AN200" i="9" s="1"/>
  <c r="DD199" i="9"/>
  <c r="DI199" i="9" s="1"/>
  <c r="CP199" i="9"/>
  <c r="AI199" i="9"/>
  <c r="BV199" i="9" s="1"/>
  <c r="DR198" i="9"/>
  <c r="DI198" i="9"/>
  <c r="DD198" i="9"/>
  <c r="CP198" i="9"/>
  <c r="BN198" i="9"/>
  <c r="AZ198" i="9"/>
  <c r="AI198" i="9"/>
  <c r="BW198" i="9" s="1"/>
  <c r="DR197" i="9"/>
  <c r="DR196" i="9"/>
  <c r="DI196" i="9"/>
  <c r="DD196" i="9"/>
  <c r="CP196" i="9"/>
  <c r="CB196" i="9"/>
  <c r="BN196" i="9"/>
  <c r="AZ196" i="9"/>
  <c r="AN196" i="9"/>
  <c r="DR195" i="9"/>
  <c r="DI195" i="9"/>
  <c r="DD195" i="9"/>
  <c r="CP195" i="9"/>
  <c r="CB195" i="9"/>
  <c r="BN195" i="9"/>
  <c r="AZ195" i="9"/>
  <c r="DR194" i="9"/>
  <c r="DI194" i="9"/>
  <c r="DD194" i="9"/>
  <c r="CP194" i="9"/>
  <c r="CB194" i="9"/>
  <c r="BN194" i="9"/>
  <c r="AZ194" i="9"/>
  <c r="DR193" i="9"/>
  <c r="DI193" i="9"/>
  <c r="DD193" i="9"/>
  <c r="CP193" i="9"/>
  <c r="CB193" i="9"/>
  <c r="BN193" i="9"/>
  <c r="AZ193" i="9"/>
  <c r="DR192" i="9"/>
  <c r="DI192" i="9"/>
  <c r="DD192" i="9"/>
  <c r="CP192" i="9"/>
  <c r="CB192" i="9"/>
  <c r="BN192" i="9"/>
  <c r="AZ192" i="9"/>
  <c r="AI192" i="9"/>
  <c r="AL192" i="9" s="1"/>
  <c r="AN192" i="9" s="1"/>
  <c r="DR191" i="9"/>
  <c r="DI191" i="9"/>
  <c r="DD191" i="9"/>
  <c r="CP191" i="9"/>
  <c r="CB191" i="9"/>
  <c r="AZ191" i="9"/>
  <c r="DR190" i="9"/>
  <c r="DI190" i="9"/>
  <c r="DD190" i="9"/>
  <c r="CP190" i="9"/>
  <c r="CB190" i="9"/>
  <c r="AZ190" i="9"/>
  <c r="DR189" i="9"/>
  <c r="DI189" i="9"/>
  <c r="DD189" i="9"/>
  <c r="CP189" i="9"/>
  <c r="CB189" i="9"/>
  <c r="AZ189" i="9"/>
  <c r="DR188" i="9"/>
  <c r="DI188" i="9"/>
  <c r="DD188" i="9"/>
  <c r="CP188" i="9"/>
  <c r="CB188" i="9"/>
  <c r="AZ188" i="9"/>
  <c r="DR187" i="9"/>
  <c r="DI187" i="9"/>
  <c r="DD187" i="9"/>
  <c r="CP187" i="9"/>
  <c r="CB187" i="9"/>
  <c r="BN187" i="9"/>
  <c r="AZ187" i="9"/>
  <c r="AI187" i="9"/>
  <c r="AL187" i="9" s="1"/>
  <c r="DR186" i="9"/>
  <c r="DI186" i="9"/>
  <c r="DD186" i="9"/>
  <c r="CP186" i="9"/>
  <c r="CB186" i="9"/>
  <c r="BN186" i="9"/>
  <c r="AZ186" i="9"/>
  <c r="AN186" i="9"/>
  <c r="DR185" i="9"/>
  <c r="DH185" i="9"/>
  <c r="DG185" i="9"/>
  <c r="DF185" i="9"/>
  <c r="DC185" i="9"/>
  <c r="DB185" i="9"/>
  <c r="DA185" i="9"/>
  <c r="CZ185" i="9"/>
  <c r="CY185" i="9"/>
  <c r="CX185" i="9"/>
  <c r="CW185" i="9"/>
  <c r="CV185" i="9"/>
  <c r="CU185" i="9"/>
  <c r="CT185" i="9"/>
  <c r="CS185" i="9"/>
  <c r="CR185" i="9"/>
  <c r="CO185" i="9"/>
  <c r="CN185" i="9"/>
  <c r="CM185" i="9"/>
  <c r="CL185" i="9"/>
  <c r="CK185" i="9"/>
  <c r="CJ185" i="9"/>
  <c r="CI185" i="9"/>
  <c r="CH185" i="9"/>
  <c r="CG185" i="9"/>
  <c r="CF185" i="9"/>
  <c r="CE185" i="9"/>
  <c r="CD185" i="9"/>
  <c r="CA185" i="9"/>
  <c r="BZ185" i="9"/>
  <c r="BY185" i="9"/>
  <c r="BX185" i="9"/>
  <c r="BW185" i="9"/>
  <c r="BV185" i="9"/>
  <c r="BU185" i="9"/>
  <c r="BT185" i="9"/>
  <c r="BS185" i="9"/>
  <c r="BR185" i="9"/>
  <c r="BQ185" i="9"/>
  <c r="BP185" i="9"/>
  <c r="BM185" i="9"/>
  <c r="BL185" i="9"/>
  <c r="BK185" i="9"/>
  <c r="BJ185" i="9"/>
  <c r="BI185" i="9"/>
  <c r="BH185" i="9"/>
  <c r="BG185" i="9"/>
  <c r="BF185" i="9"/>
  <c r="BE185" i="9"/>
  <c r="BD185" i="9"/>
  <c r="BC185" i="9"/>
  <c r="BB185" i="9"/>
  <c r="AY185" i="9"/>
  <c r="AX185" i="9"/>
  <c r="AW185" i="9"/>
  <c r="AV185" i="9"/>
  <c r="AU185" i="9"/>
  <c r="AT185" i="9"/>
  <c r="AS185" i="9"/>
  <c r="AR185" i="9"/>
  <c r="AQ185" i="9"/>
  <c r="AP185" i="9"/>
  <c r="AM185" i="9"/>
  <c r="DR184" i="9"/>
  <c r="DI184" i="9"/>
  <c r="DD184" i="9"/>
  <c r="CP184" i="9"/>
  <c r="CB184" i="9"/>
  <c r="BN184" i="9"/>
  <c r="AZ184" i="9"/>
  <c r="AI184" i="9"/>
  <c r="AL184" i="9" s="1"/>
  <c r="AN184" i="9" s="1"/>
  <c r="DR183" i="9"/>
  <c r="DI183" i="9"/>
  <c r="DD183" i="9"/>
  <c r="CP183" i="9"/>
  <c r="CB183" i="9"/>
  <c r="BN183" i="9"/>
  <c r="AZ183" i="9"/>
  <c r="AI183" i="9"/>
  <c r="DR182" i="9"/>
  <c r="DI182" i="9"/>
  <c r="DD182" i="9"/>
  <c r="CP182" i="9"/>
  <c r="CB182" i="9"/>
  <c r="BN182" i="9"/>
  <c r="AZ182" i="9"/>
  <c r="AM182" i="9"/>
  <c r="DR181" i="9"/>
  <c r="DE181" i="9"/>
  <c r="DE180" i="9" s="1"/>
  <c r="CQ181" i="9"/>
  <c r="CQ180" i="9" s="1"/>
  <c r="CC181" i="9"/>
  <c r="CC180" i="9" s="1"/>
  <c r="BO181" i="9"/>
  <c r="BO180" i="9" s="1"/>
  <c r="BA181" i="9"/>
  <c r="BA180" i="9" s="1"/>
  <c r="DR180" i="9"/>
  <c r="DR179" i="9"/>
  <c r="DI178" i="9"/>
  <c r="DD178" i="9"/>
  <c r="CP178" i="9"/>
  <c r="CB178" i="9"/>
  <c r="BN178" i="9"/>
  <c r="AZ178" i="9"/>
  <c r="AI178" i="9"/>
  <c r="AL178" i="9" s="1"/>
  <c r="AN178" i="9" s="1"/>
  <c r="DR177" i="9"/>
  <c r="DI177" i="9"/>
  <c r="DI176" i="9" s="1"/>
  <c r="CB177" i="9"/>
  <c r="BN177" i="9"/>
  <c r="BN176" i="9" s="1"/>
  <c r="AZ177" i="9"/>
  <c r="AM177" i="9"/>
  <c r="AM176" i="9" s="1"/>
  <c r="AI177" i="9"/>
  <c r="AL177" i="9" s="1"/>
  <c r="DR176" i="9"/>
  <c r="DH176" i="9"/>
  <c r="DG176" i="9"/>
  <c r="DF176" i="9"/>
  <c r="DE176" i="9"/>
  <c r="DC176" i="9"/>
  <c r="DB176" i="9"/>
  <c r="DA176" i="9"/>
  <c r="CZ176" i="9"/>
  <c r="CY176" i="9"/>
  <c r="CX176" i="9"/>
  <c r="CW176" i="9"/>
  <c r="CU176" i="9"/>
  <c r="CT176" i="9"/>
  <c r="CR176" i="9"/>
  <c r="CQ176" i="9"/>
  <c r="CN176" i="9"/>
  <c r="CM176" i="9"/>
  <c r="CL176" i="9"/>
  <c r="CK176" i="9"/>
  <c r="CJ176" i="9"/>
  <c r="CI176" i="9"/>
  <c r="CH176" i="9"/>
  <c r="CG176" i="9"/>
  <c r="CF176" i="9"/>
  <c r="CE176" i="9"/>
  <c r="CD176" i="9"/>
  <c r="CC176" i="9"/>
  <c r="CA176" i="9"/>
  <c r="BZ176" i="9"/>
  <c r="BY176" i="9"/>
  <c r="BX176" i="9"/>
  <c r="BW176" i="9"/>
  <c r="BV176" i="9"/>
  <c r="BU176" i="9"/>
  <c r="BT176" i="9"/>
  <c r="BS176" i="9"/>
  <c r="BR176" i="9"/>
  <c r="BQ176" i="9"/>
  <c r="BP176" i="9"/>
  <c r="BO176" i="9"/>
  <c r="BM176" i="9"/>
  <c r="BL176" i="9"/>
  <c r="BK176" i="9"/>
  <c r="BJ176" i="9"/>
  <c r="BI176" i="9"/>
  <c r="BH176" i="9"/>
  <c r="BG176" i="9"/>
  <c r="BF176" i="9"/>
  <c r="BE176" i="9"/>
  <c r="BD176" i="9"/>
  <c r="BC176" i="9"/>
  <c r="BB176" i="9"/>
  <c r="BA176" i="9"/>
  <c r="AY176" i="9"/>
  <c r="AX176" i="9"/>
  <c r="AW176" i="9"/>
  <c r="AV176" i="9"/>
  <c r="AU176" i="9"/>
  <c r="AT176" i="9"/>
  <c r="AS176" i="9"/>
  <c r="AR176" i="9"/>
  <c r="AQ176" i="9"/>
  <c r="AP176" i="9"/>
  <c r="DR174" i="9"/>
  <c r="DI174" i="9"/>
  <c r="CB174" i="9"/>
  <c r="BN174" i="9"/>
  <c r="AZ174" i="9"/>
  <c r="AM174" i="9"/>
  <c r="AI174" i="9"/>
  <c r="AL174" i="9" s="1"/>
  <c r="DR173" i="9"/>
  <c r="DI173" i="9"/>
  <c r="DD173" i="9"/>
  <c r="CP173" i="9"/>
  <c r="BZ173" i="9"/>
  <c r="BZ171" i="9" s="1"/>
  <c r="BY173" i="9"/>
  <c r="BY171" i="9" s="1"/>
  <c r="BX173" i="9"/>
  <c r="BX171" i="9" s="1"/>
  <c r="BW173" i="9"/>
  <c r="BW171" i="9" s="1"/>
  <c r="BV173" i="9"/>
  <c r="BV171" i="9" s="1"/>
  <c r="BU173" i="9"/>
  <c r="BU171" i="9" s="1"/>
  <c r="BT173" i="9"/>
  <c r="BT171" i="9" s="1"/>
  <c r="BN173" i="9"/>
  <c r="AZ173" i="9"/>
  <c r="AM173" i="9"/>
  <c r="AI173" i="9"/>
  <c r="AL173" i="9" s="1"/>
  <c r="DR172" i="9"/>
  <c r="DI172" i="9"/>
  <c r="DD172" i="9"/>
  <c r="CP172" i="9"/>
  <c r="CB172" i="9"/>
  <c r="AZ172" i="9"/>
  <c r="AM172" i="9"/>
  <c r="AH172" i="9"/>
  <c r="BK172" i="9" s="1"/>
  <c r="BK171" i="9" s="1"/>
  <c r="DR171" i="9"/>
  <c r="DH171" i="9"/>
  <c r="DG171" i="9"/>
  <c r="DF171" i="9"/>
  <c r="DC171" i="9"/>
  <c r="DB171" i="9"/>
  <c r="CZ171" i="9"/>
  <c r="CY171" i="9"/>
  <c r="CX171" i="9"/>
  <c r="CV171" i="9"/>
  <c r="CU171" i="9"/>
  <c r="CT171" i="9"/>
  <c r="CR171" i="9"/>
  <c r="CO171" i="9"/>
  <c r="CN171" i="9"/>
  <c r="CL171" i="9"/>
  <c r="CK171" i="9"/>
  <c r="CJ171" i="9"/>
  <c r="CH171" i="9"/>
  <c r="CG171" i="9"/>
  <c r="CF171" i="9"/>
  <c r="CD171" i="9"/>
  <c r="CA171" i="9"/>
  <c r="BS171" i="9"/>
  <c r="BR171" i="9"/>
  <c r="BQ171" i="9"/>
  <c r="BP171" i="9"/>
  <c r="BM171" i="9"/>
  <c r="BL171" i="9"/>
  <c r="BE171" i="9"/>
  <c r="BD171" i="9"/>
  <c r="BC171" i="9"/>
  <c r="BB171" i="9"/>
  <c r="AY171" i="9"/>
  <c r="AX171" i="9"/>
  <c r="AW171" i="9"/>
  <c r="AV171" i="9"/>
  <c r="AU171" i="9"/>
  <c r="AT171" i="9"/>
  <c r="AS171" i="9"/>
  <c r="AR171" i="9"/>
  <c r="AQ171" i="9"/>
  <c r="AP171" i="9"/>
  <c r="DR170" i="9"/>
  <c r="DI170" i="9"/>
  <c r="DD170" i="9"/>
  <c r="CP170" i="9"/>
  <c r="CB170" i="9"/>
  <c r="BH170" i="9"/>
  <c r="BH169" i="9" s="1"/>
  <c r="BG170" i="9"/>
  <c r="BG169" i="9" s="1"/>
  <c r="AZ170" i="9"/>
  <c r="AM170" i="9"/>
  <c r="AE170" i="9"/>
  <c r="AI170" i="9" s="1"/>
  <c r="AI169" i="9" s="1"/>
  <c r="DR169" i="9"/>
  <c r="DH169" i="9"/>
  <c r="DG169" i="9"/>
  <c r="DF169" i="9"/>
  <c r="DC169" i="9"/>
  <c r="DB169" i="9"/>
  <c r="DA169" i="9"/>
  <c r="CZ169" i="9"/>
  <c r="CY169" i="9"/>
  <c r="CX169" i="9"/>
  <c r="CW169" i="9"/>
  <c r="CV169" i="9"/>
  <c r="CU169" i="9"/>
  <c r="CT169" i="9"/>
  <c r="CS169" i="9"/>
  <c r="CR169" i="9"/>
  <c r="CO169" i="9"/>
  <c r="CN169" i="9"/>
  <c r="CM169" i="9"/>
  <c r="CL169" i="9"/>
  <c r="CK169" i="9"/>
  <c r="CJ169" i="9"/>
  <c r="CI169" i="9"/>
  <c r="CH169" i="9"/>
  <c r="CG169" i="9"/>
  <c r="CF169" i="9"/>
  <c r="CE169" i="9"/>
  <c r="CD169" i="9"/>
  <c r="CA169" i="9"/>
  <c r="BZ169" i="9"/>
  <c r="BY169" i="9"/>
  <c r="BX169" i="9"/>
  <c r="BW169" i="9"/>
  <c r="BV169" i="9"/>
  <c r="BU169" i="9"/>
  <c r="BT169" i="9"/>
  <c r="BS169" i="9"/>
  <c r="BR169" i="9"/>
  <c r="BQ169" i="9"/>
  <c r="BP169" i="9"/>
  <c r="BM169" i="9"/>
  <c r="BL169" i="9"/>
  <c r="BK169" i="9"/>
  <c r="BJ169" i="9"/>
  <c r="BI169" i="9"/>
  <c r="BF169" i="9"/>
  <c r="BE169" i="9"/>
  <c r="BD169" i="9"/>
  <c r="BC169" i="9"/>
  <c r="BB169" i="9"/>
  <c r="AY169" i="9"/>
  <c r="AX169" i="9"/>
  <c r="AW169" i="9"/>
  <c r="AV169" i="9"/>
  <c r="AU169" i="9"/>
  <c r="AT169" i="9"/>
  <c r="AS169" i="9"/>
  <c r="AR169" i="9"/>
  <c r="AQ169" i="9"/>
  <c r="AP169" i="9"/>
  <c r="AM169" i="9"/>
  <c r="DR168" i="9"/>
  <c r="DI168" i="9"/>
  <c r="DD168" i="9"/>
  <c r="CP168" i="9"/>
  <c r="CB168" i="9"/>
  <c r="BN168" i="9"/>
  <c r="AZ168" i="9"/>
  <c r="AI168" i="9"/>
  <c r="AL168" i="9" s="1"/>
  <c r="AN168" i="9" s="1"/>
  <c r="DR167" i="9"/>
  <c r="DE167" i="9"/>
  <c r="CQ167" i="9"/>
  <c r="CC167" i="9"/>
  <c r="BO167" i="9"/>
  <c r="BA167" i="9"/>
  <c r="DD164" i="9"/>
  <c r="DI164" i="9" s="1"/>
  <c r="CI164" i="9"/>
  <c r="CH164" i="9"/>
  <c r="CG164" i="9"/>
  <c r="CF164" i="9"/>
  <c r="CE164" i="9"/>
  <c r="CD164" i="9"/>
  <c r="CD161" i="9" s="1"/>
  <c r="CA164" i="9"/>
  <c r="CA161" i="9" s="1"/>
  <c r="BZ164" i="9"/>
  <c r="BZ161" i="9" s="1"/>
  <c r="BY164" i="9"/>
  <c r="BY161" i="9" s="1"/>
  <c r="BX164" i="9"/>
  <c r="BX161" i="9" s="1"/>
  <c r="BW164" i="9"/>
  <c r="BW161" i="9" s="1"/>
  <c r="BV164" i="9"/>
  <c r="AI164" i="9"/>
  <c r="AL164" i="9" s="1"/>
  <c r="AN164" i="9" s="1"/>
  <c r="CR163" i="9"/>
  <c r="CR161" i="9" s="1"/>
  <c r="CO163" i="9"/>
  <c r="CN163" i="9"/>
  <c r="CM163" i="9"/>
  <c r="CL163" i="9"/>
  <c r="CK163" i="9"/>
  <c r="CJ163" i="9"/>
  <c r="CI163" i="9"/>
  <c r="CH163" i="9"/>
  <c r="CG163" i="9"/>
  <c r="CF163" i="9"/>
  <c r="CE163" i="9"/>
  <c r="CB163" i="9"/>
  <c r="AI163" i="9"/>
  <c r="AL163" i="9" s="1"/>
  <c r="AN163" i="9" s="1"/>
  <c r="DD162" i="9"/>
  <c r="CO162" i="9"/>
  <c r="CN162" i="9"/>
  <c r="CM162" i="9"/>
  <c r="CL162" i="9"/>
  <c r="CK162" i="9"/>
  <c r="CJ162" i="9"/>
  <c r="CI162" i="9"/>
  <c r="CH162" i="9"/>
  <c r="CG162" i="9"/>
  <c r="CF162" i="9"/>
  <c r="CE162" i="9"/>
  <c r="CB162" i="9"/>
  <c r="AI162" i="9"/>
  <c r="AL162" i="9" s="1"/>
  <c r="AN162" i="9" s="1"/>
  <c r="DH161" i="9"/>
  <c r="DG161" i="9"/>
  <c r="DF161" i="9"/>
  <c r="DC161" i="9"/>
  <c r="DB161" i="9"/>
  <c r="DA161" i="9"/>
  <c r="CZ161" i="9"/>
  <c r="CY161" i="9"/>
  <c r="CX161" i="9"/>
  <c r="CW161" i="9"/>
  <c r="CV161" i="9"/>
  <c r="CU161" i="9"/>
  <c r="CT161" i="9"/>
  <c r="CS161" i="9"/>
  <c r="BU161" i="9"/>
  <c r="BT161" i="9"/>
  <c r="BS161" i="9"/>
  <c r="BR161" i="9"/>
  <c r="BQ161" i="9"/>
  <c r="BP161" i="9"/>
  <c r="BM161" i="9"/>
  <c r="BL161" i="9"/>
  <c r="BK161" i="9"/>
  <c r="BJ161" i="9"/>
  <c r="BI161" i="9"/>
  <c r="BH161" i="9"/>
  <c r="BG161" i="9"/>
  <c r="BF161" i="9"/>
  <c r="BE161" i="9"/>
  <c r="BD161" i="9"/>
  <c r="BC161" i="9"/>
  <c r="BB161" i="9"/>
  <c r="AZ161" i="9"/>
  <c r="DI160" i="9"/>
  <c r="DJ160" i="9" s="1"/>
  <c r="DL160" i="9" s="1"/>
  <c r="AI160" i="9"/>
  <c r="DI159" i="9"/>
  <c r="DJ159" i="9" s="1"/>
  <c r="DL159" i="9" s="1"/>
  <c r="AI159" i="9"/>
  <c r="DI158" i="9"/>
  <c r="DJ158" i="9" s="1"/>
  <c r="DL158" i="9" s="1"/>
  <c r="AI158" i="9"/>
  <c r="DI157" i="9"/>
  <c r="DJ157" i="9" s="1"/>
  <c r="DL157" i="9" s="1"/>
  <c r="AI157" i="9"/>
  <c r="DR156" i="9"/>
  <c r="DI156" i="9"/>
  <c r="DD156" i="9"/>
  <c r="CP156" i="9"/>
  <c r="CB156" i="9"/>
  <c r="BN156" i="9"/>
  <c r="AZ156" i="9"/>
  <c r="AI156" i="9"/>
  <c r="DR155" i="9"/>
  <c r="DI155" i="9"/>
  <c r="DD155" i="9"/>
  <c r="CP155" i="9"/>
  <c r="CB155" i="9"/>
  <c r="BN155" i="9"/>
  <c r="AZ155" i="9"/>
  <c r="AN155" i="9"/>
  <c r="AI155" i="9"/>
  <c r="DR154" i="9"/>
  <c r="DI154" i="9"/>
  <c r="DD154" i="9"/>
  <c r="CP154" i="9"/>
  <c r="CB154" i="9"/>
  <c r="BN154" i="9"/>
  <c r="AZ154" i="9"/>
  <c r="AI154" i="9"/>
  <c r="AL154" i="9" s="1"/>
  <c r="AN154" i="9" s="1"/>
  <c r="DR153" i="9"/>
  <c r="DI153" i="9"/>
  <c r="DD153" i="9"/>
  <c r="CP153" i="9"/>
  <c r="CB153" i="9"/>
  <c r="BN153" i="9"/>
  <c r="AZ153" i="9"/>
  <c r="AI153" i="9"/>
  <c r="AL153" i="9" s="1"/>
  <c r="AN153" i="9" s="1"/>
  <c r="DR152" i="9"/>
  <c r="DI152" i="9"/>
  <c r="DD152" i="9"/>
  <c r="CP152" i="9"/>
  <c r="CB152" i="9"/>
  <c r="BN152" i="9"/>
  <c r="AZ152" i="9"/>
  <c r="AI152" i="9"/>
  <c r="AL152" i="9" s="1"/>
  <c r="AN152" i="9" s="1"/>
  <c r="DR151" i="9"/>
  <c r="DI151" i="9"/>
  <c r="DD151" i="9"/>
  <c r="CP151" i="9"/>
  <c r="CB151" i="9"/>
  <c r="BN151" i="9"/>
  <c r="AZ151" i="9"/>
  <c r="AI151" i="9"/>
  <c r="AL151" i="9" s="1"/>
  <c r="AN151" i="9" s="1"/>
  <c r="DR150" i="9"/>
  <c r="DH150" i="9"/>
  <c r="DI150" i="9" s="1"/>
  <c r="CR150" i="9"/>
  <c r="DD150" i="9" s="1"/>
  <c r="CO150" i="9"/>
  <c r="CN150" i="9"/>
  <c r="CM150" i="9"/>
  <c r="CL150" i="9"/>
  <c r="CK150" i="9"/>
  <c r="CJ150" i="9"/>
  <c r="CI150" i="9"/>
  <c r="CH150" i="9"/>
  <c r="CG150" i="9"/>
  <c r="CF150" i="9"/>
  <c r="CE150" i="9"/>
  <c r="BR150" i="9"/>
  <c r="CB150" i="9" s="1"/>
  <c r="BL150" i="9"/>
  <c r="BK150" i="9"/>
  <c r="BJ150" i="9"/>
  <c r="BI150" i="9"/>
  <c r="BG150" i="9"/>
  <c r="BF150" i="9"/>
  <c r="BD150" i="9"/>
  <c r="BC150" i="9"/>
  <c r="BB150" i="9"/>
  <c r="AY150" i="9"/>
  <c r="AX150" i="9"/>
  <c r="AW150" i="9"/>
  <c r="AV150" i="9"/>
  <c r="AU150" i="9"/>
  <c r="AT150" i="9"/>
  <c r="AS150" i="9"/>
  <c r="AR150" i="9"/>
  <c r="AQ150" i="9"/>
  <c r="AP150" i="9"/>
  <c r="AM150" i="9"/>
  <c r="AL150" i="9"/>
  <c r="DR149" i="9"/>
  <c r="DI149" i="9"/>
  <c r="DD149" i="9"/>
  <c r="CP149" i="9"/>
  <c r="CB149" i="9"/>
  <c r="BN149" i="9"/>
  <c r="AZ149" i="9"/>
  <c r="AN149" i="9"/>
  <c r="AI149" i="9"/>
  <c r="DR148" i="9"/>
  <c r="DI148" i="9"/>
  <c r="CB148" i="9"/>
  <c r="BN148" i="9"/>
  <c r="AZ148" i="9"/>
  <c r="AM148" i="9"/>
  <c r="AH148" i="9"/>
  <c r="AI148" i="9" s="1"/>
  <c r="AL148" i="9" s="1"/>
  <c r="DR147" i="9"/>
  <c r="DI147" i="9"/>
  <c r="DD147" i="9"/>
  <c r="CP147" i="9"/>
  <c r="BZ147" i="9"/>
  <c r="BZ145" i="9" s="1"/>
  <c r="BY147" i="9"/>
  <c r="BY145" i="9" s="1"/>
  <c r="BX147" i="9"/>
  <c r="BX145" i="9" s="1"/>
  <c r="BW147" i="9"/>
  <c r="BW145" i="9" s="1"/>
  <c r="BV147" i="9"/>
  <c r="BV145" i="9" s="1"/>
  <c r="BU147" i="9"/>
  <c r="BU145" i="9" s="1"/>
  <c r="BT147" i="9"/>
  <c r="BN147" i="9"/>
  <c r="AZ147" i="9"/>
  <c r="AM147" i="9"/>
  <c r="AI147" i="9"/>
  <c r="AL147" i="9" s="1"/>
  <c r="DR146" i="9"/>
  <c r="DI146" i="9"/>
  <c r="DD146" i="9"/>
  <c r="CP146" i="9"/>
  <c r="CB146" i="9"/>
  <c r="AZ146" i="9"/>
  <c r="AM146" i="9"/>
  <c r="AH146" i="9"/>
  <c r="AI146" i="9" s="1"/>
  <c r="DR145" i="9"/>
  <c r="DH145" i="9"/>
  <c r="DG145" i="9"/>
  <c r="DF145" i="9"/>
  <c r="DC145" i="9"/>
  <c r="DB145" i="9"/>
  <c r="CZ145" i="9"/>
  <c r="CY145" i="9"/>
  <c r="CX145" i="9"/>
  <c r="CV145" i="9"/>
  <c r="CU145" i="9"/>
  <c r="CT145" i="9"/>
  <c r="CR145" i="9"/>
  <c r="CO145" i="9"/>
  <c r="CN145" i="9"/>
  <c r="CL145" i="9"/>
  <c r="CK145" i="9"/>
  <c r="CJ145" i="9"/>
  <c r="CH145" i="9"/>
  <c r="CG145" i="9"/>
  <c r="CF145" i="9"/>
  <c r="CD145" i="9"/>
  <c r="CA145" i="9"/>
  <c r="BS145" i="9"/>
  <c r="BR145" i="9"/>
  <c r="BQ145" i="9"/>
  <c r="BP145" i="9"/>
  <c r="BM145" i="9"/>
  <c r="BL145" i="9"/>
  <c r="BE145" i="9"/>
  <c r="BD145" i="9"/>
  <c r="BC145" i="9"/>
  <c r="BB145" i="9"/>
  <c r="AY145" i="9"/>
  <c r="AX145" i="9"/>
  <c r="AW145" i="9"/>
  <c r="AV145" i="9"/>
  <c r="AU145" i="9"/>
  <c r="AT145" i="9"/>
  <c r="AS145" i="9"/>
  <c r="AR145" i="9"/>
  <c r="AQ145" i="9"/>
  <c r="AP145" i="9"/>
  <c r="DR144" i="9"/>
  <c r="DR143" i="9"/>
  <c r="DR142" i="9"/>
  <c r="DI142" i="9"/>
  <c r="DD142" i="9"/>
  <c r="CP142" i="9"/>
  <c r="CB142" i="9"/>
  <c r="BN142" i="9"/>
  <c r="AZ142" i="9"/>
  <c r="AN142" i="9"/>
  <c r="DR141" i="9"/>
  <c r="DI141" i="9"/>
  <c r="CB141" i="9"/>
  <c r="BN141" i="9"/>
  <c r="AZ141" i="9"/>
  <c r="AH141" i="9"/>
  <c r="AI141" i="9" s="1"/>
  <c r="AL141" i="9" s="1"/>
  <c r="DR140" i="9"/>
  <c r="DH140" i="9"/>
  <c r="DG140" i="9"/>
  <c r="DF140" i="9"/>
  <c r="DC140" i="9"/>
  <c r="DB140" i="9"/>
  <c r="DA140" i="9"/>
  <c r="CZ140" i="9"/>
  <c r="CY140" i="9"/>
  <c r="CX140" i="9"/>
  <c r="CW140" i="9"/>
  <c r="CU140" i="9"/>
  <c r="CT140" i="9"/>
  <c r="CR140" i="9"/>
  <c r="CO140" i="9"/>
  <c r="CM140" i="9"/>
  <c r="CL140" i="9"/>
  <c r="CJ140" i="9"/>
  <c r="CI140" i="9"/>
  <c r="CH140" i="9"/>
  <c r="CG140" i="9"/>
  <c r="CF140" i="9"/>
  <c r="CE140" i="9"/>
  <c r="CD140" i="9"/>
  <c r="CA140" i="9"/>
  <c r="BZ140" i="9"/>
  <c r="BY140" i="9"/>
  <c r="BX140" i="9"/>
  <c r="BW140" i="9"/>
  <c r="BV140" i="9"/>
  <c r="BU140" i="9"/>
  <c r="BT140" i="9"/>
  <c r="BS140" i="9"/>
  <c r="BR140" i="9"/>
  <c r="BQ140" i="9"/>
  <c r="BP140" i="9"/>
  <c r="BM140" i="9"/>
  <c r="BL140" i="9"/>
  <c r="BK140" i="9"/>
  <c r="BJ140" i="9"/>
  <c r="BI140" i="9"/>
  <c r="BH140" i="9"/>
  <c r="BG140" i="9"/>
  <c r="BF140" i="9"/>
  <c r="BE140" i="9"/>
  <c r="BD140" i="9"/>
  <c r="BC140" i="9"/>
  <c r="BB140" i="9"/>
  <c r="AY140" i="9"/>
  <c r="AX140" i="9"/>
  <c r="AW140" i="9"/>
  <c r="AV140" i="9"/>
  <c r="AU140" i="9"/>
  <c r="AT140" i="9"/>
  <c r="AS140" i="9"/>
  <c r="AR140" i="9"/>
  <c r="AQ140" i="9"/>
  <c r="AP140" i="9"/>
  <c r="AM140" i="9"/>
  <c r="DR139" i="9"/>
  <c r="DI139" i="9"/>
  <c r="DD139" i="9"/>
  <c r="BN139" i="9"/>
  <c r="AZ139" i="9"/>
  <c r="AI139" i="9"/>
  <c r="DR138" i="9"/>
  <c r="DI138" i="9"/>
  <c r="DD138" i="9"/>
  <c r="CP138" i="9"/>
  <c r="CB138" i="9"/>
  <c r="BN138" i="9"/>
  <c r="AZ138" i="9"/>
  <c r="AN138" i="9"/>
  <c r="DR137" i="9"/>
  <c r="DH137" i="9"/>
  <c r="DG137" i="9"/>
  <c r="DG136" i="9" s="1"/>
  <c r="DF137" i="9"/>
  <c r="DF136" i="9" s="1"/>
  <c r="DC137" i="9"/>
  <c r="DC136" i="9" s="1"/>
  <c r="DB137" i="9"/>
  <c r="DB136" i="9" s="1"/>
  <c r="DA137" i="9"/>
  <c r="DA136" i="9" s="1"/>
  <c r="CZ137" i="9"/>
  <c r="CZ136" i="9" s="1"/>
  <c r="CY137" i="9"/>
  <c r="CY136" i="9" s="1"/>
  <c r="CX137" i="9"/>
  <c r="CX136" i="9" s="1"/>
  <c r="CW137" i="9"/>
  <c r="CW136" i="9" s="1"/>
  <c r="CV137" i="9"/>
  <c r="CV136" i="9" s="1"/>
  <c r="CU137" i="9"/>
  <c r="CU136" i="9" s="1"/>
  <c r="CT137" i="9"/>
  <c r="CT136" i="9" s="1"/>
  <c r="CS137" i="9"/>
  <c r="CS136" i="9" s="1"/>
  <c r="CR137" i="9"/>
  <c r="CR136" i="9" s="1"/>
  <c r="CO137" i="9"/>
  <c r="CO136" i="9" s="1"/>
  <c r="CN137" i="9"/>
  <c r="CN136" i="9" s="1"/>
  <c r="CM137" i="9"/>
  <c r="CM136" i="9" s="1"/>
  <c r="CL137" i="9"/>
  <c r="CL136" i="9" s="1"/>
  <c r="CK137" i="9"/>
  <c r="CK136" i="9" s="1"/>
  <c r="CJ137" i="9"/>
  <c r="CJ136" i="9" s="1"/>
  <c r="CI137" i="9"/>
  <c r="CI136" i="9" s="1"/>
  <c r="CH137" i="9"/>
  <c r="CH136" i="9" s="1"/>
  <c r="CF137" i="9"/>
  <c r="CF136" i="9" s="1"/>
  <c r="CE137" i="9"/>
  <c r="CE136" i="9" s="1"/>
  <c r="CD137" i="9"/>
  <c r="CA137" i="9"/>
  <c r="CA136" i="9" s="1"/>
  <c r="BZ137" i="9"/>
  <c r="BZ136" i="9" s="1"/>
  <c r="BX137" i="9"/>
  <c r="BX136" i="9" s="1"/>
  <c r="BV137" i="9"/>
  <c r="BV136" i="9" s="1"/>
  <c r="BU137" i="9"/>
  <c r="BU136" i="9" s="1"/>
  <c r="BS137" i="9"/>
  <c r="BS136" i="9" s="1"/>
  <c r="BR137" i="9"/>
  <c r="BR136" i="9" s="1"/>
  <c r="BQ137" i="9"/>
  <c r="BQ136" i="9" s="1"/>
  <c r="BP137" i="9"/>
  <c r="BP136" i="9" s="1"/>
  <c r="BM137" i="9"/>
  <c r="BM136" i="9" s="1"/>
  <c r="BL137" i="9"/>
  <c r="BL136" i="9" s="1"/>
  <c r="BK137" i="9"/>
  <c r="BK136" i="9" s="1"/>
  <c r="BJ137" i="9"/>
  <c r="BJ136" i="9" s="1"/>
  <c r="BI137" i="9"/>
  <c r="BI136" i="9" s="1"/>
  <c r="BH137" i="9"/>
  <c r="BH136" i="9" s="1"/>
  <c r="BG137" i="9"/>
  <c r="BG136" i="9" s="1"/>
  <c r="BF137" i="9"/>
  <c r="BF136" i="9" s="1"/>
  <c r="BE137" i="9"/>
  <c r="BE136" i="9" s="1"/>
  <c r="BD137" i="9"/>
  <c r="BD136" i="9" s="1"/>
  <c r="BC137" i="9"/>
  <c r="BC136" i="9" s="1"/>
  <c r="BB137" i="9"/>
  <c r="BB136" i="9" s="1"/>
  <c r="AY137" i="9"/>
  <c r="AY136" i="9" s="1"/>
  <c r="AX137" i="9"/>
  <c r="AX136" i="9" s="1"/>
  <c r="AW137" i="9"/>
  <c r="AW136" i="9" s="1"/>
  <c r="AV137" i="9"/>
  <c r="AV136" i="9" s="1"/>
  <c r="AU137" i="9"/>
  <c r="AU136" i="9" s="1"/>
  <c r="AT137" i="9"/>
  <c r="AT136" i="9" s="1"/>
  <c r="AS137" i="9"/>
  <c r="AS136" i="9" s="1"/>
  <c r="AR137" i="9"/>
  <c r="AR136" i="9" s="1"/>
  <c r="AQ137" i="9"/>
  <c r="AQ136" i="9" s="1"/>
  <c r="AP137" i="9"/>
  <c r="AP136" i="9" s="1"/>
  <c r="AM137" i="9"/>
  <c r="AM136" i="9" s="1"/>
  <c r="DR136" i="9"/>
  <c r="DR135" i="9"/>
  <c r="DR134" i="9"/>
  <c r="DI134" i="9"/>
  <c r="DD134" i="9"/>
  <c r="CB134" i="9"/>
  <c r="BN134" i="9"/>
  <c r="AZ134" i="9"/>
  <c r="AI134" i="9"/>
  <c r="AL134" i="9" s="1"/>
  <c r="DR133" i="9"/>
  <c r="DI133" i="9"/>
  <c r="DD133" i="9"/>
  <c r="CP133" i="9"/>
  <c r="BN133" i="9"/>
  <c r="AZ133" i="9"/>
  <c r="AI133" i="9"/>
  <c r="AL133" i="9" s="1"/>
  <c r="AN133" i="9" s="1"/>
  <c r="DR132" i="9"/>
  <c r="DI132" i="9"/>
  <c r="DD132" i="9"/>
  <c r="BN132" i="9"/>
  <c r="AZ132" i="9"/>
  <c r="AI132" i="9"/>
  <c r="AL132" i="9" s="1"/>
  <c r="DR131" i="9"/>
  <c r="DH131" i="9"/>
  <c r="DG131" i="9"/>
  <c r="DF131" i="9"/>
  <c r="DC131" i="9"/>
  <c r="DB131" i="9"/>
  <c r="DA131" i="9"/>
  <c r="CZ131" i="9"/>
  <c r="CY131" i="9"/>
  <c r="CX131" i="9"/>
  <c r="CW131" i="9"/>
  <c r="CV131" i="9"/>
  <c r="CU131" i="9"/>
  <c r="CT131" i="9"/>
  <c r="CS131" i="9"/>
  <c r="CR131" i="9"/>
  <c r="CO131" i="9"/>
  <c r="CN131" i="9"/>
  <c r="CM131" i="9"/>
  <c r="CL131" i="9"/>
  <c r="CK131" i="9"/>
  <c r="CJ131" i="9"/>
  <c r="CI131" i="9"/>
  <c r="CH131" i="9"/>
  <c r="CG131" i="9"/>
  <c r="CF131" i="9"/>
  <c r="CD131" i="9"/>
  <c r="CA131" i="9"/>
  <c r="BY131" i="9"/>
  <c r="BV131" i="9"/>
  <c r="BU131" i="9"/>
  <c r="BS131" i="9"/>
  <c r="BR131" i="9"/>
  <c r="BQ131" i="9"/>
  <c r="BP131" i="9"/>
  <c r="BM131" i="9"/>
  <c r="BL131" i="9"/>
  <c r="BK131" i="9"/>
  <c r="BJ131" i="9"/>
  <c r="BI131" i="9"/>
  <c r="BH131" i="9"/>
  <c r="BG131" i="9"/>
  <c r="BF131" i="9"/>
  <c r="BE131" i="9"/>
  <c r="BD131" i="9"/>
  <c r="BC131" i="9"/>
  <c r="BB131" i="9"/>
  <c r="AY131" i="9"/>
  <c r="AX131" i="9"/>
  <c r="AW131" i="9"/>
  <c r="AV131" i="9"/>
  <c r="AU131" i="9"/>
  <c r="AT131" i="9"/>
  <c r="AS131" i="9"/>
  <c r="AR131" i="9"/>
  <c r="AQ131" i="9"/>
  <c r="AP131" i="9"/>
  <c r="AM131" i="9"/>
  <c r="DR130" i="9"/>
  <c r="DI130" i="9"/>
  <c r="DD130" i="9"/>
  <c r="BN130" i="9"/>
  <c r="AZ130" i="9"/>
  <c r="AI130" i="9"/>
  <c r="DR129" i="9"/>
  <c r="DH129" i="9"/>
  <c r="DG129" i="9"/>
  <c r="DF129" i="9"/>
  <c r="DC129" i="9"/>
  <c r="DB129" i="9"/>
  <c r="DA129" i="9"/>
  <c r="CZ129" i="9"/>
  <c r="CY129" i="9"/>
  <c r="CX129" i="9"/>
  <c r="CW129" i="9"/>
  <c r="CV129" i="9"/>
  <c r="CU129" i="9"/>
  <c r="CT129" i="9"/>
  <c r="CS129" i="9"/>
  <c r="CR129" i="9"/>
  <c r="CO129" i="9"/>
  <c r="CN129" i="9"/>
  <c r="CM129" i="9"/>
  <c r="CL129" i="9"/>
  <c r="CJ129" i="9"/>
  <c r="CF129" i="9"/>
  <c r="CD129" i="9"/>
  <c r="CA129" i="9"/>
  <c r="BY129" i="9"/>
  <c r="BW129" i="9"/>
  <c r="BV129" i="9"/>
  <c r="BU129" i="9"/>
  <c r="BT129" i="9"/>
  <c r="BS129" i="9"/>
  <c r="BR129" i="9"/>
  <c r="BQ129" i="9"/>
  <c r="BP129" i="9"/>
  <c r="BM129" i="9"/>
  <c r="BL129" i="9"/>
  <c r="BK129" i="9"/>
  <c r="BJ129" i="9"/>
  <c r="BI129" i="9"/>
  <c r="BH129" i="9"/>
  <c r="BG129" i="9"/>
  <c r="BF129" i="9"/>
  <c r="BE129" i="9"/>
  <c r="BD129" i="9"/>
  <c r="BC129" i="9"/>
  <c r="BB129" i="9"/>
  <c r="AY129" i="9"/>
  <c r="AX129" i="9"/>
  <c r="AW129" i="9"/>
  <c r="AV129" i="9"/>
  <c r="AU129" i="9"/>
  <c r="AT129" i="9"/>
  <c r="AS129" i="9"/>
  <c r="AR129" i="9"/>
  <c r="AQ129" i="9"/>
  <c r="AP129" i="9"/>
  <c r="AM129" i="9"/>
  <c r="DR128" i="9"/>
  <c r="DI128" i="9"/>
  <c r="DD128" i="9"/>
  <c r="CP128" i="9"/>
  <c r="CB128" i="9"/>
  <c r="BN128" i="9"/>
  <c r="AZ128" i="9"/>
  <c r="DR127" i="9"/>
  <c r="DI127" i="9"/>
  <c r="DD127" i="9"/>
  <c r="CP127" i="9"/>
  <c r="CB127" i="9"/>
  <c r="BN127" i="9"/>
  <c r="AZ127" i="9"/>
  <c r="DR126" i="9"/>
  <c r="DI126" i="9"/>
  <c r="DD126" i="9"/>
  <c r="CP126" i="9"/>
  <c r="CB126" i="9"/>
  <c r="BN126" i="9"/>
  <c r="AZ126" i="9"/>
  <c r="DR125" i="9"/>
  <c r="DI125" i="9"/>
  <c r="DD125" i="9"/>
  <c r="CB125" i="9"/>
  <c r="BN125" i="9"/>
  <c r="AZ125" i="9"/>
  <c r="AH125" i="9"/>
  <c r="AI125" i="9" s="1"/>
  <c r="AI124" i="9" s="1"/>
  <c r="DR124" i="9"/>
  <c r="DH124" i="9"/>
  <c r="DG124" i="9"/>
  <c r="DF124" i="9"/>
  <c r="DC124" i="9"/>
  <c r="DB124" i="9"/>
  <c r="DA124" i="9"/>
  <c r="CZ124" i="9"/>
  <c r="CY124" i="9"/>
  <c r="CX124" i="9"/>
  <c r="CW124" i="9"/>
  <c r="CV124" i="9"/>
  <c r="CU124" i="9"/>
  <c r="CT124" i="9"/>
  <c r="CS124" i="9"/>
  <c r="CR124" i="9"/>
  <c r="CO124" i="9"/>
  <c r="CM124" i="9"/>
  <c r="CK124" i="9"/>
  <c r="CJ124" i="9"/>
  <c r="CH124" i="9"/>
  <c r="CG124" i="9"/>
  <c r="CE124" i="9"/>
  <c r="CD124" i="9"/>
  <c r="CA124" i="9"/>
  <c r="BZ124" i="9"/>
  <c r="BY124" i="9"/>
  <c r="BX124" i="9"/>
  <c r="BW124" i="9"/>
  <c r="BV124" i="9"/>
  <c r="BU124" i="9"/>
  <c r="BT124" i="9"/>
  <c r="BS124" i="9"/>
  <c r="BR124" i="9"/>
  <c r="BQ124" i="9"/>
  <c r="BP124" i="9"/>
  <c r="BM124" i="9"/>
  <c r="BL124" i="9"/>
  <c r="BK124" i="9"/>
  <c r="BJ124" i="9"/>
  <c r="BI124" i="9"/>
  <c r="BH124" i="9"/>
  <c r="BG124" i="9"/>
  <c r="BF124" i="9"/>
  <c r="BE124" i="9"/>
  <c r="BD124" i="9"/>
  <c r="BC124" i="9"/>
  <c r="BB124" i="9"/>
  <c r="AY124" i="9"/>
  <c r="AX124" i="9"/>
  <c r="AW124" i="9"/>
  <c r="AV124" i="9"/>
  <c r="AU124" i="9"/>
  <c r="AT124" i="9"/>
  <c r="AS124" i="9"/>
  <c r="AR124" i="9"/>
  <c r="AQ124" i="9"/>
  <c r="AP124" i="9"/>
  <c r="AM124" i="9"/>
  <c r="DR123" i="9"/>
  <c r="DI123" i="9"/>
  <c r="DD123" i="9"/>
  <c r="CP123" i="9"/>
  <c r="BV123" i="9"/>
  <c r="BV122" i="9" s="1"/>
  <c r="BT123" i="9"/>
  <c r="BT122" i="9" s="1"/>
  <c r="BQ123" i="9"/>
  <c r="BQ122" i="9" s="1"/>
  <c r="BL123" i="9"/>
  <c r="BL122" i="9" s="1"/>
  <c r="AZ123" i="9"/>
  <c r="AI123" i="9"/>
  <c r="AL123" i="9" s="1"/>
  <c r="AN123" i="9" s="1"/>
  <c r="DR122" i="9"/>
  <c r="DH122" i="9"/>
  <c r="DG122" i="9"/>
  <c r="DF122" i="9"/>
  <c r="DC122" i="9"/>
  <c r="DB122" i="9"/>
  <c r="DA122" i="9"/>
  <c r="CZ122" i="9"/>
  <c r="CY122" i="9"/>
  <c r="CX122" i="9"/>
  <c r="CW122" i="9"/>
  <c r="CV122" i="9"/>
  <c r="CU122" i="9"/>
  <c r="CT122" i="9"/>
  <c r="CS122" i="9"/>
  <c r="CR122" i="9"/>
  <c r="CO122" i="9"/>
  <c r="CN122" i="9"/>
  <c r="CM122" i="9"/>
  <c r="CL122" i="9"/>
  <c r="CK122" i="9"/>
  <c r="CJ122" i="9"/>
  <c r="CI122" i="9"/>
  <c r="CH122" i="9"/>
  <c r="CG122" i="9"/>
  <c r="CF122" i="9"/>
  <c r="CE122" i="9"/>
  <c r="CD122" i="9"/>
  <c r="CA122" i="9"/>
  <c r="BZ122" i="9"/>
  <c r="BY122" i="9"/>
  <c r="BX122" i="9"/>
  <c r="BW122" i="9"/>
  <c r="BU122" i="9"/>
  <c r="BS122" i="9"/>
  <c r="BR122" i="9"/>
  <c r="BP122" i="9"/>
  <c r="BM122" i="9"/>
  <c r="BK122" i="9"/>
  <c r="BJ122" i="9"/>
  <c r="BI122" i="9"/>
  <c r="BH122" i="9"/>
  <c r="BG122" i="9"/>
  <c r="BF122" i="9"/>
  <c r="BE122" i="9"/>
  <c r="BD122" i="9"/>
  <c r="BC122" i="9"/>
  <c r="BB122" i="9"/>
  <c r="AY122" i="9"/>
  <c r="AX122" i="9"/>
  <c r="AW122" i="9"/>
  <c r="AV122" i="9"/>
  <c r="AU122" i="9"/>
  <c r="AT122" i="9"/>
  <c r="AS122" i="9"/>
  <c r="AR122" i="9"/>
  <c r="AQ122" i="9"/>
  <c r="AP122" i="9"/>
  <c r="AM122" i="9"/>
  <c r="DR121" i="9"/>
  <c r="DR120" i="9"/>
  <c r="DI120" i="9"/>
  <c r="DD120" i="9"/>
  <c r="CP120" i="9"/>
  <c r="CB120" i="9"/>
  <c r="BN120" i="9"/>
  <c r="AZ120" i="9"/>
  <c r="AN120" i="9"/>
  <c r="DR119" i="9"/>
  <c r="DI119" i="9"/>
  <c r="CB119" i="9"/>
  <c r="BN119" i="9"/>
  <c r="AZ119" i="9"/>
  <c r="AI119" i="9"/>
  <c r="AL119" i="9" s="1"/>
  <c r="CV119" i="9" s="1"/>
  <c r="CV118" i="9" s="1"/>
  <c r="DR118" i="9"/>
  <c r="DH118" i="9"/>
  <c r="DG118" i="9"/>
  <c r="DF118" i="9"/>
  <c r="DC118" i="9"/>
  <c r="DB118" i="9"/>
  <c r="DA118" i="9"/>
  <c r="CZ118" i="9"/>
  <c r="CY118" i="9"/>
  <c r="CX118" i="9"/>
  <c r="CW118" i="9"/>
  <c r="CU118" i="9"/>
  <c r="CT118" i="9"/>
  <c r="CR118" i="9"/>
  <c r="CO118" i="9"/>
  <c r="CN118" i="9"/>
  <c r="CL118" i="9"/>
  <c r="CK118" i="9"/>
  <c r="CI118" i="9"/>
  <c r="CH118" i="9"/>
  <c r="CF118" i="9"/>
  <c r="CE118" i="9"/>
  <c r="CD118" i="9"/>
  <c r="CA118" i="9"/>
  <c r="BZ118" i="9"/>
  <c r="BY118" i="9"/>
  <c r="BX118" i="9"/>
  <c r="BW118" i="9"/>
  <c r="BV118" i="9"/>
  <c r="BU118" i="9"/>
  <c r="BT118" i="9"/>
  <c r="BS118" i="9"/>
  <c r="BR118" i="9"/>
  <c r="BQ118" i="9"/>
  <c r="BP118" i="9"/>
  <c r="BM118" i="9"/>
  <c r="BL118" i="9"/>
  <c r="BK118" i="9"/>
  <c r="BJ118" i="9"/>
  <c r="BI118" i="9"/>
  <c r="BH118" i="9"/>
  <c r="BG118" i="9"/>
  <c r="BF118" i="9"/>
  <c r="BE118" i="9"/>
  <c r="BD118" i="9"/>
  <c r="BC118" i="9"/>
  <c r="BB118" i="9"/>
  <c r="AY118" i="9"/>
  <c r="AX118" i="9"/>
  <c r="AW118" i="9"/>
  <c r="AV118" i="9"/>
  <c r="AU118" i="9"/>
  <c r="AT118" i="9"/>
  <c r="AS118" i="9"/>
  <c r="AR118" i="9"/>
  <c r="AQ118" i="9"/>
  <c r="AP118" i="9"/>
  <c r="AM118" i="9"/>
  <c r="DR117" i="9"/>
  <c r="DI117" i="9"/>
  <c r="CB117" i="9"/>
  <c r="BN117" i="9"/>
  <c r="AZ117" i="9"/>
  <c r="AI117" i="9"/>
  <c r="CI117" i="9" s="1"/>
  <c r="DR116" i="9"/>
  <c r="DI116" i="9"/>
  <c r="DD116" i="9"/>
  <c r="CP116" i="9"/>
  <c r="CB116" i="9"/>
  <c r="AZ116" i="9"/>
  <c r="AH116" i="9"/>
  <c r="BK116" i="9" s="1"/>
  <c r="BK112" i="9" s="1"/>
  <c r="BK111" i="9" s="1"/>
  <c r="DR115" i="9"/>
  <c r="DI115" i="9"/>
  <c r="DC115" i="9"/>
  <c r="DB115" i="9"/>
  <c r="DA115" i="9"/>
  <c r="CZ115" i="9"/>
  <c r="CY115" i="9"/>
  <c r="CX115" i="9"/>
  <c r="CW115" i="9"/>
  <c r="CV115" i="9"/>
  <c r="CU115" i="9"/>
  <c r="CT115" i="9"/>
  <c r="CS115" i="9"/>
  <c r="CR115" i="9"/>
  <c r="CO115" i="9"/>
  <c r="CN115" i="9"/>
  <c r="CM115" i="9"/>
  <c r="CL115" i="9"/>
  <c r="CK115" i="9"/>
  <c r="CJ115" i="9"/>
  <c r="CI115" i="9"/>
  <c r="CH115" i="9"/>
  <c r="CG115" i="9"/>
  <c r="CF115" i="9"/>
  <c r="CE115" i="9"/>
  <c r="CD115" i="9"/>
  <c r="CA115" i="9"/>
  <c r="BZ115" i="9"/>
  <c r="BY115" i="9"/>
  <c r="BX115" i="9"/>
  <c r="BW115" i="9"/>
  <c r="BV115" i="9"/>
  <c r="BU115" i="9"/>
  <c r="BN115" i="9"/>
  <c r="AZ115" i="9"/>
  <c r="AI115" i="9"/>
  <c r="AL115" i="9" s="1"/>
  <c r="AN115" i="9" s="1"/>
  <c r="DR114" i="9"/>
  <c r="DI114" i="9"/>
  <c r="DC114" i="9"/>
  <c r="DB114" i="9"/>
  <c r="DA114" i="9"/>
  <c r="CZ114" i="9"/>
  <c r="CY114" i="9"/>
  <c r="CX114" i="9"/>
  <c r="CW114" i="9"/>
  <c r="CV114" i="9"/>
  <c r="CU114" i="9"/>
  <c r="CT114" i="9"/>
  <c r="CS114" i="9"/>
  <c r="CR114" i="9"/>
  <c r="CO114" i="9"/>
  <c r="CN114" i="9"/>
  <c r="CM114" i="9"/>
  <c r="CL114" i="9"/>
  <c r="CK114" i="9"/>
  <c r="CJ114" i="9"/>
  <c r="CI114" i="9"/>
  <c r="CH114" i="9"/>
  <c r="CG114" i="9"/>
  <c r="CF114" i="9"/>
  <c r="CE114" i="9"/>
  <c r="CD114" i="9"/>
  <c r="CA114" i="9"/>
  <c r="BZ114" i="9"/>
  <c r="BY114" i="9"/>
  <c r="BX114" i="9"/>
  <c r="BW114" i="9"/>
  <c r="BV114" i="9"/>
  <c r="BU114" i="9"/>
  <c r="BT114" i="9"/>
  <c r="BS114" i="9"/>
  <c r="BR114" i="9"/>
  <c r="BQ114" i="9"/>
  <c r="BP114" i="9"/>
  <c r="BM114" i="9"/>
  <c r="BN114" i="9" s="1"/>
  <c r="AZ114" i="9"/>
  <c r="AI114" i="9"/>
  <c r="AL114" i="9" s="1"/>
  <c r="AN114" i="9" s="1"/>
  <c r="DR113" i="9"/>
  <c r="DI113" i="9"/>
  <c r="DC113" i="9"/>
  <c r="DB113" i="9"/>
  <c r="DA113" i="9"/>
  <c r="CZ113" i="9"/>
  <c r="CY113" i="9"/>
  <c r="CX113" i="9"/>
  <c r="CW113" i="9"/>
  <c r="CV113" i="9"/>
  <c r="CU113" i="9"/>
  <c r="CT113" i="9"/>
  <c r="CS113" i="9"/>
  <c r="CR113" i="9"/>
  <c r="CO113" i="9"/>
  <c r="CN113" i="9"/>
  <c r="CM113" i="9"/>
  <c r="CL113" i="9"/>
  <c r="CK113" i="9"/>
  <c r="CJ113" i="9"/>
  <c r="CI113" i="9"/>
  <c r="CH113" i="9"/>
  <c r="CG113" i="9"/>
  <c r="CF113" i="9"/>
  <c r="CE113" i="9"/>
  <c r="CD113" i="9"/>
  <c r="CA113" i="9"/>
  <c r="BZ113" i="9"/>
  <c r="BY113" i="9"/>
  <c r="BX113" i="9"/>
  <c r="BW113" i="9"/>
  <c r="BV113" i="9"/>
  <c r="BU113" i="9"/>
  <c r="BT113" i="9"/>
  <c r="BS113" i="9"/>
  <c r="BR113" i="9"/>
  <c r="BQ113" i="9"/>
  <c r="BP113" i="9"/>
  <c r="BM113" i="9"/>
  <c r="BN113" i="9" s="1"/>
  <c r="AZ113" i="9"/>
  <c r="AI113" i="9"/>
  <c r="DR112" i="9"/>
  <c r="DH112" i="9"/>
  <c r="DG112" i="9"/>
  <c r="DG111" i="9" s="1"/>
  <c r="DF112" i="9"/>
  <c r="DF111" i="9" s="1"/>
  <c r="BL112" i="9"/>
  <c r="BL111" i="9" s="1"/>
  <c r="BJ112" i="9"/>
  <c r="BJ111" i="9" s="1"/>
  <c r="BI112" i="9"/>
  <c r="BI111" i="9" s="1"/>
  <c r="BH112" i="9"/>
  <c r="BH111" i="9" s="1"/>
  <c r="BG112" i="9"/>
  <c r="BG111" i="9" s="1"/>
  <c r="BF112" i="9"/>
  <c r="BF111" i="9" s="1"/>
  <c r="BE112" i="9"/>
  <c r="BE111" i="9" s="1"/>
  <c r="BD112" i="9"/>
  <c r="BD111" i="9" s="1"/>
  <c r="BC112" i="9"/>
  <c r="BC111" i="9" s="1"/>
  <c r="BB112" i="9"/>
  <c r="BB111" i="9" s="1"/>
  <c r="AY112" i="9"/>
  <c r="AY111" i="9" s="1"/>
  <c r="AX112" i="9"/>
  <c r="AX111" i="9" s="1"/>
  <c r="AW112" i="9"/>
  <c r="AW111" i="9" s="1"/>
  <c r="AV112" i="9"/>
  <c r="AV111" i="9" s="1"/>
  <c r="AU112" i="9"/>
  <c r="AU111" i="9" s="1"/>
  <c r="AT112" i="9"/>
  <c r="AT111" i="9" s="1"/>
  <c r="AS112" i="9"/>
  <c r="AS111" i="9" s="1"/>
  <c r="AR112" i="9"/>
  <c r="AR111" i="9" s="1"/>
  <c r="AQ112" i="9"/>
  <c r="AQ111" i="9" s="1"/>
  <c r="AP112" i="9"/>
  <c r="AP111" i="9" s="1"/>
  <c r="AM112" i="9"/>
  <c r="AM111" i="9" s="1"/>
  <c r="DR111" i="9"/>
  <c r="DR110" i="9"/>
  <c r="DI110" i="9"/>
  <c r="DD110" i="9"/>
  <c r="AZ110" i="9"/>
  <c r="AI110" i="9"/>
  <c r="DR109" i="9"/>
  <c r="DH109" i="9"/>
  <c r="DG109" i="9"/>
  <c r="DF109" i="9"/>
  <c r="DC109" i="9"/>
  <c r="DB109" i="9"/>
  <c r="DA109" i="9"/>
  <c r="CZ109" i="9"/>
  <c r="CY109" i="9"/>
  <c r="CX109" i="9"/>
  <c r="CW109" i="9"/>
  <c r="CV109" i="9"/>
  <c r="CU109" i="9"/>
  <c r="CT109" i="9"/>
  <c r="CS109" i="9"/>
  <c r="CR109" i="9"/>
  <c r="CO109" i="9"/>
  <c r="CN109" i="9"/>
  <c r="CM109" i="9"/>
  <c r="CL109" i="9"/>
  <c r="CK109" i="9"/>
  <c r="CJ109" i="9"/>
  <c r="CI109" i="9"/>
  <c r="CH109" i="9"/>
  <c r="CG109" i="9"/>
  <c r="CF109" i="9"/>
  <c r="CD109" i="9"/>
  <c r="BW109" i="9"/>
  <c r="BV109" i="9"/>
  <c r="BU109" i="9"/>
  <c r="BT109" i="9"/>
  <c r="BS109" i="9"/>
  <c r="BR109" i="9"/>
  <c r="BQ109" i="9"/>
  <c r="BP109" i="9"/>
  <c r="BM109" i="9"/>
  <c r="BL109" i="9"/>
  <c r="BK109" i="9"/>
  <c r="BJ109" i="9"/>
  <c r="BH109" i="9"/>
  <c r="BG109" i="9"/>
  <c r="BF109" i="9"/>
  <c r="BE109" i="9"/>
  <c r="BD109" i="9"/>
  <c r="BC109" i="9"/>
  <c r="BB109" i="9"/>
  <c r="AY109" i="9"/>
  <c r="AX109" i="9"/>
  <c r="AW109" i="9"/>
  <c r="AV109" i="9"/>
  <c r="AU109" i="9"/>
  <c r="AT109" i="9"/>
  <c r="AS109" i="9"/>
  <c r="AR109" i="9"/>
  <c r="AQ109" i="9"/>
  <c r="AP109" i="9"/>
  <c r="AM109" i="9"/>
  <c r="DR108" i="9"/>
  <c r="DD107" i="9"/>
  <c r="CP107" i="9"/>
  <c r="CB107" i="9"/>
  <c r="BN107" i="9"/>
  <c r="AZ107" i="9"/>
  <c r="AI107" i="9"/>
  <c r="BN106" i="9"/>
  <c r="AZ106" i="9"/>
  <c r="AI106" i="9"/>
  <c r="DR105" i="9"/>
  <c r="DI105" i="9"/>
  <c r="DD105" i="9"/>
  <c r="CP105" i="9"/>
  <c r="BQ105" i="9"/>
  <c r="CB105" i="9" s="1"/>
  <c r="BN105" i="9"/>
  <c r="AZ105" i="9"/>
  <c r="AI105" i="9"/>
  <c r="AL105" i="9" s="1"/>
  <c r="AN105" i="9" s="1"/>
  <c r="DI104" i="9"/>
  <c r="CV104" i="9"/>
  <c r="CU104" i="9"/>
  <c r="CT104" i="9"/>
  <c r="CS104" i="9"/>
  <c r="CR104" i="9"/>
  <c r="CO104" i="9"/>
  <c r="CN104" i="9"/>
  <c r="CM104" i="9"/>
  <c r="CL104" i="9"/>
  <c r="CK104" i="9"/>
  <c r="CJ104" i="9"/>
  <c r="CI104" i="9"/>
  <c r="CH104" i="9"/>
  <c r="CG104" i="9"/>
  <c r="CF104" i="9"/>
  <c r="CE104" i="9"/>
  <c r="CD104" i="9"/>
  <c r="CA104" i="9"/>
  <c r="BZ104" i="9"/>
  <c r="BY104" i="9"/>
  <c r="BX104" i="9"/>
  <c r="BW104" i="9"/>
  <c r="BV104" i="9"/>
  <c r="BU104" i="9"/>
  <c r="BN104" i="9"/>
  <c r="AZ104" i="9"/>
  <c r="AI104" i="9"/>
  <c r="AL104" i="9" s="1"/>
  <c r="AN104" i="9" s="1"/>
  <c r="DI103" i="9"/>
  <c r="DD103" i="9"/>
  <c r="CM103" i="9"/>
  <c r="CL103" i="9"/>
  <c r="CK103" i="9"/>
  <c r="CJ103" i="9"/>
  <c r="CI103" i="9"/>
  <c r="CH103" i="9"/>
  <c r="CG103" i="9"/>
  <c r="CF103" i="9"/>
  <c r="CE103" i="9"/>
  <c r="CD103" i="9"/>
  <c r="CA103" i="9"/>
  <c r="BZ103" i="9"/>
  <c r="BY103" i="9"/>
  <c r="BX103" i="9"/>
  <c r="BW103" i="9"/>
  <c r="BV103" i="9"/>
  <c r="BU103" i="9"/>
  <c r="BT103" i="9"/>
  <c r="BS103" i="9"/>
  <c r="BR103" i="9"/>
  <c r="BQ103" i="9"/>
  <c r="BP103" i="9"/>
  <c r="BM103" i="9"/>
  <c r="BL103" i="9"/>
  <c r="AZ103" i="9"/>
  <c r="AI103" i="9"/>
  <c r="AL103" i="9" s="1"/>
  <c r="AN103" i="9" s="1"/>
  <c r="DR102" i="9"/>
  <c r="DI102" i="9"/>
  <c r="DD102" i="9"/>
  <c r="BN102" i="9"/>
  <c r="AZ102" i="9"/>
  <c r="AI102" i="9"/>
  <c r="DR101" i="9"/>
  <c r="DI101" i="9"/>
  <c r="DD101" i="9"/>
  <c r="CJ101" i="9"/>
  <c r="CI101" i="9"/>
  <c r="CH101" i="9"/>
  <c r="CG101" i="9"/>
  <c r="CF101" i="9"/>
  <c r="CE101" i="9"/>
  <c r="CD101" i="9"/>
  <c r="CA101" i="9"/>
  <c r="BZ101" i="9"/>
  <c r="BY101" i="9"/>
  <c r="BX101" i="9"/>
  <c r="BW101" i="9"/>
  <c r="BV101" i="9"/>
  <c r="BU101" i="9"/>
  <c r="BT101" i="9"/>
  <c r="BS101" i="9"/>
  <c r="BR101" i="9"/>
  <c r="BQ101" i="9"/>
  <c r="BP101" i="9"/>
  <c r="BM101" i="9"/>
  <c r="BL101" i="9"/>
  <c r="BK101" i="9"/>
  <c r="BJ101" i="9"/>
  <c r="AZ101" i="9"/>
  <c r="AI101" i="9"/>
  <c r="DR100" i="9"/>
  <c r="DI100" i="9"/>
  <c r="CY100" i="9"/>
  <c r="CY98" i="9" s="1"/>
  <c r="CY97" i="9" s="1"/>
  <c r="CX100" i="9"/>
  <c r="CX98" i="9" s="1"/>
  <c r="CX97" i="9" s="1"/>
  <c r="CW100" i="9"/>
  <c r="CW98" i="9" s="1"/>
  <c r="CW97" i="9" s="1"/>
  <c r="CV100" i="9"/>
  <c r="CU100" i="9"/>
  <c r="CT100" i="9"/>
  <c r="CS100" i="9"/>
  <c r="CR100" i="9"/>
  <c r="CO100" i="9"/>
  <c r="CN100" i="9"/>
  <c r="CM100" i="9"/>
  <c r="CL100" i="9"/>
  <c r="CK100" i="9"/>
  <c r="CJ100" i="9"/>
  <c r="CI100" i="9"/>
  <c r="CH100" i="9"/>
  <c r="CG100" i="9"/>
  <c r="CF100" i="9"/>
  <c r="CE100" i="9"/>
  <c r="CD100" i="9"/>
  <c r="CA100" i="9"/>
  <c r="BZ100" i="9"/>
  <c r="BY100" i="9"/>
  <c r="BX100" i="9"/>
  <c r="BW100" i="9"/>
  <c r="BV100" i="9"/>
  <c r="BU100" i="9"/>
  <c r="BT100" i="9"/>
  <c r="BS100" i="9"/>
  <c r="BR100" i="9"/>
  <c r="BQ100" i="9"/>
  <c r="BP100" i="9"/>
  <c r="BM100" i="9"/>
  <c r="BL100" i="9"/>
  <c r="BK100" i="9"/>
  <c r="BJ100" i="9"/>
  <c r="AZ100" i="9"/>
  <c r="AI100" i="9"/>
  <c r="AL100" i="9" s="1"/>
  <c r="AN100" i="9" s="1"/>
  <c r="DR99" i="9"/>
  <c r="DI99" i="9"/>
  <c r="DD99" i="9"/>
  <c r="CP99" i="9"/>
  <c r="CB99" i="9"/>
  <c r="BN99" i="9"/>
  <c r="AZ99" i="9"/>
  <c r="AI99" i="9"/>
  <c r="DR98" i="9"/>
  <c r="DH98" i="9"/>
  <c r="DH97" i="9" s="1"/>
  <c r="DG98" i="9"/>
  <c r="DG97" i="9" s="1"/>
  <c r="DF98" i="9"/>
  <c r="DC98" i="9"/>
  <c r="DC97" i="9" s="1"/>
  <c r="DB98" i="9"/>
  <c r="DB97" i="9" s="1"/>
  <c r="DA98" i="9"/>
  <c r="DA97" i="9" s="1"/>
  <c r="CZ98" i="9"/>
  <c r="CZ97" i="9" s="1"/>
  <c r="BI98" i="9"/>
  <c r="BI97" i="9" s="1"/>
  <c r="BG98" i="9"/>
  <c r="BG97" i="9" s="1"/>
  <c r="BF98" i="9"/>
  <c r="BE98" i="9"/>
  <c r="BE97" i="9" s="1"/>
  <c r="BD98" i="9"/>
  <c r="BD97" i="9" s="1"/>
  <c r="BC98" i="9"/>
  <c r="BC97" i="9" s="1"/>
  <c r="BB98" i="9"/>
  <c r="BB97" i="9" s="1"/>
  <c r="AY98" i="9"/>
  <c r="AY97" i="9" s="1"/>
  <c r="AX98" i="9"/>
  <c r="AX97" i="9" s="1"/>
  <c r="AW98" i="9"/>
  <c r="AW97" i="9" s="1"/>
  <c r="AV98" i="9"/>
  <c r="AV97" i="9" s="1"/>
  <c r="AU98" i="9"/>
  <c r="AU97" i="9" s="1"/>
  <c r="AT98" i="9"/>
  <c r="AT97" i="9" s="1"/>
  <c r="AS98" i="9"/>
  <c r="AR98" i="9"/>
  <c r="AR97" i="9" s="1"/>
  <c r="AQ98" i="9"/>
  <c r="AQ97" i="9" s="1"/>
  <c r="AP98" i="9"/>
  <c r="AP97" i="9" s="1"/>
  <c r="AM98" i="9"/>
  <c r="AM97" i="9" s="1"/>
  <c r="DR97" i="9"/>
  <c r="DR96" i="9"/>
  <c r="DI96" i="9"/>
  <c r="CB96" i="9"/>
  <c r="BN96" i="9"/>
  <c r="AZ96" i="9"/>
  <c r="AI96" i="9"/>
  <c r="AL96" i="9" s="1"/>
  <c r="DR95" i="9"/>
  <c r="DI95" i="9"/>
  <c r="CB95" i="9"/>
  <c r="BN95" i="9"/>
  <c r="AZ95" i="9"/>
  <c r="AI95" i="9"/>
  <c r="DR94" i="9"/>
  <c r="DH94" i="9"/>
  <c r="DG94" i="9"/>
  <c r="DF94" i="9"/>
  <c r="DC94" i="9"/>
  <c r="DB94" i="9"/>
  <c r="DA94" i="9"/>
  <c r="CY94" i="9"/>
  <c r="CX94" i="9"/>
  <c r="CV94" i="9"/>
  <c r="CU94" i="9"/>
  <c r="CR94" i="9"/>
  <c r="CN94" i="9"/>
  <c r="CK94" i="9"/>
  <c r="CI94" i="9"/>
  <c r="CF94" i="9"/>
  <c r="CE94" i="9"/>
  <c r="CD94" i="9"/>
  <c r="CA94" i="9"/>
  <c r="BZ94" i="9"/>
  <c r="BY94" i="9"/>
  <c r="BX94" i="9"/>
  <c r="BW94" i="9"/>
  <c r="BV94" i="9"/>
  <c r="BU94" i="9"/>
  <c r="BT94" i="9"/>
  <c r="BS94" i="9"/>
  <c r="BR94" i="9"/>
  <c r="BQ94" i="9"/>
  <c r="BP94" i="9"/>
  <c r="BM94" i="9"/>
  <c r="BL94" i="9"/>
  <c r="BK94" i="9"/>
  <c r="BJ94" i="9"/>
  <c r="BI94" i="9"/>
  <c r="BH94" i="9"/>
  <c r="BG94" i="9"/>
  <c r="BF94" i="9"/>
  <c r="BE94" i="9"/>
  <c r="BD94" i="9"/>
  <c r="BC94" i="9"/>
  <c r="BB94" i="9"/>
  <c r="AY94" i="9"/>
  <c r="AX94" i="9"/>
  <c r="AW94" i="9"/>
  <c r="AV94" i="9"/>
  <c r="AU94" i="9"/>
  <c r="AT94" i="9"/>
  <c r="AS94" i="9"/>
  <c r="AR94" i="9"/>
  <c r="AQ94" i="9"/>
  <c r="AP94" i="9"/>
  <c r="AM94" i="9"/>
  <c r="DR93" i="9"/>
  <c r="DI93" i="9"/>
  <c r="CS93" i="9"/>
  <c r="CN91" i="9"/>
  <c r="CB93" i="9"/>
  <c r="BN93" i="9"/>
  <c r="AZ93" i="9"/>
  <c r="AI93" i="9"/>
  <c r="AL93" i="9" s="1"/>
  <c r="AN93" i="9" s="1"/>
  <c r="DR92" i="9"/>
  <c r="DI92" i="9"/>
  <c r="CB92" i="9"/>
  <c r="BN92" i="9"/>
  <c r="AZ92" i="9"/>
  <c r="AI92" i="9"/>
  <c r="DR91" i="9"/>
  <c r="DH91" i="9"/>
  <c r="DG91" i="9"/>
  <c r="DF91" i="9"/>
  <c r="DC91" i="9"/>
  <c r="DB91" i="9"/>
  <c r="DA91" i="9"/>
  <c r="CZ91" i="9"/>
  <c r="CY91" i="9"/>
  <c r="CX91" i="9"/>
  <c r="CW91" i="9"/>
  <c r="CV91" i="9"/>
  <c r="CU91" i="9"/>
  <c r="CT91" i="9"/>
  <c r="CR91" i="9"/>
  <c r="CO91" i="9"/>
  <c r="CJ91" i="9"/>
  <c r="CH91" i="9"/>
  <c r="CG91" i="9"/>
  <c r="CF91" i="9"/>
  <c r="CE91" i="9"/>
  <c r="CD91" i="9"/>
  <c r="CA91" i="9"/>
  <c r="BZ91" i="9"/>
  <c r="BY91" i="9"/>
  <c r="BX91" i="9"/>
  <c r="BW91" i="9"/>
  <c r="BV91" i="9"/>
  <c r="BU91" i="9"/>
  <c r="BT91" i="9"/>
  <c r="BS91" i="9"/>
  <c r="BR91" i="9"/>
  <c r="BQ91" i="9"/>
  <c r="BP91" i="9"/>
  <c r="BM91" i="9"/>
  <c r="BL91" i="9"/>
  <c r="BK91" i="9"/>
  <c r="BJ91" i="9"/>
  <c r="BI91" i="9"/>
  <c r="BH91" i="9"/>
  <c r="BG91" i="9"/>
  <c r="BF91" i="9"/>
  <c r="BE91" i="9"/>
  <c r="BD91" i="9"/>
  <c r="BC91" i="9"/>
  <c r="BB91" i="9"/>
  <c r="AY91" i="9"/>
  <c r="AX91" i="9"/>
  <c r="AW91" i="9"/>
  <c r="AV91" i="9"/>
  <c r="AU91" i="9"/>
  <c r="AT91" i="9"/>
  <c r="AS91" i="9"/>
  <c r="AR91" i="9"/>
  <c r="AQ91" i="9"/>
  <c r="AP91" i="9"/>
  <c r="AM91" i="9"/>
  <c r="DR90" i="9"/>
  <c r="DI90" i="9"/>
  <c r="CB90" i="9"/>
  <c r="BN90" i="9"/>
  <c r="AZ90" i="9"/>
  <c r="AI90" i="9"/>
  <c r="AL90" i="9" s="1"/>
  <c r="DR89" i="9"/>
  <c r="DI89" i="9"/>
  <c r="CB89" i="9"/>
  <c r="BN89" i="9"/>
  <c r="AZ89" i="9"/>
  <c r="AI89" i="9"/>
  <c r="AL89" i="9" s="1"/>
  <c r="DR88" i="9"/>
  <c r="DI88" i="9"/>
  <c r="CB88" i="9"/>
  <c r="BN88" i="9"/>
  <c r="AZ88" i="9"/>
  <c r="AI88" i="9"/>
  <c r="AL88" i="9" s="1"/>
  <c r="DR87" i="9"/>
  <c r="DI87" i="9"/>
  <c r="DD87" i="9"/>
  <c r="CI87" i="9"/>
  <c r="CI86" i="9" s="1"/>
  <c r="CG87" i="9"/>
  <c r="CE87" i="9"/>
  <c r="CE86" i="9" s="1"/>
  <c r="CB87" i="9"/>
  <c r="BN87" i="9"/>
  <c r="AZ87" i="9"/>
  <c r="AI87" i="9"/>
  <c r="DR86" i="9"/>
  <c r="DH86" i="9"/>
  <c r="DG86" i="9"/>
  <c r="DF86" i="9"/>
  <c r="DC86" i="9"/>
  <c r="DA86" i="9"/>
  <c r="CZ86" i="9"/>
  <c r="CX86" i="9"/>
  <c r="CV86" i="9"/>
  <c r="CT86" i="9"/>
  <c r="CR86" i="9"/>
  <c r="CO86" i="9"/>
  <c r="CN86" i="9"/>
  <c r="CL86" i="9"/>
  <c r="CK86" i="9"/>
  <c r="CH86" i="9"/>
  <c r="CF86" i="9"/>
  <c r="CD86" i="9"/>
  <c r="CA86" i="9"/>
  <c r="BZ86" i="9"/>
  <c r="BY86" i="9"/>
  <c r="BX86" i="9"/>
  <c r="BW86" i="9"/>
  <c r="BV86" i="9"/>
  <c r="BU86" i="9"/>
  <c r="BT86" i="9"/>
  <c r="BS86" i="9"/>
  <c r="BR86" i="9"/>
  <c r="BQ86" i="9"/>
  <c r="BP86" i="9"/>
  <c r="BM86" i="9"/>
  <c r="BL86" i="9"/>
  <c r="BK86" i="9"/>
  <c r="BJ86" i="9"/>
  <c r="BI86" i="9"/>
  <c r="BH86" i="9"/>
  <c r="BG86" i="9"/>
  <c r="BF86" i="9"/>
  <c r="BE86" i="9"/>
  <c r="BD86" i="9"/>
  <c r="BC86" i="9"/>
  <c r="BB86" i="9"/>
  <c r="AY86" i="9"/>
  <c r="AX86" i="9"/>
  <c r="AW86" i="9"/>
  <c r="AV86" i="9"/>
  <c r="AU86" i="9"/>
  <c r="AT86" i="9"/>
  <c r="AS86" i="9"/>
  <c r="AR86" i="9"/>
  <c r="AQ86" i="9"/>
  <c r="AP86" i="9"/>
  <c r="AM86" i="9"/>
  <c r="DR85" i="9"/>
  <c r="DI85" i="9"/>
  <c r="CB85" i="9"/>
  <c r="BN85" i="9"/>
  <c r="AZ85" i="9"/>
  <c r="AI85" i="9"/>
  <c r="AL85" i="9" s="1"/>
  <c r="CK85" i="9" s="1"/>
  <c r="DR84" i="9"/>
  <c r="DI84" i="9"/>
  <c r="CB84" i="9"/>
  <c r="BN84" i="9"/>
  <c r="AZ84" i="9"/>
  <c r="AI84" i="9"/>
  <c r="AL84" i="9" s="1"/>
  <c r="DR83" i="9"/>
  <c r="DI83" i="9"/>
  <c r="CB83" i="9"/>
  <c r="BN83" i="9"/>
  <c r="AZ83" i="9"/>
  <c r="AI83" i="9"/>
  <c r="AL83" i="9" s="1"/>
  <c r="AN83" i="9" s="1"/>
  <c r="DR82" i="9"/>
  <c r="DI82" i="9"/>
  <c r="CB82" i="9"/>
  <c r="BN82" i="9"/>
  <c r="AZ82" i="9"/>
  <c r="AI82" i="9"/>
  <c r="AL82" i="9" s="1"/>
  <c r="CK82" i="9" s="1"/>
  <c r="DR81" i="9"/>
  <c r="DH81" i="9"/>
  <c r="DG81" i="9"/>
  <c r="DF81" i="9"/>
  <c r="DC81" i="9"/>
  <c r="DB81" i="9"/>
  <c r="DA81" i="9"/>
  <c r="CZ81" i="9"/>
  <c r="CY81" i="9"/>
  <c r="CX81" i="9"/>
  <c r="CW81" i="9"/>
  <c r="CV81" i="9"/>
  <c r="CU81" i="9"/>
  <c r="CS81" i="9"/>
  <c r="CR81" i="9"/>
  <c r="CN81" i="9"/>
  <c r="CM81" i="9"/>
  <c r="CL81" i="9"/>
  <c r="CJ81" i="9"/>
  <c r="CI81" i="9"/>
  <c r="CH81" i="9"/>
  <c r="CG81" i="9"/>
  <c r="CF81" i="9"/>
  <c r="CE81" i="9"/>
  <c r="CD81" i="9"/>
  <c r="CA81" i="9"/>
  <c r="BZ81" i="9"/>
  <c r="BY81" i="9"/>
  <c r="BX81" i="9"/>
  <c r="BW81" i="9"/>
  <c r="BV81" i="9"/>
  <c r="BU81" i="9"/>
  <c r="BT81" i="9"/>
  <c r="BS81" i="9"/>
  <c r="BR81" i="9"/>
  <c r="BQ81" i="9"/>
  <c r="BP81" i="9"/>
  <c r="BM81" i="9"/>
  <c r="BL81" i="9"/>
  <c r="BK81" i="9"/>
  <c r="BJ81" i="9"/>
  <c r="BI81" i="9"/>
  <c r="BH81" i="9"/>
  <c r="BG81" i="9"/>
  <c r="BF81" i="9"/>
  <c r="BE81" i="9"/>
  <c r="BD81" i="9"/>
  <c r="BC81" i="9"/>
  <c r="BB81" i="9"/>
  <c r="AY81" i="9"/>
  <c r="AX81" i="9"/>
  <c r="AW81" i="9"/>
  <c r="AV81" i="9"/>
  <c r="AU81" i="9"/>
  <c r="AT81" i="9"/>
  <c r="AS81" i="9"/>
  <c r="AR81" i="9"/>
  <c r="AQ81" i="9"/>
  <c r="AP81" i="9"/>
  <c r="AM81" i="9"/>
  <c r="DR80" i="9"/>
  <c r="DI80" i="9"/>
  <c r="DB80" i="9"/>
  <c r="DB78" i="9" s="1"/>
  <c r="CX80" i="9"/>
  <c r="CX78" i="9" s="1"/>
  <c r="CU80" i="9"/>
  <c r="CU78" i="9" s="1"/>
  <c r="CS80" i="9"/>
  <c r="CS78" i="9" s="1"/>
  <c r="CR80" i="9"/>
  <c r="CL80" i="9"/>
  <c r="CL78" i="9" s="1"/>
  <c r="CI80" i="9"/>
  <c r="CI78" i="9" s="1"/>
  <c r="CB80" i="9"/>
  <c r="BN80" i="9"/>
  <c r="AZ80" i="9"/>
  <c r="AI80" i="9"/>
  <c r="AL80" i="9" s="1"/>
  <c r="AN80" i="9" s="1"/>
  <c r="DR79" i="9"/>
  <c r="DI79" i="9"/>
  <c r="DD79" i="9"/>
  <c r="CB79" i="9"/>
  <c r="BN79" i="9"/>
  <c r="AZ79" i="9"/>
  <c r="AI79" i="9"/>
  <c r="AL79" i="9" s="1"/>
  <c r="CF79" i="9" s="1"/>
  <c r="CF78" i="9" s="1"/>
  <c r="DR78" i="9"/>
  <c r="DH78" i="9"/>
  <c r="DG78" i="9"/>
  <c r="DF78" i="9"/>
  <c r="DC78" i="9"/>
  <c r="DA78" i="9"/>
  <c r="CZ78" i="9"/>
  <c r="CY78" i="9"/>
  <c r="CW78" i="9"/>
  <c r="CV78" i="9"/>
  <c r="CT78" i="9"/>
  <c r="CO78" i="9"/>
  <c r="CN78" i="9"/>
  <c r="CM78" i="9"/>
  <c r="CK78" i="9"/>
  <c r="CJ78" i="9"/>
  <c r="CH78" i="9"/>
  <c r="CG78" i="9"/>
  <c r="CE78" i="9"/>
  <c r="CD78" i="9"/>
  <c r="CA78" i="9"/>
  <c r="BZ78" i="9"/>
  <c r="BY78" i="9"/>
  <c r="BX78" i="9"/>
  <c r="BW78" i="9"/>
  <c r="BV78" i="9"/>
  <c r="BU78" i="9"/>
  <c r="BT78" i="9"/>
  <c r="BS78" i="9"/>
  <c r="BR78" i="9"/>
  <c r="BQ78" i="9"/>
  <c r="BP78" i="9"/>
  <c r="BM78" i="9"/>
  <c r="BL78" i="9"/>
  <c r="BK78" i="9"/>
  <c r="BJ78" i="9"/>
  <c r="BI78" i="9"/>
  <c r="BH78" i="9"/>
  <c r="BG78" i="9"/>
  <c r="BF78" i="9"/>
  <c r="BE78" i="9"/>
  <c r="BD78" i="9"/>
  <c r="BC78" i="9"/>
  <c r="BB78" i="9"/>
  <c r="AY78" i="9"/>
  <c r="AX78" i="9"/>
  <c r="AW78" i="9"/>
  <c r="AV78" i="9"/>
  <c r="AU78" i="9"/>
  <c r="AT78" i="9"/>
  <c r="AS78" i="9"/>
  <c r="AR78" i="9"/>
  <c r="AQ78" i="9"/>
  <c r="AP78" i="9"/>
  <c r="AM78" i="9"/>
  <c r="DR77" i="9"/>
  <c r="DI77" i="9"/>
  <c r="DD77" i="9"/>
  <c r="CL77" i="9"/>
  <c r="CL75" i="9" s="1"/>
  <c r="CI77" i="9"/>
  <c r="CI75" i="9" s="1"/>
  <c r="CF77" i="9"/>
  <c r="CB77" i="9"/>
  <c r="BN77" i="9"/>
  <c r="AZ77" i="9"/>
  <c r="AI77" i="9"/>
  <c r="AL77" i="9" s="1"/>
  <c r="AN77" i="9" s="1"/>
  <c r="DR76" i="9"/>
  <c r="DI76" i="9"/>
  <c r="DD76" i="9"/>
  <c r="CP76" i="9"/>
  <c r="CB76" i="9"/>
  <c r="BN76" i="9"/>
  <c r="AZ76" i="9"/>
  <c r="AI76" i="9"/>
  <c r="DR75" i="9"/>
  <c r="DH75" i="9"/>
  <c r="DG75" i="9"/>
  <c r="DF75" i="9"/>
  <c r="DC75" i="9"/>
  <c r="DB75" i="9"/>
  <c r="DA75" i="9"/>
  <c r="CZ75" i="9"/>
  <c r="CY75" i="9"/>
  <c r="CX75" i="9"/>
  <c r="CW75" i="9"/>
  <c r="CV75" i="9"/>
  <c r="CU75" i="9"/>
  <c r="CT75" i="9"/>
  <c r="CS75" i="9"/>
  <c r="CR75" i="9"/>
  <c r="CO75" i="9"/>
  <c r="CN75" i="9"/>
  <c r="CM75" i="9"/>
  <c r="CK75" i="9"/>
  <c r="CJ75" i="9"/>
  <c r="CH75" i="9"/>
  <c r="CG75" i="9"/>
  <c r="CE75" i="9"/>
  <c r="CD75" i="9"/>
  <c r="CA75" i="9"/>
  <c r="BZ75" i="9"/>
  <c r="BY75" i="9"/>
  <c r="BX75" i="9"/>
  <c r="BW75" i="9"/>
  <c r="BV75" i="9"/>
  <c r="BU75" i="9"/>
  <c r="BT75" i="9"/>
  <c r="BS75" i="9"/>
  <c r="BR75" i="9"/>
  <c r="BQ75" i="9"/>
  <c r="BP75" i="9"/>
  <c r="BM75" i="9"/>
  <c r="BL75" i="9"/>
  <c r="BK75" i="9"/>
  <c r="BJ75" i="9"/>
  <c r="BI75" i="9"/>
  <c r="BH75" i="9"/>
  <c r="BG75" i="9"/>
  <c r="BF75" i="9"/>
  <c r="BE75" i="9"/>
  <c r="BD75" i="9"/>
  <c r="BC75" i="9"/>
  <c r="BB75" i="9"/>
  <c r="AY75" i="9"/>
  <c r="AX75" i="9"/>
  <c r="AW75" i="9"/>
  <c r="AV75" i="9"/>
  <c r="AU75" i="9"/>
  <c r="AT75" i="9"/>
  <c r="AS75" i="9"/>
  <c r="AR75" i="9"/>
  <c r="AQ75" i="9"/>
  <c r="AP75" i="9"/>
  <c r="AM75" i="9"/>
  <c r="DR74" i="9"/>
  <c r="DE74" i="9"/>
  <c r="DE73" i="9" s="1"/>
  <c r="CQ74" i="9"/>
  <c r="CQ73" i="9" s="1"/>
  <c r="CC74" i="9"/>
  <c r="CC73" i="9" s="1"/>
  <c r="BO74" i="9"/>
  <c r="BO73" i="9" s="1"/>
  <c r="BA74" i="9"/>
  <c r="BA73" i="9" s="1"/>
  <c r="DR73" i="9"/>
  <c r="DR72" i="9"/>
  <c r="DI72" i="9"/>
  <c r="DD72" i="9"/>
  <c r="CP72" i="9"/>
  <c r="CB72" i="9"/>
  <c r="BN72" i="9"/>
  <c r="AZ72" i="9"/>
  <c r="AL72" i="9"/>
  <c r="AN72" i="9" s="1"/>
  <c r="DI71" i="9"/>
  <c r="DJ71" i="9" s="1"/>
  <c r="DR70" i="9"/>
  <c r="DI70" i="9"/>
  <c r="CB70" i="9"/>
  <c r="BN70" i="9"/>
  <c r="AZ70" i="9"/>
  <c r="AI70" i="9"/>
  <c r="DR69" i="9"/>
  <c r="DI69" i="9"/>
  <c r="DD69" i="9"/>
  <c r="CP69" i="9"/>
  <c r="BZ69" i="9"/>
  <c r="BZ68" i="9" s="1"/>
  <c r="BY69" i="9"/>
  <c r="BY68" i="9" s="1"/>
  <c r="BX69" i="9"/>
  <c r="BX68" i="9" s="1"/>
  <c r="BN69" i="9"/>
  <c r="AZ69" i="9"/>
  <c r="AI69" i="9"/>
  <c r="DR68" i="9"/>
  <c r="DH68" i="9"/>
  <c r="DG68" i="9"/>
  <c r="DF68" i="9"/>
  <c r="DC68" i="9"/>
  <c r="DB68" i="9"/>
  <c r="DA68" i="9"/>
  <c r="CZ68" i="9"/>
  <c r="CY68" i="9"/>
  <c r="CW68" i="9"/>
  <c r="CV68" i="9"/>
  <c r="CU68" i="9"/>
  <c r="CS68" i="9"/>
  <c r="CR68" i="9"/>
  <c r="CO68" i="9"/>
  <c r="CM68" i="9"/>
  <c r="CL68" i="9"/>
  <c r="CK68" i="9"/>
  <c r="CI68" i="9"/>
  <c r="CH68" i="9"/>
  <c r="CG68" i="9"/>
  <c r="CF68" i="9"/>
  <c r="CE68" i="9"/>
  <c r="CD68" i="9"/>
  <c r="CA68" i="9"/>
  <c r="BW68" i="9"/>
  <c r="BV68" i="9"/>
  <c r="BU68" i="9"/>
  <c r="BT68" i="9"/>
  <c r="BS68" i="9"/>
  <c r="BR68" i="9"/>
  <c r="BQ68" i="9"/>
  <c r="BP68" i="9"/>
  <c r="BM68" i="9"/>
  <c r="BL68" i="9"/>
  <c r="BK68" i="9"/>
  <c r="BJ68" i="9"/>
  <c r="BI68" i="9"/>
  <c r="BH68" i="9"/>
  <c r="BG68" i="9"/>
  <c r="BF68" i="9"/>
  <c r="BE68" i="9"/>
  <c r="BD68" i="9"/>
  <c r="BC68" i="9"/>
  <c r="BB68" i="9"/>
  <c r="AY68" i="9"/>
  <c r="AX68" i="9"/>
  <c r="AW68" i="9"/>
  <c r="AV68" i="9"/>
  <c r="AU68" i="9"/>
  <c r="AT68" i="9"/>
  <c r="AS68" i="9"/>
  <c r="AR68" i="9"/>
  <c r="AQ68" i="9"/>
  <c r="AP68" i="9"/>
  <c r="AM68" i="9"/>
  <c r="DR66" i="9"/>
  <c r="DH66" i="9"/>
  <c r="DH62" i="9" s="1"/>
  <c r="DH61" i="9" s="1"/>
  <c r="DG66" i="9"/>
  <c r="DG62" i="9" s="1"/>
  <c r="DG61" i="9" s="1"/>
  <c r="DF66" i="9"/>
  <c r="DF62" i="9" s="1"/>
  <c r="DF61" i="9" s="1"/>
  <c r="DC66" i="9"/>
  <c r="DC62" i="9" s="1"/>
  <c r="DC61" i="9" s="1"/>
  <c r="DB66" i="9"/>
  <c r="DB62" i="9" s="1"/>
  <c r="DB61" i="9" s="1"/>
  <c r="DA66" i="9"/>
  <c r="DA62" i="9" s="1"/>
  <c r="DA61" i="9" s="1"/>
  <c r="CZ66" i="9"/>
  <c r="CZ62" i="9" s="1"/>
  <c r="CZ61" i="9" s="1"/>
  <c r="CY66" i="9"/>
  <c r="CY62" i="9" s="1"/>
  <c r="CY61" i="9" s="1"/>
  <c r="CX66" i="9"/>
  <c r="CX62" i="9" s="1"/>
  <c r="CX61" i="9" s="1"/>
  <c r="CW66" i="9"/>
  <c r="CW62" i="9" s="1"/>
  <c r="CW61" i="9" s="1"/>
  <c r="CV66" i="9"/>
  <c r="CV62" i="9" s="1"/>
  <c r="CV61" i="9" s="1"/>
  <c r="CU66" i="9"/>
  <c r="CU62" i="9" s="1"/>
  <c r="CU61" i="9" s="1"/>
  <c r="CT66" i="9"/>
  <c r="CS66" i="9"/>
  <c r="CS62" i="9" s="1"/>
  <c r="CS61" i="9" s="1"/>
  <c r="CR66" i="9"/>
  <c r="CO66" i="9"/>
  <c r="CO62" i="9" s="1"/>
  <c r="CO61" i="9" s="1"/>
  <c r="CN66" i="9"/>
  <c r="CN62" i="9" s="1"/>
  <c r="CN61" i="9" s="1"/>
  <c r="CM66" i="9"/>
  <c r="CM62" i="9" s="1"/>
  <c r="CM61" i="9" s="1"/>
  <c r="CL66" i="9"/>
  <c r="CK66" i="9"/>
  <c r="CK62" i="9" s="1"/>
  <c r="CK61" i="9" s="1"/>
  <c r="CJ66" i="9"/>
  <c r="CJ62" i="9" s="1"/>
  <c r="CJ61" i="9" s="1"/>
  <c r="CI66" i="9"/>
  <c r="CH66" i="9"/>
  <c r="CH62" i="9" s="1"/>
  <c r="CH61" i="9" s="1"/>
  <c r="CG66" i="9"/>
  <c r="CG62" i="9" s="1"/>
  <c r="CG61" i="9" s="1"/>
  <c r="CF66" i="9"/>
  <c r="CE66" i="9"/>
  <c r="CE62" i="9" s="1"/>
  <c r="CE61" i="9" s="1"/>
  <c r="CD66" i="9"/>
  <c r="CD62" i="9" s="1"/>
  <c r="CA66" i="9"/>
  <c r="CA62" i="9" s="1"/>
  <c r="CA61" i="9" s="1"/>
  <c r="BZ66" i="9"/>
  <c r="BZ62" i="9" s="1"/>
  <c r="BZ61" i="9" s="1"/>
  <c r="BY66" i="9"/>
  <c r="BY62" i="9" s="1"/>
  <c r="BY61" i="9" s="1"/>
  <c r="BX66" i="9"/>
  <c r="BX62" i="9" s="1"/>
  <c r="BX61" i="9" s="1"/>
  <c r="BW66" i="9"/>
  <c r="BW62" i="9" s="1"/>
  <c r="BW61" i="9" s="1"/>
  <c r="BV66" i="9"/>
  <c r="BV62" i="9" s="1"/>
  <c r="BV61" i="9" s="1"/>
  <c r="BU66" i="9"/>
  <c r="BU62" i="9" s="1"/>
  <c r="BU61" i="9" s="1"/>
  <c r="BT66" i="9"/>
  <c r="BT62" i="9" s="1"/>
  <c r="BT61" i="9" s="1"/>
  <c r="BS66" i="9"/>
  <c r="BR66" i="9"/>
  <c r="BQ66" i="9"/>
  <c r="BQ62" i="9" s="1"/>
  <c r="BQ61" i="9" s="1"/>
  <c r="BP66" i="9"/>
  <c r="BP62" i="9" s="1"/>
  <c r="BP61" i="9" s="1"/>
  <c r="BM66" i="9"/>
  <c r="BL66" i="9"/>
  <c r="BL62" i="9" s="1"/>
  <c r="BL61" i="9" s="1"/>
  <c r="BK66" i="9"/>
  <c r="BK62" i="9" s="1"/>
  <c r="BK61" i="9" s="1"/>
  <c r="BJ66" i="9"/>
  <c r="BJ62" i="9" s="1"/>
  <c r="BJ61" i="9" s="1"/>
  <c r="BI66" i="9"/>
  <c r="BH66" i="9"/>
  <c r="BG66" i="9"/>
  <c r="BG62" i="9" s="1"/>
  <c r="BG61" i="9" s="1"/>
  <c r="BF66" i="9"/>
  <c r="BF62" i="9" s="1"/>
  <c r="BF61" i="9" s="1"/>
  <c r="BE66" i="9"/>
  <c r="BE62" i="9" s="1"/>
  <c r="BE61" i="9" s="1"/>
  <c r="BD66" i="9"/>
  <c r="BD62" i="9" s="1"/>
  <c r="BD61" i="9" s="1"/>
  <c r="BC66" i="9"/>
  <c r="BC62" i="9" s="1"/>
  <c r="BC61" i="9" s="1"/>
  <c r="BB66" i="9"/>
  <c r="BB62" i="9" s="1"/>
  <c r="AY66" i="9"/>
  <c r="AY62" i="9" s="1"/>
  <c r="AY61" i="9" s="1"/>
  <c r="AX66" i="9"/>
  <c r="AX62" i="9" s="1"/>
  <c r="AX61" i="9" s="1"/>
  <c r="AW66" i="9"/>
  <c r="AW62" i="9" s="1"/>
  <c r="AW61" i="9" s="1"/>
  <c r="AV66" i="9"/>
  <c r="AV62" i="9" s="1"/>
  <c r="AV61" i="9" s="1"/>
  <c r="AU66" i="9"/>
  <c r="AU62" i="9" s="1"/>
  <c r="AU61" i="9" s="1"/>
  <c r="AT66" i="9"/>
  <c r="AT62" i="9" s="1"/>
  <c r="AT61" i="9" s="1"/>
  <c r="AS66" i="9"/>
  <c r="AS62" i="9" s="1"/>
  <c r="AS61" i="9" s="1"/>
  <c r="AR66" i="9"/>
  <c r="AR62" i="9" s="1"/>
  <c r="AR61" i="9" s="1"/>
  <c r="AQ66" i="9"/>
  <c r="AQ62" i="9" s="1"/>
  <c r="AQ61" i="9" s="1"/>
  <c r="AP66" i="9"/>
  <c r="AP62" i="9" s="1"/>
  <c r="DR65" i="9"/>
  <c r="DI65" i="9"/>
  <c r="DD65" i="9"/>
  <c r="CP65" i="9"/>
  <c r="CB65" i="9"/>
  <c r="BN65" i="9"/>
  <c r="AZ65" i="9"/>
  <c r="DR64" i="9"/>
  <c r="DI64" i="9"/>
  <c r="CB64" i="9"/>
  <c r="BN64" i="9"/>
  <c r="AZ64" i="9"/>
  <c r="DR63" i="9"/>
  <c r="DI63" i="9"/>
  <c r="DD63" i="9"/>
  <c r="CP63" i="9"/>
  <c r="BS63" i="9"/>
  <c r="BR63" i="9"/>
  <c r="BM63" i="9"/>
  <c r="BI63" i="9"/>
  <c r="BH63" i="9"/>
  <c r="AZ63" i="9"/>
  <c r="AI63" i="9"/>
  <c r="AL63" i="9" s="1"/>
  <c r="AN63" i="9" s="1"/>
  <c r="DR62" i="9"/>
  <c r="AM62" i="9"/>
  <c r="AM61" i="9" s="1"/>
  <c r="DR61" i="9"/>
  <c r="DE61" i="9"/>
  <c r="CQ61" i="9"/>
  <c r="CC61" i="9"/>
  <c r="BO61" i="9"/>
  <c r="DR60" i="9"/>
  <c r="DI60" i="9"/>
  <c r="DD60" i="9"/>
  <c r="CO60" i="9"/>
  <c r="CL60" i="9"/>
  <c r="CI60" i="9"/>
  <c r="CF60" i="9"/>
  <c r="CA60" i="9"/>
  <c r="BX60" i="9"/>
  <c r="BN60" i="9"/>
  <c r="AZ60" i="9"/>
  <c r="AI60" i="9"/>
  <c r="AL60" i="9" s="1"/>
  <c r="AN60" i="9" s="1"/>
  <c r="DR59" i="9"/>
  <c r="DI59" i="9"/>
  <c r="DD59" i="9"/>
  <c r="CO59" i="9"/>
  <c r="CL59" i="9"/>
  <c r="CI59" i="9"/>
  <c r="CF59" i="9"/>
  <c r="CA59" i="9"/>
  <c r="BX59" i="9"/>
  <c r="BN59" i="9"/>
  <c r="AZ59" i="9"/>
  <c r="AI59" i="9"/>
  <c r="AL59" i="9" s="1"/>
  <c r="AN59" i="9" s="1"/>
  <c r="DR58" i="9"/>
  <c r="DI58" i="9"/>
  <c r="CP58" i="9"/>
  <c r="CB58" i="9"/>
  <c r="BN58" i="9"/>
  <c r="AZ58" i="9"/>
  <c r="AI58" i="9"/>
  <c r="CT58" i="9" s="1"/>
  <c r="CT53" i="9" s="1"/>
  <c r="DR57" i="9"/>
  <c r="DI57" i="9"/>
  <c r="DD57" i="9"/>
  <c r="CK57" i="9"/>
  <c r="CJ57" i="9"/>
  <c r="CJ53" i="9" s="1"/>
  <c r="CI57" i="9"/>
  <c r="CB57" i="9"/>
  <c r="BN57" i="9"/>
  <c r="AZ57" i="9"/>
  <c r="AI57" i="9"/>
  <c r="AL57" i="9" s="1"/>
  <c r="AN57" i="9" s="1"/>
  <c r="DR56" i="9"/>
  <c r="DI56" i="9"/>
  <c r="CB56" i="9"/>
  <c r="BN56" i="9"/>
  <c r="AZ56" i="9"/>
  <c r="AH56" i="9"/>
  <c r="CV56" i="9" s="1"/>
  <c r="CV53" i="9" s="1"/>
  <c r="DR55" i="9"/>
  <c r="DI55" i="9"/>
  <c r="DD55" i="9"/>
  <c r="CP55" i="9"/>
  <c r="CB55" i="9"/>
  <c r="BK55" i="9"/>
  <c r="BK53" i="9" s="1"/>
  <c r="BJ55" i="9"/>
  <c r="BJ53" i="9" s="1"/>
  <c r="BI55" i="9"/>
  <c r="BI53" i="9" s="1"/>
  <c r="AZ55" i="9"/>
  <c r="AL55" i="9"/>
  <c r="AN55" i="9" s="1"/>
  <c r="DR54" i="9"/>
  <c r="DI54" i="9"/>
  <c r="DD54" i="9"/>
  <c r="CP54" i="9"/>
  <c r="CB54" i="9"/>
  <c r="BF54" i="9"/>
  <c r="BF53" i="9" s="1"/>
  <c r="BE54" i="9"/>
  <c r="BE53" i="9" s="1"/>
  <c r="BD54" i="9"/>
  <c r="BD53" i="9" s="1"/>
  <c r="BC54" i="9"/>
  <c r="BC53" i="9" s="1"/>
  <c r="BB54" i="9"/>
  <c r="BB53" i="9" s="1"/>
  <c r="AZ54" i="9"/>
  <c r="AL54" i="9"/>
  <c r="AN54" i="9" s="1"/>
  <c r="DR53" i="9"/>
  <c r="DH53" i="9"/>
  <c r="DG53" i="9"/>
  <c r="DF53" i="9"/>
  <c r="DE53" i="9"/>
  <c r="DC53" i="9"/>
  <c r="DB53" i="9"/>
  <c r="DA53" i="9"/>
  <c r="CY53" i="9"/>
  <c r="CX53" i="9"/>
  <c r="CU53" i="9"/>
  <c r="CR53" i="9"/>
  <c r="CQ53" i="9"/>
  <c r="CM53" i="9"/>
  <c r="CG53" i="9"/>
  <c r="CD53" i="9"/>
  <c r="CC53" i="9"/>
  <c r="BZ53" i="9"/>
  <c r="BY53" i="9"/>
  <c r="BW53" i="9"/>
  <c r="BV53" i="9"/>
  <c r="BU53" i="9"/>
  <c r="BT53" i="9"/>
  <c r="BS53" i="9"/>
  <c r="BR53" i="9"/>
  <c r="BQ53" i="9"/>
  <c r="BP53" i="9"/>
  <c r="BO53" i="9"/>
  <c r="BM53" i="9"/>
  <c r="BL53" i="9"/>
  <c r="BH53" i="9"/>
  <c r="BG53" i="9"/>
  <c r="AY53" i="9"/>
  <c r="AX53" i="9"/>
  <c r="AW53" i="9"/>
  <c r="AV53" i="9"/>
  <c r="AU53" i="9"/>
  <c r="AT53" i="9"/>
  <c r="AS53" i="9"/>
  <c r="AR53" i="9"/>
  <c r="AQ53" i="9"/>
  <c r="AP53" i="9"/>
  <c r="AM53" i="9"/>
  <c r="DR52" i="9"/>
  <c r="DR51" i="9"/>
  <c r="DI51" i="9"/>
  <c r="DD51" i="9"/>
  <c r="CP51" i="9"/>
  <c r="CB51" i="9"/>
  <c r="BN51" i="9"/>
  <c r="AZ51" i="9"/>
  <c r="AL51" i="9"/>
  <c r="AN51" i="9" s="1"/>
  <c r="DI49" i="9"/>
  <c r="DD49" i="9"/>
  <c r="CP49" i="9"/>
  <c r="CB49" i="9"/>
  <c r="BN49" i="9"/>
  <c r="AI49" i="9"/>
  <c r="AL49" i="9" s="1"/>
  <c r="AN49" i="9" s="1"/>
  <c r="DI48" i="9"/>
  <c r="DD48" i="9"/>
  <c r="CP48" i="9"/>
  <c r="BN48" i="9"/>
  <c r="AI48" i="9"/>
  <c r="BT48" i="9" s="1"/>
  <c r="DI47" i="9"/>
  <c r="DD47" i="9"/>
  <c r="CP47" i="9"/>
  <c r="AI47" i="9"/>
  <c r="BS47" i="9" s="1"/>
  <c r="DI46" i="9"/>
  <c r="DD46" i="9"/>
  <c r="CP46" i="9"/>
  <c r="AI46" i="9"/>
  <c r="DI45" i="9"/>
  <c r="DD45" i="9"/>
  <c r="CP45" i="9"/>
  <c r="AZ45" i="9"/>
  <c r="AI45" i="9"/>
  <c r="DR44" i="9"/>
  <c r="DH44" i="9"/>
  <c r="DG44" i="9"/>
  <c r="DF44" i="9"/>
  <c r="DC44" i="9"/>
  <c r="DB44" i="9"/>
  <c r="DA44" i="9"/>
  <c r="CZ44" i="9"/>
  <c r="CY44" i="9"/>
  <c r="CX44" i="9"/>
  <c r="CW44" i="9"/>
  <c r="CV44" i="9"/>
  <c r="CU44" i="9"/>
  <c r="CT44" i="9"/>
  <c r="CS44" i="9"/>
  <c r="CR44" i="9"/>
  <c r="CO44" i="9"/>
  <c r="CN44" i="9"/>
  <c r="CM44" i="9"/>
  <c r="CL44" i="9"/>
  <c r="CK44" i="9"/>
  <c r="CJ44" i="9"/>
  <c r="CI44" i="9"/>
  <c r="CH44" i="9"/>
  <c r="CG44" i="9"/>
  <c r="CF44" i="9"/>
  <c r="CE44" i="9"/>
  <c r="CD44" i="9"/>
  <c r="CA44" i="9"/>
  <c r="BZ44" i="9"/>
  <c r="BY44" i="9"/>
  <c r="BX44" i="9"/>
  <c r="BW44" i="9"/>
  <c r="BJ44" i="9"/>
  <c r="BI44" i="9"/>
  <c r="BH44" i="9"/>
  <c r="BG44" i="9"/>
  <c r="BF44" i="9"/>
  <c r="BE44" i="9"/>
  <c r="BD44" i="9"/>
  <c r="BC44" i="9"/>
  <c r="BB44" i="9"/>
  <c r="AY44" i="9"/>
  <c r="AX44" i="9"/>
  <c r="AW44" i="9"/>
  <c r="AV44" i="9"/>
  <c r="AU44" i="9"/>
  <c r="AT44" i="9"/>
  <c r="AS44" i="9"/>
  <c r="AR44" i="9"/>
  <c r="AQ44" i="9"/>
  <c r="AP44" i="9"/>
  <c r="AM44" i="9"/>
  <c r="DI43" i="9"/>
  <c r="DD43" i="9"/>
  <c r="CH43" i="9"/>
  <c r="CG43" i="9"/>
  <c r="CF43" i="9"/>
  <c r="CE43" i="9"/>
  <c r="CD43" i="9"/>
  <c r="CA43" i="9"/>
  <c r="BZ43" i="9"/>
  <c r="BY43" i="9"/>
  <c r="BX43" i="9"/>
  <c r="BW43" i="9"/>
  <c r="BV43" i="9"/>
  <c r="BU43" i="9"/>
  <c r="BT43" i="9"/>
  <c r="AI43" i="9"/>
  <c r="AL43" i="9" s="1"/>
  <c r="AN43" i="9" s="1"/>
  <c r="DI42" i="9"/>
  <c r="DD42" i="9"/>
  <c r="CH42" i="9"/>
  <c r="CG42" i="9"/>
  <c r="CF42" i="9"/>
  <c r="CE42" i="9"/>
  <c r="CD42" i="9"/>
  <c r="CA42" i="9"/>
  <c r="BZ42" i="9"/>
  <c r="BY42" i="9"/>
  <c r="BX42" i="9"/>
  <c r="BW42" i="9"/>
  <c r="BV42" i="9"/>
  <c r="BU42" i="9"/>
  <c r="BT42" i="9"/>
  <c r="AI42" i="9"/>
  <c r="AL42" i="9" s="1"/>
  <c r="AN42" i="9" s="1"/>
  <c r="DR41" i="9"/>
  <c r="DI41" i="9"/>
  <c r="DD41" i="9"/>
  <c r="CP41" i="9"/>
  <c r="AZ41" i="9"/>
  <c r="AI41" i="9"/>
  <c r="BX41" i="9" s="1"/>
  <c r="DR40" i="9"/>
  <c r="DI40" i="9"/>
  <c r="DD40" i="9"/>
  <c r="CP40" i="9"/>
  <c r="AZ40" i="9"/>
  <c r="AI40" i="9"/>
  <c r="BH40" i="9" s="1"/>
  <c r="BH39" i="9" s="1"/>
  <c r="DR39" i="9"/>
  <c r="DH39" i="9"/>
  <c r="DG39" i="9"/>
  <c r="DF39" i="9"/>
  <c r="DC39" i="9"/>
  <c r="DB39" i="9"/>
  <c r="DA39" i="9"/>
  <c r="CZ39" i="9"/>
  <c r="CY39" i="9"/>
  <c r="CX39" i="9"/>
  <c r="CW39" i="9"/>
  <c r="CV39" i="9"/>
  <c r="CU39" i="9"/>
  <c r="CT39" i="9"/>
  <c r="CS39" i="9"/>
  <c r="CR39" i="9"/>
  <c r="CO39" i="9"/>
  <c r="CN39" i="9"/>
  <c r="CM39" i="9"/>
  <c r="CL39" i="9"/>
  <c r="CK39" i="9"/>
  <c r="CJ39" i="9"/>
  <c r="CI39" i="9"/>
  <c r="BS39" i="9"/>
  <c r="BR39" i="9"/>
  <c r="BQ39" i="9"/>
  <c r="BM39" i="9"/>
  <c r="BL39" i="9"/>
  <c r="BK39" i="9"/>
  <c r="BJ39" i="9"/>
  <c r="BI39" i="9"/>
  <c r="BF39" i="9"/>
  <c r="BE39" i="9"/>
  <c r="BD39" i="9"/>
  <c r="BC39" i="9"/>
  <c r="BB39" i="9"/>
  <c r="AY39" i="9"/>
  <c r="AX39" i="9"/>
  <c r="AW39" i="9"/>
  <c r="AV39" i="9"/>
  <c r="AU39" i="9"/>
  <c r="AT39" i="9"/>
  <c r="AS39" i="9"/>
  <c r="AR39" i="9"/>
  <c r="AQ39" i="9"/>
  <c r="AP39" i="9"/>
  <c r="AM39" i="9"/>
  <c r="DI38" i="9"/>
  <c r="DD38" i="9"/>
  <c r="BN38" i="9"/>
  <c r="AZ38" i="9"/>
  <c r="AI38" i="9"/>
  <c r="BZ38" i="9" s="1"/>
  <c r="DI37" i="9"/>
  <c r="DD37" i="9"/>
  <c r="BN37" i="9"/>
  <c r="AZ37" i="9"/>
  <c r="AH37" i="9"/>
  <c r="AI37" i="9" s="1"/>
  <c r="DI36" i="9"/>
  <c r="DD36" i="9"/>
  <c r="BN36" i="9"/>
  <c r="AZ36" i="9"/>
  <c r="AI36" i="9"/>
  <c r="DI35" i="9"/>
  <c r="DD35" i="9"/>
  <c r="BN35" i="9"/>
  <c r="AZ35" i="9"/>
  <c r="AI35" i="9"/>
  <c r="AL35" i="9" s="1"/>
  <c r="AN35" i="9" s="1"/>
  <c r="DI34" i="9"/>
  <c r="DD34" i="9"/>
  <c r="BN34" i="9"/>
  <c r="AZ34" i="9"/>
  <c r="AI34" i="9"/>
  <c r="DI33" i="9"/>
  <c r="CR33" i="9"/>
  <c r="DD33" i="9" s="1"/>
  <c r="CO33" i="9"/>
  <c r="CN33" i="9"/>
  <c r="CM33" i="9"/>
  <c r="CL33" i="9"/>
  <c r="CK33" i="9"/>
  <c r="CJ33" i="9"/>
  <c r="CI33" i="9"/>
  <c r="CH33" i="9"/>
  <c r="CG33" i="9"/>
  <c r="CF33" i="9"/>
  <c r="CE33" i="9"/>
  <c r="CB33" i="9"/>
  <c r="BN33" i="9"/>
  <c r="AZ33" i="9"/>
  <c r="AI33" i="9"/>
  <c r="AL33" i="9" s="1"/>
  <c r="AN33" i="9" s="1"/>
  <c r="DI32" i="9"/>
  <c r="CR32" i="9"/>
  <c r="DD32" i="9" s="1"/>
  <c r="CO32" i="9"/>
  <c r="CN32" i="9"/>
  <c r="CM32" i="9"/>
  <c r="CL32" i="9"/>
  <c r="CK32" i="9"/>
  <c r="CJ32" i="9"/>
  <c r="CI32" i="9"/>
  <c r="CH32" i="9"/>
  <c r="CG32" i="9"/>
  <c r="CF32" i="9"/>
  <c r="CE32" i="9"/>
  <c r="CB32" i="9"/>
  <c r="BN32" i="9"/>
  <c r="AZ32" i="9"/>
  <c r="AI32" i="9"/>
  <c r="AL32" i="9" s="1"/>
  <c r="AN32" i="9" s="1"/>
  <c r="DI31" i="9"/>
  <c r="CR31" i="9"/>
  <c r="DD31" i="9" s="1"/>
  <c r="CO31" i="9"/>
  <c r="CN31" i="9"/>
  <c r="CM31" i="9"/>
  <c r="CL31" i="9"/>
  <c r="CK31" i="9"/>
  <c r="CJ31" i="9"/>
  <c r="CI31" i="9"/>
  <c r="CH31" i="9"/>
  <c r="CG31" i="9"/>
  <c r="CF31" i="9"/>
  <c r="CE31" i="9"/>
  <c r="CB31" i="9"/>
  <c r="BN31" i="9"/>
  <c r="AZ31" i="9"/>
  <c r="AI31" i="9"/>
  <c r="AL31" i="9" s="1"/>
  <c r="AN31" i="9" s="1"/>
  <c r="DI30" i="9"/>
  <c r="CR30" i="9"/>
  <c r="DD30" i="9" s="1"/>
  <c r="CO30" i="9"/>
  <c r="CN30" i="9"/>
  <c r="CM30" i="9"/>
  <c r="CL30" i="9"/>
  <c r="CK30" i="9"/>
  <c r="CJ30" i="9"/>
  <c r="CI30" i="9"/>
  <c r="CH30" i="9"/>
  <c r="CG30" i="9"/>
  <c r="CF30" i="9"/>
  <c r="CE30" i="9"/>
  <c r="CB30" i="9"/>
  <c r="BN30" i="9"/>
  <c r="AZ30" i="9"/>
  <c r="AI30" i="9"/>
  <c r="AL30" i="9" s="1"/>
  <c r="AN30" i="9" s="1"/>
  <c r="DR29" i="9"/>
  <c r="DI29" i="9"/>
  <c r="CR29" i="9"/>
  <c r="DD29" i="9" s="1"/>
  <c r="CO29" i="9"/>
  <c r="CN29" i="9"/>
  <c r="CM29" i="9"/>
  <c r="CL29" i="9"/>
  <c r="CK29" i="9"/>
  <c r="CJ29" i="9"/>
  <c r="CI29" i="9"/>
  <c r="CH29" i="9"/>
  <c r="CG29" i="9"/>
  <c r="CF29" i="9"/>
  <c r="CE29" i="9"/>
  <c r="CB29" i="9"/>
  <c r="BN29" i="9"/>
  <c r="AZ29" i="9"/>
  <c r="AI29" i="9"/>
  <c r="AL29" i="9" s="1"/>
  <c r="AN29" i="9" s="1"/>
  <c r="DR28" i="9"/>
  <c r="DH28" i="9"/>
  <c r="DH27" i="9" s="1"/>
  <c r="DH25" i="9" s="1"/>
  <c r="DH24" i="9" s="1"/>
  <c r="DG28" i="9"/>
  <c r="DG27" i="9" s="1"/>
  <c r="DG25" i="9" s="1"/>
  <c r="DG24" i="9" s="1"/>
  <c r="DF28" i="9"/>
  <c r="DF27" i="9" s="1"/>
  <c r="DF25" i="9" s="1"/>
  <c r="DF24" i="9" s="1"/>
  <c r="DC28" i="9"/>
  <c r="DB28" i="9"/>
  <c r="DA28" i="9"/>
  <c r="CZ28" i="9"/>
  <c r="CY28" i="9"/>
  <c r="CX28" i="9"/>
  <c r="CW28" i="9"/>
  <c r="CV28" i="9"/>
  <c r="CU28" i="9"/>
  <c r="CT28" i="9"/>
  <c r="CS28" i="9"/>
  <c r="BS28" i="9"/>
  <c r="BR28" i="9"/>
  <c r="BQ28" i="9"/>
  <c r="BP28" i="9"/>
  <c r="BM28" i="9"/>
  <c r="BL28" i="9"/>
  <c r="BL27" i="9" s="1"/>
  <c r="BL25" i="9" s="1"/>
  <c r="BL24" i="9" s="1"/>
  <c r="BK28" i="9"/>
  <c r="BK27" i="9" s="1"/>
  <c r="BK25" i="9" s="1"/>
  <c r="BK24" i="9" s="1"/>
  <c r="BJ28" i="9"/>
  <c r="BJ27" i="9" s="1"/>
  <c r="BJ25" i="9" s="1"/>
  <c r="BJ24" i="9" s="1"/>
  <c r="BI28" i="9"/>
  <c r="BI27" i="9" s="1"/>
  <c r="BI25" i="9" s="1"/>
  <c r="BI24" i="9" s="1"/>
  <c r="BH28" i="9"/>
  <c r="BH27" i="9" s="1"/>
  <c r="BH25" i="9" s="1"/>
  <c r="BH24" i="9" s="1"/>
  <c r="BG28" i="9"/>
  <c r="BG27" i="9" s="1"/>
  <c r="BG25" i="9" s="1"/>
  <c r="BG24" i="9" s="1"/>
  <c r="BF28" i="9"/>
  <c r="BF27" i="9" s="1"/>
  <c r="BF25" i="9" s="1"/>
  <c r="BF24" i="9" s="1"/>
  <c r="BE28" i="9"/>
  <c r="BE27" i="9" s="1"/>
  <c r="BE25" i="9" s="1"/>
  <c r="BE24" i="9" s="1"/>
  <c r="BD28" i="9"/>
  <c r="BD27" i="9" s="1"/>
  <c r="BD25" i="9" s="1"/>
  <c r="BD24" i="9" s="1"/>
  <c r="BC28" i="9"/>
  <c r="BC27" i="9" s="1"/>
  <c r="BC25" i="9" s="1"/>
  <c r="BC24" i="9" s="1"/>
  <c r="BB28" i="9"/>
  <c r="BB27" i="9" s="1"/>
  <c r="BB25" i="9" s="1"/>
  <c r="AY28" i="9"/>
  <c r="AY27" i="9" s="1"/>
  <c r="AY24" i="9" s="1"/>
  <c r="AX28" i="9"/>
  <c r="AX27" i="9" s="1"/>
  <c r="AX24" i="9" s="1"/>
  <c r="AW28" i="9"/>
  <c r="AW27" i="9" s="1"/>
  <c r="AW24" i="9" s="1"/>
  <c r="AV28" i="9"/>
  <c r="AV27" i="9" s="1"/>
  <c r="AV24" i="9" s="1"/>
  <c r="AU28" i="9"/>
  <c r="AU27" i="9" s="1"/>
  <c r="AU24" i="9" s="1"/>
  <c r="AT28" i="9"/>
  <c r="AT27" i="9" s="1"/>
  <c r="AT24" i="9" s="1"/>
  <c r="AS28" i="9"/>
  <c r="AS27" i="9" s="1"/>
  <c r="AS24" i="9" s="1"/>
  <c r="AR28" i="9"/>
  <c r="AR27" i="9" s="1"/>
  <c r="AR24" i="9" s="1"/>
  <c r="AQ28" i="9"/>
  <c r="AQ27" i="9" s="1"/>
  <c r="AQ24" i="9" s="1"/>
  <c r="AP28" i="9"/>
  <c r="AP27" i="9" s="1"/>
  <c r="AP24" i="9" s="1"/>
  <c r="DR27" i="9"/>
  <c r="DD27" i="9"/>
  <c r="CP27" i="9"/>
  <c r="BV27" i="9"/>
  <c r="BV25" i="9" s="1"/>
  <c r="BU27" i="9"/>
  <c r="BU25" i="9" s="1"/>
  <c r="BT27" i="9"/>
  <c r="AI27" i="9"/>
  <c r="AL27" i="9" s="1"/>
  <c r="AN27" i="9" s="1"/>
  <c r="DR26" i="9"/>
  <c r="DI26" i="9"/>
  <c r="DD26" i="9"/>
  <c r="CP26" i="9"/>
  <c r="BT26" i="9"/>
  <c r="BN26" i="9"/>
  <c r="AZ26" i="9"/>
  <c r="AI26" i="9"/>
  <c r="DR25" i="9"/>
  <c r="DC25" i="9"/>
  <c r="DB25" i="9"/>
  <c r="DA25" i="9"/>
  <c r="CZ25" i="9"/>
  <c r="CY25" i="9"/>
  <c r="CX25" i="9"/>
  <c r="CW25" i="9"/>
  <c r="CV25" i="9"/>
  <c r="CU25" i="9"/>
  <c r="CT25" i="9"/>
  <c r="CS25" i="9"/>
  <c r="CR25" i="9"/>
  <c r="CO25" i="9"/>
  <c r="CN25" i="9"/>
  <c r="CM25" i="9"/>
  <c r="CL25" i="9"/>
  <c r="CK25" i="9"/>
  <c r="CJ25" i="9"/>
  <c r="CI25" i="9"/>
  <c r="CH25" i="9"/>
  <c r="CG25" i="9"/>
  <c r="CF25" i="9"/>
  <c r="CE25" i="9"/>
  <c r="CD25" i="9"/>
  <c r="CA25" i="9"/>
  <c r="BZ25" i="9"/>
  <c r="BY25" i="9"/>
  <c r="BX25" i="9"/>
  <c r="BW25" i="9"/>
  <c r="BS25" i="9"/>
  <c r="BR25" i="9"/>
  <c r="BQ25" i="9"/>
  <c r="BP25" i="9"/>
  <c r="BM25" i="9"/>
  <c r="AZ25" i="9"/>
  <c r="DR24" i="9"/>
  <c r="DI23" i="9"/>
  <c r="DD23" i="9"/>
  <c r="CP23" i="9"/>
  <c r="BU23" i="9"/>
  <c r="BT23" i="9"/>
  <c r="BS23" i="9"/>
  <c r="BR23" i="9"/>
  <c r="BQ23" i="9"/>
  <c r="BP23" i="9"/>
  <c r="BM23" i="9"/>
  <c r="BL23" i="9"/>
  <c r="BK23" i="9"/>
  <c r="BJ23" i="9"/>
  <c r="BI23" i="9"/>
  <c r="AI23" i="9"/>
  <c r="AL23" i="9" s="1"/>
  <c r="AN23" i="9" s="1"/>
  <c r="DI22" i="9"/>
  <c r="DD22" i="9"/>
  <c r="CP22" i="9"/>
  <c r="BY22" i="9"/>
  <c r="BX22" i="9"/>
  <c r="BW22" i="9"/>
  <c r="BV22" i="9"/>
  <c r="BU22" i="9"/>
  <c r="BT22" i="9"/>
  <c r="BS22" i="9"/>
  <c r="BR22" i="9"/>
  <c r="BQ22" i="9"/>
  <c r="BP22" i="9"/>
  <c r="BM22" i="9"/>
  <c r="BL22" i="9"/>
  <c r="AI22" i="9"/>
  <c r="AL22" i="9" s="1"/>
  <c r="AN22" i="9" s="1"/>
  <c r="DI21" i="9"/>
  <c r="DD21" i="9"/>
  <c r="CP21" i="9"/>
  <c r="BU21" i="9"/>
  <c r="BT21" i="9"/>
  <c r="BS21" i="9"/>
  <c r="BR21" i="9"/>
  <c r="BQ21" i="9"/>
  <c r="BP21" i="9"/>
  <c r="BM21" i="9"/>
  <c r="BL21" i="9"/>
  <c r="BK21" i="9"/>
  <c r="BJ21" i="9"/>
  <c r="BI21" i="9"/>
  <c r="AI21" i="9"/>
  <c r="AL21" i="9" s="1"/>
  <c r="AN21" i="9" s="1"/>
  <c r="DI20" i="9"/>
  <c r="DD20" i="9"/>
  <c r="CF20" i="9"/>
  <c r="CF19" i="9" s="1"/>
  <c r="CE20" i="9"/>
  <c r="CE19" i="9" s="1"/>
  <c r="CD20" i="9"/>
  <c r="CA20" i="9"/>
  <c r="CA19" i="9" s="1"/>
  <c r="BZ20" i="9"/>
  <c r="BZ19" i="9" s="1"/>
  <c r="BY20" i="9"/>
  <c r="BX20" i="9"/>
  <c r="BW20" i="9"/>
  <c r="BV20" i="9"/>
  <c r="BU20" i="9"/>
  <c r="BN20" i="9"/>
  <c r="AI20" i="9"/>
  <c r="AL20" i="9" s="1"/>
  <c r="DR19" i="9"/>
  <c r="DH19" i="9"/>
  <c r="DG19" i="9"/>
  <c r="DF19" i="9"/>
  <c r="DC19" i="9"/>
  <c r="DB19" i="9"/>
  <c r="DA19" i="9"/>
  <c r="CZ19" i="9"/>
  <c r="CY19" i="9"/>
  <c r="CX19" i="9"/>
  <c r="CW19" i="9"/>
  <c r="CV19" i="9"/>
  <c r="CU19" i="9"/>
  <c r="CT19" i="9"/>
  <c r="CS19" i="9"/>
  <c r="CR19" i="9"/>
  <c r="CO19" i="9"/>
  <c r="CN19" i="9"/>
  <c r="CM19" i="9"/>
  <c r="CL19" i="9"/>
  <c r="CK19" i="9"/>
  <c r="CJ19" i="9"/>
  <c r="CI19" i="9"/>
  <c r="CH19" i="9"/>
  <c r="CG19" i="9"/>
  <c r="BH19" i="9"/>
  <c r="BG19" i="9"/>
  <c r="BF19" i="9"/>
  <c r="BE19" i="9"/>
  <c r="BD19" i="9"/>
  <c r="BC19" i="9"/>
  <c r="BB19" i="9"/>
  <c r="AY19" i="9"/>
  <c r="AX19" i="9"/>
  <c r="AW19" i="9"/>
  <c r="AV19" i="9"/>
  <c r="AU19" i="9"/>
  <c r="AT19" i="9"/>
  <c r="AS19" i="9"/>
  <c r="AR19" i="9"/>
  <c r="AQ19" i="9"/>
  <c r="AP19" i="9"/>
  <c r="DI18" i="9"/>
  <c r="DD18" i="9"/>
  <c r="CP18" i="9"/>
  <c r="CA18" i="9"/>
  <c r="BY18" i="9"/>
  <c r="BN18" i="9"/>
  <c r="AI18" i="9"/>
  <c r="AL18" i="9" s="1"/>
  <c r="AN18" i="9" s="1"/>
  <c r="DI17" i="9"/>
  <c r="DD17" i="9"/>
  <c r="BN17" i="9"/>
  <c r="AH17" i="9"/>
  <c r="DR16" i="9"/>
  <c r="DH16" i="9"/>
  <c r="DG16" i="9"/>
  <c r="DF16" i="9"/>
  <c r="DC16" i="9"/>
  <c r="DB16" i="9"/>
  <c r="DA16" i="9"/>
  <c r="CZ16" i="9"/>
  <c r="CY16" i="9"/>
  <c r="CX16" i="9"/>
  <c r="CW16" i="9"/>
  <c r="CV16" i="9"/>
  <c r="CU16" i="9"/>
  <c r="CT16" i="9"/>
  <c r="CS16" i="9"/>
  <c r="CR16" i="9"/>
  <c r="CO16" i="9"/>
  <c r="CN16" i="9"/>
  <c r="CM16" i="9"/>
  <c r="CL16" i="9"/>
  <c r="CK16" i="9"/>
  <c r="CJ16" i="9"/>
  <c r="CI16" i="9"/>
  <c r="CH16" i="9"/>
  <c r="CG16" i="9"/>
  <c r="CF16" i="9"/>
  <c r="CD16" i="9"/>
  <c r="BZ16" i="9"/>
  <c r="BX16" i="9"/>
  <c r="BW16" i="9"/>
  <c r="BV16" i="9"/>
  <c r="BU16" i="9"/>
  <c r="BT16" i="9"/>
  <c r="BS16" i="9"/>
  <c r="BR16" i="9"/>
  <c r="BQ16" i="9"/>
  <c r="BP16" i="9"/>
  <c r="BM16" i="9"/>
  <c r="BL16" i="9"/>
  <c r="BK16" i="9"/>
  <c r="BJ16" i="9"/>
  <c r="BI16" i="9"/>
  <c r="BH16" i="9"/>
  <c r="BG16" i="9"/>
  <c r="BF16" i="9"/>
  <c r="BE16" i="9"/>
  <c r="BD16" i="9"/>
  <c r="BC16" i="9"/>
  <c r="BB16" i="9"/>
  <c r="AY16" i="9"/>
  <c r="AX16" i="9"/>
  <c r="AW16" i="9"/>
  <c r="AV16" i="9"/>
  <c r="AU16" i="9"/>
  <c r="AT16" i="9"/>
  <c r="AS16" i="9"/>
  <c r="AR16" i="9"/>
  <c r="AQ16" i="9"/>
  <c r="AP16" i="9"/>
  <c r="DI15" i="9"/>
  <c r="CB15" i="9"/>
  <c r="BN15" i="9"/>
  <c r="AH15" i="9"/>
  <c r="AI15" i="9" s="1"/>
  <c r="DI14" i="9"/>
  <c r="DD14" i="9"/>
  <c r="CP14" i="9"/>
  <c r="CB14" i="9"/>
  <c r="AI14" i="9"/>
  <c r="BJ14" i="9" s="1"/>
  <c r="BJ13" i="9" s="1"/>
  <c r="DR13" i="9"/>
  <c r="DH13" i="9"/>
  <c r="DG13" i="9"/>
  <c r="DF13" i="9"/>
  <c r="DC13" i="9"/>
  <c r="DB13" i="9"/>
  <c r="DA13" i="9"/>
  <c r="CZ13" i="9"/>
  <c r="CY13" i="9"/>
  <c r="CX13" i="9"/>
  <c r="CW13" i="9"/>
  <c r="CV13" i="9"/>
  <c r="CU13" i="9"/>
  <c r="CT13" i="9"/>
  <c r="CR13" i="9"/>
  <c r="CO13" i="9"/>
  <c r="CM13" i="9"/>
  <c r="CL13" i="9"/>
  <c r="CK13" i="9"/>
  <c r="CI13" i="9"/>
  <c r="CH13" i="9"/>
  <c r="CG13" i="9"/>
  <c r="CF13" i="9"/>
  <c r="CE13" i="9"/>
  <c r="CD13" i="9"/>
  <c r="CA13" i="9"/>
  <c r="BZ13" i="9"/>
  <c r="BY13" i="9"/>
  <c r="BX13" i="9"/>
  <c r="BW13" i="9"/>
  <c r="BV13" i="9"/>
  <c r="BU13" i="9"/>
  <c r="BT13" i="9"/>
  <c r="BS13" i="9"/>
  <c r="BR13" i="9"/>
  <c r="BQ13" i="9"/>
  <c r="BP13" i="9"/>
  <c r="BL13" i="9"/>
  <c r="BK13" i="9"/>
  <c r="BI13" i="9"/>
  <c r="BH13" i="9"/>
  <c r="BF13" i="9"/>
  <c r="BE13" i="9"/>
  <c r="BD13" i="9"/>
  <c r="BC13" i="9"/>
  <c r="BB13" i="9"/>
  <c r="AY13" i="9"/>
  <c r="AX13" i="9"/>
  <c r="AW13" i="9"/>
  <c r="AV13" i="9"/>
  <c r="AU13" i="9"/>
  <c r="AT13" i="9"/>
  <c r="AS13" i="9"/>
  <c r="AR13" i="9"/>
  <c r="AQ13" i="9"/>
  <c r="AP13" i="9"/>
  <c r="DR12" i="9"/>
  <c r="DI12" i="9"/>
  <c r="DD12" i="9"/>
  <c r="CK12" i="9"/>
  <c r="CK10" i="9" s="1"/>
  <c r="CJ12" i="9"/>
  <c r="CJ10" i="9" s="1"/>
  <c r="CI12" i="9"/>
  <c r="CI10" i="9" s="1"/>
  <c r="CH12" i="9"/>
  <c r="CG12" i="9"/>
  <c r="CG10" i="9" s="1"/>
  <c r="CF12" i="9"/>
  <c r="CF10" i="9" s="1"/>
  <c r="CE12" i="9"/>
  <c r="CE10" i="9" s="1"/>
  <c r="CD12" i="9"/>
  <c r="CD10" i="9" s="1"/>
  <c r="CA12" i="9"/>
  <c r="CA10" i="9" s="1"/>
  <c r="BZ12" i="9"/>
  <c r="BZ10" i="9" s="1"/>
  <c r="BY12" i="9"/>
  <c r="BY10" i="9" s="1"/>
  <c r="BX12" i="9"/>
  <c r="BN12" i="9"/>
  <c r="AZ12" i="9"/>
  <c r="AL12" i="9"/>
  <c r="AN12" i="9" s="1"/>
  <c r="DR11" i="9"/>
  <c r="DI11" i="9"/>
  <c r="DD11" i="9"/>
  <c r="CP11" i="9"/>
  <c r="BT11" i="9"/>
  <c r="BT10" i="9" s="1"/>
  <c r="BS11" i="9"/>
  <c r="BS10" i="9" s="1"/>
  <c r="BR11" i="9"/>
  <c r="BR10" i="9" s="1"/>
  <c r="BQ11" i="9"/>
  <c r="BQ10" i="9" s="1"/>
  <c r="BN11" i="9"/>
  <c r="AZ11" i="9"/>
  <c r="AL11" i="9"/>
  <c r="DR10" i="9"/>
  <c r="DH10" i="9"/>
  <c r="DG10" i="9"/>
  <c r="DF10" i="9"/>
  <c r="DC10" i="9"/>
  <c r="DB10" i="9"/>
  <c r="DA10" i="9"/>
  <c r="CZ10" i="9"/>
  <c r="CY10" i="9"/>
  <c r="CX10" i="9"/>
  <c r="CW10" i="9"/>
  <c r="CV10" i="9"/>
  <c r="CU10" i="9"/>
  <c r="CT10" i="9"/>
  <c r="CS10" i="9"/>
  <c r="CR10" i="9"/>
  <c r="CO10" i="9"/>
  <c r="CN10" i="9"/>
  <c r="CM10" i="9"/>
  <c r="CL10" i="9"/>
  <c r="BW10" i="9"/>
  <c r="BV10" i="9"/>
  <c r="BU10" i="9"/>
  <c r="BP10" i="9"/>
  <c r="BM10" i="9"/>
  <c r="BL10" i="9"/>
  <c r="BK10" i="9"/>
  <c r="BJ10" i="9"/>
  <c r="BI10" i="9"/>
  <c r="BH10" i="9"/>
  <c r="BG10" i="9"/>
  <c r="BF10" i="9"/>
  <c r="BE10" i="9"/>
  <c r="BD10" i="9"/>
  <c r="BC10" i="9"/>
  <c r="BB10" i="9"/>
  <c r="AY10" i="9"/>
  <c r="AX10" i="9"/>
  <c r="AW10" i="9"/>
  <c r="AV10" i="9"/>
  <c r="AU10" i="9"/>
  <c r="AT10" i="9"/>
  <c r="AS10" i="9"/>
  <c r="AR10" i="9"/>
  <c r="AQ10" i="9"/>
  <c r="AP10" i="9"/>
  <c r="AM10" i="9"/>
  <c r="AI10" i="9"/>
  <c r="DR9" i="9"/>
  <c r="CQ9" i="9"/>
  <c r="CC9" i="9"/>
  <c r="BO9" i="9"/>
  <c r="DR8" i="9"/>
  <c r="BA8" i="9"/>
  <c r="AN2" i="9"/>
  <c r="L11" i="107"/>
  <c r="CS15" i="9" l="1"/>
  <c r="DD15" i="9" s="1"/>
  <c r="AL99" i="9"/>
  <c r="AI98" i="9"/>
  <c r="AL107" i="9"/>
  <c r="AI97" i="9"/>
  <c r="CE130" i="9"/>
  <c r="CK130" i="9"/>
  <c r="CK129" i="9" s="1"/>
  <c r="CK121" i="9" s="1"/>
  <c r="CI130" i="9"/>
  <c r="CI129" i="9" s="1"/>
  <c r="CG130" i="9"/>
  <c r="CG129" i="9" s="1"/>
  <c r="AL110" i="9"/>
  <c r="AL109" i="9" s="1"/>
  <c r="CE110" i="9"/>
  <c r="BZ110" i="9"/>
  <c r="BZ109" i="9" s="1"/>
  <c r="BX110" i="9"/>
  <c r="BX109" i="9" s="1"/>
  <c r="DA207" i="9"/>
  <c r="DA206" i="9" s="1"/>
  <c r="DA181" i="9" s="1"/>
  <c r="DA180" i="9" s="1"/>
  <c r="DB207" i="9"/>
  <c r="DB206" i="9" s="1"/>
  <c r="DB181" i="9" s="1"/>
  <c r="DB180" i="9" s="1"/>
  <c r="BY17" i="9"/>
  <c r="BY16" i="9" s="1"/>
  <c r="CE17" i="9"/>
  <c r="CA17" i="9"/>
  <c r="BF172" i="9"/>
  <c r="BF171" i="9" s="1"/>
  <c r="BF167" i="9" s="1"/>
  <c r="BG172" i="9"/>
  <c r="BG171" i="9" s="1"/>
  <c r="BG167" i="9" s="1"/>
  <c r="BH172" i="9"/>
  <c r="BH171" i="9" s="1"/>
  <c r="BH167" i="9" s="1"/>
  <c r="BJ172" i="9"/>
  <c r="BJ171" i="9" s="1"/>
  <c r="BJ167" i="9" s="1"/>
  <c r="CJ15" i="9"/>
  <c r="CJ13" i="9" s="1"/>
  <c r="BM116" i="9"/>
  <c r="BM112" i="9" s="1"/>
  <c r="BK146" i="9"/>
  <c r="BK145" i="9" s="1"/>
  <c r="CN15" i="9"/>
  <c r="CN13" i="9" s="1"/>
  <c r="CK56" i="9"/>
  <c r="CK53" i="9" s="1"/>
  <c r="CK52" i="9" s="1"/>
  <c r="CN56" i="9"/>
  <c r="CN53" i="9" s="1"/>
  <c r="CN52" i="9" s="1"/>
  <c r="CS56" i="9"/>
  <c r="CS53" i="9" s="1"/>
  <c r="CS52" i="9" s="1"/>
  <c r="BF146" i="9"/>
  <c r="BF145" i="9" s="1"/>
  <c r="AI172" i="9"/>
  <c r="AL172" i="9" s="1"/>
  <c r="AN172" i="9" s="1"/>
  <c r="BG146" i="9"/>
  <c r="BG145" i="9" s="1"/>
  <c r="BH146" i="9"/>
  <c r="BH145" i="9" s="1"/>
  <c r="BI146" i="9"/>
  <c r="BI145" i="9" s="1"/>
  <c r="BJ146" i="9"/>
  <c r="BJ145" i="9" s="1"/>
  <c r="BI172" i="9"/>
  <c r="BI171" i="9" s="1"/>
  <c r="BI167" i="9" s="1"/>
  <c r="CY207" i="9"/>
  <c r="CY206" i="9" s="1"/>
  <c r="CY181" i="9" s="1"/>
  <c r="CY180" i="9" s="1"/>
  <c r="BM62" i="9"/>
  <c r="BM61" i="9" s="1"/>
  <c r="BM52" i="9" s="1"/>
  <c r="CY88" i="9"/>
  <c r="CW88" i="9"/>
  <c r="DB88" i="9"/>
  <c r="DB89" i="9"/>
  <c r="CY89" i="9"/>
  <c r="CW89" i="9"/>
  <c r="CY90" i="9"/>
  <c r="CW90" i="9"/>
  <c r="DB90" i="9"/>
  <c r="BQ135" i="9"/>
  <c r="CX52" i="9"/>
  <c r="CQ52" i="9"/>
  <c r="CQ8" i="9" s="1"/>
  <c r="BN40" i="9"/>
  <c r="DB24" i="9"/>
  <c r="DB9" i="9" s="1"/>
  <c r="CJ135" i="9"/>
  <c r="CA53" i="9"/>
  <c r="CA52" i="9" s="1"/>
  <c r="CD39" i="9"/>
  <c r="AI25" i="9"/>
  <c r="BV52" i="9"/>
  <c r="CC52" i="9"/>
  <c r="CC8" i="9" s="1"/>
  <c r="AY135" i="9"/>
  <c r="DC24" i="9"/>
  <c r="DC9" i="9" s="1"/>
  <c r="BE135" i="9"/>
  <c r="AM135" i="9"/>
  <c r="BW19" i="9"/>
  <c r="BX19" i="9"/>
  <c r="BR48" i="9"/>
  <c r="CL53" i="9"/>
  <c r="BU48" i="9"/>
  <c r="BU44" i="9" s="1"/>
  <c r="BU39" i="9"/>
  <c r="DI13" i="9"/>
  <c r="BL209" i="9"/>
  <c r="BL208" i="9" s="1"/>
  <c r="CX197" i="9"/>
  <c r="CX181" i="9" s="1"/>
  <c r="CX180" i="9" s="1"/>
  <c r="DD201" i="9"/>
  <c r="DJ201" i="9" s="1"/>
  <c r="BF181" i="9"/>
  <c r="BF180" i="9" s="1"/>
  <c r="DJ189" i="9"/>
  <c r="DL189" i="9" s="1"/>
  <c r="BD181" i="9"/>
  <c r="BD180" i="9" s="1"/>
  <c r="CO181" i="9"/>
  <c r="CO180" i="9" s="1"/>
  <c r="DJ142" i="9"/>
  <c r="DL142" i="9" s="1"/>
  <c r="BH135" i="9"/>
  <c r="BS121" i="9"/>
  <c r="DI140" i="9"/>
  <c r="CH135" i="9"/>
  <c r="BG135" i="9"/>
  <c r="DG135" i="9"/>
  <c r="BJ135" i="9"/>
  <c r="AV167" i="9"/>
  <c r="AV144" i="9" s="1"/>
  <c r="AV143" i="9" s="1"/>
  <c r="CN167" i="9"/>
  <c r="CT167" i="9"/>
  <c r="CT144" i="9" s="1"/>
  <c r="CT143" i="9" s="1"/>
  <c r="CO167" i="9"/>
  <c r="BO144" i="9"/>
  <c r="BO143" i="9" s="1"/>
  <c r="CB176" i="9"/>
  <c r="AN173" i="9"/>
  <c r="CL167" i="9"/>
  <c r="AS167" i="9"/>
  <c r="AS144" i="9" s="1"/>
  <c r="AS143" i="9" s="1"/>
  <c r="BS167" i="9"/>
  <c r="BS144" i="9" s="1"/>
  <c r="BS143" i="9" s="1"/>
  <c r="CU167" i="9"/>
  <c r="CU144" i="9" s="1"/>
  <c r="CU143" i="9" s="1"/>
  <c r="CX167" i="9"/>
  <c r="CX144" i="9" s="1"/>
  <c r="CX143" i="9" s="1"/>
  <c r="AN147" i="9"/>
  <c r="CU135" i="9"/>
  <c r="DA135" i="9"/>
  <c r="CI135" i="9"/>
  <c r="CL135" i="9"/>
  <c r="DI137" i="9"/>
  <c r="BM135" i="9"/>
  <c r="AS135" i="9"/>
  <c r="AR135" i="9"/>
  <c r="BZ135" i="9"/>
  <c r="DI131" i="9"/>
  <c r="BG121" i="9"/>
  <c r="CS98" i="9"/>
  <c r="CS97" i="9" s="1"/>
  <c r="BM98" i="9"/>
  <c r="BM97" i="9" s="1"/>
  <c r="BR112" i="9"/>
  <c r="BR111" i="9" s="1"/>
  <c r="BR108" i="9" s="1"/>
  <c r="AI122" i="9"/>
  <c r="BI121" i="9"/>
  <c r="DG121" i="9"/>
  <c r="CG112" i="9"/>
  <c r="CG111" i="9" s="1"/>
  <c r="BR121" i="9"/>
  <c r="AL122" i="9"/>
  <c r="AN122" i="9" s="1"/>
  <c r="AX121" i="9"/>
  <c r="BP121" i="9"/>
  <c r="AR121" i="9"/>
  <c r="CS121" i="9"/>
  <c r="BJ121" i="9"/>
  <c r="AM121" i="9"/>
  <c r="BQ121" i="9"/>
  <c r="BG52" i="9"/>
  <c r="CT24" i="9"/>
  <c r="CT9" i="9" s="1"/>
  <c r="CU24" i="9"/>
  <c r="CU9" i="9" s="1"/>
  <c r="DA24" i="9"/>
  <c r="DA9" i="9" s="1"/>
  <c r="CO53" i="9"/>
  <c r="CO52" i="9" s="1"/>
  <c r="CJ52" i="9"/>
  <c r="BP19" i="9"/>
  <c r="DI109" i="9"/>
  <c r="BS112" i="9"/>
  <c r="BS111" i="9" s="1"/>
  <c r="BS108" i="9" s="1"/>
  <c r="DB52" i="9"/>
  <c r="BP48" i="9"/>
  <c r="BY19" i="9"/>
  <c r="DI27" i="9"/>
  <c r="CF39" i="9"/>
  <c r="CG39" i="9"/>
  <c r="CH39" i="9"/>
  <c r="BH9" i="9"/>
  <c r="DJ51" i="9"/>
  <c r="DL51" i="9" s="1"/>
  <c r="AM9" i="9"/>
  <c r="CK28" i="9"/>
  <c r="CK24" i="9" s="1"/>
  <c r="CK9" i="9" s="1"/>
  <c r="BP52" i="9"/>
  <c r="CS13" i="9"/>
  <c r="CM52" i="9"/>
  <c r="AX108" i="9"/>
  <c r="AX74" i="9" s="1"/>
  <c r="CU112" i="9"/>
  <c r="CU111" i="9" s="1"/>
  <c r="CU108" i="9" s="1"/>
  <c r="CV112" i="9"/>
  <c r="AI91" i="9"/>
  <c r="AI75" i="9"/>
  <c r="BC52" i="9"/>
  <c r="DF52" i="9"/>
  <c r="BR19" i="9"/>
  <c r="BJ19" i="9"/>
  <c r="BJ9" i="9" s="1"/>
  <c r="CS24" i="9"/>
  <c r="BZ52" i="9"/>
  <c r="CP43" i="9"/>
  <c r="CY52" i="9"/>
  <c r="DI10" i="9"/>
  <c r="DI68" i="9"/>
  <c r="BO52" i="9"/>
  <c r="BO8" i="9" s="1"/>
  <c r="AX9" i="9"/>
  <c r="CB21" i="9"/>
  <c r="DI44" i="9"/>
  <c r="AR52" i="9"/>
  <c r="BH62" i="9"/>
  <c r="BH61" i="9" s="1"/>
  <c r="BH52" i="9" s="1"/>
  <c r="AY9" i="9"/>
  <c r="CX24" i="9"/>
  <c r="CX9" i="9" s="1"/>
  <c r="BF9" i="9"/>
  <c r="AL10" i="9"/>
  <c r="AN10" i="9" s="1"/>
  <c r="CL28" i="9"/>
  <c r="CL24" i="9" s="1"/>
  <c r="CL9" i="9" s="1"/>
  <c r="AM52" i="9"/>
  <c r="AZ53" i="9"/>
  <c r="CB59" i="9"/>
  <c r="DI66" i="9"/>
  <c r="AI68" i="9"/>
  <c r="BX39" i="9"/>
  <c r="BG41" i="9"/>
  <c r="BG39" i="9" s="1"/>
  <c r="BN39" i="9" s="1"/>
  <c r="AL47" i="9"/>
  <c r="AN47" i="9" s="1"/>
  <c r="CB63" i="9"/>
  <c r="BL47" i="9"/>
  <c r="BS62" i="9"/>
  <c r="BS61" i="9" s="1"/>
  <c r="BS52" i="9" s="1"/>
  <c r="BM47" i="9"/>
  <c r="AT52" i="9"/>
  <c r="BR47" i="9"/>
  <c r="BT47" i="9"/>
  <c r="BT44" i="9" s="1"/>
  <c r="BM14" i="9"/>
  <c r="BM13" i="9" s="1"/>
  <c r="BQ24" i="9"/>
  <c r="BZ39" i="9"/>
  <c r="CJ98" i="9"/>
  <c r="CJ97" i="9" s="1"/>
  <c r="CO98" i="9"/>
  <c r="CO97" i="9" s="1"/>
  <c r="BU98" i="9"/>
  <c r="BU97" i="9" s="1"/>
  <c r="DI91" i="9"/>
  <c r="CT98" i="9"/>
  <c r="CT97" i="9" s="1"/>
  <c r="BN103" i="9"/>
  <c r="BT112" i="9"/>
  <c r="BT111" i="9" s="1"/>
  <c r="BT108" i="9" s="1"/>
  <c r="CO112" i="9"/>
  <c r="CO111" i="9" s="1"/>
  <c r="CO108" i="9" s="1"/>
  <c r="AU108" i="9"/>
  <c r="AU74" i="9" s="1"/>
  <c r="CR112" i="9"/>
  <c r="CR111" i="9" s="1"/>
  <c r="CR108" i="9" s="1"/>
  <c r="CS112" i="9"/>
  <c r="CT83" i="9"/>
  <c r="DD83" i="9" s="1"/>
  <c r="DJ120" i="9"/>
  <c r="DL120" i="9" s="1"/>
  <c r="CT121" i="9"/>
  <c r="AW121" i="9"/>
  <c r="CM135" i="9"/>
  <c r="AV121" i="9"/>
  <c r="BL135" i="9"/>
  <c r="CV121" i="9"/>
  <c r="CY135" i="9"/>
  <c r="BB121" i="9"/>
  <c r="AT135" i="9"/>
  <c r="BR135" i="9"/>
  <c r="BC121" i="9"/>
  <c r="BW133" i="9"/>
  <c r="BD121" i="9"/>
  <c r="BX133" i="9"/>
  <c r="BD135" i="9"/>
  <c r="BE121" i="9"/>
  <c r="BV135" i="9"/>
  <c r="DC135" i="9"/>
  <c r="DH121" i="9"/>
  <c r="CW121" i="9"/>
  <c r="CM121" i="9"/>
  <c r="CE135" i="9"/>
  <c r="CO121" i="9"/>
  <c r="DA121" i="9"/>
  <c r="AZ129" i="9"/>
  <c r="AI131" i="9"/>
  <c r="DF135" i="9"/>
  <c r="AS121" i="9"/>
  <c r="CA121" i="9"/>
  <c r="AY167" i="9"/>
  <c r="AY144" i="9" s="1"/>
  <c r="AY143" i="9" s="1"/>
  <c r="BR167" i="9"/>
  <c r="BR144" i="9" s="1"/>
  <c r="BR143" i="9" s="1"/>
  <c r="CH161" i="9"/>
  <c r="DI145" i="9"/>
  <c r="AN150" i="9"/>
  <c r="BB167" i="9"/>
  <c r="BB144" i="9" s="1"/>
  <c r="BB143" i="9" s="1"/>
  <c r="AQ167" i="9"/>
  <c r="AQ144" i="9" s="1"/>
  <c r="AQ143" i="9" s="1"/>
  <c r="BE167" i="9"/>
  <c r="BE144" i="9" s="1"/>
  <c r="BE143" i="9" s="1"/>
  <c r="CG167" i="9"/>
  <c r="CH167" i="9"/>
  <c r="BT167" i="9"/>
  <c r="DC167" i="9"/>
  <c r="DC144" i="9" s="1"/>
  <c r="DC143" i="9" s="1"/>
  <c r="CJ161" i="9"/>
  <c r="CC144" i="9"/>
  <c r="CC143" i="9" s="1"/>
  <c r="AT167" i="9"/>
  <c r="AT144" i="9" s="1"/>
  <c r="AT143" i="9" s="1"/>
  <c r="CZ167" i="9"/>
  <c r="CZ144" i="9" s="1"/>
  <c r="CZ143" i="9" s="1"/>
  <c r="BN169" i="9"/>
  <c r="AU167" i="9"/>
  <c r="AU144" i="9" s="1"/>
  <c r="AU143" i="9" s="1"/>
  <c r="CK167" i="9"/>
  <c r="BL167" i="9"/>
  <c r="BL144" i="9" s="1"/>
  <c r="BL143" i="9" s="1"/>
  <c r="BU167" i="9"/>
  <c r="BU144" i="9" s="1"/>
  <c r="BU143" i="9" s="1"/>
  <c r="AX167" i="9"/>
  <c r="AX144" i="9" s="1"/>
  <c r="AX143" i="9" s="1"/>
  <c r="BP167" i="9"/>
  <c r="BP144" i="9" s="1"/>
  <c r="BP143" i="9" s="1"/>
  <c r="CD167" i="9"/>
  <c r="CD144" i="9" s="1"/>
  <c r="CD143" i="9" s="1"/>
  <c r="DI169" i="9"/>
  <c r="DI161" i="9"/>
  <c r="CM161" i="9"/>
  <c r="CP163" i="9"/>
  <c r="BQ167" i="9"/>
  <c r="BQ144" i="9" s="1"/>
  <c r="BQ143" i="9" s="1"/>
  <c r="AW167" i="9"/>
  <c r="AW144" i="9" s="1"/>
  <c r="AW143" i="9" s="1"/>
  <c r="CF167" i="9"/>
  <c r="DE144" i="9"/>
  <c r="DE143" i="9" s="1"/>
  <c r="CO161" i="9"/>
  <c r="BC167" i="9"/>
  <c r="BC144" i="9" s="1"/>
  <c r="BC143" i="9" s="1"/>
  <c r="CG161" i="9"/>
  <c r="BN150" i="9"/>
  <c r="BM167" i="9"/>
  <c r="BM144" i="9" s="1"/>
  <c r="BM143" i="9" s="1"/>
  <c r="AP167" i="9"/>
  <c r="AP144" i="9" s="1"/>
  <c r="AP143" i="9" s="1"/>
  <c r="BD167" i="9"/>
  <c r="BD144" i="9" s="1"/>
  <c r="BD143" i="9" s="1"/>
  <c r="BR181" i="9"/>
  <c r="BR180" i="9" s="1"/>
  <c r="BW199" i="9"/>
  <c r="BW197" i="9" s="1"/>
  <c r="BW181" i="9" s="1"/>
  <c r="BW180" i="9" s="1"/>
  <c r="BE181" i="9"/>
  <c r="BE180" i="9" s="1"/>
  <c r="DJ183" i="9"/>
  <c r="DJ195" i="9"/>
  <c r="DL195" i="9" s="1"/>
  <c r="DI197" i="9"/>
  <c r="DJ178" i="9"/>
  <c r="DL178" i="9" s="1"/>
  <c r="CA181" i="9"/>
  <c r="CA180" i="9" s="1"/>
  <c r="CZ181" i="9"/>
  <c r="CZ180" i="9" s="1"/>
  <c r="BK209" i="9"/>
  <c r="AI185" i="9"/>
  <c r="BM209" i="9"/>
  <c r="BM208" i="9" s="1"/>
  <c r="BM181" i="9" s="1"/>
  <c r="BM180" i="9" s="1"/>
  <c r="DI206" i="9"/>
  <c r="AM181" i="9"/>
  <c r="AM180" i="9" s="1"/>
  <c r="BQ181" i="9"/>
  <c r="BQ180" i="9" s="1"/>
  <c r="BC181" i="9"/>
  <c r="BC180" i="9" s="1"/>
  <c r="BN197" i="9"/>
  <c r="DJ186" i="9"/>
  <c r="DL186" i="9" s="1"/>
  <c r="AW181" i="9"/>
  <c r="AW180" i="9" s="1"/>
  <c r="AL198" i="9"/>
  <c r="AN198" i="9" s="1"/>
  <c r="AQ181" i="9"/>
  <c r="AQ180" i="9" s="1"/>
  <c r="DI211" i="9"/>
  <c r="AR181" i="9"/>
  <c r="AR180" i="9" s="1"/>
  <c r="CR181" i="9"/>
  <c r="CR180" i="9" s="1"/>
  <c r="AI211" i="9"/>
  <c r="AI208" i="9" s="1"/>
  <c r="DJ187" i="9"/>
  <c r="AL211" i="9"/>
  <c r="AN211" i="9" s="1"/>
  <c r="AS181" i="9"/>
  <c r="AS180" i="9" s="1"/>
  <c r="CF181" i="9"/>
  <c r="CF180" i="9" s="1"/>
  <c r="CG181" i="9"/>
  <c r="CG180" i="9" s="1"/>
  <c r="BS181" i="9"/>
  <c r="BS180" i="9" s="1"/>
  <c r="BB181" i="9"/>
  <c r="BB180" i="9" s="1"/>
  <c r="CK202" i="9"/>
  <c r="CK197" i="9" s="1"/>
  <c r="CP197" i="9" s="1"/>
  <c r="DJ193" i="9"/>
  <c r="DL193" i="9" s="1"/>
  <c r="DJ196" i="9"/>
  <c r="DL196" i="9" s="1"/>
  <c r="DG208" i="9"/>
  <c r="DI208" i="9" s="1"/>
  <c r="BG181" i="9"/>
  <c r="BG180" i="9" s="1"/>
  <c r="CI181" i="9"/>
  <c r="CI180" i="9" s="1"/>
  <c r="CW181" i="9"/>
  <c r="CW180" i="9" s="1"/>
  <c r="CM181" i="9"/>
  <c r="CM180" i="9" s="1"/>
  <c r="DJ184" i="9"/>
  <c r="DL184" i="9" s="1"/>
  <c r="AT181" i="9"/>
  <c r="AT180" i="9" s="1"/>
  <c r="BZ181" i="9"/>
  <c r="BZ180" i="9" s="1"/>
  <c r="DJ205" i="9"/>
  <c r="DL205" i="9" s="1"/>
  <c r="AY181" i="9"/>
  <c r="AY180" i="9" s="1"/>
  <c r="AI176" i="9"/>
  <c r="AI202" i="9"/>
  <c r="AI197" i="9" s="1"/>
  <c r="CL181" i="9"/>
  <c r="CL180" i="9" s="1"/>
  <c r="BK167" i="9"/>
  <c r="CP164" i="9"/>
  <c r="AZ169" i="9"/>
  <c r="DD169" i="9"/>
  <c r="AR167" i="9"/>
  <c r="AR144" i="9" s="1"/>
  <c r="AR143" i="9" s="1"/>
  <c r="DG167" i="9"/>
  <c r="DG144" i="9" s="1"/>
  <c r="DG143" i="9" s="1"/>
  <c r="CI161" i="9"/>
  <c r="CV167" i="9"/>
  <c r="BW167" i="9"/>
  <c r="BW144" i="9" s="1"/>
  <c r="BW143" i="9" s="1"/>
  <c r="CN161" i="9"/>
  <c r="AI161" i="9"/>
  <c r="AL161" i="9" s="1"/>
  <c r="AN161" i="9" s="1"/>
  <c r="BX167" i="9"/>
  <c r="BX144" i="9" s="1"/>
  <c r="BX143" i="9" s="1"/>
  <c r="CK161" i="9"/>
  <c r="CJ167" i="9"/>
  <c r="BA144" i="9"/>
  <c r="BA143" i="9" s="1"/>
  <c r="CL161" i="9"/>
  <c r="CR167" i="9"/>
  <c r="CR144" i="9" s="1"/>
  <c r="CR143" i="9" s="1"/>
  <c r="CY167" i="9"/>
  <c r="CY144" i="9" s="1"/>
  <c r="CY143" i="9" s="1"/>
  <c r="AL170" i="9"/>
  <c r="AN170" i="9" s="1"/>
  <c r="CA167" i="9"/>
  <c r="CA144" i="9" s="1"/>
  <c r="CA143" i="9" s="1"/>
  <c r="BN136" i="9"/>
  <c r="CW96" i="9"/>
  <c r="CW94" i="9" s="1"/>
  <c r="CO96" i="9"/>
  <c r="CO94" i="9" s="1"/>
  <c r="CU121" i="9"/>
  <c r="DJ128" i="9"/>
  <c r="DL128" i="9" s="1"/>
  <c r="CX135" i="9"/>
  <c r="BI135" i="9"/>
  <c r="BG108" i="9"/>
  <c r="BG74" i="9" s="1"/>
  <c r="AL125" i="9"/>
  <c r="CI125" i="9" s="1"/>
  <c r="CI124" i="9" s="1"/>
  <c r="DI129" i="9"/>
  <c r="AV135" i="9"/>
  <c r="DJ156" i="9"/>
  <c r="DL156" i="9" s="1"/>
  <c r="DD104" i="9"/>
  <c r="DF107" i="9"/>
  <c r="DF97" i="9" s="1"/>
  <c r="DI97" i="9" s="1"/>
  <c r="AT108" i="9"/>
  <c r="AT74" i="9" s="1"/>
  <c r="AW135" i="9"/>
  <c r="CM98" i="9"/>
  <c r="CM97" i="9" s="1"/>
  <c r="BN131" i="9"/>
  <c r="CV117" i="9"/>
  <c r="CU98" i="9"/>
  <c r="CU97" i="9" s="1"/>
  <c r="CO82" i="9"/>
  <c r="CP82" i="9" s="1"/>
  <c r="BL108" i="9"/>
  <c r="BU112" i="9"/>
  <c r="BU111" i="9" s="1"/>
  <c r="BU108" i="9" s="1"/>
  <c r="BH121" i="9"/>
  <c r="DJ155" i="9"/>
  <c r="DL155" i="9" s="1"/>
  <c r="CT82" i="9"/>
  <c r="DD82" i="9" s="1"/>
  <c r="CA112" i="9"/>
  <c r="CA111" i="9" s="1"/>
  <c r="DC112" i="9"/>
  <c r="DC111" i="9" s="1"/>
  <c r="DC108" i="9" s="1"/>
  <c r="DC74" i="9" s="1"/>
  <c r="CW135" i="9"/>
  <c r="AX135" i="9"/>
  <c r="BK108" i="9"/>
  <c r="CZ117" i="9"/>
  <c r="AI78" i="9"/>
  <c r="BP112" i="9"/>
  <c r="BP111" i="9" s="1"/>
  <c r="BP108" i="9" s="1"/>
  <c r="CD112" i="9"/>
  <c r="CD111" i="9" s="1"/>
  <c r="CD108" i="9" s="1"/>
  <c r="BW112" i="9"/>
  <c r="BW111" i="9" s="1"/>
  <c r="BW108" i="9" s="1"/>
  <c r="CY112" i="9"/>
  <c r="CY111" i="9" s="1"/>
  <c r="CY108" i="9" s="1"/>
  <c r="DB121" i="9"/>
  <c r="BV121" i="9"/>
  <c r="DI124" i="9"/>
  <c r="BU121" i="9"/>
  <c r="BN123" i="9"/>
  <c r="CF135" i="9"/>
  <c r="BP98" i="9"/>
  <c r="AR108" i="9"/>
  <c r="AR74" i="9" s="1"/>
  <c r="BQ112" i="9"/>
  <c r="BQ111" i="9" s="1"/>
  <c r="BQ108" i="9" s="1"/>
  <c r="CE112" i="9"/>
  <c r="CE111" i="9" s="1"/>
  <c r="CL112" i="9"/>
  <c r="CL111" i="9" s="1"/>
  <c r="CL108" i="9" s="1"/>
  <c r="CZ112" i="9"/>
  <c r="DC121" i="9"/>
  <c r="DJ126" i="9"/>
  <c r="DL126" i="9" s="1"/>
  <c r="AQ135" i="9"/>
  <c r="AI140" i="9"/>
  <c r="BB135" i="9"/>
  <c r="CN98" i="9"/>
  <c r="CN97" i="9" s="1"/>
  <c r="BN122" i="9"/>
  <c r="BF121" i="9"/>
  <c r="BS135" i="9"/>
  <c r="AT121" i="9"/>
  <c r="BN137" i="9"/>
  <c r="DI94" i="9"/>
  <c r="BJ98" i="9"/>
  <c r="BJ97" i="9" s="1"/>
  <c r="BY112" i="9"/>
  <c r="BY111" i="9" s="1"/>
  <c r="CD121" i="9"/>
  <c r="CR121" i="9"/>
  <c r="CZ121" i="9"/>
  <c r="BF135" i="9"/>
  <c r="BU135" i="9"/>
  <c r="CO84" i="9"/>
  <c r="CT84" i="9"/>
  <c r="DD84" i="9" s="1"/>
  <c r="CK84" i="9"/>
  <c r="CM88" i="9"/>
  <c r="CJ88" i="9"/>
  <c r="CG88" i="9"/>
  <c r="CJ90" i="9"/>
  <c r="CG90" i="9"/>
  <c r="CM90" i="9"/>
  <c r="CW112" i="9"/>
  <c r="CW111" i="9" s="1"/>
  <c r="CW108" i="9" s="1"/>
  <c r="AV108" i="9"/>
  <c r="AV74" i="9" s="1"/>
  <c r="AL92" i="9"/>
  <c r="BN101" i="9"/>
  <c r="BR98" i="9"/>
  <c r="BR97" i="9" s="1"/>
  <c r="AL118" i="9"/>
  <c r="AN118" i="9" s="1"/>
  <c r="BS98" i="9"/>
  <c r="BS97" i="9" s="1"/>
  <c r="BF108" i="9"/>
  <c r="DB112" i="9"/>
  <c r="DB111" i="9" s="1"/>
  <c r="DB108" i="9" s="1"/>
  <c r="CG89" i="9"/>
  <c r="AJ99" i="9"/>
  <c r="BT98" i="9"/>
  <c r="BT97" i="9" s="1"/>
  <c r="BD108" i="9"/>
  <c r="BD74" i="9" s="1"/>
  <c r="BN86" i="9"/>
  <c r="CB86" i="9"/>
  <c r="CB94" i="9"/>
  <c r="BK98" i="9"/>
  <c r="BK97" i="9" s="1"/>
  <c r="AZ112" i="9"/>
  <c r="CI112" i="9"/>
  <c r="CI111" i="9" s="1"/>
  <c r="CI108" i="9" s="1"/>
  <c r="CJ119" i="9"/>
  <c r="CJ118" i="9" s="1"/>
  <c r="DI86" i="9"/>
  <c r="CP101" i="9"/>
  <c r="BZ112" i="9"/>
  <c r="BZ111" i="9" s="1"/>
  <c r="AI81" i="9"/>
  <c r="AZ81" i="9"/>
  <c r="DI81" i="9"/>
  <c r="CX112" i="9"/>
  <c r="CX111" i="9" s="1"/>
  <c r="CX108" i="9" s="1"/>
  <c r="CX74" i="9" s="1"/>
  <c r="CM119" i="9"/>
  <c r="CM118" i="9" s="1"/>
  <c r="AL81" i="9"/>
  <c r="AN81" i="9" s="1"/>
  <c r="CK112" i="9"/>
  <c r="CK111" i="9" s="1"/>
  <c r="CK108" i="9" s="1"/>
  <c r="CT112" i="9"/>
  <c r="CT111" i="9" s="1"/>
  <c r="CT108" i="9" s="1"/>
  <c r="AS108" i="9"/>
  <c r="CS119" i="9"/>
  <c r="DD119" i="9" s="1"/>
  <c r="AZ78" i="9"/>
  <c r="BN78" i="9"/>
  <c r="CP78" i="9"/>
  <c r="CK83" i="9"/>
  <c r="CB100" i="9"/>
  <c r="AW108" i="9"/>
  <c r="AW74" i="9" s="1"/>
  <c r="BX112" i="9"/>
  <c r="BX111" i="9" s="1"/>
  <c r="CF117" i="9"/>
  <c r="AY108" i="9"/>
  <c r="AY74" i="9" s="1"/>
  <c r="CO83" i="9"/>
  <c r="BQ98" i="9"/>
  <c r="BQ97" i="9" s="1"/>
  <c r="CH112" i="9"/>
  <c r="CH111" i="9" s="1"/>
  <c r="CH108" i="9" s="1"/>
  <c r="DF108" i="9"/>
  <c r="AL76" i="9"/>
  <c r="DJ76" i="9"/>
  <c r="AZ68" i="9"/>
  <c r="CB69" i="9"/>
  <c r="DJ69" i="9" s="1"/>
  <c r="BN68" i="9"/>
  <c r="AU52" i="9"/>
  <c r="DC52" i="9"/>
  <c r="AY52" i="9"/>
  <c r="CG52" i="9"/>
  <c r="AL58" i="9"/>
  <c r="AN58" i="9" s="1"/>
  <c r="BQ52" i="9"/>
  <c r="DG52" i="9"/>
  <c r="AW52" i="9"/>
  <c r="DA52" i="9"/>
  <c r="CV52" i="9"/>
  <c r="DH52" i="9"/>
  <c r="BT52" i="9"/>
  <c r="CP66" i="9"/>
  <c r="DD66" i="9"/>
  <c r="AH64" i="9"/>
  <c r="AI64" i="9" s="1"/>
  <c r="AL64" i="9" s="1"/>
  <c r="AN64" i="9" s="1"/>
  <c r="DI53" i="9"/>
  <c r="BR62" i="9"/>
  <c r="BR61" i="9" s="1"/>
  <c r="BR52" i="9" s="1"/>
  <c r="DJ65" i="9"/>
  <c r="DL65" i="9" s="1"/>
  <c r="BN55" i="9"/>
  <c r="DJ55" i="9" s="1"/>
  <c r="DL55" i="9" s="1"/>
  <c r="BN63" i="9"/>
  <c r="AZ66" i="9"/>
  <c r="BE52" i="9"/>
  <c r="AQ52" i="9"/>
  <c r="BI62" i="9"/>
  <c r="BI61" i="9" s="1"/>
  <c r="BI52" i="9" s="1"/>
  <c r="BS19" i="9"/>
  <c r="DI25" i="9"/>
  <c r="CV24" i="9"/>
  <c r="CV9" i="9" s="1"/>
  <c r="CP12" i="9"/>
  <c r="CB22" i="9"/>
  <c r="CA38" i="9"/>
  <c r="BC9" i="9"/>
  <c r="AW9" i="9"/>
  <c r="CH10" i="9"/>
  <c r="CP10" i="9" s="1"/>
  <c r="AN11" i="9"/>
  <c r="AZ16" i="9"/>
  <c r="AZ19" i="9"/>
  <c r="BM24" i="9"/>
  <c r="CP30" i="9"/>
  <c r="DJ30" i="9" s="1"/>
  <c r="DL30" i="9" s="1"/>
  <c r="CD38" i="9"/>
  <c r="AZ44" i="9"/>
  <c r="CE38" i="9"/>
  <c r="DI24" i="9"/>
  <c r="CO28" i="9"/>
  <c r="CO24" i="9" s="1"/>
  <c r="CO9" i="9" s="1"/>
  <c r="AL40" i="9"/>
  <c r="AL41" i="9"/>
  <c r="AN41" i="9" s="1"/>
  <c r="AI13" i="9"/>
  <c r="BV19" i="9"/>
  <c r="BS24" i="9"/>
  <c r="BR24" i="9"/>
  <c r="CH35" i="9"/>
  <c r="AZ39" i="9"/>
  <c r="CP31" i="9"/>
  <c r="DJ31" i="9" s="1"/>
  <c r="DL31" i="9" s="1"/>
  <c r="BP40" i="9"/>
  <c r="BK19" i="9"/>
  <c r="BV40" i="9"/>
  <c r="BP41" i="9"/>
  <c r="AZ13" i="9"/>
  <c r="BE9" i="9"/>
  <c r="AL14" i="9"/>
  <c r="AN14" i="9" s="1"/>
  <c r="DD16" i="9"/>
  <c r="CB27" i="9"/>
  <c r="BW40" i="9"/>
  <c r="BW39" i="9" s="1"/>
  <c r="BV41" i="9"/>
  <c r="BT38" i="9"/>
  <c r="BY40" i="9"/>
  <c r="BY39" i="9" s="1"/>
  <c r="BN23" i="9"/>
  <c r="CY24" i="9"/>
  <c r="CY9" i="9" s="1"/>
  <c r="AL38" i="9"/>
  <c r="AN38" i="9" s="1"/>
  <c r="BG14" i="9"/>
  <c r="BN16" i="9"/>
  <c r="DI19" i="9"/>
  <c r="BM19" i="9"/>
  <c r="BD9" i="9"/>
  <c r="BN22" i="9"/>
  <c r="DI28" i="9"/>
  <c r="BV38" i="9"/>
  <c r="CA39" i="9"/>
  <c r="DI39" i="9"/>
  <c r="DJ49" i="9"/>
  <c r="DL49" i="9" s="1"/>
  <c r="I46" i="120"/>
  <c r="AL19" i="9"/>
  <c r="AN19" i="9" s="1"/>
  <c r="AN20" i="9"/>
  <c r="CP29" i="9"/>
  <c r="DJ29" i="9" s="1"/>
  <c r="DL29" i="9" s="1"/>
  <c r="CM28" i="9"/>
  <c r="CM24" i="9" s="1"/>
  <c r="CM9" i="9" s="1"/>
  <c r="CP59" i="9"/>
  <c r="CF53" i="9"/>
  <c r="AR9" i="9"/>
  <c r="AL26" i="9"/>
  <c r="BV34" i="9"/>
  <c r="CG34" i="9"/>
  <c r="BT34" i="9"/>
  <c r="BX34" i="9"/>
  <c r="BW34" i="9"/>
  <c r="BU34" i="9"/>
  <c r="CF34" i="9"/>
  <c r="CH34" i="9"/>
  <c r="CE34" i="9"/>
  <c r="CD34" i="9"/>
  <c r="CA34" i="9"/>
  <c r="DD122" i="9"/>
  <c r="BN129" i="9"/>
  <c r="AS9" i="9"/>
  <c r="CP87" i="9"/>
  <c r="DJ87" i="9" s="1"/>
  <c r="AI129" i="9"/>
  <c r="CH129" i="9"/>
  <c r="CH121" i="9" s="1"/>
  <c r="BZ129" i="9"/>
  <c r="BN10" i="9"/>
  <c r="CD19" i="9"/>
  <c r="CP19" i="9" s="1"/>
  <c r="CP20" i="9"/>
  <c r="CH37" i="9"/>
  <c r="BU37" i="9"/>
  <c r="CF37" i="9"/>
  <c r="BV37" i="9"/>
  <c r="BT37" i="9"/>
  <c r="CD37" i="9"/>
  <c r="AL37" i="9"/>
  <c r="AN37" i="9" s="1"/>
  <c r="BW37" i="9"/>
  <c r="CG37" i="9"/>
  <c r="CB122" i="9"/>
  <c r="BP46" i="9"/>
  <c r="BM46" i="9"/>
  <c r="BL46" i="9"/>
  <c r="AL46" i="9"/>
  <c r="AN46" i="9" s="1"/>
  <c r="CR98" i="9"/>
  <c r="DD100" i="9"/>
  <c r="AZ10" i="9"/>
  <c r="AV9" i="9"/>
  <c r="CZ24" i="9"/>
  <c r="CZ9" i="9" s="1"/>
  <c r="BY34" i="9"/>
  <c r="CD61" i="9"/>
  <c r="CD52" i="9" s="1"/>
  <c r="BV36" i="9"/>
  <c r="CG36" i="9"/>
  <c r="BT36" i="9"/>
  <c r="CH36" i="9"/>
  <c r="CF36" i="9"/>
  <c r="CE36" i="9"/>
  <c r="AL36" i="9"/>
  <c r="AN36" i="9" s="1"/>
  <c r="CA36" i="9"/>
  <c r="BZ36" i="9"/>
  <c r="BY36" i="9"/>
  <c r="BX36" i="9"/>
  <c r="BW36" i="9"/>
  <c r="BU36" i="9"/>
  <c r="AL102" i="9"/>
  <c r="AN102" i="9" s="1"/>
  <c r="AJ102" i="9"/>
  <c r="AQ9" i="9"/>
  <c r="BX10" i="9"/>
  <c r="CB12" i="9"/>
  <c r="CB18" i="9"/>
  <c r="DJ18" i="9" s="1"/>
  <c r="DL18" i="9" s="1"/>
  <c r="BY37" i="9"/>
  <c r="BT39" i="9"/>
  <c r="CB42" i="9"/>
  <c r="BR46" i="9"/>
  <c r="CU52" i="9"/>
  <c r="AZ75" i="9"/>
  <c r="DD10" i="9"/>
  <c r="AZ28" i="9"/>
  <c r="BZ37" i="9"/>
  <c r="BS46" i="9"/>
  <c r="DI78" i="9"/>
  <c r="AZ111" i="9"/>
  <c r="DH111" i="9"/>
  <c r="DH108" i="9" s="1"/>
  <c r="DH74" i="9" s="1"/>
  <c r="DI112" i="9"/>
  <c r="AZ118" i="9"/>
  <c r="BQ45" i="9"/>
  <c r="BM45" i="9"/>
  <c r="BL45" i="9"/>
  <c r="BK45" i="9"/>
  <c r="AL45" i="9"/>
  <c r="AI44" i="9"/>
  <c r="BR45" i="9"/>
  <c r="BP45" i="9"/>
  <c r="DD25" i="9"/>
  <c r="AZ27" i="9"/>
  <c r="CB104" i="9"/>
  <c r="CE161" i="9"/>
  <c r="CP162" i="9"/>
  <c r="DJ162" i="9" s="1"/>
  <c r="DL162" i="9" s="1"/>
  <c r="CP77" i="9"/>
  <c r="DJ77" i="9" s="1"/>
  <c r="DL77" i="9" s="1"/>
  <c r="CF75" i="9"/>
  <c r="CP75" i="9" s="1"/>
  <c r="AS97" i="9"/>
  <c r="AZ97" i="9" s="1"/>
  <c r="AZ98" i="9"/>
  <c r="AL34" i="9"/>
  <c r="AN34" i="9" s="1"/>
  <c r="CI53" i="9"/>
  <c r="CP57" i="9"/>
  <c r="DJ57" i="9" s="1"/>
  <c r="DL57" i="9" s="1"/>
  <c r="AL101" i="9"/>
  <c r="AN101" i="9" s="1"/>
  <c r="DI122" i="9"/>
  <c r="DF121" i="9"/>
  <c r="AI19" i="9"/>
  <c r="BT20" i="9"/>
  <c r="AL130" i="9"/>
  <c r="AU9" i="9"/>
  <c r="BB24" i="9"/>
  <c r="BN25" i="9"/>
  <c r="CB26" i="9"/>
  <c r="DJ26" i="9" s="1"/>
  <c r="BT25" i="9"/>
  <c r="BB61" i="9"/>
  <c r="BB52" i="9" s="1"/>
  <c r="BN66" i="9"/>
  <c r="AZ122" i="9"/>
  <c r="AP121" i="9"/>
  <c r="AP9" i="9"/>
  <c r="BZ34" i="9"/>
  <c r="BX37" i="9"/>
  <c r="BQ46" i="9"/>
  <c r="DD19" i="9"/>
  <c r="AI28" i="9"/>
  <c r="CJ28" i="9"/>
  <c r="CJ24" i="9" s="1"/>
  <c r="BV35" i="9"/>
  <c r="CG35" i="9"/>
  <c r="BT35" i="9"/>
  <c r="CA35" i="9"/>
  <c r="BZ35" i="9"/>
  <c r="BW35" i="9"/>
  <c r="CF35" i="9"/>
  <c r="CD35" i="9"/>
  <c r="BY35" i="9"/>
  <c r="CE35" i="9"/>
  <c r="BX35" i="9"/>
  <c r="BU35" i="9"/>
  <c r="CA37" i="9"/>
  <c r="CB78" i="9"/>
  <c r="DG9" i="9"/>
  <c r="CB11" i="9"/>
  <c r="DJ11" i="9" s="1"/>
  <c r="BI19" i="9"/>
  <c r="BN21" i="9"/>
  <c r="BN27" i="9"/>
  <c r="CD36" i="9"/>
  <c r="BX53" i="9"/>
  <c r="BX52" i="9" s="1"/>
  <c r="CB60" i="9"/>
  <c r="AL69" i="9"/>
  <c r="DH9" i="9"/>
  <c r="AL15" i="9"/>
  <c r="AN15" i="9" s="1"/>
  <c r="CR28" i="9"/>
  <c r="CE37" i="9"/>
  <c r="DD39" i="9"/>
  <c r="AX52" i="9"/>
  <c r="AZ62" i="9"/>
  <c r="AP61" i="9"/>
  <c r="AP52" i="9" s="1"/>
  <c r="CT70" i="9"/>
  <c r="CN70" i="9"/>
  <c r="CN68" i="9" s="1"/>
  <c r="CJ70" i="9"/>
  <c r="CX70" i="9"/>
  <c r="CX68" i="9" s="1"/>
  <c r="AL70" i="9"/>
  <c r="AN70" i="9" s="1"/>
  <c r="CB81" i="9"/>
  <c r="DD93" i="9"/>
  <c r="BF97" i="9"/>
  <c r="BZ132" i="9"/>
  <c r="BZ131" i="9" s="1"/>
  <c r="BX132" i="9"/>
  <c r="BT132" i="9"/>
  <c r="CE132" i="9"/>
  <c r="AN132" i="9"/>
  <c r="AL131" i="9"/>
  <c r="AN131" i="9" s="1"/>
  <c r="CP25" i="9"/>
  <c r="BD52" i="9"/>
  <c r="BN81" i="9"/>
  <c r="CB101" i="9"/>
  <c r="DI16" i="9"/>
  <c r="CB43" i="9"/>
  <c r="BU52" i="9"/>
  <c r="CH56" i="9"/>
  <c r="CH53" i="9" s="1"/>
  <c r="CH52" i="9" s="1"/>
  <c r="CE56" i="9"/>
  <c r="AI56" i="9"/>
  <c r="AI86" i="9"/>
  <c r="AL87" i="9"/>
  <c r="CB91" i="9"/>
  <c r="BN94" i="9"/>
  <c r="CK98" i="9"/>
  <c r="CK97" i="9" s="1"/>
  <c r="CP104" i="9"/>
  <c r="CN112" i="9"/>
  <c r="CN111" i="9" s="1"/>
  <c r="CN108" i="9" s="1"/>
  <c r="CB115" i="9"/>
  <c r="AZ124" i="9"/>
  <c r="BN211" i="9"/>
  <c r="CB208" i="9"/>
  <c r="BP181" i="9"/>
  <c r="BP180" i="9" s="1"/>
  <c r="CB211" i="9"/>
  <c r="BN75" i="9"/>
  <c r="CP80" i="9"/>
  <c r="AZ86" i="9"/>
  <c r="CM89" i="9"/>
  <c r="CJ89" i="9"/>
  <c r="AN89" i="9"/>
  <c r="AN99" i="9"/>
  <c r="CL98" i="9"/>
  <c r="CL97" i="9" s="1"/>
  <c r="CP103" i="9"/>
  <c r="CN134" i="9"/>
  <c r="CG134" i="9"/>
  <c r="CG121" i="9" s="1"/>
  <c r="CL134" i="9"/>
  <c r="CJ134" i="9"/>
  <c r="CJ121" i="9" s="1"/>
  <c r="AN134" i="9"/>
  <c r="BK135" i="9"/>
  <c r="DJ168" i="9"/>
  <c r="DL168" i="9" s="1"/>
  <c r="BQ19" i="9"/>
  <c r="BP24" i="9"/>
  <c r="CB75" i="9"/>
  <c r="DD75" i="9"/>
  <c r="DI75" i="9"/>
  <c r="CR78" i="9"/>
  <c r="DD80" i="9"/>
  <c r="AZ91" i="9"/>
  <c r="AZ94" i="9"/>
  <c r="DJ99" i="9"/>
  <c r="BL98" i="9"/>
  <c r="BL97" i="9" s="1"/>
  <c r="AM108" i="9"/>
  <c r="AM74" i="9" s="1"/>
  <c r="BC108" i="9"/>
  <c r="BC74" i="9" s="1"/>
  <c r="DD113" i="9"/>
  <c r="AU135" i="9"/>
  <c r="BU19" i="9"/>
  <c r="DD44" i="9"/>
  <c r="BL19" i="9"/>
  <c r="CP33" i="9"/>
  <c r="DJ33" i="9" s="1"/>
  <c r="DL33" i="9" s="1"/>
  <c r="CE39" i="9"/>
  <c r="BF52" i="9"/>
  <c r="CP79" i="9"/>
  <c r="DJ79" i="9" s="1"/>
  <c r="CZ96" i="9"/>
  <c r="CZ94" i="9" s="1"/>
  <c r="CT96" i="9"/>
  <c r="AN96" i="9"/>
  <c r="CL96" i="9"/>
  <c r="AZ109" i="9"/>
  <c r="AP108" i="9"/>
  <c r="AP74" i="9" s="1"/>
  <c r="DD129" i="9"/>
  <c r="CN141" i="9"/>
  <c r="CN140" i="9" s="1"/>
  <c r="CN135" i="9" s="1"/>
  <c r="CK141" i="9"/>
  <c r="CV141" i="9"/>
  <c r="CV140" i="9" s="1"/>
  <c r="CV135" i="9" s="1"/>
  <c r="CS141" i="9"/>
  <c r="AN141" i="9"/>
  <c r="AL140" i="9"/>
  <c r="AN140" i="9" s="1"/>
  <c r="CB13" i="9"/>
  <c r="CI28" i="9"/>
  <c r="CI24" i="9" s="1"/>
  <c r="CI9" i="9" s="1"/>
  <c r="CP44" i="9"/>
  <c r="AT9" i="9"/>
  <c r="DF9" i="9"/>
  <c r="CP42" i="9"/>
  <c r="AS52" i="9"/>
  <c r="BY52" i="9"/>
  <c r="DE52" i="9"/>
  <c r="DE8" i="9" s="1"/>
  <c r="BJ52" i="9"/>
  <c r="AI17" i="9"/>
  <c r="CB23" i="9"/>
  <c r="CP32" i="9"/>
  <c r="DJ32" i="9" s="1"/>
  <c r="DL32" i="9" s="1"/>
  <c r="CH38" i="9"/>
  <c r="BU38" i="9"/>
  <c r="CF38" i="9"/>
  <c r="BY38" i="9"/>
  <c r="BX38" i="9"/>
  <c r="BW38" i="9"/>
  <c r="CG38" i="9"/>
  <c r="BL52" i="9"/>
  <c r="BN54" i="9"/>
  <c r="CB68" i="9"/>
  <c r="BN100" i="9"/>
  <c r="BE108" i="9"/>
  <c r="BE74" i="9" s="1"/>
  <c r="CF112" i="9"/>
  <c r="AL183" i="9"/>
  <c r="AN183" i="9" s="1"/>
  <c r="AI182" i="9"/>
  <c r="AV181" i="9"/>
  <c r="AV180" i="9" s="1"/>
  <c r="BJ181" i="9"/>
  <c r="BJ180" i="9" s="1"/>
  <c r="BX181" i="9"/>
  <c r="BX180" i="9" s="1"/>
  <c r="CW24" i="9"/>
  <c r="CW9" i="9" s="1"/>
  <c r="BN28" i="9"/>
  <c r="CB66" i="9"/>
  <c r="AL106" i="9"/>
  <c r="AN106" i="9" s="1"/>
  <c r="CD106" i="9"/>
  <c r="CP106" i="9" s="1"/>
  <c r="BP106" i="9"/>
  <c r="CB106" i="9" s="1"/>
  <c r="CM112" i="9"/>
  <c r="DA112" i="9"/>
  <c r="DA111" i="9" s="1"/>
  <c r="DA108" i="9" s="1"/>
  <c r="DA74" i="9" s="1"/>
  <c r="CZ135" i="9"/>
  <c r="DJ72" i="9"/>
  <c r="DL72" i="9" s="1"/>
  <c r="CB103" i="9"/>
  <c r="BH108" i="9"/>
  <c r="BH74" i="9" s="1"/>
  <c r="BN140" i="9"/>
  <c r="DJ149" i="9"/>
  <c r="DL149" i="9" s="1"/>
  <c r="BY181" i="9"/>
  <c r="BY180" i="9" s="1"/>
  <c r="CS202" i="9"/>
  <c r="DD202" i="9" s="1"/>
  <c r="DD203" i="9"/>
  <c r="DJ203" i="9" s="1"/>
  <c r="DI62" i="9"/>
  <c r="DI61" i="9" s="1"/>
  <c r="BJ108" i="9"/>
  <c r="BV112" i="9"/>
  <c r="BV111" i="9" s="1"/>
  <c r="BV108" i="9" s="1"/>
  <c r="CJ112" i="9"/>
  <c r="CJ111" i="9" s="1"/>
  <c r="CB114" i="9"/>
  <c r="CP114" i="9"/>
  <c r="DD114" i="9"/>
  <c r="BN118" i="9"/>
  <c r="CB118" i="9"/>
  <c r="DI118" i="9"/>
  <c r="BX135" i="9"/>
  <c r="AX181" i="9"/>
  <c r="AX180" i="9" s="1"/>
  <c r="DC181" i="9"/>
  <c r="DC180" i="9" s="1"/>
  <c r="BV48" i="9"/>
  <c r="BV44" i="9" s="1"/>
  <c r="BS48" i="9"/>
  <c r="BW52" i="9"/>
  <c r="AN79" i="9"/>
  <c r="AL78" i="9"/>
  <c r="AN78" i="9" s="1"/>
  <c r="CT85" i="9"/>
  <c r="DD85" i="9" s="1"/>
  <c r="CO85" i="9"/>
  <c r="CP85" i="9" s="1"/>
  <c r="AN90" i="9"/>
  <c r="CP93" i="9"/>
  <c r="CK91" i="9"/>
  <c r="DD115" i="9"/>
  <c r="CS117" i="9"/>
  <c r="AL117" i="9"/>
  <c r="AN117" i="9" s="1"/>
  <c r="CM117" i="9"/>
  <c r="AY121" i="9"/>
  <c r="BL121" i="9"/>
  <c r="CB123" i="9"/>
  <c r="DD131" i="9"/>
  <c r="DD136" i="9"/>
  <c r="CR135" i="9"/>
  <c r="DD137" i="9"/>
  <c r="AZ140" i="9"/>
  <c r="CS174" i="9"/>
  <c r="CW148" i="9"/>
  <c r="CW145" i="9" s="1"/>
  <c r="CS148" i="9"/>
  <c r="CI148" i="9"/>
  <c r="CI145" i="9" s="1"/>
  <c r="CE148" i="9"/>
  <c r="DA174" i="9"/>
  <c r="DA171" i="9" s="1"/>
  <c r="DA167" i="9" s="1"/>
  <c r="CM148" i="9"/>
  <c r="CM145" i="9" s="1"/>
  <c r="CW174" i="9"/>
  <c r="CW171" i="9" s="1"/>
  <c r="CW167" i="9" s="1"/>
  <c r="DA148" i="9"/>
  <c r="DA145" i="9" s="1"/>
  <c r="AN148" i="9"/>
  <c r="CB171" i="9"/>
  <c r="AL201" i="9"/>
  <c r="AN201" i="9" s="1"/>
  <c r="CN28" i="9"/>
  <c r="CN24" i="9" s="1"/>
  <c r="AI39" i="9"/>
  <c r="AL48" i="9"/>
  <c r="AN48" i="9" s="1"/>
  <c r="AV52" i="9"/>
  <c r="BK52" i="9"/>
  <c r="CZ58" i="9"/>
  <c r="CZ53" i="9" s="1"/>
  <c r="CZ52" i="9" s="1"/>
  <c r="CW58" i="9"/>
  <c r="CW53" i="9" s="1"/>
  <c r="CW52" i="9" s="1"/>
  <c r="CP60" i="9"/>
  <c r="AN82" i="9"/>
  <c r="AN84" i="9"/>
  <c r="AN85" i="9"/>
  <c r="BN91" i="9"/>
  <c r="DG108" i="9"/>
  <c r="DG74" i="9" s="1"/>
  <c r="AL113" i="9"/>
  <c r="BM121" i="9"/>
  <c r="CP122" i="9"/>
  <c r="CA135" i="9"/>
  <c r="BN161" i="9"/>
  <c r="CB173" i="9"/>
  <c r="DJ173" i="9" s="1"/>
  <c r="AZ176" i="9"/>
  <c r="CH181" i="9"/>
  <c r="CH180" i="9" s="1"/>
  <c r="CV181" i="9"/>
  <c r="CV180" i="9" s="1"/>
  <c r="DJ194" i="9"/>
  <c r="DL194" i="9" s="1"/>
  <c r="BN202" i="9"/>
  <c r="CB202" i="9"/>
  <c r="CD181" i="9"/>
  <c r="CD180" i="9" s="1"/>
  <c r="AL95" i="9"/>
  <c r="AI94" i="9"/>
  <c r="BY109" i="9"/>
  <c r="BI110" i="9"/>
  <c r="AQ108" i="9"/>
  <c r="AQ74" i="9" s="1"/>
  <c r="AQ121" i="9"/>
  <c r="DD124" i="9"/>
  <c r="DH136" i="9"/>
  <c r="DH135" i="9" s="1"/>
  <c r="CD136" i="9"/>
  <c r="CB140" i="9"/>
  <c r="AI145" i="9"/>
  <c r="DB167" i="9"/>
  <c r="DB144" i="9" s="1"/>
  <c r="DB143" i="9" s="1"/>
  <c r="DI98" i="9"/>
  <c r="BN124" i="9"/>
  <c r="CB124" i="9"/>
  <c r="AL146" i="9"/>
  <c r="CB169" i="9"/>
  <c r="CE174" i="9"/>
  <c r="CI174" i="9"/>
  <c r="CI171" i="9" s="1"/>
  <c r="CI167" i="9" s="1"/>
  <c r="CM174" i="9"/>
  <c r="CM171" i="9" s="1"/>
  <c r="CM167" i="9" s="1"/>
  <c r="AN174" i="9"/>
  <c r="BN185" i="9"/>
  <c r="CB185" i="9"/>
  <c r="DJ105" i="9"/>
  <c r="DL105" i="9" s="1"/>
  <c r="CA109" i="9"/>
  <c r="CB113" i="9"/>
  <c r="CP113" i="9"/>
  <c r="CP115" i="9"/>
  <c r="AU121" i="9"/>
  <c r="CT135" i="9"/>
  <c r="AI137" i="9"/>
  <c r="AI136" i="9" s="1"/>
  <c r="AL139" i="9"/>
  <c r="CP169" i="9"/>
  <c r="AN88" i="9"/>
  <c r="CV98" i="9"/>
  <c r="CV97" i="9" s="1"/>
  <c r="AI109" i="9"/>
  <c r="DD109" i="9"/>
  <c r="AN187" i="9"/>
  <c r="AL185" i="9"/>
  <c r="AN185" i="9" s="1"/>
  <c r="AZ136" i="9"/>
  <c r="AP135" i="9"/>
  <c r="AM171" i="9"/>
  <c r="AM167" i="9" s="1"/>
  <c r="DF181" i="9"/>
  <c r="DF180" i="9" s="1"/>
  <c r="BB108" i="9"/>
  <c r="BB74" i="9" s="1"/>
  <c r="CG119" i="9"/>
  <c r="AN119" i="9"/>
  <c r="CX121" i="9"/>
  <c r="BP135" i="9"/>
  <c r="CB147" i="9"/>
  <c r="DJ147" i="9" s="1"/>
  <c r="BT145" i="9"/>
  <c r="CV177" i="9"/>
  <c r="CV176" i="9" s="1"/>
  <c r="CS177" i="9"/>
  <c r="CO177" i="9"/>
  <c r="BY121" i="9"/>
  <c r="CY121" i="9"/>
  <c r="CO135" i="9"/>
  <c r="DJ138" i="9"/>
  <c r="DL138" i="9" s="1"/>
  <c r="BY167" i="9"/>
  <c r="BY144" i="9" s="1"/>
  <c r="BY143" i="9" s="1"/>
  <c r="AL176" i="9"/>
  <c r="AN176" i="9" s="1"/>
  <c r="AN177" i="9"/>
  <c r="DH181" i="9"/>
  <c r="DH180" i="9" s="1"/>
  <c r="DJ188" i="9"/>
  <c r="DL188" i="9" s="1"/>
  <c r="DJ190" i="9"/>
  <c r="DL190" i="9" s="1"/>
  <c r="AI118" i="9"/>
  <c r="BK121" i="9"/>
  <c r="AL169" i="9"/>
  <c r="AN169" i="9" s="1"/>
  <c r="BZ167" i="9"/>
  <c r="BZ144" i="9" s="1"/>
  <c r="BZ143" i="9" s="1"/>
  <c r="AZ171" i="9"/>
  <c r="CU181" i="9"/>
  <c r="CU180" i="9" s="1"/>
  <c r="DI185" i="9"/>
  <c r="AZ206" i="9"/>
  <c r="AP181" i="9"/>
  <c r="AP180" i="9" s="1"/>
  <c r="AI206" i="9"/>
  <c r="AL207" i="9"/>
  <c r="AZ145" i="9"/>
  <c r="AM145" i="9"/>
  <c r="DD161" i="9"/>
  <c r="DF167" i="9"/>
  <c r="DF144" i="9" s="1"/>
  <c r="DF143" i="9" s="1"/>
  <c r="DI171" i="9"/>
  <c r="BH181" i="9"/>
  <c r="BH180" i="9" s="1"/>
  <c r="CJ181" i="9"/>
  <c r="CJ180" i="9" s="1"/>
  <c r="CT210" i="9"/>
  <c r="CK210" i="9"/>
  <c r="AN210" i="9"/>
  <c r="AN213" i="9"/>
  <c r="CT213" i="9"/>
  <c r="DD213" i="9" s="1"/>
  <c r="CN213" i="9"/>
  <c r="CK213" i="9"/>
  <c r="CP100" i="9"/>
  <c r="AI116" i="9"/>
  <c r="AL116" i="9" s="1"/>
  <c r="AN116" i="9" s="1"/>
  <c r="AZ131" i="9"/>
  <c r="AZ137" i="9"/>
  <c r="DD163" i="9"/>
  <c r="DI163" i="9" s="1"/>
  <c r="BI181" i="9"/>
  <c r="BI180" i="9" s="1"/>
  <c r="AN203" i="9"/>
  <c r="AL202" i="9"/>
  <c r="AN202" i="9" s="1"/>
  <c r="AN209" i="9"/>
  <c r="DD200" i="9"/>
  <c r="DJ200" i="9" s="1"/>
  <c r="DL200" i="9" s="1"/>
  <c r="CT212" i="9"/>
  <c r="CN212" i="9"/>
  <c r="DJ154" i="9"/>
  <c r="DL154" i="9" s="1"/>
  <c r="CB164" i="9"/>
  <c r="BV161" i="9"/>
  <c r="CB161" i="9" s="1"/>
  <c r="BV167" i="9"/>
  <c r="DJ182" i="9"/>
  <c r="AU197" i="9"/>
  <c r="AZ197" i="9" s="1"/>
  <c r="AZ202" i="9"/>
  <c r="DJ204" i="9"/>
  <c r="DL204" i="9" s="1"/>
  <c r="CB206" i="9"/>
  <c r="CP206" i="9"/>
  <c r="CN210" i="9"/>
  <c r="AN212" i="9"/>
  <c r="DJ127" i="9"/>
  <c r="DL127" i="9" s="1"/>
  <c r="BC135" i="9"/>
  <c r="DB135" i="9"/>
  <c r="CP150" i="9"/>
  <c r="AZ150" i="9"/>
  <c r="DJ192" i="9"/>
  <c r="DL192" i="9" s="1"/>
  <c r="AZ208" i="9"/>
  <c r="DJ153" i="9"/>
  <c r="DL153" i="9" s="1"/>
  <c r="CF161" i="9"/>
  <c r="DJ152" i="9"/>
  <c r="DL152" i="9" s="1"/>
  <c r="BN170" i="9"/>
  <c r="DJ170" i="9" s="1"/>
  <c r="DJ191" i="9"/>
  <c r="DL191" i="9" s="1"/>
  <c r="CE181" i="9"/>
  <c r="CE180" i="9" s="1"/>
  <c r="BT199" i="9"/>
  <c r="AL199" i="9"/>
  <c r="DI202" i="9"/>
  <c r="AZ211" i="9"/>
  <c r="DJ151" i="9"/>
  <c r="DL151" i="9" s="1"/>
  <c r="CQ144" i="9"/>
  <c r="CQ143" i="9" s="1"/>
  <c r="DH167" i="9"/>
  <c r="DH144" i="9" s="1"/>
  <c r="DH143" i="9" s="1"/>
  <c r="AZ185" i="9"/>
  <c r="CP185" i="9"/>
  <c r="DD185" i="9"/>
  <c r="BV198" i="9"/>
  <c r="BV197" i="9" s="1"/>
  <c r="BV181" i="9" s="1"/>
  <c r="BV180" i="9" s="1"/>
  <c r="BU198" i="9"/>
  <c r="BT198" i="9"/>
  <c r="BU199" i="9"/>
  <c r="BN206" i="9"/>
  <c r="CI121" i="9" l="1"/>
  <c r="AN107" i="9"/>
  <c r="BZ108" i="9"/>
  <c r="AN110" i="9"/>
  <c r="CE109" i="9"/>
  <c r="CP109" i="9" s="1"/>
  <c r="CP110" i="9"/>
  <c r="BK144" i="9"/>
  <c r="BK143" i="9" s="1"/>
  <c r="CN9" i="9"/>
  <c r="CN8" i="9" s="1"/>
  <c r="CP15" i="9"/>
  <c r="DJ15" i="9" s="1"/>
  <c r="DL15" i="9" s="1"/>
  <c r="CB17" i="9"/>
  <c r="BN116" i="9"/>
  <c r="DJ116" i="9" s="1"/>
  <c r="DL116" i="9" s="1"/>
  <c r="CA16" i="9"/>
  <c r="CB16" i="9" s="1"/>
  <c r="CE16" i="9"/>
  <c r="CP16" i="9" s="1"/>
  <c r="CP17" i="9"/>
  <c r="BX108" i="9"/>
  <c r="BH144" i="9"/>
  <c r="BH143" i="9" s="1"/>
  <c r="DD56" i="9"/>
  <c r="BI144" i="9"/>
  <c r="BI143" i="9" s="1"/>
  <c r="AL75" i="9"/>
  <c r="AN75" i="9" s="1"/>
  <c r="AI171" i="9"/>
  <c r="AI167" i="9" s="1"/>
  <c r="AI144" i="9" s="1"/>
  <c r="AI143" i="9" s="1"/>
  <c r="AL98" i="9"/>
  <c r="AL97" i="9" s="1"/>
  <c r="AN97" i="9" s="1"/>
  <c r="DL173" i="9"/>
  <c r="BN172" i="9"/>
  <c r="DJ172" i="9" s="1"/>
  <c r="DL172" i="9" s="1"/>
  <c r="BN146" i="9"/>
  <c r="DJ146" i="9" s="1"/>
  <c r="BJ144" i="9"/>
  <c r="BJ143" i="9" s="1"/>
  <c r="BG144" i="9"/>
  <c r="BG143" i="9" s="1"/>
  <c r="DD207" i="9"/>
  <c r="DJ207" i="9" s="1"/>
  <c r="AL171" i="9"/>
  <c r="AN171" i="9" s="1"/>
  <c r="CL95" i="9"/>
  <c r="CL94" i="9" s="1"/>
  <c r="CH95" i="9"/>
  <c r="CH94" i="9" s="1"/>
  <c r="CM92" i="9"/>
  <c r="CM91" i="9" s="1"/>
  <c r="CI92" i="9"/>
  <c r="CI91" i="9" s="1"/>
  <c r="CW86" i="9"/>
  <c r="CW74" i="9" s="1"/>
  <c r="CW73" i="9" s="1"/>
  <c r="DB86" i="9"/>
  <c r="DB74" i="9" s="1"/>
  <c r="DB73" i="9" s="1"/>
  <c r="AI24" i="9"/>
  <c r="AL24" i="9" s="1"/>
  <c r="AN24" i="9" s="1"/>
  <c r="BN47" i="9"/>
  <c r="DB8" i="9"/>
  <c r="DF8" i="9"/>
  <c r="AT8" i="9"/>
  <c r="DH8" i="9"/>
  <c r="BE8" i="9"/>
  <c r="DJ63" i="9"/>
  <c r="DL63" i="9" s="1"/>
  <c r="BV39" i="9"/>
  <c r="CL64" i="9"/>
  <c r="CL62" i="9" s="1"/>
  <c r="CL61" i="9" s="1"/>
  <c r="CL52" i="9" s="1"/>
  <c r="CL8" i="9" s="1"/>
  <c r="CF64" i="9"/>
  <c r="CI64" i="9"/>
  <c r="CI62" i="9" s="1"/>
  <c r="CI61" i="9" s="1"/>
  <c r="CI52" i="9" s="1"/>
  <c r="CI8" i="9" s="1"/>
  <c r="DJ12" i="9"/>
  <c r="DL12" i="9" s="1"/>
  <c r="BU197" i="9"/>
  <c r="BU181" i="9" s="1"/>
  <c r="BU180" i="9" s="1"/>
  <c r="CP202" i="9"/>
  <c r="DJ202" i="9" s="1"/>
  <c r="DL202" i="9" s="1"/>
  <c r="CP213" i="9"/>
  <c r="DJ213" i="9" s="1"/>
  <c r="DL213" i="9" s="1"/>
  <c r="DL183" i="9"/>
  <c r="CB199" i="9"/>
  <c r="DJ199" i="9" s="1"/>
  <c r="AU181" i="9"/>
  <c r="AU180" i="9" s="1"/>
  <c r="DD206" i="9"/>
  <c r="DJ206" i="9" s="1"/>
  <c r="CN211" i="9"/>
  <c r="CN208" i="9" s="1"/>
  <c r="CN181" i="9" s="1"/>
  <c r="CN180" i="9" s="1"/>
  <c r="BN209" i="9"/>
  <c r="DJ209" i="9" s="1"/>
  <c r="DL209" i="9" s="1"/>
  <c r="DG181" i="9"/>
  <c r="DG180" i="9" s="1"/>
  <c r="CN144" i="9"/>
  <c r="CN143" i="9" s="1"/>
  <c r="DL147" i="9"/>
  <c r="CL144" i="9"/>
  <c r="CL143" i="9" s="1"/>
  <c r="CG144" i="9"/>
  <c r="CG143" i="9" s="1"/>
  <c r="CH144" i="9"/>
  <c r="CH143" i="9" s="1"/>
  <c r="CJ144" i="9"/>
  <c r="CJ143" i="9" s="1"/>
  <c r="BG73" i="9"/>
  <c r="DG73" i="9"/>
  <c r="AX73" i="9"/>
  <c r="DJ85" i="9"/>
  <c r="DL85" i="9" s="1"/>
  <c r="AN76" i="9"/>
  <c r="DL76" i="9" s="1"/>
  <c r="BH73" i="9"/>
  <c r="AR73" i="9"/>
  <c r="BX131" i="9"/>
  <c r="CB133" i="9"/>
  <c r="DJ133" i="9" s="1"/>
  <c r="DL133" i="9" s="1"/>
  <c r="CV111" i="9"/>
  <c r="CV108" i="9" s="1"/>
  <c r="CV74" i="9" s="1"/>
  <c r="CV73" i="9" s="1"/>
  <c r="AI121" i="9"/>
  <c r="AM73" i="9"/>
  <c r="DA73" i="9"/>
  <c r="CR64" i="9"/>
  <c r="CR62" i="9" s="1"/>
  <c r="BP39" i="9"/>
  <c r="CT64" i="9"/>
  <c r="CT62" i="9" s="1"/>
  <c r="CT61" i="9" s="1"/>
  <c r="CT52" i="9" s="1"/>
  <c r="AR8" i="9"/>
  <c r="CS9" i="9"/>
  <c r="CS8" i="9" s="1"/>
  <c r="DJ23" i="9"/>
  <c r="DL23" i="9" s="1"/>
  <c r="CZ111" i="9"/>
  <c r="CZ108" i="9" s="1"/>
  <c r="CZ74" i="9" s="1"/>
  <c r="CZ73" i="9" s="1"/>
  <c r="BU74" i="9"/>
  <c r="BU73" i="9" s="1"/>
  <c r="DJ106" i="9"/>
  <c r="DL106" i="9" s="1"/>
  <c r="BS74" i="9"/>
  <c r="BS73" i="9" s="1"/>
  <c r="CF111" i="9"/>
  <c r="CF108" i="9" s="1"/>
  <c r="DC8" i="9"/>
  <c r="CB47" i="9"/>
  <c r="DD13" i="9"/>
  <c r="AP8" i="9"/>
  <c r="BN41" i="9"/>
  <c r="BH8" i="9"/>
  <c r="BF8" i="9"/>
  <c r="AS8" i="9"/>
  <c r="CP39" i="9"/>
  <c r="BR44" i="9"/>
  <c r="BR9" i="9" s="1"/>
  <c r="BR8" i="9" s="1"/>
  <c r="CB53" i="9"/>
  <c r="CY8" i="9"/>
  <c r="DJ60" i="9"/>
  <c r="DL60" i="9" s="1"/>
  <c r="BC8" i="9"/>
  <c r="DJ21" i="9"/>
  <c r="DL21" i="9" s="1"/>
  <c r="AM8" i="9"/>
  <c r="BN24" i="9"/>
  <c r="CM8" i="9"/>
  <c r="DJ113" i="9"/>
  <c r="DD117" i="9"/>
  <c r="BQ74" i="9"/>
  <c r="BQ73" i="9" s="1"/>
  <c r="BL74" i="9"/>
  <c r="BL73" i="9" s="1"/>
  <c r="DJ100" i="9"/>
  <c r="DL100" i="9" s="1"/>
  <c r="DJ103" i="9"/>
  <c r="DL103" i="9" s="1"/>
  <c r="CP90" i="9"/>
  <c r="CP84" i="9"/>
  <c r="DJ84" i="9" s="1"/>
  <c r="DL84" i="9" s="1"/>
  <c r="DJ80" i="9"/>
  <c r="DL80" i="9" s="1"/>
  <c r="AY8" i="9"/>
  <c r="BD8" i="9"/>
  <c r="AW8" i="9"/>
  <c r="BN46" i="9"/>
  <c r="DJ59" i="9"/>
  <c r="DL59" i="9" s="1"/>
  <c r="CP36" i="9"/>
  <c r="CK8" i="9"/>
  <c r="DI52" i="9"/>
  <c r="CB41" i="9"/>
  <c r="AX8" i="9"/>
  <c r="DI9" i="9"/>
  <c r="AU8" i="9"/>
  <c r="DJ43" i="9"/>
  <c r="DL43" i="9" s="1"/>
  <c r="CX8" i="9"/>
  <c r="AQ8" i="9"/>
  <c r="DG8" i="9"/>
  <c r="AV8" i="9"/>
  <c r="CF28" i="9"/>
  <c r="CF24" i="9" s="1"/>
  <c r="CF9" i="9" s="1"/>
  <c r="BN19" i="9"/>
  <c r="DL11" i="9"/>
  <c r="CB40" i="9"/>
  <c r="DJ40" i="9" s="1"/>
  <c r="CP117" i="9"/>
  <c r="BN97" i="9"/>
  <c r="CJ86" i="9"/>
  <c r="CA108" i="9"/>
  <c r="DI107" i="9"/>
  <c r="DJ107" i="9" s="1"/>
  <c r="DL107" i="9" s="1"/>
  <c r="DJ104" i="9"/>
  <c r="DL104" i="9" s="1"/>
  <c r="BT74" i="9"/>
  <c r="CJ108" i="9"/>
  <c r="CP89" i="9"/>
  <c r="CY86" i="9"/>
  <c r="CY74" i="9" s="1"/>
  <c r="CY73" i="9" s="1"/>
  <c r="CN74" i="9"/>
  <c r="DJ123" i="9"/>
  <c r="DL123" i="9" s="1"/>
  <c r="BE73" i="9"/>
  <c r="AT73" i="9"/>
  <c r="AW73" i="9"/>
  <c r="DI121" i="9"/>
  <c r="BD73" i="9"/>
  <c r="BB73" i="9"/>
  <c r="DI135" i="9"/>
  <c r="AV73" i="9"/>
  <c r="AP73" i="9"/>
  <c r="DC73" i="9"/>
  <c r="BW131" i="9"/>
  <c r="BW121" i="9" s="1"/>
  <c r="BC73" i="9"/>
  <c r="DL170" i="9"/>
  <c r="AZ167" i="9"/>
  <c r="AZ144" i="9" s="1"/>
  <c r="BV144" i="9"/>
  <c r="BV143" i="9" s="1"/>
  <c r="BT144" i="9"/>
  <c r="BT143" i="9" s="1"/>
  <c r="CK144" i="9"/>
  <c r="CK143" i="9" s="1"/>
  <c r="DI167" i="9"/>
  <c r="DI144" i="9" s="1"/>
  <c r="DI143" i="9" s="1"/>
  <c r="CB145" i="9"/>
  <c r="CB167" i="9"/>
  <c r="DJ150" i="9"/>
  <c r="DL150" i="9" s="1"/>
  <c r="BF144" i="9"/>
  <c r="BF143" i="9" s="1"/>
  <c r="DJ163" i="9"/>
  <c r="DL163" i="9" s="1"/>
  <c r="DL201" i="9"/>
  <c r="BK208" i="9"/>
  <c r="BK181" i="9" s="1"/>
  <c r="BK180" i="9" s="1"/>
  <c r="AL208" i="9"/>
  <c r="AN208" i="9" s="1"/>
  <c r="DL187" i="9"/>
  <c r="AZ181" i="9"/>
  <c r="DI181" i="9"/>
  <c r="CP161" i="9"/>
  <c r="DJ161" i="9" s="1"/>
  <c r="DL161" i="9" s="1"/>
  <c r="DJ164" i="9"/>
  <c r="DL164" i="9" s="1"/>
  <c r="CF144" i="9"/>
  <c r="CF143" i="9" s="1"/>
  <c r="CV144" i="9"/>
  <c r="CV143" i="9" s="1"/>
  <c r="AM144" i="9"/>
  <c r="AM143" i="9" s="1"/>
  <c r="BN171" i="9"/>
  <c r="BN167" i="9" s="1"/>
  <c r="DJ169" i="9"/>
  <c r="DL169" i="9" s="1"/>
  <c r="BJ74" i="9"/>
  <c r="BJ73" i="9" s="1"/>
  <c r="BN135" i="9"/>
  <c r="AN92" i="9"/>
  <c r="AN125" i="9"/>
  <c r="BZ121" i="9"/>
  <c r="AL124" i="9"/>
  <c r="AN124" i="9" s="1"/>
  <c r="CT81" i="9"/>
  <c r="DD81" i="9" s="1"/>
  <c r="DD121" i="9"/>
  <c r="CM111" i="9"/>
  <c r="CM108" i="9" s="1"/>
  <c r="CL125" i="9"/>
  <c r="CL124" i="9" s="1"/>
  <c r="CL121" i="9" s="1"/>
  <c r="BK74" i="9"/>
  <c r="BK73" i="9" s="1"/>
  <c r="BF74" i="9"/>
  <c r="BF73" i="9" s="1"/>
  <c r="DI108" i="9"/>
  <c r="DI74" i="9" s="1"/>
  <c r="DD112" i="9"/>
  <c r="CN125" i="9"/>
  <c r="CN124" i="9" s="1"/>
  <c r="CN121" i="9" s="1"/>
  <c r="DD90" i="9"/>
  <c r="AI135" i="9"/>
  <c r="AQ73" i="9"/>
  <c r="BR74" i="9"/>
  <c r="BR73" i="9" s="1"/>
  <c r="CF125" i="9"/>
  <c r="CF124" i="9" s="1"/>
  <c r="CS86" i="9"/>
  <c r="CM86" i="9"/>
  <c r="CG86" i="9"/>
  <c r="BY108" i="9"/>
  <c r="DJ114" i="9"/>
  <c r="DL114" i="9" s="1"/>
  <c r="DJ101" i="9"/>
  <c r="DL101" i="9" s="1"/>
  <c r="CO81" i="9"/>
  <c r="CO74" i="9" s="1"/>
  <c r="CO73" i="9" s="1"/>
  <c r="DL99" i="9"/>
  <c r="CS111" i="9"/>
  <c r="AS74" i="9"/>
  <c r="AS73" i="9" s="1"/>
  <c r="DJ82" i="9"/>
  <c r="DL82" i="9" s="1"/>
  <c r="CP83" i="9"/>
  <c r="DJ83" i="9" s="1"/>
  <c r="DL83" i="9" s="1"/>
  <c r="DD88" i="9"/>
  <c r="AL91" i="9"/>
  <c r="AN91" i="9" s="1"/>
  <c r="CS92" i="9"/>
  <c r="CP88" i="9"/>
  <c r="CU86" i="9"/>
  <c r="CU74" i="9" s="1"/>
  <c r="CU73" i="9" s="1"/>
  <c r="DJ115" i="9"/>
  <c r="DL115" i="9" s="1"/>
  <c r="DI111" i="9"/>
  <c r="BP97" i="9"/>
  <c r="BP74" i="9" s="1"/>
  <c r="BP73" i="9" s="1"/>
  <c r="DF74" i="9"/>
  <c r="DF73" i="9" s="1"/>
  <c r="CS118" i="9"/>
  <c r="DD118" i="9" s="1"/>
  <c r="CK81" i="9"/>
  <c r="DL79" i="9"/>
  <c r="BN98" i="9"/>
  <c r="CB112" i="9"/>
  <c r="DD89" i="9"/>
  <c r="AU73" i="9"/>
  <c r="CU8" i="9"/>
  <c r="CB62" i="9"/>
  <c r="CB61" i="9" s="1"/>
  <c r="DJ66" i="9"/>
  <c r="DL66" i="9" s="1"/>
  <c r="CZ8" i="9"/>
  <c r="DA8" i="9"/>
  <c r="CW8" i="9"/>
  <c r="BN62" i="9"/>
  <c r="BN61" i="9" s="1"/>
  <c r="CO8" i="9"/>
  <c r="AI62" i="9"/>
  <c r="AI61" i="9" s="1"/>
  <c r="CV8" i="9"/>
  <c r="BY28" i="9"/>
  <c r="BY24" i="9" s="1"/>
  <c r="BY9" i="9" s="1"/>
  <c r="BY8" i="9" s="1"/>
  <c r="BB9" i="9"/>
  <c r="BB8" i="9" s="1"/>
  <c r="BX28" i="9"/>
  <c r="BX24" i="9" s="1"/>
  <c r="BX9" i="9" s="1"/>
  <c r="BX8" i="9" s="1"/>
  <c r="DJ22" i="9"/>
  <c r="DL22" i="9" s="1"/>
  <c r="BL44" i="9"/>
  <c r="BL9" i="9" s="1"/>
  <c r="BL8" i="9" s="1"/>
  <c r="BV28" i="9"/>
  <c r="BV24" i="9" s="1"/>
  <c r="CB38" i="9"/>
  <c r="BM44" i="9"/>
  <c r="BM9" i="9" s="1"/>
  <c r="BM8" i="9" s="1"/>
  <c r="CH28" i="9"/>
  <c r="CH24" i="9" s="1"/>
  <c r="CH9" i="9" s="1"/>
  <c r="CH8" i="9" s="1"/>
  <c r="CB48" i="9"/>
  <c r="DJ48" i="9" s="1"/>
  <c r="DL48" i="9" s="1"/>
  <c r="CB36" i="9"/>
  <c r="AN40" i="9"/>
  <c r="AL39" i="9"/>
  <c r="AN39" i="9" s="1"/>
  <c r="BN14" i="9"/>
  <c r="DJ14" i="9" s="1"/>
  <c r="DL14" i="9" s="1"/>
  <c r="BG13" i="9"/>
  <c r="CP38" i="9"/>
  <c r="CE28" i="9"/>
  <c r="CE24" i="9" s="1"/>
  <c r="AL28" i="9"/>
  <c r="AN28" i="9" s="1"/>
  <c r="CJ9" i="9"/>
  <c r="CP177" i="9"/>
  <c r="CO176" i="9"/>
  <c r="CO144" i="9" s="1"/>
  <c r="CO143" i="9" s="1"/>
  <c r="BM111" i="9"/>
  <c r="BN112" i="9"/>
  <c r="CP96" i="9"/>
  <c r="CF102" i="9"/>
  <c r="CF98" i="9" s="1"/>
  <c r="CF97" i="9" s="1"/>
  <c r="CA102" i="9"/>
  <c r="CA98" i="9" s="1"/>
  <c r="CA97" i="9" s="1"/>
  <c r="BV102" i="9"/>
  <c r="CI102" i="9"/>
  <c r="CI98" i="9" s="1"/>
  <c r="CI97" i="9" s="1"/>
  <c r="BY102" i="9"/>
  <c r="BY98" i="9" s="1"/>
  <c r="BY97" i="9" s="1"/>
  <c r="BX102" i="9"/>
  <c r="BX98" i="9" s="1"/>
  <c r="BX97" i="9" s="1"/>
  <c r="BW102" i="9"/>
  <c r="BW98" i="9" s="1"/>
  <c r="BW97" i="9" s="1"/>
  <c r="BW74" i="9" s="1"/>
  <c r="CH102" i="9"/>
  <c r="CH98" i="9" s="1"/>
  <c r="CH97" i="9" s="1"/>
  <c r="CG102" i="9"/>
  <c r="CG98" i="9" s="1"/>
  <c r="CG97" i="9" s="1"/>
  <c r="CE102" i="9"/>
  <c r="CE98" i="9" s="1"/>
  <c r="CE97" i="9" s="1"/>
  <c r="CD102" i="9"/>
  <c r="BZ102" i="9"/>
  <c r="BZ98" i="9" s="1"/>
  <c r="BZ97" i="9" s="1"/>
  <c r="AZ61" i="9"/>
  <c r="BT28" i="9"/>
  <c r="CB34" i="9"/>
  <c r="CP13" i="9"/>
  <c r="AN130" i="9"/>
  <c r="AL129" i="9"/>
  <c r="CG28" i="9"/>
  <c r="CG24" i="9" s="1"/>
  <c r="CG9" i="9" s="1"/>
  <c r="CG8" i="9" s="1"/>
  <c r="CS197" i="9"/>
  <c r="BQ44" i="9"/>
  <c r="BQ9" i="9" s="1"/>
  <c r="BQ8" i="9" s="1"/>
  <c r="CP37" i="9"/>
  <c r="CP130" i="9"/>
  <c r="CE129" i="9"/>
  <c r="DD210" i="9"/>
  <c r="AN139" i="9"/>
  <c r="CG139" i="9"/>
  <c r="BT139" i="9"/>
  <c r="AL137" i="9"/>
  <c r="BY139" i="9"/>
  <c r="BY137" i="9" s="1"/>
  <c r="BY136" i="9" s="1"/>
  <c r="BY135" i="9" s="1"/>
  <c r="BW139" i="9"/>
  <c r="BW137" i="9" s="1"/>
  <c r="BW136" i="9" s="1"/>
  <c r="BW135" i="9" s="1"/>
  <c r="DJ93" i="9"/>
  <c r="DL93" i="9" s="1"/>
  <c r="BT19" i="9"/>
  <c r="CB20" i="9"/>
  <c r="DJ20" i="9" s="1"/>
  <c r="DL20" i="9" s="1"/>
  <c r="DJ75" i="9"/>
  <c r="CB37" i="9"/>
  <c r="BX129" i="9"/>
  <c r="CB130" i="9"/>
  <c r="AL25" i="9"/>
  <c r="AN25" i="9" s="1"/>
  <c r="AN26" i="9"/>
  <c r="DL26" i="9" s="1"/>
  <c r="AL112" i="9"/>
  <c r="AN113" i="9"/>
  <c r="CP34" i="9"/>
  <c r="CD28" i="9"/>
  <c r="DI136" i="9"/>
  <c r="AI112" i="9"/>
  <c r="AI111" i="9" s="1"/>
  <c r="AI108" i="9" s="1"/>
  <c r="AI74" i="9" s="1"/>
  <c r="CS145" i="9"/>
  <c r="DD148" i="9"/>
  <c r="BL181" i="9"/>
  <c r="BL180" i="9" s="1"/>
  <c r="DD58" i="9"/>
  <c r="DJ58" i="9" s="1"/>
  <c r="DL58" i="9" s="1"/>
  <c r="CP134" i="9"/>
  <c r="DJ134" i="9" s="1"/>
  <c r="DL134" i="9" s="1"/>
  <c r="AL13" i="9"/>
  <c r="DD78" i="9"/>
  <c r="DJ78" i="9" s="1"/>
  <c r="DL78" i="9" s="1"/>
  <c r="DJ185" i="9"/>
  <c r="DL185" i="9" s="1"/>
  <c r="CG118" i="9"/>
  <c r="CP119" i="9"/>
  <c r="DJ119" i="9" s="1"/>
  <c r="DL119" i="9" s="1"/>
  <c r="BI9" i="9"/>
  <c r="BI8" i="9" s="1"/>
  <c r="AZ135" i="9"/>
  <c r="CW144" i="9"/>
  <c r="CW143" i="9" s="1"/>
  <c r="AY73" i="9"/>
  <c r="BN121" i="9"/>
  <c r="CJ68" i="9"/>
  <c r="CP68" i="9" s="1"/>
  <c r="CP70" i="9"/>
  <c r="CX73" i="9"/>
  <c r="DJ27" i="9"/>
  <c r="DL27" i="9" s="1"/>
  <c r="CB45" i="9"/>
  <c r="BP44" i="9"/>
  <c r="CB111" i="9"/>
  <c r="CR97" i="9"/>
  <c r="DD97" i="9" s="1"/>
  <c r="DD98" i="9"/>
  <c r="CK211" i="9"/>
  <c r="AN109" i="9"/>
  <c r="DA144" i="9"/>
  <c r="DA143" i="9" s="1"/>
  <c r="CP210" i="9"/>
  <c r="BN110" i="9"/>
  <c r="BI109" i="9"/>
  <c r="DD96" i="9"/>
  <c r="CT94" i="9"/>
  <c r="CE131" i="9"/>
  <c r="CP131" i="9" s="1"/>
  <c r="CP132" i="9"/>
  <c r="AN207" i="9"/>
  <c r="AL206" i="9"/>
  <c r="AN206" i="9" s="1"/>
  <c r="BT131" i="9"/>
  <c r="CB132" i="9"/>
  <c r="DD174" i="9"/>
  <c r="CS171" i="9"/>
  <c r="AN87" i="9"/>
  <c r="DL87" i="9" s="1"/>
  <c r="AL86" i="9"/>
  <c r="AN86" i="9" s="1"/>
  <c r="CT68" i="9"/>
  <c r="DD68" i="9" s="1"/>
  <c r="DD70" i="9"/>
  <c r="CP35" i="9"/>
  <c r="BU28" i="9"/>
  <c r="BU24" i="9" s="1"/>
  <c r="BU9" i="9" s="1"/>
  <c r="BU8" i="9" s="1"/>
  <c r="AN146" i="9"/>
  <c r="AL145" i="9"/>
  <c r="BK44" i="9"/>
  <c r="BN45" i="9"/>
  <c r="AN199" i="9"/>
  <c r="AL197" i="9"/>
  <c r="AN197" i="9" s="1"/>
  <c r="CT211" i="9"/>
  <c r="DD211" i="9" s="1"/>
  <c r="DD212" i="9"/>
  <c r="CS176" i="9"/>
  <c r="DD177" i="9"/>
  <c r="DD176" i="9" s="1"/>
  <c r="CP141" i="9"/>
  <c r="CK140" i="9"/>
  <c r="DH73" i="9"/>
  <c r="BZ28" i="9"/>
  <c r="BZ24" i="9" s="1"/>
  <c r="BZ9" i="9" s="1"/>
  <c r="BZ8" i="9" s="1"/>
  <c r="CP212" i="9"/>
  <c r="CM144" i="9"/>
  <c r="CM143" i="9" s="1"/>
  <c r="CB35" i="9"/>
  <c r="CB46" i="9"/>
  <c r="CL91" i="9"/>
  <c r="AL56" i="9"/>
  <c r="AI53" i="9"/>
  <c r="CB110" i="9"/>
  <c r="CE145" i="9"/>
  <c r="CP148" i="9"/>
  <c r="AL182" i="9"/>
  <c r="AI181" i="9"/>
  <c r="AI180" i="9" s="1"/>
  <c r="CE53" i="9"/>
  <c r="CE52" i="9" s="1"/>
  <c r="CP56" i="9"/>
  <c r="AZ121" i="9"/>
  <c r="AZ9" i="9"/>
  <c r="CA28" i="9"/>
  <c r="CA24" i="9" s="1"/>
  <c r="BN145" i="9"/>
  <c r="CI144" i="9"/>
  <c r="CI143" i="9" s="1"/>
  <c r="DJ122" i="9"/>
  <c r="DL122" i="9" s="1"/>
  <c r="DL203" i="9"/>
  <c r="BN53" i="9"/>
  <c r="DJ54" i="9"/>
  <c r="DL54" i="9" s="1"/>
  <c r="AL17" i="9"/>
  <c r="AI16" i="9"/>
  <c r="AZ108" i="9"/>
  <c r="AZ74" i="9" s="1"/>
  <c r="AN69" i="9"/>
  <c r="DL69" i="9" s="1"/>
  <c r="AL68" i="9"/>
  <c r="AN68" i="9" s="1"/>
  <c r="BS44" i="9"/>
  <c r="BS9" i="9" s="1"/>
  <c r="BS8" i="9" s="1"/>
  <c r="CP112" i="9"/>
  <c r="CE171" i="9"/>
  <c r="CP174" i="9"/>
  <c r="AL94" i="9"/>
  <c r="AN94" i="9" s="1"/>
  <c r="CJ94" i="9"/>
  <c r="AN95" i="9"/>
  <c r="CS95" i="9"/>
  <c r="BT197" i="9"/>
  <c r="CB198" i="9"/>
  <c r="DJ198" i="9" s="1"/>
  <c r="DL198" i="9" s="1"/>
  <c r="CD135" i="9"/>
  <c r="BJ8" i="9"/>
  <c r="CS140" i="9"/>
  <c r="DD141" i="9"/>
  <c r="CB25" i="9"/>
  <c r="DJ25" i="9" s="1"/>
  <c r="AL62" i="9"/>
  <c r="CR24" i="9"/>
  <c r="DD28" i="9"/>
  <c r="AL44" i="9"/>
  <c r="AN44" i="9" s="1"/>
  <c r="AN45" i="9"/>
  <c r="DJ42" i="9"/>
  <c r="DL42" i="9" s="1"/>
  <c r="BW28" i="9"/>
  <c r="BW24" i="9" s="1"/>
  <c r="BW9" i="9" s="1"/>
  <c r="BW8" i="9" s="1"/>
  <c r="CB10" i="9"/>
  <c r="DJ10" i="9" s="1"/>
  <c r="DL10" i="9" s="1"/>
  <c r="BZ74" i="9" l="1"/>
  <c r="BZ73" i="9" s="1"/>
  <c r="CE108" i="9"/>
  <c r="CE74" i="9" s="1"/>
  <c r="DJ16" i="9"/>
  <c r="DJ17" i="9"/>
  <c r="CE9" i="9"/>
  <c r="CE8" i="9" s="1"/>
  <c r="CA9" i="9"/>
  <c r="CA8" i="9" s="1"/>
  <c r="DL146" i="9"/>
  <c r="DL75" i="9"/>
  <c r="AL167" i="9"/>
  <c r="AN167" i="9" s="1"/>
  <c r="DL207" i="9"/>
  <c r="AZ180" i="9"/>
  <c r="DI180" i="9"/>
  <c r="CH74" i="9"/>
  <c r="CH73" i="9" s="1"/>
  <c r="AI9" i="9"/>
  <c r="CM94" i="9"/>
  <c r="CM74" i="9" s="1"/>
  <c r="CM73" i="9" s="1"/>
  <c r="DD95" i="9"/>
  <c r="CS94" i="9"/>
  <c r="DD94" i="9" s="1"/>
  <c r="DJ47" i="9"/>
  <c r="DL47" i="9" s="1"/>
  <c r="DD64" i="9"/>
  <c r="DJ141" i="9"/>
  <c r="DL141" i="9" s="1"/>
  <c r="CB39" i="9"/>
  <c r="DJ39" i="9" s="1"/>
  <c r="DL39" i="9" s="1"/>
  <c r="CP64" i="9"/>
  <c r="CF62" i="9"/>
  <c r="CF61" i="9" s="1"/>
  <c r="CF52" i="9" s="1"/>
  <c r="CF8" i="9" s="1"/>
  <c r="BV9" i="9"/>
  <c r="BV8" i="9" s="1"/>
  <c r="DJ148" i="9"/>
  <c r="DL148" i="9" s="1"/>
  <c r="CP211" i="9"/>
  <c r="DJ211" i="9" s="1"/>
  <c r="DL211" i="9" s="1"/>
  <c r="DL199" i="9"/>
  <c r="CK208" i="9"/>
  <c r="CK181" i="9" s="1"/>
  <c r="CK180" i="9" s="1"/>
  <c r="DJ132" i="9"/>
  <c r="DL132" i="9" s="1"/>
  <c r="DL113" i="9"/>
  <c r="BW73" i="9"/>
  <c r="CN73" i="9"/>
  <c r="DJ46" i="9"/>
  <c r="DL46" i="9" s="1"/>
  <c r="DJ41" i="9"/>
  <c r="DL41" i="9" s="1"/>
  <c r="DI8" i="9"/>
  <c r="DD111" i="9"/>
  <c r="CP86" i="9"/>
  <c r="CF74" i="9"/>
  <c r="DJ38" i="9"/>
  <c r="DL38" i="9" s="1"/>
  <c r="DJ36" i="9"/>
  <c r="DL36" i="9" s="1"/>
  <c r="AM1" i="9"/>
  <c r="AM3" i="9" s="1"/>
  <c r="CB52" i="9"/>
  <c r="DJ117" i="9"/>
  <c r="DL117" i="9" s="1"/>
  <c r="DJ90" i="9"/>
  <c r="DL90" i="9" s="1"/>
  <c r="BY74" i="9"/>
  <c r="BY73" i="9" s="1"/>
  <c r="CJ74" i="9"/>
  <c r="CJ73" i="9" s="1"/>
  <c r="DJ34" i="9"/>
  <c r="DL34" i="9" s="1"/>
  <c r="DL40" i="9"/>
  <c r="AI52" i="9"/>
  <c r="DD86" i="9"/>
  <c r="CA74" i="9"/>
  <c r="CA73" i="9" s="1"/>
  <c r="DJ89" i="9"/>
  <c r="DL89" i="9" s="1"/>
  <c r="AN98" i="9"/>
  <c r="CP81" i="9"/>
  <c r="DJ81" i="9" s="1"/>
  <c r="DL81" i="9" s="1"/>
  <c r="CP125" i="9"/>
  <c r="DJ125" i="9" s="1"/>
  <c r="DL125" i="9" s="1"/>
  <c r="DI73" i="9"/>
  <c r="CB144" i="9"/>
  <c r="CB143" i="9" s="1"/>
  <c r="DJ174" i="9"/>
  <c r="DL174" i="9" s="1"/>
  <c r="BN208" i="9"/>
  <c r="BN181" i="9" s="1"/>
  <c r="DJ210" i="9"/>
  <c r="DL210" i="9" s="1"/>
  <c r="CT208" i="9"/>
  <c r="DD208" i="9" s="1"/>
  <c r="BN144" i="9"/>
  <c r="BN143" i="9" s="1"/>
  <c r="CP111" i="9"/>
  <c r="DJ130" i="9"/>
  <c r="DL130" i="9" s="1"/>
  <c r="AI73" i="9"/>
  <c r="CT74" i="9"/>
  <c r="CT73" i="9" s="1"/>
  <c r="CI74" i="9"/>
  <c r="CI73" i="9" s="1"/>
  <c r="CP92" i="9"/>
  <c r="DD92" i="9"/>
  <c r="CS91" i="9"/>
  <c r="DD91" i="9" s="1"/>
  <c r="DJ96" i="9"/>
  <c r="DL96" i="9" s="1"/>
  <c r="CS108" i="9"/>
  <c r="DJ112" i="9"/>
  <c r="CK74" i="9"/>
  <c r="DJ88" i="9"/>
  <c r="DL88" i="9" s="1"/>
  <c r="CT8" i="9"/>
  <c r="BG9" i="9"/>
  <c r="BG8" i="9" s="1"/>
  <c r="BN13" i="9"/>
  <c r="DJ13" i="9" s="1"/>
  <c r="DJ37" i="9"/>
  <c r="DL37" i="9" s="1"/>
  <c r="AZ73" i="9"/>
  <c r="AN56" i="9"/>
  <c r="AL53" i="9"/>
  <c r="CP145" i="9"/>
  <c r="CG94" i="9"/>
  <c r="CP95" i="9"/>
  <c r="CL74" i="9"/>
  <c r="CL73" i="9" s="1"/>
  <c r="AN13" i="9"/>
  <c r="DL25" i="9"/>
  <c r="CE167" i="9"/>
  <c r="CE144" i="9" s="1"/>
  <c r="CE143" i="9" s="1"/>
  <c r="CP171" i="9"/>
  <c r="DJ35" i="9"/>
  <c r="DL35" i="9" s="1"/>
  <c r="DJ68" i="9"/>
  <c r="DL68" i="9" s="1"/>
  <c r="CP91" i="9"/>
  <c r="BM108" i="9"/>
  <c r="BM74" i="9" s="1"/>
  <c r="BM73" i="9" s="1"/>
  <c r="BN111" i="9"/>
  <c r="CB197" i="9"/>
  <c r="BT181" i="9"/>
  <c r="BT180" i="9" s="1"/>
  <c r="BN52" i="9"/>
  <c r="DL206" i="9"/>
  <c r="BI108" i="9"/>
  <c r="BN109" i="9"/>
  <c r="AZ52" i="9"/>
  <c r="AZ8" i="9" s="1"/>
  <c r="CJ8" i="9"/>
  <c r="CP102" i="9"/>
  <c r="CD98" i="9"/>
  <c r="DD197" i="9"/>
  <c r="CS181" i="9"/>
  <c r="CS180" i="9" s="1"/>
  <c r="AL181" i="9"/>
  <c r="AN182" i="9"/>
  <c r="DL182" i="9" s="1"/>
  <c r="CB131" i="9"/>
  <c r="DJ131" i="9" s="1"/>
  <c r="DL131" i="9" s="1"/>
  <c r="BT121" i="9"/>
  <c r="DD145" i="9"/>
  <c r="DD24" i="9"/>
  <c r="DD9" i="9" s="1"/>
  <c r="CR9" i="9"/>
  <c r="CB28" i="9"/>
  <c r="DD53" i="9"/>
  <c r="CB108" i="9"/>
  <c r="CB109" i="9"/>
  <c r="DJ70" i="9"/>
  <c r="DL70" i="9" s="1"/>
  <c r="DJ110" i="9"/>
  <c r="DL110" i="9" s="1"/>
  <c r="CR74" i="9"/>
  <c r="CR73" i="9" s="1"/>
  <c r="CE121" i="9"/>
  <c r="CP129" i="9"/>
  <c r="DD140" i="9"/>
  <c r="CS135" i="9"/>
  <c r="DD135" i="9" s="1"/>
  <c r="CP53" i="9"/>
  <c r="DJ56" i="9"/>
  <c r="CS167" i="9"/>
  <c r="CS144" i="9" s="1"/>
  <c r="CS143" i="9" s="1"/>
  <c r="DD171" i="9"/>
  <c r="DD167" i="9" s="1"/>
  <c r="CP28" i="9"/>
  <c r="CD24" i="9"/>
  <c r="AN129" i="9"/>
  <c r="AL121" i="9"/>
  <c r="AN121" i="9" s="1"/>
  <c r="CP176" i="9"/>
  <c r="DJ176" i="9" s="1"/>
  <c r="DL176" i="9" s="1"/>
  <c r="DJ177" i="9"/>
  <c r="DL177" i="9" s="1"/>
  <c r="CG137" i="9"/>
  <c r="CP139" i="9"/>
  <c r="CR61" i="9"/>
  <c r="CR52" i="9" s="1"/>
  <c r="DD62" i="9"/>
  <c r="DD61" i="9" s="1"/>
  <c r="AN145" i="9"/>
  <c r="AZ143" i="9"/>
  <c r="AN112" i="9"/>
  <c r="AL111" i="9"/>
  <c r="CG108" i="9"/>
  <c r="CP118" i="9"/>
  <c r="DJ118" i="9" s="1"/>
  <c r="DL118" i="9" s="1"/>
  <c r="AN62" i="9"/>
  <c r="AL61" i="9"/>
  <c r="AN61" i="9" s="1"/>
  <c r="AL16" i="9"/>
  <c r="AN16" i="9" s="1"/>
  <c r="AN17" i="9"/>
  <c r="DJ45" i="9"/>
  <c r="DL45" i="9" s="1"/>
  <c r="CP124" i="9"/>
  <c r="DJ124" i="9" s="1"/>
  <c r="DL124" i="9" s="1"/>
  <c r="CF121" i="9"/>
  <c r="BT24" i="9"/>
  <c r="CB24" i="9" s="1"/>
  <c r="CB129" i="9"/>
  <c r="BX121" i="9"/>
  <c r="AN137" i="9"/>
  <c r="AL136" i="9"/>
  <c r="CB102" i="9"/>
  <c r="BV98" i="9"/>
  <c r="CB98" i="9" s="1"/>
  <c r="CB19" i="9"/>
  <c r="DJ19" i="9" s="1"/>
  <c r="DL19" i="9" s="1"/>
  <c r="DJ212" i="9"/>
  <c r="DL212" i="9" s="1"/>
  <c r="CK135" i="9"/>
  <c r="CP140" i="9"/>
  <c r="BK9" i="9"/>
  <c r="BK8" i="9" s="1"/>
  <c r="BN44" i="9"/>
  <c r="CB44" i="9"/>
  <c r="BP9" i="9"/>
  <c r="BP8" i="9" s="1"/>
  <c r="CB139" i="9"/>
  <c r="BT137" i="9"/>
  <c r="L45" i="120"/>
  <c r="L44" i="120"/>
  <c r="L43" i="120"/>
  <c r="L42" i="120"/>
  <c r="L40" i="120"/>
  <c r="M38" i="120"/>
  <c r="L38" i="120"/>
  <c r="L15" i="120"/>
  <c r="L10" i="120"/>
  <c r="L5" i="120"/>
  <c r="L2" i="120"/>
  <c r="CP108" i="9" l="1"/>
  <c r="DL16" i="9"/>
  <c r="DL17" i="9"/>
  <c r="AL144" i="9"/>
  <c r="AL143" i="9" s="1"/>
  <c r="AN143" i="9" s="1"/>
  <c r="BN180" i="9"/>
  <c r="DJ64" i="9"/>
  <c r="DL64" i="9" s="1"/>
  <c r="AI8" i="9"/>
  <c r="DJ95" i="9"/>
  <c r="DL95" i="9" s="1"/>
  <c r="CP62" i="9"/>
  <c r="CP61" i="9" s="1"/>
  <c r="DJ61" i="9" s="1"/>
  <c r="DL61" i="9" s="1"/>
  <c r="DJ140" i="9"/>
  <c r="DL140" i="9" s="1"/>
  <c r="CP208" i="9"/>
  <c r="DJ208" i="9" s="1"/>
  <c r="DL208" i="9" s="1"/>
  <c r="DJ139" i="9"/>
  <c r="DL139" i="9" s="1"/>
  <c r="DJ86" i="9"/>
  <c r="DL86" i="9" s="1"/>
  <c r="CF73" i="9"/>
  <c r="AL9" i="9"/>
  <c r="AN9" i="9" s="1"/>
  <c r="DJ111" i="9"/>
  <c r="CS74" i="9"/>
  <c r="CS73" i="9" s="1"/>
  <c r="BX74" i="9"/>
  <c r="BX73" i="9" s="1"/>
  <c r="CK73" i="9"/>
  <c r="DJ53" i="9"/>
  <c r="DL112" i="9"/>
  <c r="DD108" i="9"/>
  <c r="DD74" i="9" s="1"/>
  <c r="DD73" i="9" s="1"/>
  <c r="CP121" i="9"/>
  <c r="CT181" i="9"/>
  <c r="CT180" i="9" s="1"/>
  <c r="DD181" i="9"/>
  <c r="DJ92" i="9"/>
  <c r="DL92" i="9" s="1"/>
  <c r="DL13" i="9"/>
  <c r="BT136" i="9"/>
  <c r="CB137" i="9"/>
  <c r="DJ145" i="9"/>
  <c r="DL145" i="9" s="1"/>
  <c r="DJ102" i="9"/>
  <c r="DL102" i="9" s="1"/>
  <c r="DJ44" i="9"/>
  <c r="DL44" i="9" s="1"/>
  <c r="BN9" i="9"/>
  <c r="AN111" i="9"/>
  <c r="AL108" i="9"/>
  <c r="DJ197" i="9"/>
  <c r="DL197" i="9" s="1"/>
  <c r="CB181" i="9"/>
  <c r="AL135" i="9"/>
  <c r="AN135" i="9" s="1"/>
  <c r="AN136" i="9"/>
  <c r="CG74" i="9"/>
  <c r="CP94" i="9"/>
  <c r="DJ94" i="9" s="1"/>
  <c r="DL94" i="9" s="1"/>
  <c r="CR8" i="9"/>
  <c r="CP167" i="9"/>
  <c r="DJ167" i="9" s="1"/>
  <c r="DL167" i="9" s="1"/>
  <c r="DJ171" i="9"/>
  <c r="DL171" i="9" s="1"/>
  <c r="CP98" i="9"/>
  <c r="CD97" i="9"/>
  <c r="BV97" i="9"/>
  <c r="DD144" i="9"/>
  <c r="DD143" i="9" s="1"/>
  <c r="DL56" i="9"/>
  <c r="DJ28" i="9"/>
  <c r="DL28" i="9" s="1"/>
  <c r="DJ109" i="9"/>
  <c r="DL109" i="9" s="1"/>
  <c r="BT9" i="9"/>
  <c r="BT8" i="9" s="1"/>
  <c r="CG136" i="9"/>
  <c r="CP137" i="9"/>
  <c r="AN53" i="9"/>
  <c r="AL52" i="9"/>
  <c r="AN52" i="9" s="1"/>
  <c r="CB121" i="9"/>
  <c r="DD52" i="9"/>
  <c r="DD8" i="9" s="1"/>
  <c r="DJ129" i="9"/>
  <c r="DL129" i="9" s="1"/>
  <c r="CP24" i="9"/>
  <c r="CP9" i="9" s="1"/>
  <c r="CD9" i="9"/>
  <c r="CD8" i="9" s="1"/>
  <c r="CB9" i="9"/>
  <c r="CB8" i="9" s="1"/>
  <c r="BI74" i="9"/>
  <c r="BI73" i="9" s="1"/>
  <c r="BN108" i="9"/>
  <c r="DJ91" i="9"/>
  <c r="DL91" i="9" s="1"/>
  <c r="AN181" i="9"/>
  <c r="AL180" i="9"/>
  <c r="AN180" i="9" s="1"/>
  <c r="CE73" i="9"/>
  <c r="AN144" i="9" l="1"/>
  <c r="DD180" i="9"/>
  <c r="DJ62" i="9"/>
  <c r="DL62" i="9" s="1"/>
  <c r="DL53" i="9"/>
  <c r="L46" i="120"/>
  <c r="CP181" i="9"/>
  <c r="DL111" i="9"/>
  <c r="CP52" i="9"/>
  <c r="DJ52" i="9" s="1"/>
  <c r="DL52" i="9" s="1"/>
  <c r="AL8" i="9"/>
  <c r="AN8" i="9" s="1"/>
  <c r="DJ121" i="9"/>
  <c r="DL121" i="9" s="1"/>
  <c r="CP144" i="9"/>
  <c r="CP143" i="9" s="1"/>
  <c r="DJ143" i="9" s="1"/>
  <c r="DL143" i="9" s="1"/>
  <c r="DJ98" i="9"/>
  <c r="DL98" i="9" s="1"/>
  <c r="DJ24" i="9"/>
  <c r="DL24" i="9" s="1"/>
  <c r="CG135" i="9"/>
  <c r="CP135" i="9" s="1"/>
  <c r="CP136" i="9"/>
  <c r="BV74" i="9"/>
  <c r="BV73" i="9" s="1"/>
  <c r="CB97" i="9"/>
  <c r="CP97" i="9"/>
  <c r="CP74" i="9" s="1"/>
  <c r="CD74" i="9"/>
  <c r="CD73" i="9" s="1"/>
  <c r="BN74" i="9"/>
  <c r="DJ108" i="9"/>
  <c r="AN108" i="9"/>
  <c r="AL74" i="9"/>
  <c r="AL73" i="9" s="1"/>
  <c r="BT135" i="9"/>
  <c r="CB136" i="9"/>
  <c r="CB180" i="9"/>
  <c r="BN8" i="9"/>
  <c r="DJ9" i="9"/>
  <c r="DL9" i="9" s="1"/>
  <c r="DJ137" i="9"/>
  <c r="DL137" i="9" s="1"/>
  <c r="K149" i="115"/>
  <c r="K145" i="115"/>
  <c r="K141" i="115"/>
  <c r="K137" i="115"/>
  <c r="K134" i="115"/>
  <c r="K131" i="115"/>
  <c r="K151" i="115"/>
  <c r="DJ97" i="9" l="1"/>
  <c r="DL97" i="9" s="1"/>
  <c r="CP180" i="9"/>
  <c r="DJ180" i="9" s="1"/>
  <c r="DL180" i="9" s="1"/>
  <c r="DL108" i="9"/>
  <c r="CP73" i="9"/>
  <c r="DJ181" i="9"/>
  <c r="DL181" i="9" s="1"/>
  <c r="CP8" i="9"/>
  <c r="DJ8" i="9" s="1"/>
  <c r="DL8" i="9" s="1"/>
  <c r="DJ144" i="9"/>
  <c r="DL144" i="9" s="1"/>
  <c r="CG73" i="9"/>
  <c r="DJ136" i="9"/>
  <c r="DL136" i="9" s="1"/>
  <c r="CB74" i="9"/>
  <c r="DJ74" i="9" s="1"/>
  <c r="BN73" i="9"/>
  <c r="CB135" i="9"/>
  <c r="BT73" i="9"/>
  <c r="AN74" i="9"/>
  <c r="DJ135" i="9" l="1"/>
  <c r="DL135" i="9" s="1"/>
  <c r="DL74" i="9"/>
  <c r="AN73" i="9"/>
  <c r="CB73" i="9"/>
  <c r="DJ73" i="9" s="1"/>
  <c r="DL73" i="9" l="1"/>
  <c r="CR403" i="9"/>
  <c r="CM403" i="9"/>
  <c r="CJ403" i="9"/>
  <c r="CG403" i="9"/>
  <c r="CD403" i="9"/>
  <c r="CD375" i="9"/>
  <c r="CD374" i="9"/>
  <c r="BZ375" i="9"/>
  <c r="BZ374" i="9"/>
  <c r="BX375" i="9"/>
  <c r="BX374" i="9"/>
  <c r="BV375" i="9"/>
  <c r="BV374" i="9"/>
  <c r="BT375" i="9"/>
  <c r="BT374" i="9"/>
  <c r="BR375" i="9"/>
  <c r="BR374" i="9"/>
  <c r="BZ373" i="9"/>
  <c r="CD373" i="9"/>
  <c r="BX373" i="9"/>
  <c r="BV373" i="9"/>
  <c r="BT373" i="9"/>
  <c r="BR373" i="9"/>
  <c r="BT372" i="9"/>
  <c r="BY372" i="9"/>
  <c r="BX415" i="9"/>
  <c r="BV415" i="9"/>
  <c r="BS415" i="9"/>
  <c r="BS414" i="9"/>
  <c r="DD396" i="9" l="1"/>
  <c r="DI396" i="9" s="1"/>
  <c r="AY393" i="9"/>
  <c r="AX393" i="9"/>
  <c r="AW393" i="9"/>
  <c r="AV393" i="9"/>
  <c r="AU393" i="9"/>
  <c r="AT393" i="9"/>
  <c r="AS393" i="9"/>
  <c r="AR393" i="9"/>
  <c r="AQ393" i="9"/>
  <c r="AP393" i="9"/>
  <c r="AI397" i="9"/>
  <c r="AI396" i="9"/>
  <c r="AI394" i="9"/>
  <c r="AH437" i="9"/>
  <c r="AI438" i="9"/>
  <c r="AL397" i="9" l="1"/>
  <c r="AI393" i="9"/>
  <c r="CD396" i="9"/>
  <c r="CD395" i="9"/>
  <c r="AL396" i="9"/>
  <c r="AN396" i="9" s="1"/>
  <c r="BR394" i="9"/>
  <c r="BU394" i="9"/>
  <c r="BU393" i="9" s="1"/>
  <c r="BX394" i="9"/>
  <c r="BX393" i="9" s="1"/>
  <c r="CE394" i="9"/>
  <c r="CE393" i="9" s="1"/>
  <c r="CD394" i="9"/>
  <c r="BR438" i="9"/>
  <c r="BS438" i="9"/>
  <c r="AL394" i="9"/>
  <c r="AN394" i="9" s="1"/>
  <c r="AL438" i="9"/>
  <c r="DF397" i="9"/>
  <c r="DF393" i="9" s="1"/>
  <c r="CD393" i="9" l="1"/>
  <c r="BR393" i="9"/>
  <c r="CB393" i="9" s="1"/>
  <c r="CB394" i="9"/>
  <c r="AN397" i="9"/>
  <c r="AL393" i="9"/>
  <c r="CP395" i="9"/>
  <c r="DJ395" i="9" s="1"/>
  <c r="DL395" i="9" s="1"/>
  <c r="CP394" i="9"/>
  <c r="CP396" i="9"/>
  <c r="CB396" i="9"/>
  <c r="DJ396" i="9" l="1"/>
  <c r="DL396" i="9" s="1"/>
  <c r="DJ394" i="9"/>
  <c r="DL394" i="9" s="1"/>
  <c r="G6" i="99" l="1"/>
  <c r="C38" i="10"/>
  <c r="C32" i="10"/>
  <c r="C26" i="10"/>
  <c r="C20" i="10"/>
  <c r="C15" i="10"/>
  <c r="C9" i="10"/>
  <c r="F12" i="52"/>
  <c r="B7" i="75"/>
  <c r="AO398" i="86"/>
  <c r="AH398" i="86"/>
  <c r="AF398" i="86"/>
  <c r="AO397" i="86"/>
  <c r="AH397" i="86"/>
  <c r="AO396" i="86"/>
  <c r="AO395" i="86"/>
  <c r="AF394" i="86"/>
  <c r="AH394" i="86" s="1"/>
  <c r="AN394" i="86" s="1"/>
  <c r="AC394" i="86"/>
  <c r="AC393" i="86"/>
  <c r="AF393" i="86" s="1"/>
  <c r="AH393" i="86" s="1"/>
  <c r="AN393" i="86" s="1"/>
  <c r="AO393" i="86" s="1"/>
  <c r="AC392" i="86"/>
  <c r="AF392" i="86" s="1"/>
  <c r="AH392" i="86" s="1"/>
  <c r="AL392" i="86" s="1"/>
  <c r="R392" i="86"/>
  <c r="AO391" i="86"/>
  <c r="AF391" i="86"/>
  <c r="AC391" i="86"/>
  <c r="AC390" i="86" s="1"/>
  <c r="AM390" i="86"/>
  <c r="AK390" i="86"/>
  <c r="AJ390" i="86"/>
  <c r="AG390" i="86"/>
  <c r="AN389" i="86"/>
  <c r="AM389" i="86"/>
  <c r="AM388" i="86" s="1"/>
  <c r="AL389" i="86"/>
  <c r="AL388" i="86" s="1"/>
  <c r="AK389" i="86"/>
  <c r="AK388" i="86" s="1"/>
  <c r="AJ389" i="86"/>
  <c r="AJ388" i="86" s="1"/>
  <c r="AC389" i="86"/>
  <c r="AC388" i="86" s="1"/>
  <c r="R389" i="86"/>
  <c r="AO388" i="86"/>
  <c r="AN388" i="86"/>
  <c r="AG388" i="86"/>
  <c r="AF387" i="86"/>
  <c r="AH387" i="86" s="1"/>
  <c r="AC387" i="86"/>
  <c r="AN386" i="86"/>
  <c r="AM386" i="86"/>
  <c r="AL386" i="86"/>
  <c r="AK386" i="86"/>
  <c r="AJ386" i="86"/>
  <c r="AC386" i="86"/>
  <c r="AF386" i="86" s="1"/>
  <c r="AH386" i="86" s="1"/>
  <c r="R386" i="86"/>
  <c r="AM385" i="86"/>
  <c r="AL385" i="86"/>
  <c r="AK385" i="86"/>
  <c r="AJ385" i="86"/>
  <c r="AO385" i="86" s="1"/>
  <c r="AC385" i="86"/>
  <c r="AF385" i="86" s="1"/>
  <c r="AH385" i="86" s="1"/>
  <c r="R385" i="86"/>
  <c r="AO384" i="86"/>
  <c r="AN384" i="86"/>
  <c r="AM384" i="86"/>
  <c r="AL384" i="86"/>
  <c r="AK384" i="86"/>
  <c r="AJ384" i="86"/>
  <c r="AC384" i="86"/>
  <c r="AF384" i="86" s="1"/>
  <c r="AH384" i="86" s="1"/>
  <c r="R384" i="86"/>
  <c r="AN383" i="86"/>
  <c r="AM383" i="86"/>
  <c r="AL383" i="86"/>
  <c r="AK383" i="86"/>
  <c r="AJ383" i="86"/>
  <c r="AO383" i="86" s="1"/>
  <c r="AC383" i="86"/>
  <c r="AF383" i="86" s="1"/>
  <c r="AH383" i="86" s="1"/>
  <c r="R383" i="86"/>
  <c r="AN382" i="86"/>
  <c r="AM382" i="86"/>
  <c r="AL382" i="86"/>
  <c r="AK382" i="86"/>
  <c r="AJ382" i="86"/>
  <c r="AO382" i="86" s="1"/>
  <c r="AC382" i="86"/>
  <c r="AF382" i="86" s="1"/>
  <c r="AH382" i="86" s="1"/>
  <c r="R382" i="86"/>
  <c r="AN381" i="86"/>
  <c r="AM381" i="86"/>
  <c r="AL381" i="86"/>
  <c r="AK381" i="86"/>
  <c r="AJ381" i="86"/>
  <c r="AO381" i="86" s="1"/>
  <c r="AC381" i="86"/>
  <c r="AF381" i="86" s="1"/>
  <c r="AH381" i="86" s="1"/>
  <c r="R381" i="86"/>
  <c r="AN380" i="86"/>
  <c r="AM380" i="86"/>
  <c r="AL380" i="86"/>
  <c r="AK380" i="86"/>
  <c r="AJ380" i="86"/>
  <c r="AO380" i="86" s="1"/>
  <c r="AC380" i="86"/>
  <c r="AC379" i="86" s="1"/>
  <c r="R380" i="86"/>
  <c r="AG379" i="86"/>
  <c r="AN377" i="86"/>
  <c r="AM377" i="86"/>
  <c r="AL377" i="86"/>
  <c r="AK377" i="86"/>
  <c r="AJ377" i="86"/>
  <c r="AO377" i="86" s="1"/>
  <c r="AF377" i="86"/>
  <c r="AF376" i="86" s="1"/>
  <c r="AC377" i="86"/>
  <c r="AC376" i="86" s="1"/>
  <c r="AN376" i="86"/>
  <c r="AM376" i="86"/>
  <c r="AL376" i="86"/>
  <c r="AK376" i="86"/>
  <c r="AJ376" i="86"/>
  <c r="AO376" i="86" s="1"/>
  <c r="AG376" i="86"/>
  <c r="AC375" i="86"/>
  <c r="AF375" i="86" s="1"/>
  <c r="AC374" i="86"/>
  <c r="R374" i="86"/>
  <c r="AO373" i="86"/>
  <c r="AH373" i="86"/>
  <c r="AC373" i="86"/>
  <c r="AN372" i="86"/>
  <c r="AG372" i="86"/>
  <c r="AN371" i="86"/>
  <c r="AM371" i="86"/>
  <c r="AL371" i="86"/>
  <c r="AK371" i="86"/>
  <c r="AJ371" i="86"/>
  <c r="AC371" i="86"/>
  <c r="AF371" i="86" s="1"/>
  <c r="AH371" i="86" s="1"/>
  <c r="R371" i="86"/>
  <c r="AN370" i="86"/>
  <c r="AM370" i="86"/>
  <c r="AL370" i="86"/>
  <c r="AK370" i="86"/>
  <c r="AJ370" i="86"/>
  <c r="AO370" i="86" s="1"/>
  <c r="AC370" i="86"/>
  <c r="AF370" i="86" s="1"/>
  <c r="AH370" i="86" s="1"/>
  <c r="R370" i="86"/>
  <c r="AN369" i="86"/>
  <c r="AM369" i="86"/>
  <c r="AL369" i="86"/>
  <c r="AL364" i="86" s="1"/>
  <c r="AK369" i="86"/>
  <c r="AJ369" i="86"/>
  <c r="AC369" i="86"/>
  <c r="AF369" i="86" s="1"/>
  <c r="AH369" i="86" s="1"/>
  <c r="R369" i="86"/>
  <c r="AN368" i="86"/>
  <c r="AM368" i="86"/>
  <c r="AL368" i="86"/>
  <c r="AK368" i="86"/>
  <c r="AO368" i="86" s="1"/>
  <c r="AJ368" i="86"/>
  <c r="AF368" i="86"/>
  <c r="AH368" i="86" s="1"/>
  <c r="AC368" i="86"/>
  <c r="R368" i="86"/>
  <c r="AO367" i="86"/>
  <c r="AN367" i="86"/>
  <c r="AM367" i="86"/>
  <c r="AL367" i="86"/>
  <c r="AK367" i="86"/>
  <c r="AJ367" i="86"/>
  <c r="AC367" i="86"/>
  <c r="AF367" i="86" s="1"/>
  <c r="AH367" i="86" s="1"/>
  <c r="R367" i="86"/>
  <c r="AN366" i="86"/>
  <c r="AM366" i="86"/>
  <c r="AL366" i="86"/>
  <c r="AK366" i="86"/>
  <c r="AJ366" i="86"/>
  <c r="AO366" i="86" s="1"/>
  <c r="AF366" i="86"/>
  <c r="AH366" i="86" s="1"/>
  <c r="AC366" i="86"/>
  <c r="R366" i="86"/>
  <c r="AO365" i="86"/>
  <c r="AN365" i="86"/>
  <c r="AM365" i="86"/>
  <c r="AL365" i="86"/>
  <c r="AK365" i="86"/>
  <c r="AJ365" i="86"/>
  <c r="AC365" i="86"/>
  <c r="AF365" i="86" s="1"/>
  <c r="R365" i="86"/>
  <c r="AG364" i="86"/>
  <c r="AG362" i="86" s="1"/>
  <c r="AG361" i="86" s="1"/>
  <c r="AG360" i="86" s="1"/>
  <c r="AC364" i="86"/>
  <c r="AO363" i="86"/>
  <c r="AB361" i="86"/>
  <c r="AO359" i="86"/>
  <c r="AO358" i="86"/>
  <c r="AC357" i="86"/>
  <c r="AF357" i="86" s="1"/>
  <c r="AC356" i="86"/>
  <c r="AF356" i="86" s="1"/>
  <c r="AC355" i="86"/>
  <c r="AF355" i="86" s="1"/>
  <c r="R355" i="86"/>
  <c r="AC354" i="86"/>
  <c r="AF354" i="86" s="1"/>
  <c r="R354" i="86"/>
  <c r="AF353" i="86"/>
  <c r="AC353" i="86"/>
  <c r="R353" i="86"/>
  <c r="AJ352" i="86"/>
  <c r="AG352" i="86"/>
  <c r="O352" i="86"/>
  <c r="N352" i="86"/>
  <c r="M352" i="86"/>
  <c r="L352" i="86"/>
  <c r="K352" i="86"/>
  <c r="J352" i="86"/>
  <c r="I352" i="86"/>
  <c r="H352" i="86"/>
  <c r="AF351" i="86"/>
  <c r="AC351" i="86"/>
  <c r="R351" i="86"/>
  <c r="AC350" i="86"/>
  <c r="AF350" i="86" s="1"/>
  <c r="R350" i="86"/>
  <c r="AN349" i="86"/>
  <c r="AM349" i="86"/>
  <c r="AL349" i="86"/>
  <c r="AJ349" i="86"/>
  <c r="AG349" i="86"/>
  <c r="AG348" i="86" s="1"/>
  <c r="AC349" i="86"/>
  <c r="O349" i="86"/>
  <c r="N349" i="86"/>
  <c r="M349" i="86"/>
  <c r="L349" i="86"/>
  <c r="K349" i="86"/>
  <c r="J349" i="86"/>
  <c r="I349" i="86"/>
  <c r="H349" i="86"/>
  <c r="AO347" i="86"/>
  <c r="AO346" i="86"/>
  <c r="AF345" i="86"/>
  <c r="AN345" i="86" s="1"/>
  <c r="AO345" i="86" s="1"/>
  <c r="AF344" i="86"/>
  <c r="AN344" i="86" s="1"/>
  <c r="AO344" i="86" s="1"/>
  <c r="AO343" i="86"/>
  <c r="AN343" i="86"/>
  <c r="AF343" i="86"/>
  <c r="AH343" i="86" s="1"/>
  <c r="AO342" i="86"/>
  <c r="AN342" i="86"/>
  <c r="AH342" i="86"/>
  <c r="AF342" i="86"/>
  <c r="AF341" i="86" s="1"/>
  <c r="AN341" i="86"/>
  <c r="AM341" i="86"/>
  <c r="AO341" i="86" s="1"/>
  <c r="AL341" i="86"/>
  <c r="AK341" i="86"/>
  <c r="AJ341" i="86"/>
  <c r="AG341" i="86"/>
  <c r="AC341" i="86"/>
  <c r="AH340" i="86"/>
  <c r="AF340" i="86"/>
  <c r="AM340" i="86" s="1"/>
  <c r="AO340" i="86" s="1"/>
  <c r="AC340" i="86"/>
  <c r="AF339" i="86"/>
  <c r="AM339" i="86" s="1"/>
  <c r="AO339" i="86" s="1"/>
  <c r="AC339" i="86"/>
  <c r="AC338" i="86"/>
  <c r="AF338" i="86" s="1"/>
  <c r="AM338" i="86" s="1"/>
  <c r="AO338" i="86" s="1"/>
  <c r="AC337" i="86"/>
  <c r="AF337" i="86" s="1"/>
  <c r="AN336" i="86"/>
  <c r="AL336" i="86"/>
  <c r="AK336" i="86"/>
  <c r="AJ336" i="86"/>
  <c r="AG336" i="86"/>
  <c r="AC336" i="86"/>
  <c r="AC335" i="86"/>
  <c r="AF335" i="86" s="1"/>
  <c r="AC334" i="86"/>
  <c r="AF334" i="86" s="1"/>
  <c r="R334" i="86"/>
  <c r="AC333" i="86"/>
  <c r="AF333" i="86" s="1"/>
  <c r="AC332" i="86"/>
  <c r="AC331" i="86" s="1"/>
  <c r="R332" i="86"/>
  <c r="AN331" i="86"/>
  <c r="AM331" i="86"/>
  <c r="AK331" i="86"/>
  <c r="AJ331" i="86"/>
  <c r="AG331" i="86"/>
  <c r="AC330" i="86"/>
  <c r="AN329" i="86"/>
  <c r="AC329" i="86"/>
  <c r="AF329" i="86" s="1"/>
  <c r="R329" i="86"/>
  <c r="AC328" i="86"/>
  <c r="AF328" i="86" s="1"/>
  <c r="AF327" i="86"/>
  <c r="AC327" i="86"/>
  <c r="AC326" i="86"/>
  <c r="AF326" i="86" s="1"/>
  <c r="R326" i="86"/>
  <c r="AF325" i="86"/>
  <c r="AN325" i="86" s="1"/>
  <c r="AC324" i="86"/>
  <c r="AF324" i="86" s="1"/>
  <c r="AH324" i="86" s="1"/>
  <c r="AC323" i="86"/>
  <c r="AF323" i="86" s="1"/>
  <c r="AF322" i="86"/>
  <c r="AN322" i="86" s="1"/>
  <c r="AC322" i="86"/>
  <c r="AM321" i="86"/>
  <c r="AC321" i="86"/>
  <c r="AF321" i="86" s="1"/>
  <c r="R321" i="86"/>
  <c r="AK320" i="86"/>
  <c r="AJ320" i="86"/>
  <c r="AG320" i="86"/>
  <c r="AG318" i="86" s="1"/>
  <c r="AG317" i="86" s="1"/>
  <c r="AK319" i="86"/>
  <c r="AK318" i="86" s="1"/>
  <c r="AK317" i="86" s="1"/>
  <c r="AJ319" i="86"/>
  <c r="AH319" i="86"/>
  <c r="AF319" i="86"/>
  <c r="R319" i="86"/>
  <c r="O318" i="86"/>
  <c r="N318" i="86"/>
  <c r="M318" i="86"/>
  <c r="L318" i="86"/>
  <c r="K318" i="86"/>
  <c r="J318" i="86"/>
  <c r="I318" i="86"/>
  <c r="H318" i="86"/>
  <c r="AO316" i="86"/>
  <c r="AC315" i="86"/>
  <c r="R315" i="86"/>
  <c r="AC314" i="86"/>
  <c r="AF314" i="86" s="1"/>
  <c r="AC313" i="86"/>
  <c r="AF313" i="86" s="1"/>
  <c r="R313" i="86"/>
  <c r="AF312" i="86"/>
  <c r="AK312" i="86" s="1"/>
  <c r="AO312" i="86" s="1"/>
  <c r="AC312" i="86"/>
  <c r="R312" i="86"/>
  <c r="AC311" i="86"/>
  <c r="AF311" i="86" s="1"/>
  <c r="R311" i="86"/>
  <c r="AN310" i="86"/>
  <c r="AM310" i="86"/>
  <c r="AM305" i="86" s="1"/>
  <c r="AJ310" i="86"/>
  <c r="AG310" i="86"/>
  <c r="O310" i="86"/>
  <c r="N310" i="86"/>
  <c r="M310" i="86"/>
  <c r="L310" i="86"/>
  <c r="K310" i="86"/>
  <c r="J310" i="86"/>
  <c r="I310" i="86"/>
  <c r="H310" i="86"/>
  <c r="AO309" i="86"/>
  <c r="AO308" i="86"/>
  <c r="AC308" i="86"/>
  <c r="AF308" i="86" s="1"/>
  <c r="AH308" i="86" s="1"/>
  <c r="AG307" i="86"/>
  <c r="AG306" i="86" s="1"/>
  <c r="AG305" i="86" s="1"/>
  <c r="AF307" i="86"/>
  <c r="AF306" i="86" s="1"/>
  <c r="AC307" i="86"/>
  <c r="R307" i="86"/>
  <c r="AN306" i="86"/>
  <c r="AM306" i="86"/>
  <c r="AJ306" i="86"/>
  <c r="AJ305" i="86" s="1"/>
  <c r="AC306" i="86"/>
  <c r="O306" i="86"/>
  <c r="N306" i="86"/>
  <c r="M306" i="86"/>
  <c r="L306" i="86"/>
  <c r="K306" i="86"/>
  <c r="J306" i="86"/>
  <c r="I306" i="86"/>
  <c r="H306" i="86"/>
  <c r="AN305" i="86"/>
  <c r="AO304" i="86"/>
  <c r="AO303" i="86"/>
  <c r="AH303" i="86"/>
  <c r="AF303" i="86"/>
  <c r="AG302" i="86"/>
  <c r="AG301" i="86" s="1"/>
  <c r="AC302" i="86"/>
  <c r="R302" i="86"/>
  <c r="AN301" i="86"/>
  <c r="AM301" i="86"/>
  <c r="AK301" i="86"/>
  <c r="AJ301" i="86"/>
  <c r="O301" i="86"/>
  <c r="N301" i="86"/>
  <c r="M301" i="86"/>
  <c r="L301" i="86"/>
  <c r="K301" i="86"/>
  <c r="J301" i="86"/>
  <c r="I301" i="86"/>
  <c r="H301" i="86"/>
  <c r="AC300" i="86"/>
  <c r="AF300" i="86" s="1"/>
  <c r="AC299" i="86"/>
  <c r="AF299" i="86" s="1"/>
  <c r="AC298" i="86"/>
  <c r="AF298" i="86" s="1"/>
  <c r="AF297" i="86"/>
  <c r="AC297" i="86"/>
  <c r="AC295" i="86" s="1"/>
  <c r="AC296" i="86"/>
  <c r="AF296" i="86" s="1"/>
  <c r="R296" i="86"/>
  <c r="AN295" i="86"/>
  <c r="AM295" i="86"/>
  <c r="AJ295" i="86"/>
  <c r="AG295" i="86"/>
  <c r="O295" i="86"/>
  <c r="N295" i="86"/>
  <c r="M295" i="86"/>
  <c r="L295" i="86"/>
  <c r="K295" i="86"/>
  <c r="J295" i="86"/>
  <c r="I295" i="86"/>
  <c r="H295" i="86"/>
  <c r="AC294" i="86"/>
  <c r="AF294" i="86" s="1"/>
  <c r="AF293" i="86"/>
  <c r="AN293" i="86" s="1"/>
  <c r="AO293" i="86" s="1"/>
  <c r="AC293" i="86"/>
  <c r="AC292" i="86"/>
  <c r="AF292" i="86" s="1"/>
  <c r="AC291" i="86"/>
  <c r="AF291" i="86" s="1"/>
  <c r="AC290" i="86"/>
  <c r="AF290" i="86" s="1"/>
  <c r="AF289" i="86"/>
  <c r="AC289" i="86"/>
  <c r="R289" i="86"/>
  <c r="AK288" i="86"/>
  <c r="AJ288" i="86"/>
  <c r="AG288" i="86"/>
  <c r="P288" i="86"/>
  <c r="O288" i="86"/>
  <c r="N288" i="86"/>
  <c r="M288" i="86"/>
  <c r="L288" i="86"/>
  <c r="K288" i="86"/>
  <c r="J288" i="86"/>
  <c r="I288" i="86"/>
  <c r="H288" i="86"/>
  <c r="AL287" i="86"/>
  <c r="AK287" i="86"/>
  <c r="AH287" i="86"/>
  <c r="AC287" i="86"/>
  <c r="AF287" i="86" s="1"/>
  <c r="AC286" i="86"/>
  <c r="AF286" i="86" s="1"/>
  <c r="AC285" i="86"/>
  <c r="AF285" i="86" s="1"/>
  <c r="AC284" i="86"/>
  <c r="AF284" i="86" s="1"/>
  <c r="AC283" i="86"/>
  <c r="AF283" i="86" s="1"/>
  <c r="AK282" i="86"/>
  <c r="AH282" i="86"/>
  <c r="AF282" i="86"/>
  <c r="AL282" i="86" s="1"/>
  <c r="AC282" i="86"/>
  <c r="R282" i="86"/>
  <c r="AC281" i="86"/>
  <c r="R281" i="86"/>
  <c r="AN280" i="86"/>
  <c r="AM280" i="86"/>
  <c r="AJ280" i="86"/>
  <c r="AG280" i="86"/>
  <c r="O280" i="86"/>
  <c r="N280" i="86"/>
  <c r="M280" i="86"/>
  <c r="L280" i="86"/>
  <c r="K280" i="86"/>
  <c r="J280" i="86"/>
  <c r="I280" i="86"/>
  <c r="H280" i="86"/>
  <c r="AO279" i="86"/>
  <c r="AF279" i="86"/>
  <c r="AC278" i="86"/>
  <c r="AF278" i="86" s="1"/>
  <c r="R278" i="86"/>
  <c r="AC277" i="86"/>
  <c r="AC276" i="86" s="1"/>
  <c r="R277" i="86"/>
  <c r="AN276" i="86"/>
  <c r="AN273" i="86" s="1"/>
  <c r="AM276" i="86"/>
  <c r="AM273" i="86" s="1"/>
  <c r="AL276" i="86"/>
  <c r="AL273" i="86" s="1"/>
  <c r="AJ276" i="86"/>
  <c r="AG276" i="86"/>
  <c r="AO275" i="86"/>
  <c r="AC275" i="86"/>
  <c r="AO274" i="86"/>
  <c r="AC274" i="86"/>
  <c r="AJ273" i="86"/>
  <c r="AG273" i="86"/>
  <c r="AC273" i="86"/>
  <c r="O273" i="86"/>
  <c r="N273" i="86"/>
  <c r="M273" i="86"/>
  <c r="L273" i="86"/>
  <c r="K273" i="86"/>
  <c r="J273" i="86"/>
  <c r="I273" i="86"/>
  <c r="H273" i="86"/>
  <c r="AO272" i="86"/>
  <c r="AF271" i="86"/>
  <c r="AK271" i="86" s="1"/>
  <c r="AO271" i="86" s="1"/>
  <c r="AC271" i="86"/>
  <c r="R271" i="86"/>
  <c r="AC270" i="86"/>
  <c r="AF270" i="86" s="1"/>
  <c r="AF269" i="86" s="1"/>
  <c r="AF266" i="86" s="1"/>
  <c r="R270" i="86"/>
  <c r="AN269" i="86"/>
  <c r="AM269" i="86"/>
  <c r="AM266" i="86" s="1"/>
  <c r="AL269" i="86"/>
  <c r="AL266" i="86" s="1"/>
  <c r="AJ269" i="86"/>
  <c r="AJ266" i="86" s="1"/>
  <c r="AG269" i="86"/>
  <c r="AC269" i="86"/>
  <c r="AO268" i="86"/>
  <c r="AC268" i="86"/>
  <c r="AO267" i="86"/>
  <c r="AC267" i="86"/>
  <c r="AC266" i="86" s="1"/>
  <c r="AN266" i="86"/>
  <c r="AG266" i="86"/>
  <c r="O266" i="86"/>
  <c r="N266" i="86"/>
  <c r="M266" i="86"/>
  <c r="L266" i="86"/>
  <c r="K266" i="86"/>
  <c r="J266" i="86"/>
  <c r="I266" i="86"/>
  <c r="H266" i="86"/>
  <c r="AO263" i="86"/>
  <c r="AO262" i="86"/>
  <c r="AO261" i="86"/>
  <c r="AC260" i="86"/>
  <c r="AF260" i="86" s="1"/>
  <c r="AN259" i="86"/>
  <c r="AL259" i="86"/>
  <c r="AK259" i="86"/>
  <c r="AJ259" i="86"/>
  <c r="AG259" i="86"/>
  <c r="AC259" i="86"/>
  <c r="P259" i="86"/>
  <c r="O259" i="86"/>
  <c r="N259" i="86"/>
  <c r="M259" i="86"/>
  <c r="L259" i="86"/>
  <c r="K259" i="86"/>
  <c r="J259" i="86"/>
  <c r="I259" i="86"/>
  <c r="H259" i="86"/>
  <c r="AM258" i="86"/>
  <c r="AM256" i="86" s="1"/>
  <c r="AL258" i="86"/>
  <c r="AL256" i="86" s="1"/>
  <c r="AH258" i="86"/>
  <c r="AF258" i="86"/>
  <c r="AN258" i="86" s="1"/>
  <c r="AN256" i="86" s="1"/>
  <c r="AC258" i="86"/>
  <c r="AF257" i="86"/>
  <c r="AF256" i="86" s="1"/>
  <c r="AC257" i="86"/>
  <c r="R257" i="86"/>
  <c r="AJ256" i="86"/>
  <c r="AG256" i="86"/>
  <c r="AC256" i="86"/>
  <c r="P256" i="86"/>
  <c r="O256" i="86"/>
  <c r="N256" i="86"/>
  <c r="M256" i="86"/>
  <c r="L256" i="86"/>
  <c r="K256" i="86"/>
  <c r="J256" i="86"/>
  <c r="I256" i="86"/>
  <c r="H256" i="86"/>
  <c r="AK255" i="86"/>
  <c r="AK254" i="86" s="1"/>
  <c r="AC255" i="86"/>
  <c r="AF255" i="86" s="1"/>
  <c r="R255" i="86"/>
  <c r="AN254" i="86"/>
  <c r="AM254" i="86"/>
  <c r="AL254" i="86"/>
  <c r="AG254" i="86"/>
  <c r="AC254" i="86"/>
  <c r="P254" i="86"/>
  <c r="O254" i="86"/>
  <c r="N254" i="86"/>
  <c r="M254" i="86"/>
  <c r="L254" i="86"/>
  <c r="K254" i="86"/>
  <c r="J254" i="86"/>
  <c r="I254" i="86"/>
  <c r="H254" i="86"/>
  <c r="AN253" i="86"/>
  <c r="AM253" i="86"/>
  <c r="AL253" i="86"/>
  <c r="AK253" i="86"/>
  <c r="AO253" i="86" s="1"/>
  <c r="AH253" i="86"/>
  <c r="AH252" i="86" s="1"/>
  <c r="AF253" i="86"/>
  <c r="AF252" i="86" s="1"/>
  <c r="AC253" i="86"/>
  <c r="R253" i="86"/>
  <c r="AN252" i="86"/>
  <c r="AM252" i="86"/>
  <c r="AL252" i="86"/>
  <c r="AK252" i="86"/>
  <c r="AJ252" i="86"/>
  <c r="AG252" i="86"/>
  <c r="AC252" i="86"/>
  <c r="P252" i="86"/>
  <c r="O252" i="86"/>
  <c r="N252" i="86"/>
  <c r="M252" i="86"/>
  <c r="L252" i="86"/>
  <c r="K252" i="86"/>
  <c r="J252" i="86"/>
  <c r="I252" i="86"/>
  <c r="H252" i="86"/>
  <c r="AO251" i="86"/>
  <c r="AC250" i="86"/>
  <c r="AF250" i="86" s="1"/>
  <c r="AC249" i="86"/>
  <c r="AC248" i="86" s="1"/>
  <c r="R249" i="86"/>
  <c r="AG248" i="86"/>
  <c r="AC247" i="86"/>
  <c r="AF247" i="86" s="1"/>
  <c r="R247" i="86"/>
  <c r="AC246" i="86"/>
  <c r="AF246" i="86" s="1"/>
  <c r="R246" i="86"/>
  <c r="AC245" i="86"/>
  <c r="AC244" i="86" s="1"/>
  <c r="R245" i="86"/>
  <c r="AJ244" i="86"/>
  <c r="AG244" i="86"/>
  <c r="AC243" i="86"/>
  <c r="AF243" i="86" s="1"/>
  <c r="R243" i="86"/>
  <c r="AL242" i="86"/>
  <c r="AF242" i="86"/>
  <c r="AN242" i="86" s="1"/>
  <c r="AC242" i="86"/>
  <c r="U242" i="86"/>
  <c r="R242" i="86"/>
  <c r="AC241" i="86"/>
  <c r="AF241" i="86" s="1"/>
  <c r="AN240" i="86"/>
  <c r="AM240" i="86"/>
  <c r="AL240" i="86"/>
  <c r="AO240" i="86" s="1"/>
  <c r="AH240" i="86"/>
  <c r="AF240" i="86"/>
  <c r="AF239" i="86" s="1"/>
  <c r="AC240" i="86"/>
  <c r="AC239" i="86" s="1"/>
  <c r="AK239" i="86"/>
  <c r="AJ239" i="86"/>
  <c r="AG239" i="86"/>
  <c r="AN238" i="86"/>
  <c r="AM238" i="86"/>
  <c r="AL238" i="86"/>
  <c r="AK238" i="86"/>
  <c r="AJ238" i="86"/>
  <c r="AO238" i="86" s="1"/>
  <c r="AH238" i="86"/>
  <c r="AF238" i="86"/>
  <c r="AC238" i="86"/>
  <c r="R238" i="86"/>
  <c r="AN237" i="86"/>
  <c r="AN236" i="86" s="1"/>
  <c r="AM237" i="86"/>
  <c r="AL237" i="86"/>
  <c r="AL236" i="86" s="1"/>
  <c r="AK237" i="86"/>
  <c r="AK236" i="86" s="1"/>
  <c r="AJ237" i="86"/>
  <c r="AC237" i="86"/>
  <c r="AF237" i="86" s="1"/>
  <c r="R237" i="86"/>
  <c r="AM236" i="86"/>
  <c r="AG236" i="86"/>
  <c r="AC236" i="86"/>
  <c r="P235" i="86"/>
  <c r="O235" i="86"/>
  <c r="N235" i="86"/>
  <c r="M235" i="86"/>
  <c r="L235" i="86"/>
  <c r="K235" i="86"/>
  <c r="J235" i="86"/>
  <c r="I235" i="86"/>
  <c r="H235" i="86"/>
  <c r="AO234" i="86"/>
  <c r="AM233" i="86"/>
  <c r="AL233" i="86"/>
  <c r="AK233" i="86"/>
  <c r="AO233" i="86" s="1"/>
  <c r="AC233" i="86"/>
  <c r="AF233" i="86" s="1"/>
  <c r="AH233" i="86" s="1"/>
  <c r="R233" i="86"/>
  <c r="AM232" i="86"/>
  <c r="AL232" i="86"/>
  <c r="AK232" i="86"/>
  <c r="AO232" i="86" s="1"/>
  <c r="AF232" i="86"/>
  <c r="AH232" i="86" s="1"/>
  <c r="AC232" i="86"/>
  <c r="R232" i="86"/>
  <c r="AO231" i="86"/>
  <c r="AM231" i="86"/>
  <c r="AL231" i="86"/>
  <c r="AK231" i="86"/>
  <c r="AF231" i="86"/>
  <c r="AH231" i="86" s="1"/>
  <c r="AC231" i="86"/>
  <c r="R231" i="86"/>
  <c r="AM230" i="86"/>
  <c r="AL230" i="86"/>
  <c r="AK230" i="86"/>
  <c r="AO230" i="86" s="1"/>
  <c r="AC230" i="86"/>
  <c r="AF230" i="86" s="1"/>
  <c r="AH230" i="86" s="1"/>
  <c r="R230" i="86"/>
  <c r="AM229" i="86"/>
  <c r="AM228" i="86" s="1"/>
  <c r="AL229" i="86"/>
  <c r="AL228" i="86" s="1"/>
  <c r="AK229" i="86"/>
  <c r="AK228" i="86" s="1"/>
  <c r="AC229" i="86"/>
  <c r="R229" i="86"/>
  <c r="AN228" i="86"/>
  <c r="AJ228" i="86"/>
  <c r="AO228" i="86" s="1"/>
  <c r="AG228" i="86"/>
  <c r="AO227" i="86"/>
  <c r="AC226" i="86"/>
  <c r="AC222" i="86" s="1"/>
  <c r="AC225" i="86"/>
  <c r="AF225" i="86" s="1"/>
  <c r="AM224" i="86"/>
  <c r="AF224" i="86"/>
  <c r="AN224" i="86" s="1"/>
  <c r="AC224" i="86"/>
  <c r="AM223" i="86"/>
  <c r="AL223" i="86"/>
  <c r="AK223" i="86"/>
  <c r="AC223" i="86"/>
  <c r="AF223" i="86" s="1"/>
  <c r="R223" i="86"/>
  <c r="AJ222" i="86"/>
  <c r="AG222" i="86"/>
  <c r="AC221" i="86"/>
  <c r="AF221" i="86" s="1"/>
  <c r="AF220" i="86"/>
  <c r="AN220" i="86" s="1"/>
  <c r="AC220" i="86"/>
  <c r="AC219" i="86"/>
  <c r="AF219" i="86" s="1"/>
  <c r="AC218" i="86"/>
  <c r="AF218" i="86" s="1"/>
  <c r="R218" i="86"/>
  <c r="AJ217" i="86"/>
  <c r="AJ216" i="86" s="1"/>
  <c r="AG217" i="86"/>
  <c r="AF217" i="86"/>
  <c r="AC217" i="86"/>
  <c r="AC216" i="86" s="1"/>
  <c r="AG216" i="86"/>
  <c r="AF215" i="86"/>
  <c r="AK215" i="86" s="1"/>
  <c r="AC215" i="86"/>
  <c r="R215" i="86"/>
  <c r="P214" i="86"/>
  <c r="O214" i="86"/>
  <c r="N214" i="86"/>
  <c r="M214" i="86"/>
  <c r="L214" i="86"/>
  <c r="K214" i="86"/>
  <c r="J214" i="86"/>
  <c r="I214" i="86"/>
  <c r="H214" i="86"/>
  <c r="AO212" i="86"/>
  <c r="AF211" i="86"/>
  <c r="AK211" i="86" s="1"/>
  <c r="AO211" i="86" s="1"/>
  <c r="AC211" i="86"/>
  <c r="R211" i="86"/>
  <c r="AC210" i="86"/>
  <c r="R210" i="86"/>
  <c r="AN209" i="86"/>
  <c r="AM209" i="86"/>
  <c r="AL209" i="86"/>
  <c r="AJ209" i="86"/>
  <c r="AG209" i="86"/>
  <c r="P209" i="86"/>
  <c r="O209" i="86"/>
  <c r="N209" i="86"/>
  <c r="M209" i="86"/>
  <c r="L209" i="86"/>
  <c r="K209" i="86"/>
  <c r="J209" i="86"/>
  <c r="I209" i="86"/>
  <c r="H209" i="86"/>
  <c r="AC208" i="86"/>
  <c r="AF208" i="86" s="1"/>
  <c r="AL207" i="86"/>
  <c r="AK207" i="86"/>
  <c r="AH207" i="86"/>
  <c r="AF207" i="86"/>
  <c r="AN207" i="86" s="1"/>
  <c r="AN204" i="86" s="1"/>
  <c r="AC207" i="86"/>
  <c r="AJ206" i="86"/>
  <c r="AO206" i="86" s="1"/>
  <c r="AF206" i="86"/>
  <c r="AH206" i="86" s="1"/>
  <c r="AC206" i="86"/>
  <c r="AH205" i="86"/>
  <c r="AC205" i="86"/>
  <c r="AF205" i="86" s="1"/>
  <c r="AF204" i="86" s="1"/>
  <c r="R205" i="86"/>
  <c r="AL204" i="86"/>
  <c r="AK204" i="86"/>
  <c r="AG204" i="86"/>
  <c r="AC204" i="86"/>
  <c r="P204" i="86"/>
  <c r="O204" i="86"/>
  <c r="N204" i="86"/>
  <c r="M204" i="86"/>
  <c r="L204" i="86"/>
  <c r="K204" i="86"/>
  <c r="J204" i="86"/>
  <c r="I204" i="86"/>
  <c r="H204" i="86"/>
  <c r="AO203" i="86"/>
  <c r="AO202" i="86"/>
  <c r="AO201" i="86"/>
  <c r="AO200" i="86"/>
  <c r="AO199" i="86"/>
  <c r="AO198" i="86"/>
  <c r="AC197" i="86"/>
  <c r="R197" i="86"/>
  <c r="AG196" i="86"/>
  <c r="AG195" i="86" s="1"/>
  <c r="P196" i="86"/>
  <c r="O196" i="86"/>
  <c r="N196" i="86"/>
  <c r="M196" i="86"/>
  <c r="L196" i="86"/>
  <c r="K196" i="86"/>
  <c r="J196" i="86"/>
  <c r="I196" i="86"/>
  <c r="H196" i="86"/>
  <c r="AO194" i="86"/>
  <c r="AO193" i="86"/>
  <c r="AH193" i="86"/>
  <c r="AG193" i="86"/>
  <c r="AF193" i="86"/>
  <c r="AC193" i="86"/>
  <c r="AO192" i="86"/>
  <c r="AO191" i="86"/>
  <c r="AO190" i="86"/>
  <c r="AF190" i="86"/>
  <c r="AH190" i="86" s="1"/>
  <c r="AH189" i="86" s="1"/>
  <c r="AC190" i="86"/>
  <c r="AO189" i="86"/>
  <c r="AG189" i="86"/>
  <c r="AC189" i="86"/>
  <c r="AF189" i="86" s="1"/>
  <c r="AO188" i="86"/>
  <c r="AO187" i="86"/>
  <c r="AH187" i="86"/>
  <c r="AG187" i="86"/>
  <c r="AF187" i="86"/>
  <c r="AC187" i="86"/>
  <c r="AJ186" i="86"/>
  <c r="AF186" i="86"/>
  <c r="AC186" i="86"/>
  <c r="R186" i="86"/>
  <c r="AH185" i="86"/>
  <c r="AF185" i="86"/>
  <c r="AC185" i="86"/>
  <c r="P185" i="86"/>
  <c r="O185" i="86"/>
  <c r="N185" i="86"/>
  <c r="M185" i="86"/>
  <c r="L185" i="86"/>
  <c r="K185" i="86"/>
  <c r="J185" i="86"/>
  <c r="I185" i="86"/>
  <c r="H185" i="86"/>
  <c r="AK184" i="86"/>
  <c r="AJ184" i="86"/>
  <c r="AO184" i="86" s="1"/>
  <c r="AC184" i="86"/>
  <c r="AF184" i="86" s="1"/>
  <c r="AH184" i="86" s="1"/>
  <c r="R184" i="86"/>
  <c r="AO183" i="86"/>
  <c r="AC183" i="86"/>
  <c r="AO182" i="86"/>
  <c r="AC182" i="86"/>
  <c r="AO181" i="86"/>
  <c r="AO180" i="86"/>
  <c r="AC180" i="86"/>
  <c r="AO179" i="86"/>
  <c r="AC179" i="86"/>
  <c r="AC178" i="86"/>
  <c r="AF178" i="86" s="1"/>
  <c r="R178" i="86"/>
  <c r="AN177" i="86"/>
  <c r="AM177" i="86"/>
  <c r="AL177" i="86"/>
  <c r="AG177" i="86"/>
  <c r="AC177" i="86"/>
  <c r="P177" i="86"/>
  <c r="O177" i="86"/>
  <c r="N177" i="86"/>
  <c r="M177" i="86"/>
  <c r="L177" i="86"/>
  <c r="K177" i="86"/>
  <c r="J177" i="86"/>
  <c r="I177" i="86"/>
  <c r="H177" i="86"/>
  <c r="AK176" i="86"/>
  <c r="AJ176" i="86"/>
  <c r="AO176" i="86" s="1"/>
  <c r="AH176" i="86"/>
  <c r="AF176" i="86"/>
  <c r="AC176" i="86"/>
  <c r="R176" i="86"/>
  <c r="AC175" i="86"/>
  <c r="AC171" i="86" s="1"/>
  <c r="AF174" i="86"/>
  <c r="AK174" i="86" s="1"/>
  <c r="AC174" i="86"/>
  <c r="AH173" i="86"/>
  <c r="AF173" i="86"/>
  <c r="AK173" i="86" s="1"/>
  <c r="AC173" i="86"/>
  <c r="AF172" i="86"/>
  <c r="AC172" i="86"/>
  <c r="R172" i="86"/>
  <c r="AN171" i="86"/>
  <c r="AM171" i="86"/>
  <c r="AL171" i="86"/>
  <c r="AG171" i="86"/>
  <c r="AF170" i="86"/>
  <c r="AK170" i="86" s="1"/>
  <c r="AC170" i="86"/>
  <c r="AF169" i="86"/>
  <c r="AK169" i="86" s="1"/>
  <c r="AC169" i="86"/>
  <c r="AC168" i="86"/>
  <c r="AC166" i="86" s="1"/>
  <c r="AC165" i="86" s="1"/>
  <c r="AF165" i="86" s="1"/>
  <c r="AH165" i="86" s="1"/>
  <c r="AK167" i="86"/>
  <c r="AJ167" i="86"/>
  <c r="AH167" i="86"/>
  <c r="AF167" i="86"/>
  <c r="AC167" i="86"/>
  <c r="R167" i="86"/>
  <c r="AN166" i="86"/>
  <c r="AM166" i="86"/>
  <c r="AM165" i="86" s="1"/>
  <c r="AL166" i="86"/>
  <c r="AL165" i="86" s="1"/>
  <c r="AG166" i="86"/>
  <c r="AN165" i="86"/>
  <c r="P165" i="86"/>
  <c r="O165" i="86"/>
  <c r="N165" i="86"/>
  <c r="M165" i="86"/>
  <c r="L165" i="86"/>
  <c r="K165" i="86"/>
  <c r="J165" i="86"/>
  <c r="I165" i="86"/>
  <c r="H165" i="86"/>
  <c r="AO164" i="86"/>
  <c r="AK164" i="86"/>
  <c r="AJ164" i="86"/>
  <c r="AC164" i="86"/>
  <c r="AF164" i="86" s="1"/>
  <c r="AH164" i="86" s="1"/>
  <c r="R164" i="86"/>
  <c r="AO163" i="86"/>
  <c r="AG163" i="86"/>
  <c r="AF163" i="86"/>
  <c r="AO162" i="86"/>
  <c r="AC162" i="86"/>
  <c r="AF162" i="86" s="1"/>
  <c r="AH162" i="86" s="1"/>
  <c r="AO161" i="86"/>
  <c r="AG161" i="86"/>
  <c r="AH161" i="86" s="1"/>
  <c r="AF161" i="86"/>
  <c r="AJ161" i="86" s="1"/>
  <c r="AJ159" i="86" s="1"/>
  <c r="AC161" i="86"/>
  <c r="AC159" i="86" s="1"/>
  <c r="R161" i="86"/>
  <c r="AO160" i="86"/>
  <c r="AH160" i="86"/>
  <c r="AF160" i="86"/>
  <c r="AC160" i="86"/>
  <c r="AN159" i="86"/>
  <c r="AM159" i="86"/>
  <c r="AL159" i="86"/>
  <c r="AK159" i="86"/>
  <c r="AH159" i="86"/>
  <c r="AG159" i="86"/>
  <c r="AG158" i="86" s="1"/>
  <c r="AF159" i="86"/>
  <c r="P159" i="86"/>
  <c r="O159" i="86"/>
  <c r="N159" i="86"/>
  <c r="M159" i="86"/>
  <c r="L159" i="86"/>
  <c r="K159" i="86"/>
  <c r="J159" i="86"/>
  <c r="I159" i="86"/>
  <c r="H159" i="86"/>
  <c r="AC158" i="86"/>
  <c r="AO156" i="86"/>
  <c r="AF156" i="86"/>
  <c r="AO155" i="86"/>
  <c r="AK154" i="86"/>
  <c r="AF154" i="86"/>
  <c r="AH154" i="86" s="1"/>
  <c r="AC154" i="86"/>
  <c r="AC153" i="86"/>
  <c r="AF153" i="86" s="1"/>
  <c r="AN152" i="86"/>
  <c r="AN150" i="86" s="1"/>
  <c r="AJ152" i="86"/>
  <c r="AG152" i="86"/>
  <c r="AG150" i="86" s="1"/>
  <c r="AC152" i="86"/>
  <c r="AC150" i="86" s="1"/>
  <c r="AC151" i="86"/>
  <c r="AF151" i="86" s="1"/>
  <c r="AH151" i="86" s="1"/>
  <c r="R151" i="86"/>
  <c r="O150" i="86"/>
  <c r="N150" i="86"/>
  <c r="M150" i="86"/>
  <c r="L150" i="86"/>
  <c r="K150" i="86"/>
  <c r="J150" i="86"/>
  <c r="I150" i="86"/>
  <c r="H150" i="86"/>
  <c r="AO149" i="86"/>
  <c r="AF149" i="86"/>
  <c r="AM148" i="86"/>
  <c r="AJ148" i="86"/>
  <c r="AC148" i="86"/>
  <c r="AF148" i="86" s="1"/>
  <c r="AH147" i="86"/>
  <c r="AF147" i="86"/>
  <c r="AC147" i="86"/>
  <c r="AC146" i="86"/>
  <c r="AF146" i="86" s="1"/>
  <c r="R146" i="86"/>
  <c r="AG145" i="86"/>
  <c r="AF145" i="86"/>
  <c r="AC145" i="86"/>
  <c r="AO144" i="86"/>
  <c r="AC144" i="86"/>
  <c r="AO143" i="86"/>
  <c r="AC143" i="86"/>
  <c r="AC142" i="86"/>
  <c r="AF142" i="86" s="1"/>
  <c r="R142" i="86"/>
  <c r="AN141" i="86"/>
  <c r="AM141" i="86"/>
  <c r="AL141" i="86"/>
  <c r="AK141" i="86"/>
  <c r="AG141" i="86"/>
  <c r="AF141" i="86"/>
  <c r="AC141" i="86"/>
  <c r="AO140" i="86"/>
  <c r="AC140" i="86"/>
  <c r="AF140" i="86" s="1"/>
  <c r="AH140" i="86" s="1"/>
  <c r="AO139" i="86"/>
  <c r="AC139" i="86"/>
  <c r="AF139" i="86" s="1"/>
  <c r="AH139" i="86" s="1"/>
  <c r="AO138" i="86"/>
  <c r="AH138" i="86"/>
  <c r="AG138" i="86"/>
  <c r="AG137" i="86" s="1"/>
  <c r="AG136" i="86" s="1"/>
  <c r="O137" i="86"/>
  <c r="N137" i="86"/>
  <c r="M137" i="86"/>
  <c r="L137" i="86"/>
  <c r="K137" i="86"/>
  <c r="J137" i="86"/>
  <c r="I137" i="86"/>
  <c r="H137" i="86"/>
  <c r="AO135" i="86"/>
  <c r="AO134" i="86"/>
  <c r="AO133" i="86"/>
  <c r="AM132" i="86"/>
  <c r="AL132" i="86"/>
  <c r="AO132" i="86" s="1"/>
  <c r="AF132" i="86"/>
  <c r="AH132" i="86" s="1"/>
  <c r="AC132" i="86"/>
  <c r="R132" i="86"/>
  <c r="AO131" i="86"/>
  <c r="AM131" i="86"/>
  <c r="AL131" i="86"/>
  <c r="AK131" i="86"/>
  <c r="AC131" i="86"/>
  <c r="AF131" i="86" s="1"/>
  <c r="AH131" i="86" s="1"/>
  <c r="R131" i="86"/>
  <c r="AM130" i="86"/>
  <c r="AM128" i="86" s="1"/>
  <c r="AL130" i="86"/>
  <c r="AK130" i="86"/>
  <c r="AO130" i="86" s="1"/>
  <c r="AC130" i="86"/>
  <c r="AF130" i="86" s="1"/>
  <c r="AH130" i="86" s="1"/>
  <c r="R130" i="86"/>
  <c r="AM129" i="86"/>
  <c r="AL129" i="86"/>
  <c r="AL128" i="86" s="1"/>
  <c r="AK129" i="86"/>
  <c r="AK128" i="86" s="1"/>
  <c r="AC129" i="86"/>
  <c r="R129" i="86"/>
  <c r="AN128" i="86"/>
  <c r="AN126" i="86" s="1"/>
  <c r="AJ128" i="86"/>
  <c r="AG128" i="86"/>
  <c r="AK127" i="86"/>
  <c r="AF127" i="86"/>
  <c r="AC127" i="86"/>
  <c r="R127" i="86"/>
  <c r="AJ126" i="86"/>
  <c r="AG126" i="86"/>
  <c r="O126" i="86"/>
  <c r="N126" i="86"/>
  <c r="M126" i="86"/>
  <c r="L126" i="86"/>
  <c r="K126" i="86"/>
  <c r="J126" i="86"/>
  <c r="I126" i="86"/>
  <c r="H126" i="86"/>
  <c r="AO125" i="86"/>
  <c r="AO124" i="86"/>
  <c r="AO123" i="86"/>
  <c r="AO122" i="86"/>
  <c r="AF121" i="86"/>
  <c r="AC121" i="86"/>
  <c r="AO120" i="86"/>
  <c r="AF120" i="86"/>
  <c r="AC120" i="86"/>
  <c r="AC119" i="86" s="1"/>
  <c r="AG119" i="86"/>
  <c r="AG118" i="86" s="1"/>
  <c r="N119" i="86"/>
  <c r="M119" i="86"/>
  <c r="L119" i="86"/>
  <c r="K119" i="86"/>
  <c r="J119" i="86"/>
  <c r="I119" i="86"/>
  <c r="H119" i="86"/>
  <c r="AO117" i="86"/>
  <c r="AC116" i="86"/>
  <c r="AF116" i="86" s="1"/>
  <c r="R116" i="86"/>
  <c r="AF115" i="86"/>
  <c r="AH115" i="86" s="1"/>
  <c r="AC115" i="86"/>
  <c r="R115" i="86"/>
  <c r="AC114" i="86"/>
  <c r="AF114" i="86" s="1"/>
  <c r="R114" i="86"/>
  <c r="AF113" i="86"/>
  <c r="AC113" i="86"/>
  <c r="AC112" i="86" s="1"/>
  <c r="R113" i="86"/>
  <c r="AN112" i="86"/>
  <c r="AN109" i="86" s="1"/>
  <c r="AM112" i="86"/>
  <c r="AM109" i="86" s="1"/>
  <c r="AL112" i="86"/>
  <c r="AJ112" i="86"/>
  <c r="AG112" i="86"/>
  <c r="AC111" i="86"/>
  <c r="AC109" i="86" s="1"/>
  <c r="AJ110" i="86"/>
  <c r="AH110" i="86"/>
  <c r="AF110" i="86"/>
  <c r="AC110" i="86"/>
  <c r="R110" i="86"/>
  <c r="AL109" i="86"/>
  <c r="AG109" i="86"/>
  <c r="O109" i="86"/>
  <c r="N109" i="86"/>
  <c r="M109" i="86"/>
  <c r="L109" i="86"/>
  <c r="K109" i="86"/>
  <c r="J109" i="86"/>
  <c r="I109" i="86"/>
  <c r="H109" i="86"/>
  <c r="AC108" i="86"/>
  <c r="AF108" i="86" s="1"/>
  <c r="AC107" i="86"/>
  <c r="AF107" i="86" s="1"/>
  <c r="AC106" i="86"/>
  <c r="AF106" i="86" s="1"/>
  <c r="AC105" i="86"/>
  <c r="AF105" i="86" s="1"/>
  <c r="AC104" i="86"/>
  <c r="AF104" i="86" s="1"/>
  <c r="R104" i="86"/>
  <c r="AO103" i="86"/>
  <c r="AC103" i="86"/>
  <c r="AO102" i="86"/>
  <c r="AC102" i="86"/>
  <c r="AN101" i="86"/>
  <c r="AM101" i="86"/>
  <c r="AL101" i="86"/>
  <c r="AG101" i="86"/>
  <c r="O101" i="86"/>
  <c r="N101" i="86"/>
  <c r="M101" i="86"/>
  <c r="L101" i="86"/>
  <c r="K101" i="86"/>
  <c r="J101" i="86"/>
  <c r="I101" i="86"/>
  <c r="H101" i="86"/>
  <c r="AM100" i="86"/>
  <c r="AM98" i="86" s="1"/>
  <c r="AL100" i="86"/>
  <c r="AC100" i="86"/>
  <c r="AF100" i="86" s="1"/>
  <c r="AF99" i="86"/>
  <c r="AC99" i="86"/>
  <c r="AC98" i="86" s="1"/>
  <c r="R99" i="86"/>
  <c r="AG98" i="86"/>
  <c r="P98" i="86"/>
  <c r="O98" i="86"/>
  <c r="N98" i="86"/>
  <c r="M98" i="86"/>
  <c r="L98" i="86"/>
  <c r="K98" i="86"/>
  <c r="J98" i="86"/>
  <c r="I98" i="86"/>
  <c r="H98" i="86"/>
  <c r="AL97" i="86"/>
  <c r="AK97" i="86"/>
  <c r="AO97" i="86" s="1"/>
  <c r="AC97" i="86"/>
  <c r="AF97" i="86" s="1"/>
  <c r="AH97" i="86" s="1"/>
  <c r="AM96" i="86"/>
  <c r="AM94" i="86" s="1"/>
  <c r="AL96" i="86"/>
  <c r="AK96" i="86"/>
  <c r="AC96" i="86"/>
  <c r="AC94" i="86" s="1"/>
  <c r="AM95" i="86"/>
  <c r="AL95" i="86"/>
  <c r="AK95" i="86"/>
  <c r="AC95" i="86"/>
  <c r="AF95" i="86" s="1"/>
  <c r="AH95" i="86" s="1"/>
  <c r="AN94" i="86"/>
  <c r="AL94" i="86"/>
  <c r="AK94" i="86"/>
  <c r="AJ94" i="86"/>
  <c r="AG94" i="86"/>
  <c r="AK93" i="86"/>
  <c r="AH93" i="86"/>
  <c r="AF93" i="86"/>
  <c r="AC93" i="86"/>
  <c r="AN92" i="86"/>
  <c r="AK92" i="86"/>
  <c r="AG92" i="86"/>
  <c r="O92" i="86"/>
  <c r="N92" i="86"/>
  <c r="M92" i="86"/>
  <c r="L92" i="86"/>
  <c r="K92" i="86"/>
  <c r="J92" i="86"/>
  <c r="I92" i="86"/>
  <c r="H92" i="86"/>
  <c r="AO91" i="86"/>
  <c r="AH91" i="86"/>
  <c r="AF90" i="86"/>
  <c r="AM90" i="86" s="1"/>
  <c r="AC90" i="86"/>
  <c r="AF89" i="86"/>
  <c r="AC89" i="86"/>
  <c r="AH88" i="86"/>
  <c r="AF88" i="86"/>
  <c r="AM88" i="86" s="1"/>
  <c r="AO88" i="86" s="1"/>
  <c r="AC88" i="86"/>
  <c r="AC87" i="86"/>
  <c r="AO86" i="86"/>
  <c r="AL86" i="86"/>
  <c r="AH86" i="86"/>
  <c r="AF86" i="86"/>
  <c r="AC86" i="86"/>
  <c r="AK85" i="86"/>
  <c r="AJ85" i="86"/>
  <c r="AG85" i="86"/>
  <c r="AO84" i="86"/>
  <c r="AN84" i="86"/>
  <c r="AM84" i="86"/>
  <c r="AF83" i="86"/>
  <c r="AM83" i="86" s="1"/>
  <c r="AC83" i="86"/>
  <c r="AC82" i="86"/>
  <c r="AF82" i="86" s="1"/>
  <c r="AM82" i="86" s="1"/>
  <c r="AN81" i="86"/>
  <c r="AF81" i="86"/>
  <c r="AC81" i="86"/>
  <c r="AC80" i="86"/>
  <c r="AF80" i="86" s="1"/>
  <c r="AM80" i="86" s="1"/>
  <c r="AF79" i="86"/>
  <c r="AM79" i="86" s="1"/>
  <c r="AC79" i="86"/>
  <c r="AN78" i="86"/>
  <c r="AL78" i="86"/>
  <c r="AO78" i="86" s="1"/>
  <c r="AC78" i="86"/>
  <c r="AF78" i="86" s="1"/>
  <c r="AK77" i="86"/>
  <c r="AJ77" i="86"/>
  <c r="AG77" i="86"/>
  <c r="AC76" i="86"/>
  <c r="AF76" i="86" s="1"/>
  <c r="AF75" i="86"/>
  <c r="AC75" i="86"/>
  <c r="AC74" i="86"/>
  <c r="AF74" i="86" s="1"/>
  <c r="AF73" i="86"/>
  <c r="AM73" i="86" s="1"/>
  <c r="AC73" i="86"/>
  <c r="AC72" i="86"/>
  <c r="AF72" i="86" s="1"/>
  <c r="AF71" i="86"/>
  <c r="AM71" i="86" s="1"/>
  <c r="AC71" i="86"/>
  <c r="AL70" i="86"/>
  <c r="AK70" i="86"/>
  <c r="AJ70" i="86"/>
  <c r="AG70" i="86"/>
  <c r="AC70" i="86"/>
  <c r="AC69" i="86"/>
  <c r="AF69" i="86" s="1"/>
  <c r="AM68" i="86"/>
  <c r="AF68" i="86"/>
  <c r="AL68" i="86" s="1"/>
  <c r="AO68" i="86" s="1"/>
  <c r="AC68" i="86"/>
  <c r="AC67" i="86"/>
  <c r="AF67" i="86" s="1"/>
  <c r="AN67" i="86" s="1"/>
  <c r="AN62" i="86" s="1"/>
  <c r="AM66" i="86"/>
  <c r="AC66" i="86"/>
  <c r="AF66" i="86" s="1"/>
  <c r="AF65" i="86"/>
  <c r="AM65" i="86" s="1"/>
  <c r="AC65" i="86"/>
  <c r="AC62" i="86" s="1"/>
  <c r="AC64" i="86"/>
  <c r="AF64" i="86" s="1"/>
  <c r="AF63" i="86"/>
  <c r="AL63" i="86" s="1"/>
  <c r="AC63" i="86"/>
  <c r="AK62" i="86"/>
  <c r="AJ62" i="86"/>
  <c r="AG62" i="86"/>
  <c r="AK61" i="86"/>
  <c r="AF61" i="86"/>
  <c r="AC61" i="86"/>
  <c r="AC60" i="86"/>
  <c r="AF60" i="86" s="1"/>
  <c r="AG59" i="86"/>
  <c r="AC59" i="86"/>
  <c r="AO58" i="86"/>
  <c r="AO57" i="86"/>
  <c r="AO56" i="86"/>
  <c r="AO55" i="86"/>
  <c r="AO54" i="86"/>
  <c r="AO53" i="86"/>
  <c r="AO52" i="86"/>
  <c r="AO51" i="86"/>
  <c r="AO50" i="86"/>
  <c r="AO49" i="86"/>
  <c r="AF48" i="86"/>
  <c r="AK48" i="86" s="1"/>
  <c r="AK47" i="86" s="1"/>
  <c r="AC48" i="86"/>
  <c r="AC47" i="86" s="1"/>
  <c r="AN47" i="86"/>
  <c r="AM47" i="86"/>
  <c r="AL47" i="86"/>
  <c r="AG47" i="86"/>
  <c r="AG45" i="86" s="1"/>
  <c r="AG44" i="86" s="1"/>
  <c r="AO46" i="86"/>
  <c r="N45" i="86"/>
  <c r="M45" i="86"/>
  <c r="L45" i="86"/>
  <c r="K45" i="86"/>
  <c r="J45" i="86"/>
  <c r="I45" i="86"/>
  <c r="H45" i="86"/>
  <c r="AO43" i="86"/>
  <c r="AF43" i="86"/>
  <c r="AN42" i="86"/>
  <c r="AN40" i="86" s="1"/>
  <c r="AM42" i="86"/>
  <c r="AM40" i="86" s="1"/>
  <c r="AK42" i="86"/>
  <c r="AK40" i="86" s="1"/>
  <c r="AF42" i="86"/>
  <c r="AL42" i="86" s="1"/>
  <c r="AL40" i="86" s="1"/>
  <c r="AC42" i="86"/>
  <c r="AB42" i="86"/>
  <c r="R42" i="86"/>
  <c r="AO41" i="86"/>
  <c r="AC41" i="86"/>
  <c r="AC40" i="86" s="1"/>
  <c r="AJ40" i="86"/>
  <c r="AO40" i="86" s="1"/>
  <c r="AG40" i="86"/>
  <c r="O40" i="86"/>
  <c r="N40" i="86"/>
  <c r="M40" i="86"/>
  <c r="L40" i="86"/>
  <c r="K40" i="86"/>
  <c r="J40" i="86"/>
  <c r="I40" i="86"/>
  <c r="H40" i="86"/>
  <c r="AL39" i="86"/>
  <c r="AO39" i="86" s="1"/>
  <c r="AC39" i="86"/>
  <c r="AF39" i="86" s="1"/>
  <c r="AH39" i="86" s="1"/>
  <c r="AC38" i="86"/>
  <c r="AF38" i="86" s="1"/>
  <c r="AF37" i="86"/>
  <c r="AC37" i="86"/>
  <c r="R37" i="86"/>
  <c r="AC36" i="86"/>
  <c r="AF36" i="86" s="1"/>
  <c r="AH36" i="86" s="1"/>
  <c r="AF35" i="86"/>
  <c r="AM35" i="86" s="1"/>
  <c r="AC35" i="86"/>
  <c r="AC34" i="86"/>
  <c r="AC33" i="86" s="1"/>
  <c r="AC32" i="86" s="1"/>
  <c r="AN33" i="86"/>
  <c r="AN32" i="86" s="1"/>
  <c r="AG33" i="86"/>
  <c r="R33" i="86"/>
  <c r="AG32" i="86"/>
  <c r="O32" i="86"/>
  <c r="N32" i="86"/>
  <c r="M32" i="86"/>
  <c r="L32" i="86"/>
  <c r="K32" i="86"/>
  <c r="J32" i="86"/>
  <c r="I32" i="86"/>
  <c r="H32" i="86"/>
  <c r="AF31" i="86"/>
  <c r="AM31" i="86" s="1"/>
  <c r="AM29" i="86" s="1"/>
  <c r="AC31" i="86"/>
  <c r="AF30" i="86"/>
  <c r="AF29" i="86" s="1"/>
  <c r="AC30" i="86"/>
  <c r="AC29" i="86" s="1"/>
  <c r="R30" i="86"/>
  <c r="AN29" i="86"/>
  <c r="AJ29" i="86"/>
  <c r="AG29" i="86"/>
  <c r="O29" i="86"/>
  <c r="N29" i="86"/>
  <c r="M29" i="86"/>
  <c r="L29" i="86"/>
  <c r="K29" i="86"/>
  <c r="J29" i="86"/>
  <c r="I29" i="86"/>
  <c r="H29" i="86"/>
  <c r="AO28" i="86"/>
  <c r="AN27" i="86"/>
  <c r="AM27" i="86"/>
  <c r="AL27" i="86"/>
  <c r="AO27" i="86" s="1"/>
  <c r="AC27" i="86"/>
  <c r="AF27" i="86" s="1"/>
  <c r="AH27" i="86" s="1"/>
  <c r="R27" i="86"/>
  <c r="AN26" i="86"/>
  <c r="AM26" i="86"/>
  <c r="AL26" i="86"/>
  <c r="AO26" i="86" s="1"/>
  <c r="AC26" i="86"/>
  <c r="AF26" i="86" s="1"/>
  <c r="AH26" i="86" s="1"/>
  <c r="R26" i="86"/>
  <c r="AN25" i="86"/>
  <c r="AM25" i="86"/>
  <c r="AL25" i="86"/>
  <c r="AH25" i="86"/>
  <c r="AF25" i="86"/>
  <c r="AC25" i="86"/>
  <c r="R25" i="86"/>
  <c r="AK24" i="86"/>
  <c r="AJ24" i="86"/>
  <c r="AG24" i="86"/>
  <c r="AC24" i="86"/>
  <c r="AC23" i="86"/>
  <c r="AF23" i="86" s="1"/>
  <c r="AC22" i="86"/>
  <c r="AF22" i="86" s="1"/>
  <c r="AF21" i="86"/>
  <c r="AC21" i="86"/>
  <c r="R21" i="86"/>
  <c r="AN20" i="86"/>
  <c r="AJ20" i="86"/>
  <c r="AG20" i="86"/>
  <c r="AF19" i="86"/>
  <c r="AK19" i="86" s="1"/>
  <c r="AC19" i="86"/>
  <c r="R19" i="86"/>
  <c r="AO18" i="86"/>
  <c r="AF18" i="86"/>
  <c r="AH18" i="86" s="1"/>
  <c r="AC18" i="86"/>
  <c r="AO17" i="86"/>
  <c r="AF17" i="86"/>
  <c r="AC17" i="86"/>
  <c r="AJ16" i="86"/>
  <c r="AG16" i="86"/>
  <c r="AG9" i="86" s="1"/>
  <c r="O16" i="86"/>
  <c r="N16" i="86"/>
  <c r="M16" i="86"/>
  <c r="L16" i="86"/>
  <c r="K16" i="86"/>
  <c r="J16" i="86"/>
  <c r="I16" i="86"/>
  <c r="H16" i="86"/>
  <c r="AF15" i="86"/>
  <c r="AK15" i="86" s="1"/>
  <c r="AC15" i="86"/>
  <c r="R15" i="86"/>
  <c r="AO14" i="86"/>
  <c r="AK14" i="86"/>
  <c r="AJ14" i="86"/>
  <c r="AF14" i="86"/>
  <c r="AH14" i="86" s="1"/>
  <c r="AC14" i="86"/>
  <c r="R14" i="86"/>
  <c r="AK13" i="86"/>
  <c r="AJ13" i="86"/>
  <c r="AO13" i="86" s="1"/>
  <c r="AC13" i="86"/>
  <c r="AF13" i="86" s="1"/>
  <c r="AH13" i="86" s="1"/>
  <c r="R13" i="86"/>
  <c r="AK12" i="86"/>
  <c r="AJ12" i="86"/>
  <c r="AC12" i="86"/>
  <c r="AF12" i="86" s="1"/>
  <c r="AH12" i="86" s="1"/>
  <c r="R12" i="86"/>
  <c r="AO11" i="86"/>
  <c r="AC11" i="86"/>
  <c r="AC10" i="86" s="1"/>
  <c r="AN10" i="86"/>
  <c r="AM10" i="86"/>
  <c r="AL10" i="86"/>
  <c r="AG10" i="86"/>
  <c r="P10" i="86"/>
  <c r="O10" i="86"/>
  <c r="N10" i="86"/>
  <c r="M10" i="86"/>
  <c r="L10" i="86"/>
  <c r="K10" i="86"/>
  <c r="J10" i="86"/>
  <c r="I10" i="86"/>
  <c r="H10" i="86"/>
  <c r="AB7" i="86"/>
  <c r="AH2" i="86"/>
  <c r="AP439" i="87"/>
  <c r="AG439" i="87"/>
  <c r="AI439" i="87" s="1"/>
  <c r="AP438" i="87"/>
  <c r="AI438" i="87"/>
  <c r="AP437" i="87"/>
  <c r="AP436" i="87"/>
  <c r="AI435" i="87"/>
  <c r="AO435" i="87" s="1"/>
  <c r="AP435" i="87" s="1"/>
  <c r="AG435" i="87"/>
  <c r="AD435" i="87"/>
  <c r="AG434" i="87"/>
  <c r="AI434" i="87" s="1"/>
  <c r="AO434" i="87" s="1"/>
  <c r="AD434" i="87"/>
  <c r="AD433" i="87"/>
  <c r="AD431" i="87" s="1"/>
  <c r="R433" i="87"/>
  <c r="AP432" i="87"/>
  <c r="AD432" i="87"/>
  <c r="AG432" i="87" s="1"/>
  <c r="AN431" i="87"/>
  <c r="AL431" i="87"/>
  <c r="AK431" i="87"/>
  <c r="AH431" i="87"/>
  <c r="AO430" i="87"/>
  <c r="AN430" i="87"/>
  <c r="AN429" i="87" s="1"/>
  <c r="AM430" i="87"/>
  <c r="AM429" i="87" s="1"/>
  <c r="AL430" i="87"/>
  <c r="AK430" i="87"/>
  <c r="AG430" i="87"/>
  <c r="AI430" i="87" s="1"/>
  <c r="AI429" i="87" s="1"/>
  <c r="AD430" i="87"/>
  <c r="R430" i="87"/>
  <c r="AO429" i="87"/>
  <c r="AK429" i="87"/>
  <c r="AH429" i="87"/>
  <c r="AG429" i="87"/>
  <c r="AD429" i="87"/>
  <c r="AD427" i="87"/>
  <c r="AG427" i="87" s="1"/>
  <c r="AI427" i="87" s="1"/>
  <c r="AO426" i="87"/>
  <c r="AN426" i="87"/>
  <c r="AM426" i="87"/>
  <c r="AL426" i="87"/>
  <c r="AP426" i="87" s="1"/>
  <c r="AK426" i="87"/>
  <c r="AG426" i="87"/>
  <c r="AI426" i="87" s="1"/>
  <c r="AD426" i="87"/>
  <c r="R426" i="87"/>
  <c r="AN425" i="87"/>
  <c r="AM425" i="87"/>
  <c r="AL425" i="87"/>
  <c r="AP425" i="87" s="1"/>
  <c r="AK425" i="87"/>
  <c r="AG425" i="87"/>
  <c r="AI425" i="87" s="1"/>
  <c r="AD425" i="87"/>
  <c r="R425" i="87"/>
  <c r="AP424" i="87"/>
  <c r="AO424" i="87"/>
  <c r="AN424" i="87"/>
  <c r="AM424" i="87"/>
  <c r="AL424" i="87"/>
  <c r="AK424" i="87"/>
  <c r="AD424" i="87"/>
  <c r="AG424" i="87" s="1"/>
  <c r="AI424" i="87" s="1"/>
  <c r="R424" i="87"/>
  <c r="AO423" i="87"/>
  <c r="AN423" i="87"/>
  <c r="AP423" i="87" s="1"/>
  <c r="AM423" i="87"/>
  <c r="AL423" i="87"/>
  <c r="AK423" i="87"/>
  <c r="AG423" i="87"/>
  <c r="AI423" i="87" s="1"/>
  <c r="AD423" i="87"/>
  <c r="R423" i="87"/>
  <c r="AO422" i="87"/>
  <c r="AN422" i="87"/>
  <c r="AM422" i="87"/>
  <c r="AL422" i="87"/>
  <c r="AP422" i="87" s="1"/>
  <c r="AK422" i="87"/>
  <c r="AG422" i="87"/>
  <c r="AI422" i="87" s="1"/>
  <c r="AD422" i="87"/>
  <c r="R422" i="87"/>
  <c r="AP421" i="87"/>
  <c r="AO421" i="87"/>
  <c r="AN421" i="87"/>
  <c r="AM421" i="87"/>
  <c r="AL421" i="87"/>
  <c r="AK421" i="87"/>
  <c r="AG421" i="87"/>
  <c r="AI421" i="87" s="1"/>
  <c r="AD421" i="87"/>
  <c r="R421" i="87"/>
  <c r="AO420" i="87"/>
  <c r="AN420" i="87"/>
  <c r="AM420" i="87"/>
  <c r="AL420" i="87"/>
  <c r="AK420" i="87"/>
  <c r="AG420" i="87"/>
  <c r="AD420" i="87"/>
  <c r="AD419" i="87" s="1"/>
  <c r="R420" i="87"/>
  <c r="AH419" i="87"/>
  <c r="AO417" i="87"/>
  <c r="AO416" i="87" s="1"/>
  <c r="AN417" i="87"/>
  <c r="AN416" i="87" s="1"/>
  <c r="AM417" i="87"/>
  <c r="AM416" i="87" s="1"/>
  <c r="AL417" i="87"/>
  <c r="AL416" i="87" s="1"/>
  <c r="AK417" i="87"/>
  <c r="AK416" i="87" s="1"/>
  <c r="AP416" i="87" s="1"/>
  <c r="AD417" i="87"/>
  <c r="AD416" i="87" s="1"/>
  <c r="AH416" i="87"/>
  <c r="AD415" i="87"/>
  <c r="AG415" i="87" s="1"/>
  <c r="AN414" i="87"/>
  <c r="AG414" i="87"/>
  <c r="AM414" i="87" s="1"/>
  <c r="AD414" i="87"/>
  <c r="R414" i="87"/>
  <c r="AP413" i="87"/>
  <c r="AI413" i="87"/>
  <c r="AD413" i="87"/>
  <c r="AO412" i="87"/>
  <c r="AH412" i="87"/>
  <c r="AH402" i="87" s="1"/>
  <c r="AH401" i="87" s="1"/>
  <c r="AO411" i="87"/>
  <c r="AN411" i="87"/>
  <c r="AM411" i="87"/>
  <c r="AL411" i="87"/>
  <c r="AK411" i="87"/>
  <c r="AP411" i="87" s="1"/>
  <c r="AI411" i="87"/>
  <c r="AG411" i="87"/>
  <c r="AD411" i="87"/>
  <c r="R411" i="87"/>
  <c r="AO410" i="87"/>
  <c r="AN410" i="87"/>
  <c r="AM410" i="87"/>
  <c r="AL410" i="87"/>
  <c r="AK410" i="87"/>
  <c r="AG410" i="87"/>
  <c r="AI410" i="87" s="1"/>
  <c r="AD410" i="87"/>
  <c r="R410" i="87"/>
  <c r="AO409" i="87"/>
  <c r="AN409" i="87"/>
  <c r="AM409" i="87"/>
  <c r="AL409" i="87"/>
  <c r="AK409" i="87"/>
  <c r="AP409" i="87" s="1"/>
  <c r="AD409" i="87"/>
  <c r="AG409" i="87" s="1"/>
  <c r="AI409" i="87" s="1"/>
  <c r="R409" i="87"/>
  <c r="AO408" i="87"/>
  <c r="AN408" i="87"/>
  <c r="AM408" i="87"/>
  <c r="AL408" i="87"/>
  <c r="AK408" i="87"/>
  <c r="AD408" i="87"/>
  <c r="AG408" i="87" s="1"/>
  <c r="AI408" i="87" s="1"/>
  <c r="R408" i="87"/>
  <c r="AO407" i="87"/>
  <c r="AN407" i="87"/>
  <c r="AM407" i="87"/>
  <c r="AL407" i="87"/>
  <c r="AL404" i="87" s="1"/>
  <c r="AK407" i="87"/>
  <c r="AG407" i="87"/>
  <c r="AI407" i="87" s="1"/>
  <c r="AD407" i="87"/>
  <c r="R407" i="87"/>
  <c r="AO406" i="87"/>
  <c r="AO404" i="87" s="1"/>
  <c r="AO402" i="87" s="1"/>
  <c r="AN406" i="87"/>
  <c r="AM406" i="87"/>
  <c r="AL406" i="87"/>
  <c r="AK406" i="87"/>
  <c r="AD406" i="87"/>
  <c r="AG406" i="87" s="1"/>
  <c r="AI406" i="87" s="1"/>
  <c r="R406" i="87"/>
  <c r="AP405" i="87"/>
  <c r="AO405" i="87"/>
  <c r="AN405" i="87"/>
  <c r="AM405" i="87"/>
  <c r="AL405" i="87"/>
  <c r="AK405" i="87"/>
  <c r="AK404" i="87" s="1"/>
  <c r="AD405" i="87"/>
  <c r="R405" i="87"/>
  <c r="AH404" i="87"/>
  <c r="AP403" i="87"/>
  <c r="AC401" i="87"/>
  <c r="AH400" i="87"/>
  <c r="AP399" i="87"/>
  <c r="AP398" i="87"/>
  <c r="AD397" i="87"/>
  <c r="AG397" i="87" s="1"/>
  <c r="AD396" i="87"/>
  <c r="AG396" i="87" s="1"/>
  <c r="AO395" i="87"/>
  <c r="AG395" i="87"/>
  <c r="AN395" i="87" s="1"/>
  <c r="AD395" i="87"/>
  <c r="R395" i="87"/>
  <c r="AD394" i="87"/>
  <c r="AG394" i="87" s="1"/>
  <c r="R394" i="87"/>
  <c r="AL393" i="87"/>
  <c r="AD393" i="87"/>
  <c r="AG393" i="87" s="1"/>
  <c r="AI393" i="87" s="1"/>
  <c r="R393" i="87"/>
  <c r="AK392" i="87"/>
  <c r="AH392" i="87"/>
  <c r="AG392" i="87"/>
  <c r="AI392" i="87" s="1"/>
  <c r="O392" i="87"/>
  <c r="N392" i="87"/>
  <c r="M392" i="87"/>
  <c r="L392" i="87"/>
  <c r="K392" i="87"/>
  <c r="J392" i="87"/>
  <c r="I392" i="87"/>
  <c r="H392" i="87"/>
  <c r="AG391" i="87"/>
  <c r="AL391" i="87" s="1"/>
  <c r="AP391" i="87" s="1"/>
  <c r="AD391" i="87"/>
  <c r="R391" i="87"/>
  <c r="AD390" i="87"/>
  <c r="AG390" i="87" s="1"/>
  <c r="R390" i="87"/>
  <c r="AO389" i="87"/>
  <c r="AN389" i="87"/>
  <c r="AM389" i="87"/>
  <c r="AK389" i="87"/>
  <c r="AK388" i="87" s="1"/>
  <c r="AH389" i="87"/>
  <c r="AH388" i="87" s="1"/>
  <c r="AG389" i="87"/>
  <c r="AI389" i="87" s="1"/>
  <c r="O389" i="87"/>
  <c r="N389" i="87"/>
  <c r="M389" i="87"/>
  <c r="L389" i="87"/>
  <c r="K389" i="87"/>
  <c r="J389" i="87"/>
  <c r="I389" i="87"/>
  <c r="H389" i="87"/>
  <c r="AD388" i="87"/>
  <c r="AP387" i="87"/>
  <c r="AI387" i="87"/>
  <c r="AP386" i="87"/>
  <c r="AI386" i="87"/>
  <c r="AG385" i="87"/>
  <c r="AO385" i="87" s="1"/>
  <c r="AP385" i="87" s="1"/>
  <c r="AO384" i="87"/>
  <c r="AP384" i="87" s="1"/>
  <c r="AI384" i="87"/>
  <c r="AG384" i="87"/>
  <c r="AO383" i="87"/>
  <c r="AP383" i="87" s="1"/>
  <c r="AI383" i="87"/>
  <c r="AG383" i="87"/>
  <c r="AG382" i="87"/>
  <c r="AO382" i="87" s="1"/>
  <c r="AN381" i="87"/>
  <c r="AM381" i="87"/>
  <c r="AL381" i="87"/>
  <c r="AK381" i="87"/>
  <c r="AH381" i="87"/>
  <c r="AD381" i="87"/>
  <c r="AD380" i="87"/>
  <c r="AG380" i="87" s="1"/>
  <c r="AD379" i="87"/>
  <c r="AG379" i="87" s="1"/>
  <c r="AD378" i="87"/>
  <c r="AG378" i="87" s="1"/>
  <c r="AD377" i="87"/>
  <c r="AD376" i="87" s="1"/>
  <c r="AO376" i="87"/>
  <c r="AM376" i="87"/>
  <c r="AL376" i="87"/>
  <c r="AK376" i="87"/>
  <c r="AH376" i="87"/>
  <c r="AD375" i="87"/>
  <c r="AG375" i="87" s="1"/>
  <c r="AD374" i="87"/>
  <c r="AG374" i="87" s="1"/>
  <c r="R374" i="87"/>
  <c r="AD373" i="87"/>
  <c r="AG373" i="87" s="1"/>
  <c r="AM373" i="87" s="1"/>
  <c r="AP373" i="87" s="1"/>
  <c r="AD372" i="87"/>
  <c r="AG372" i="87" s="1"/>
  <c r="R372" i="87"/>
  <c r="AO371" i="87"/>
  <c r="AN371" i="87"/>
  <c r="AL371" i="87"/>
  <c r="AK371" i="87"/>
  <c r="AH371" i="87"/>
  <c r="AG370" i="87"/>
  <c r="AO370" i="87" s="1"/>
  <c r="AD370" i="87"/>
  <c r="AD369" i="87"/>
  <c r="AG369" i="87" s="1"/>
  <c r="R369" i="87"/>
  <c r="AD368" i="87"/>
  <c r="AG368" i="87" s="1"/>
  <c r="AO368" i="87" s="1"/>
  <c r="AD367" i="87"/>
  <c r="AG367" i="87" s="1"/>
  <c r="AD366" i="87"/>
  <c r="AG366" i="87" s="1"/>
  <c r="R366" i="87"/>
  <c r="AO365" i="87"/>
  <c r="AI365" i="87"/>
  <c r="AG365" i="87"/>
  <c r="AN365" i="87" s="1"/>
  <c r="AN364" i="87"/>
  <c r="AI364" i="87"/>
  <c r="AG364" i="87"/>
  <c r="AO364" i="87" s="1"/>
  <c r="AD364" i="87"/>
  <c r="AI363" i="87"/>
  <c r="AD363" i="87"/>
  <c r="AG363" i="87" s="1"/>
  <c r="AD362" i="87"/>
  <c r="AG362" i="87" s="1"/>
  <c r="AD361" i="87"/>
  <c r="R361" i="87"/>
  <c r="AL360" i="87"/>
  <c r="AK360" i="87"/>
  <c r="AH360" i="87"/>
  <c r="AK359" i="87"/>
  <c r="AI359" i="87"/>
  <c r="AG359" i="87"/>
  <c r="AL359" i="87" s="1"/>
  <c r="R359" i="87"/>
  <c r="AL358" i="87"/>
  <c r="AL357" i="87" s="1"/>
  <c r="AH358" i="87"/>
  <c r="AH357" i="87" s="1"/>
  <c r="AG358" i="87"/>
  <c r="AG357" i="87" s="1"/>
  <c r="AI357" i="87" s="1"/>
  <c r="O358" i="87"/>
  <c r="N358" i="87"/>
  <c r="M358" i="87"/>
  <c r="L358" i="87"/>
  <c r="K358" i="87"/>
  <c r="J358" i="87"/>
  <c r="I358" i="87"/>
  <c r="H358" i="87"/>
  <c r="AD357" i="87"/>
  <c r="AP356" i="87"/>
  <c r="AI356" i="87"/>
  <c r="AG355" i="87"/>
  <c r="AM355" i="87" s="1"/>
  <c r="AP355" i="87" s="1"/>
  <c r="AD355" i="87"/>
  <c r="R355" i="87"/>
  <c r="AM354" i="87"/>
  <c r="AP354" i="87" s="1"/>
  <c r="AD354" i="87"/>
  <c r="AG354" i="87" s="1"/>
  <c r="AI354" i="87" s="1"/>
  <c r="AD353" i="87"/>
  <c r="AG353" i="87" s="1"/>
  <c r="AM353" i="87" s="1"/>
  <c r="R353" i="87"/>
  <c r="AD352" i="87"/>
  <c r="AG352" i="87" s="1"/>
  <c r="R352" i="87"/>
  <c r="AL351" i="87"/>
  <c r="AP351" i="87" s="1"/>
  <c r="AI351" i="87"/>
  <c r="AD351" i="87"/>
  <c r="AG351" i="87" s="1"/>
  <c r="R351" i="87"/>
  <c r="AO350" i="87"/>
  <c r="AN350" i="87"/>
  <c r="AK350" i="87"/>
  <c r="AH350" i="87"/>
  <c r="AG350" i="87"/>
  <c r="AI350" i="87" s="1"/>
  <c r="O350" i="87"/>
  <c r="N350" i="87"/>
  <c r="M350" i="87"/>
  <c r="L350" i="87"/>
  <c r="K350" i="87"/>
  <c r="J350" i="87"/>
  <c r="I350" i="87"/>
  <c r="H350" i="87"/>
  <c r="AP349" i="87"/>
  <c r="AI349" i="87"/>
  <c r="AP348" i="87"/>
  <c r="AD348" i="87"/>
  <c r="AG348" i="87" s="1"/>
  <c r="AI348" i="87" s="1"/>
  <c r="AH347" i="87"/>
  <c r="AD347" i="87"/>
  <c r="AG347" i="87" s="1"/>
  <c r="R347" i="87"/>
  <c r="AO346" i="87"/>
  <c r="AO345" i="87" s="1"/>
  <c r="AN346" i="87"/>
  <c r="AN345" i="87" s="1"/>
  <c r="AK346" i="87"/>
  <c r="AK345" i="87" s="1"/>
  <c r="AH346" i="87"/>
  <c r="AH345" i="87" s="1"/>
  <c r="AG346" i="87"/>
  <c r="O346" i="87"/>
  <c r="N346" i="87"/>
  <c r="M346" i="87"/>
  <c r="L346" i="87"/>
  <c r="K346" i="87"/>
  <c r="J346" i="87"/>
  <c r="I346" i="87"/>
  <c r="H346" i="87"/>
  <c r="AD345" i="87"/>
  <c r="AD304" i="87" s="1"/>
  <c r="AE304" i="87" s="1"/>
  <c r="AP344" i="87"/>
  <c r="AI344" i="87"/>
  <c r="AP343" i="87"/>
  <c r="AG343" i="87"/>
  <c r="AI343" i="87" s="1"/>
  <c r="AH342" i="87"/>
  <c r="AG342" i="87"/>
  <c r="AM342" i="87" s="1"/>
  <c r="AD342" i="87"/>
  <c r="R342" i="87"/>
  <c r="AO341" i="87"/>
  <c r="AN341" i="87"/>
  <c r="AL341" i="87"/>
  <c r="AK341" i="87"/>
  <c r="AH341" i="87"/>
  <c r="AI341" i="87" s="1"/>
  <c r="AG341" i="87"/>
  <c r="O341" i="87"/>
  <c r="N341" i="87"/>
  <c r="M341" i="87"/>
  <c r="L341" i="87"/>
  <c r="K341" i="87"/>
  <c r="J341" i="87"/>
  <c r="I341" i="87"/>
  <c r="H341" i="87"/>
  <c r="AI340" i="87"/>
  <c r="AG340" i="87"/>
  <c r="AM340" i="87" s="1"/>
  <c r="AP340" i="87" s="1"/>
  <c r="AD340" i="87"/>
  <c r="AG339" i="87"/>
  <c r="AD339" i="87"/>
  <c r="AG338" i="87"/>
  <c r="AL338" i="87" s="1"/>
  <c r="AP338" i="87" s="1"/>
  <c r="AD338" i="87"/>
  <c r="AG337" i="87"/>
  <c r="AL337" i="87" s="1"/>
  <c r="AP337" i="87" s="1"/>
  <c r="AD337" i="87"/>
  <c r="AG336" i="87"/>
  <c r="AL336" i="87" s="1"/>
  <c r="AD336" i="87"/>
  <c r="R336" i="87"/>
  <c r="AO335" i="87"/>
  <c r="AN335" i="87"/>
  <c r="AK335" i="87"/>
  <c r="AI335" i="87"/>
  <c r="AH335" i="87"/>
  <c r="AG335" i="87"/>
  <c r="O335" i="87"/>
  <c r="N335" i="87"/>
  <c r="M335" i="87"/>
  <c r="L335" i="87"/>
  <c r="K335" i="87"/>
  <c r="J335" i="87"/>
  <c r="I335" i="87"/>
  <c r="H335" i="87"/>
  <c r="AD334" i="87"/>
  <c r="AG334" i="87" s="1"/>
  <c r="AI333" i="87"/>
  <c r="AG333" i="87"/>
  <c r="AO333" i="87" s="1"/>
  <c r="AD333" i="87"/>
  <c r="AG332" i="87"/>
  <c r="AN332" i="87" s="1"/>
  <c r="AP332" i="87" s="1"/>
  <c r="AD332" i="87"/>
  <c r="AN331" i="87"/>
  <c r="AN328" i="87" s="1"/>
  <c r="AI331" i="87"/>
  <c r="AG331" i="87"/>
  <c r="AD331" i="87"/>
  <c r="AG330" i="87"/>
  <c r="AI330" i="87" s="1"/>
  <c r="AD330" i="87"/>
  <c r="AG329" i="87"/>
  <c r="AM329" i="87" s="1"/>
  <c r="AD329" i="87"/>
  <c r="R329" i="87"/>
  <c r="AL328" i="87"/>
  <c r="AK328" i="87"/>
  <c r="AI328" i="87"/>
  <c r="AH328" i="87"/>
  <c r="P328" i="87"/>
  <c r="O328" i="87"/>
  <c r="N328" i="87"/>
  <c r="M328" i="87"/>
  <c r="L328" i="87"/>
  <c r="K328" i="87"/>
  <c r="J328" i="87"/>
  <c r="I328" i="87"/>
  <c r="H328" i="87"/>
  <c r="AG327" i="87"/>
  <c r="AM327" i="87" s="1"/>
  <c r="AD327" i="87"/>
  <c r="AD326" i="87"/>
  <c r="AG326" i="87" s="1"/>
  <c r="AM326" i="87" s="1"/>
  <c r="AL325" i="87"/>
  <c r="AP325" i="87" s="1"/>
  <c r="AI325" i="87"/>
  <c r="AD325" i="87"/>
  <c r="AG325" i="87" s="1"/>
  <c r="AM325" i="87" s="1"/>
  <c r="AM324" i="87"/>
  <c r="AG324" i="87"/>
  <c r="AL324" i="87" s="1"/>
  <c r="AP324" i="87" s="1"/>
  <c r="AD324" i="87"/>
  <c r="AD323" i="87"/>
  <c r="AG323" i="87" s="1"/>
  <c r="AD322" i="87"/>
  <c r="AG322" i="87" s="1"/>
  <c r="R322" i="87"/>
  <c r="AL321" i="87"/>
  <c r="AD321" i="87"/>
  <c r="AG321" i="87" s="1"/>
  <c r="AI321" i="87" s="1"/>
  <c r="R321" i="87"/>
  <c r="AO320" i="87"/>
  <c r="AN320" i="87"/>
  <c r="AK320" i="87"/>
  <c r="AH320" i="87"/>
  <c r="AG320" i="87"/>
  <c r="O320" i="87"/>
  <c r="N320" i="87"/>
  <c r="M320" i="87"/>
  <c r="L320" i="87"/>
  <c r="K320" i="87"/>
  <c r="J320" i="87"/>
  <c r="I320" i="87"/>
  <c r="H320" i="87"/>
  <c r="AP319" i="87"/>
  <c r="AI319" i="87"/>
  <c r="AG319" i="87"/>
  <c r="AI318" i="87"/>
  <c r="AG318" i="87"/>
  <c r="AG316" i="87" s="1"/>
  <c r="AI316" i="87" s="1"/>
  <c r="AD318" i="87"/>
  <c r="R318" i="87"/>
  <c r="AI317" i="87"/>
  <c r="AD317" i="87"/>
  <c r="AG317" i="87" s="1"/>
  <c r="AL317" i="87" s="1"/>
  <c r="R317" i="87"/>
  <c r="AO316" i="87"/>
  <c r="AN316" i="87"/>
  <c r="AM316" i="87"/>
  <c r="AK316" i="87"/>
  <c r="AH316" i="87"/>
  <c r="AH313" i="87" s="1"/>
  <c r="AD316" i="87"/>
  <c r="AP315" i="87"/>
  <c r="AI315" i="87"/>
  <c r="AD315" i="87"/>
  <c r="AP314" i="87"/>
  <c r="AI314" i="87"/>
  <c r="AD314" i="87"/>
  <c r="AO313" i="87"/>
  <c r="AN313" i="87"/>
  <c r="AM313" i="87"/>
  <c r="AG313" i="87"/>
  <c r="O313" i="87"/>
  <c r="N313" i="87"/>
  <c r="M313" i="87"/>
  <c r="L313" i="87"/>
  <c r="K313" i="87"/>
  <c r="J313" i="87"/>
  <c r="I313" i="87"/>
  <c r="H313" i="87"/>
  <c r="AP312" i="87"/>
  <c r="AI312" i="87"/>
  <c r="AI311" i="87"/>
  <c r="AG311" i="87"/>
  <c r="AL311" i="87" s="1"/>
  <c r="AP311" i="87" s="1"/>
  <c r="AD311" i="87"/>
  <c r="R311" i="87"/>
  <c r="AD310" i="87"/>
  <c r="AG310" i="87" s="1"/>
  <c r="R310" i="87"/>
  <c r="AO309" i="87"/>
  <c r="AN309" i="87"/>
  <c r="AN306" i="87" s="1"/>
  <c r="AN305" i="87" s="1"/>
  <c r="AM309" i="87"/>
  <c r="AM306" i="87" s="1"/>
  <c r="AK309" i="87"/>
  <c r="AH309" i="87"/>
  <c r="AH306" i="87" s="1"/>
  <c r="AH305" i="87" s="1"/>
  <c r="AH304" i="87" s="1"/>
  <c r="AD309" i="87"/>
  <c r="AP308" i="87"/>
  <c r="AI308" i="87"/>
  <c r="AD308" i="87"/>
  <c r="AP307" i="87"/>
  <c r="AI307" i="87"/>
  <c r="AD307" i="87"/>
  <c r="AO306" i="87"/>
  <c r="AG306" i="87"/>
  <c r="AG305" i="87" s="1"/>
  <c r="O306" i="87"/>
  <c r="N306" i="87"/>
  <c r="M306" i="87"/>
  <c r="L306" i="87"/>
  <c r="K306" i="87"/>
  <c r="J306" i="87"/>
  <c r="I306" i="87"/>
  <c r="H306" i="87"/>
  <c r="AD305" i="87"/>
  <c r="AP303" i="87"/>
  <c r="AI301" i="87"/>
  <c r="AI300" i="87" s="1"/>
  <c r="AG301" i="87"/>
  <c r="AG300" i="87" s="1"/>
  <c r="AD301" i="87"/>
  <c r="AO300" i="87"/>
  <c r="AN300" i="87"/>
  <c r="AM300" i="87"/>
  <c r="AK300" i="87"/>
  <c r="AH300" i="87"/>
  <c r="AD300" i="87"/>
  <c r="P300" i="87"/>
  <c r="O300" i="87"/>
  <c r="N300" i="87"/>
  <c r="M300" i="87"/>
  <c r="L300" i="87"/>
  <c r="K300" i="87"/>
  <c r="J300" i="87"/>
  <c r="I300" i="87"/>
  <c r="H300" i="87"/>
  <c r="AD299" i="87"/>
  <c r="AG299" i="87" s="1"/>
  <c r="AI299" i="87" s="1"/>
  <c r="AG298" i="87"/>
  <c r="AI298" i="87" s="1"/>
  <c r="AD298" i="87"/>
  <c r="AD297" i="87"/>
  <c r="AG297" i="87" s="1"/>
  <c r="AI297" i="87" s="1"/>
  <c r="AD296" i="87"/>
  <c r="AC295" i="87"/>
  <c r="AD295" i="87" s="1"/>
  <c r="AO294" i="87"/>
  <c r="AN294" i="87"/>
  <c r="AM294" i="87"/>
  <c r="AH294" i="87"/>
  <c r="P294" i="87"/>
  <c r="O294" i="87"/>
  <c r="N294" i="87"/>
  <c r="M294" i="87"/>
  <c r="L294" i="87"/>
  <c r="K294" i="87"/>
  <c r="J294" i="87"/>
  <c r="I294" i="87"/>
  <c r="H294" i="87"/>
  <c r="AD288" i="87"/>
  <c r="AD287" i="87" s="1"/>
  <c r="AK287" i="87"/>
  <c r="AH287" i="87"/>
  <c r="P287" i="87"/>
  <c r="O287" i="87"/>
  <c r="N287" i="87"/>
  <c r="M287" i="87"/>
  <c r="L287" i="87"/>
  <c r="K287" i="87"/>
  <c r="J287" i="87"/>
  <c r="I287" i="87"/>
  <c r="H287" i="87"/>
  <c r="AD284" i="87"/>
  <c r="AG284" i="87" s="1"/>
  <c r="AI284" i="87" s="1"/>
  <c r="AD283" i="87"/>
  <c r="AG283" i="87" s="1"/>
  <c r="AI283" i="87" s="1"/>
  <c r="AP282" i="87"/>
  <c r="AG282" i="87"/>
  <c r="AI282" i="87" s="1"/>
  <c r="AD282" i="87"/>
  <c r="AP281" i="87"/>
  <c r="AG281" i="87"/>
  <c r="AI281" i="87" s="1"/>
  <c r="AD281" i="87"/>
  <c r="AP280" i="87"/>
  <c r="AD280" i="87"/>
  <c r="AG280" i="87" s="1"/>
  <c r="AC280" i="87"/>
  <c r="AD279" i="87"/>
  <c r="AD278" i="87" s="1"/>
  <c r="AO278" i="87"/>
  <c r="AN278" i="87"/>
  <c r="AM278" i="87"/>
  <c r="AL278" i="87"/>
  <c r="AK278" i="87"/>
  <c r="AH278" i="87"/>
  <c r="AH265" i="87" s="1"/>
  <c r="P278" i="87"/>
  <c r="O278" i="87"/>
  <c r="N278" i="87"/>
  <c r="M278" i="87"/>
  <c r="L278" i="87"/>
  <c r="K278" i="87"/>
  <c r="J278" i="87"/>
  <c r="I278" i="87"/>
  <c r="H278" i="87"/>
  <c r="AD268" i="87"/>
  <c r="AG268" i="87" s="1"/>
  <c r="AI268" i="87" s="1"/>
  <c r="AD267" i="87"/>
  <c r="AD266" i="87" s="1"/>
  <c r="AM266" i="87"/>
  <c r="AH266" i="87"/>
  <c r="AK266" i="87" s="1"/>
  <c r="P266" i="87"/>
  <c r="O266" i="87"/>
  <c r="N266" i="87"/>
  <c r="M266" i="87"/>
  <c r="L266" i="87"/>
  <c r="K266" i="87"/>
  <c r="J266" i="87"/>
  <c r="I266" i="87"/>
  <c r="H266" i="87"/>
  <c r="AP264" i="87"/>
  <c r="AP260" i="87"/>
  <c r="AG260" i="87"/>
  <c r="AI260" i="87" s="1"/>
  <c r="AI259" i="87" s="1"/>
  <c r="AD260" i="87"/>
  <c r="AO259" i="87"/>
  <c r="AN259" i="87"/>
  <c r="AM259" i="87"/>
  <c r="AL259" i="87"/>
  <c r="AK259" i="87"/>
  <c r="AH259" i="87"/>
  <c r="AG259" i="87"/>
  <c r="AD259" i="87"/>
  <c r="P259" i="87"/>
  <c r="O259" i="87"/>
  <c r="N259" i="87"/>
  <c r="M259" i="87"/>
  <c r="L259" i="87"/>
  <c r="K259" i="87"/>
  <c r="J259" i="87"/>
  <c r="I259" i="87"/>
  <c r="H259" i="87"/>
  <c r="AC258" i="87"/>
  <c r="AD258" i="87" s="1"/>
  <c r="AG258" i="87" s="1"/>
  <c r="AD257" i="87"/>
  <c r="AD256" i="87"/>
  <c r="AD254" i="87" s="1"/>
  <c r="AG254" i="87" s="1"/>
  <c r="AD255" i="87"/>
  <c r="AD252" i="87" s="1"/>
  <c r="AC255" i="87"/>
  <c r="AD253" i="87"/>
  <c r="AO252" i="87"/>
  <c r="AN252" i="87"/>
  <c r="AM252" i="87"/>
  <c r="AK252" i="87"/>
  <c r="AH252" i="87"/>
  <c r="P252" i="87"/>
  <c r="O252" i="87"/>
  <c r="N252" i="87"/>
  <c r="M252" i="87"/>
  <c r="L252" i="87"/>
  <c r="K252" i="87"/>
  <c r="J252" i="87"/>
  <c r="I252" i="87"/>
  <c r="H252" i="87"/>
  <c r="AI251" i="87"/>
  <c r="AD251" i="87"/>
  <c r="AG251" i="87" s="1"/>
  <c r="AK251" i="87" s="1"/>
  <c r="AP251" i="87" s="1"/>
  <c r="AD250" i="87"/>
  <c r="AG250" i="87" s="1"/>
  <c r="AG249" i="87"/>
  <c r="AD249" i="87"/>
  <c r="AD248" i="87"/>
  <c r="AG248" i="87" s="1"/>
  <c r="AD247" i="87"/>
  <c r="AG247" i="87" s="1"/>
  <c r="AP243" i="87"/>
  <c r="AK243" i="87"/>
  <c r="AG243" i="87"/>
  <c r="AI243" i="87" s="1"/>
  <c r="AD243" i="87"/>
  <c r="AD242" i="87"/>
  <c r="AG242" i="87" s="1"/>
  <c r="AH241" i="87"/>
  <c r="P241" i="87"/>
  <c r="O241" i="87"/>
  <c r="N241" i="87"/>
  <c r="M241" i="87"/>
  <c r="L241" i="87"/>
  <c r="K241" i="87"/>
  <c r="J241" i="87"/>
  <c r="I241" i="87"/>
  <c r="H241" i="87"/>
  <c r="AP240" i="87"/>
  <c r="AG238" i="87"/>
  <c r="AI238" i="87" s="1"/>
  <c r="AD238" i="87"/>
  <c r="AP236" i="87"/>
  <c r="AP235" i="87"/>
  <c r="AP234" i="87"/>
  <c r="AP233" i="87"/>
  <c r="AP232" i="87"/>
  <c r="AD231" i="87"/>
  <c r="AG231" i="87" s="1"/>
  <c r="AH229" i="87"/>
  <c r="AH228" i="87" s="1"/>
  <c r="AD229" i="87"/>
  <c r="P229" i="87"/>
  <c r="O229" i="87"/>
  <c r="N229" i="87"/>
  <c r="M229" i="87"/>
  <c r="L229" i="87"/>
  <c r="K229" i="87"/>
  <c r="J229" i="87"/>
  <c r="I229" i="87"/>
  <c r="H229" i="87"/>
  <c r="AP227" i="87"/>
  <c r="AD226" i="87"/>
  <c r="AG226" i="87" s="1"/>
  <c r="AI226" i="87" s="1"/>
  <c r="AP225" i="87"/>
  <c r="AI225" i="87"/>
  <c r="AH225" i="87"/>
  <c r="AD225" i="87"/>
  <c r="AG225" i="87" s="1"/>
  <c r="AP224" i="87"/>
  <c r="AP223" i="87"/>
  <c r="AP222" i="87"/>
  <c r="AD222" i="87"/>
  <c r="AG222" i="87" s="1"/>
  <c r="AI222" i="87" s="1"/>
  <c r="AI221" i="87" s="1"/>
  <c r="AP221" i="87"/>
  <c r="AH221" i="87"/>
  <c r="AD221" i="87"/>
  <c r="AG221" i="87" s="1"/>
  <c r="AP220" i="87"/>
  <c r="AP219" i="87"/>
  <c r="AI219" i="87"/>
  <c r="AH219" i="87"/>
  <c r="AD219" i="87"/>
  <c r="AG219" i="87" s="1"/>
  <c r="AC218" i="87"/>
  <c r="AD218" i="87" s="1"/>
  <c r="R218" i="87"/>
  <c r="AD217" i="87"/>
  <c r="AH216" i="87"/>
  <c r="P216" i="87"/>
  <c r="O216" i="87"/>
  <c r="N216" i="87"/>
  <c r="M216" i="87"/>
  <c r="L216" i="87"/>
  <c r="K216" i="87"/>
  <c r="J216" i="87"/>
  <c r="I216" i="87"/>
  <c r="H216" i="87"/>
  <c r="AD215" i="87"/>
  <c r="AG215" i="87" s="1"/>
  <c r="AI215" i="87" s="1"/>
  <c r="R215" i="87"/>
  <c r="AL214" i="87"/>
  <c r="AK214" i="87"/>
  <c r="AP214" i="87" s="1"/>
  <c r="AD214" i="87"/>
  <c r="AG214" i="87" s="1"/>
  <c r="AI214" i="87" s="1"/>
  <c r="R214" i="87"/>
  <c r="AP213" i="87"/>
  <c r="AP211" i="87"/>
  <c r="AP210" i="87"/>
  <c r="AP209" i="87"/>
  <c r="AP208" i="87"/>
  <c r="AC207" i="87"/>
  <c r="AD207" i="87" s="1"/>
  <c r="R207" i="87"/>
  <c r="AG205" i="87"/>
  <c r="AI205" i="87" s="1"/>
  <c r="AD205" i="87"/>
  <c r="AO204" i="87"/>
  <c r="AN204" i="87"/>
  <c r="AM204" i="87"/>
  <c r="AH204" i="87"/>
  <c r="P204" i="87"/>
  <c r="O204" i="87"/>
  <c r="N204" i="87"/>
  <c r="M204" i="87"/>
  <c r="L204" i="87"/>
  <c r="K204" i="87"/>
  <c r="J204" i="87"/>
  <c r="I204" i="87"/>
  <c r="H204" i="87"/>
  <c r="AP203" i="87"/>
  <c r="AI203" i="87"/>
  <c r="AG203" i="87"/>
  <c r="AD203" i="87"/>
  <c r="AP202" i="87"/>
  <c r="AD202" i="87"/>
  <c r="AG202" i="87" s="1"/>
  <c r="AI202" i="87" s="1"/>
  <c r="AP201" i="87"/>
  <c r="AD201" i="87"/>
  <c r="AG201" i="87" s="1"/>
  <c r="AI201" i="87" s="1"/>
  <c r="AD200" i="87"/>
  <c r="AG200" i="87" s="1"/>
  <c r="AG195" i="87" s="1"/>
  <c r="AG199" i="87"/>
  <c r="AD199" i="87"/>
  <c r="AL197" i="87"/>
  <c r="AK197" i="87"/>
  <c r="AP197" i="87" s="1"/>
  <c r="AD196" i="87"/>
  <c r="AG196" i="87" s="1"/>
  <c r="AC196" i="87"/>
  <c r="AO195" i="87"/>
  <c r="AN195" i="87"/>
  <c r="AM195" i="87"/>
  <c r="AH195" i="87"/>
  <c r="AD195" i="87"/>
  <c r="AL194" i="87"/>
  <c r="AK194" i="87"/>
  <c r="AP194" i="87" s="1"/>
  <c r="AL193" i="87"/>
  <c r="AK193" i="87"/>
  <c r="AP193" i="87" s="1"/>
  <c r="AC192" i="87"/>
  <c r="AD192" i="87" s="1"/>
  <c r="R192" i="87"/>
  <c r="AO191" i="87"/>
  <c r="AO189" i="87" s="1"/>
  <c r="AN191" i="87"/>
  <c r="AN189" i="87" s="1"/>
  <c r="AM191" i="87"/>
  <c r="AM189" i="87" s="1"/>
  <c r="AH191" i="87"/>
  <c r="AI190" i="87"/>
  <c r="AG190" i="87"/>
  <c r="AD190" i="87"/>
  <c r="P189" i="87"/>
  <c r="O189" i="87"/>
  <c r="N189" i="87"/>
  <c r="M189" i="87"/>
  <c r="L189" i="87"/>
  <c r="K189" i="87"/>
  <c r="J189" i="87"/>
  <c r="I189" i="87"/>
  <c r="H189" i="87"/>
  <c r="AP188" i="87"/>
  <c r="AD188" i="87"/>
  <c r="AG188" i="87" s="1"/>
  <c r="AI188" i="87" s="1"/>
  <c r="AP187" i="87"/>
  <c r="AD187" i="87"/>
  <c r="AG187" i="87" s="1"/>
  <c r="AI187" i="87" s="1"/>
  <c r="AP186" i="87"/>
  <c r="AD186" i="87"/>
  <c r="AG186" i="87" s="1"/>
  <c r="AI186" i="87" s="1"/>
  <c r="AP183" i="87"/>
  <c r="AG183" i="87"/>
  <c r="AI183" i="87" s="1"/>
  <c r="AD183" i="87"/>
  <c r="AP182" i="87"/>
  <c r="AD182" i="87"/>
  <c r="AG182" i="87" s="1"/>
  <c r="AI182" i="87" s="1"/>
  <c r="AP181" i="87"/>
  <c r="AD181" i="87"/>
  <c r="AG181" i="87" s="1"/>
  <c r="AI181" i="87" s="1"/>
  <c r="AP180" i="87"/>
  <c r="AD180" i="87"/>
  <c r="AG180" i="87" s="1"/>
  <c r="AI180" i="87" s="1"/>
  <c r="AP179" i="87"/>
  <c r="AD179" i="87"/>
  <c r="AD176" i="87" s="1"/>
  <c r="AP178" i="87"/>
  <c r="AG178" i="87"/>
  <c r="AD178" i="87"/>
  <c r="AO176" i="87"/>
  <c r="AN176" i="87"/>
  <c r="AM176" i="87"/>
  <c r="AL176" i="87"/>
  <c r="AP176" i="87" s="1"/>
  <c r="AK176" i="87"/>
  <c r="AH176" i="87"/>
  <c r="P176" i="87"/>
  <c r="O176" i="87"/>
  <c r="N176" i="87"/>
  <c r="M176" i="87"/>
  <c r="L176" i="87"/>
  <c r="K176" i="87"/>
  <c r="J176" i="87"/>
  <c r="I176" i="87"/>
  <c r="H176" i="87"/>
  <c r="AP173" i="87"/>
  <c r="AG173" i="87"/>
  <c r="AP172" i="87"/>
  <c r="AG171" i="87"/>
  <c r="AI171" i="87" s="1"/>
  <c r="AD171" i="87"/>
  <c r="AG170" i="87"/>
  <c r="AM170" i="87" s="1"/>
  <c r="AD170" i="87"/>
  <c r="AD169" i="87" s="1"/>
  <c r="AO169" i="87"/>
  <c r="AO166" i="87" s="1"/>
  <c r="AK169" i="87"/>
  <c r="AH169" i="87"/>
  <c r="AH166" i="87" s="1"/>
  <c r="AI168" i="87"/>
  <c r="AG168" i="87"/>
  <c r="AK168" i="87" s="1"/>
  <c r="AP168" i="87" s="1"/>
  <c r="AD168" i="87"/>
  <c r="AD167" i="87"/>
  <c r="AD166" i="87" s="1"/>
  <c r="AK166" i="87"/>
  <c r="O166" i="87"/>
  <c r="N166" i="87"/>
  <c r="M166" i="87"/>
  <c r="L166" i="87"/>
  <c r="K166" i="87"/>
  <c r="J166" i="87"/>
  <c r="I166" i="87"/>
  <c r="H166" i="87"/>
  <c r="AC164" i="87"/>
  <c r="AD164" i="87" s="1"/>
  <c r="AG164" i="87" s="1"/>
  <c r="AI164" i="87" s="1"/>
  <c r="AD161" i="87"/>
  <c r="AD160" i="87" s="1"/>
  <c r="AP160" i="87"/>
  <c r="AH160" i="87"/>
  <c r="AP159" i="87"/>
  <c r="AD159" i="87"/>
  <c r="AG159" i="87" s="1"/>
  <c r="AI159" i="87" s="1"/>
  <c r="AP158" i="87"/>
  <c r="AD158" i="87"/>
  <c r="AG158" i="87" s="1"/>
  <c r="AI158" i="87" s="1"/>
  <c r="AD157" i="87"/>
  <c r="AD155" i="87" s="1"/>
  <c r="AO155" i="87"/>
  <c r="AN155" i="87"/>
  <c r="AM155" i="87"/>
  <c r="AL155" i="87"/>
  <c r="AP155" i="87" s="1"/>
  <c r="AK155" i="87"/>
  <c r="AH155" i="87"/>
  <c r="AD150" i="87"/>
  <c r="AG150" i="87" s="1"/>
  <c r="AI150" i="87" s="1"/>
  <c r="AP149" i="87"/>
  <c r="AP146" i="87"/>
  <c r="AD145" i="87"/>
  <c r="AD144" i="87" s="1"/>
  <c r="AO144" i="87"/>
  <c r="AN144" i="87"/>
  <c r="AN140" i="87" s="1"/>
  <c r="AM144" i="87"/>
  <c r="AL144" i="87"/>
  <c r="AH144" i="87"/>
  <c r="AP143" i="87"/>
  <c r="AD143" i="87"/>
  <c r="AG143" i="87" s="1"/>
  <c r="AI143" i="87" s="1"/>
  <c r="AP142" i="87"/>
  <c r="AD142" i="87"/>
  <c r="AG142" i="87" s="1"/>
  <c r="AI142" i="87" s="1"/>
  <c r="AP141" i="87"/>
  <c r="AH141" i="87"/>
  <c r="AH140" i="87" s="1"/>
  <c r="AH139" i="87" s="1"/>
  <c r="AD141" i="87"/>
  <c r="AD140" i="87" s="1"/>
  <c r="AD139" i="87" s="1"/>
  <c r="AO140" i="87"/>
  <c r="AO139" i="87" s="1"/>
  <c r="O140" i="87"/>
  <c r="N140" i="87"/>
  <c r="M140" i="87"/>
  <c r="L140" i="87"/>
  <c r="K140" i="87"/>
  <c r="J140" i="87"/>
  <c r="I140" i="87"/>
  <c r="H140" i="87"/>
  <c r="AP138" i="87"/>
  <c r="AP134" i="87"/>
  <c r="AP132" i="87"/>
  <c r="AG132" i="87"/>
  <c r="AI132" i="87" s="1"/>
  <c r="AP131" i="87"/>
  <c r="AD130" i="87"/>
  <c r="AG130" i="87" s="1"/>
  <c r="AD129" i="87"/>
  <c r="AD128" i="87"/>
  <c r="AP127" i="87"/>
  <c r="AP126" i="87"/>
  <c r="AP125" i="87"/>
  <c r="AD124" i="87"/>
  <c r="AG124" i="87" s="1"/>
  <c r="AC124" i="87"/>
  <c r="AD123" i="87"/>
  <c r="AG123" i="87" s="1"/>
  <c r="AP122" i="87"/>
  <c r="AG122" i="87"/>
  <c r="AD122" i="87"/>
  <c r="AD121" i="87" s="1"/>
  <c r="AH121" i="87"/>
  <c r="N121" i="87"/>
  <c r="M121" i="87"/>
  <c r="L121" i="87"/>
  <c r="K121" i="87"/>
  <c r="J121" i="87"/>
  <c r="I121" i="87"/>
  <c r="H121" i="87"/>
  <c r="AP117" i="87"/>
  <c r="AD117" i="87"/>
  <c r="AG117" i="87" s="1"/>
  <c r="AI117" i="87" s="1"/>
  <c r="AP116" i="87"/>
  <c r="AD116" i="87"/>
  <c r="AG116" i="87" s="1"/>
  <c r="AI116" i="87" s="1"/>
  <c r="AI113" i="87" s="1"/>
  <c r="AP115" i="87"/>
  <c r="AI115" i="87"/>
  <c r="AG115" i="87"/>
  <c r="AD115" i="87"/>
  <c r="AP114" i="87"/>
  <c r="AI114" i="87"/>
  <c r="AG114" i="87"/>
  <c r="AD114" i="87"/>
  <c r="AO113" i="87"/>
  <c r="AN113" i="87"/>
  <c r="AM113" i="87"/>
  <c r="AL113" i="87"/>
  <c r="AK113" i="87"/>
  <c r="AP113" i="87" s="1"/>
  <c r="AH113" i="87"/>
  <c r="AG113" i="87"/>
  <c r="AG106" i="87" s="1"/>
  <c r="AI106" i="87" s="1"/>
  <c r="AD112" i="87"/>
  <c r="AD111" i="87"/>
  <c r="AD110" i="87"/>
  <c r="AG109" i="87"/>
  <c r="AN109" i="87" s="1"/>
  <c r="AN106" i="87" s="1"/>
  <c r="AD109" i="87"/>
  <c r="AD106" i="87" s="1"/>
  <c r="AD105" i="87" s="1"/>
  <c r="AD108" i="87"/>
  <c r="AO106" i="87"/>
  <c r="AK106" i="87"/>
  <c r="AH106" i="87"/>
  <c r="AH105" i="87" s="1"/>
  <c r="O106" i="87"/>
  <c r="N106" i="87"/>
  <c r="M106" i="87"/>
  <c r="L106" i="87"/>
  <c r="K106" i="87"/>
  <c r="J106" i="87"/>
  <c r="I106" i="87"/>
  <c r="H106" i="87"/>
  <c r="AP104" i="87"/>
  <c r="AG102" i="87"/>
  <c r="AM102" i="87" s="1"/>
  <c r="AD102" i="87"/>
  <c r="AO101" i="87"/>
  <c r="AN101" i="87"/>
  <c r="AN98" i="87" s="1"/>
  <c r="AL101" i="87"/>
  <c r="AK101" i="87"/>
  <c r="AH101" i="87"/>
  <c r="AG101" i="87"/>
  <c r="AI101" i="87" s="1"/>
  <c r="AD101" i="87"/>
  <c r="AI100" i="87"/>
  <c r="AL100" i="87" s="1"/>
  <c r="AG100" i="87"/>
  <c r="AG99" i="87" s="1"/>
  <c r="AD100" i="87"/>
  <c r="AK99" i="87"/>
  <c r="AH99" i="87"/>
  <c r="AD99" i="87"/>
  <c r="AO98" i="87"/>
  <c r="AK98" i="87"/>
  <c r="AH98" i="87"/>
  <c r="AD98" i="87"/>
  <c r="O98" i="87"/>
  <c r="N98" i="87"/>
  <c r="M98" i="87"/>
  <c r="L98" i="87"/>
  <c r="K98" i="87"/>
  <c r="J98" i="87"/>
  <c r="I98" i="87"/>
  <c r="H98" i="87"/>
  <c r="AP97" i="87"/>
  <c r="AI97" i="87"/>
  <c r="AG97" i="87"/>
  <c r="AD97" i="87"/>
  <c r="AP96" i="87"/>
  <c r="AD96" i="87"/>
  <c r="AG96" i="87" s="1"/>
  <c r="AI96" i="87" s="1"/>
  <c r="AP95" i="87"/>
  <c r="AD95" i="87"/>
  <c r="AP94" i="87"/>
  <c r="AD94" i="87"/>
  <c r="AG94" i="87" s="1"/>
  <c r="AP93" i="87"/>
  <c r="AI93" i="87"/>
  <c r="AG93" i="87"/>
  <c r="AD93" i="87"/>
  <c r="AO92" i="87"/>
  <c r="AN92" i="87"/>
  <c r="AM92" i="87"/>
  <c r="AM91" i="87" s="1"/>
  <c r="AL92" i="87"/>
  <c r="AL91" i="87" s="1"/>
  <c r="AK92" i="87"/>
  <c r="AK91" i="87" s="1"/>
  <c r="AH92" i="87"/>
  <c r="AH91" i="87" s="1"/>
  <c r="AO91" i="87"/>
  <c r="AN91" i="87"/>
  <c r="O91" i="87"/>
  <c r="N91" i="87"/>
  <c r="M91" i="87"/>
  <c r="L91" i="87"/>
  <c r="K91" i="87"/>
  <c r="J91" i="87"/>
  <c r="I91" i="87"/>
  <c r="H91" i="87"/>
  <c r="AD89" i="87"/>
  <c r="AP88" i="87"/>
  <c r="AD88" i="87"/>
  <c r="AG88" i="87" s="1"/>
  <c r="AP87" i="87"/>
  <c r="AH87" i="87"/>
  <c r="AI86" i="87"/>
  <c r="AG86" i="87"/>
  <c r="AD86" i="87"/>
  <c r="AD85" i="87"/>
  <c r="AD84" i="87"/>
  <c r="AG83" i="87"/>
  <c r="AI83" i="87" s="1"/>
  <c r="AD83" i="87"/>
  <c r="AH82" i="87"/>
  <c r="AH79" i="87" s="1"/>
  <c r="AG82" i="87"/>
  <c r="AD82" i="87"/>
  <c r="AD81" i="87"/>
  <c r="AG81" i="87" s="1"/>
  <c r="AH80" i="87"/>
  <c r="AO79" i="87"/>
  <c r="AN79" i="87"/>
  <c r="AM79" i="87"/>
  <c r="AL79" i="87"/>
  <c r="AK79" i="87"/>
  <c r="AP79" i="87" s="1"/>
  <c r="P79" i="87"/>
  <c r="O79" i="87"/>
  <c r="N79" i="87"/>
  <c r="M79" i="87"/>
  <c r="L79" i="87"/>
  <c r="K79" i="87"/>
  <c r="J79" i="87"/>
  <c r="I79" i="87"/>
  <c r="H79" i="87"/>
  <c r="AD78" i="87"/>
  <c r="AG78" i="87" s="1"/>
  <c r="AI78" i="87" s="1"/>
  <c r="AD77" i="87"/>
  <c r="AD76" i="87"/>
  <c r="AD75" i="87"/>
  <c r="AN74" i="87"/>
  <c r="AN73" i="87" s="1"/>
  <c r="AN72" i="87" s="1"/>
  <c r="AM74" i="87"/>
  <c r="AM73" i="87" s="1"/>
  <c r="AM72" i="87" s="1"/>
  <c r="AL74" i="87"/>
  <c r="AL73" i="87" s="1"/>
  <c r="AL72" i="87" s="1"/>
  <c r="AP72" i="87" s="1"/>
  <c r="AD74" i="87"/>
  <c r="AD73" i="87" s="1"/>
  <c r="AD72" i="87" s="1"/>
  <c r="AO73" i="87"/>
  <c r="AO72" i="87" s="1"/>
  <c r="AK73" i="87"/>
  <c r="AH73" i="87"/>
  <c r="AH72" i="87"/>
  <c r="O72" i="87"/>
  <c r="N72" i="87"/>
  <c r="M72" i="87"/>
  <c r="L72" i="87"/>
  <c r="K72" i="87"/>
  <c r="J72" i="87"/>
  <c r="I72" i="87"/>
  <c r="H72" i="87"/>
  <c r="AP71" i="87"/>
  <c r="AI71" i="87"/>
  <c r="AD70" i="87"/>
  <c r="AG70" i="87" s="1"/>
  <c r="AD69" i="87"/>
  <c r="AD68" i="87" s="1"/>
  <c r="AO68" i="87"/>
  <c r="AN68" i="87"/>
  <c r="AL68" i="87"/>
  <c r="AK68" i="87"/>
  <c r="AH68" i="87"/>
  <c r="AG67" i="87"/>
  <c r="AO67" i="87" s="1"/>
  <c r="AD67" i="87"/>
  <c r="AO66" i="87"/>
  <c r="AG66" i="87"/>
  <c r="AD66" i="87"/>
  <c r="AD65" i="87" s="1"/>
  <c r="AL65" i="87"/>
  <c r="AK65" i="87"/>
  <c r="AH65" i="87"/>
  <c r="AG64" i="87"/>
  <c r="AN64" i="87" s="1"/>
  <c r="AD64" i="87"/>
  <c r="AD63" i="87"/>
  <c r="AG63" i="87" s="1"/>
  <c r="AI63" i="87" s="1"/>
  <c r="AD62" i="87"/>
  <c r="AG62" i="87" s="1"/>
  <c r="AG61" i="87"/>
  <c r="AG60" i="87" s="1"/>
  <c r="AI60" i="87" s="1"/>
  <c r="AD61" i="87"/>
  <c r="AD60" i="87" s="1"/>
  <c r="AM60" i="87"/>
  <c r="AL60" i="87"/>
  <c r="AK60" i="87"/>
  <c r="AH60" i="87"/>
  <c r="AG59" i="87"/>
  <c r="AN59" i="87" s="1"/>
  <c r="AD59" i="87"/>
  <c r="AD58" i="87"/>
  <c r="AG58" i="87" s="1"/>
  <c r="AI58" i="87" s="1"/>
  <c r="AN58" i="87" s="1"/>
  <c r="AP58" i="87" s="1"/>
  <c r="AI57" i="87"/>
  <c r="AG57" i="87"/>
  <c r="AD57" i="87"/>
  <c r="AO56" i="87"/>
  <c r="AN56" i="87"/>
  <c r="AM56" i="87"/>
  <c r="AP56" i="87" s="1"/>
  <c r="AD56" i="87"/>
  <c r="AG56" i="87" s="1"/>
  <c r="AO55" i="87"/>
  <c r="AL55" i="87"/>
  <c r="AK55" i="87"/>
  <c r="AH55" i="87"/>
  <c r="AD55" i="87"/>
  <c r="AP54" i="87"/>
  <c r="AI54" i="87"/>
  <c r="AD54" i="87"/>
  <c r="AG54" i="87" s="1"/>
  <c r="AG52" i="87" s="1"/>
  <c r="AI52" i="87" s="1"/>
  <c r="AI53" i="87"/>
  <c r="AG53" i="87"/>
  <c r="AL53" i="87" s="1"/>
  <c r="AD53" i="87"/>
  <c r="AO52" i="87"/>
  <c r="AN52" i="87"/>
  <c r="AM52" i="87"/>
  <c r="AK52" i="87"/>
  <c r="AH52" i="87"/>
  <c r="AD52" i="87"/>
  <c r="AL51" i="87"/>
  <c r="AI51" i="87"/>
  <c r="AD51" i="87"/>
  <c r="AG51" i="87" s="1"/>
  <c r="AG49" i="87" s="1"/>
  <c r="AI50" i="87"/>
  <c r="AK50" i="87" s="1"/>
  <c r="AG50" i="87"/>
  <c r="AD50" i="87"/>
  <c r="AO49" i="87"/>
  <c r="AN49" i="87"/>
  <c r="AM49" i="87"/>
  <c r="AH49" i="87"/>
  <c r="AH48" i="87" s="1"/>
  <c r="AD49" i="87"/>
  <c r="N48" i="87"/>
  <c r="M48" i="87"/>
  <c r="L48" i="87"/>
  <c r="K48" i="87"/>
  <c r="J48" i="87"/>
  <c r="I48" i="87"/>
  <c r="H48" i="87"/>
  <c r="AP46" i="87"/>
  <c r="AG46" i="87"/>
  <c r="AG45" i="87"/>
  <c r="AG44" i="87" s="1"/>
  <c r="AD45" i="87"/>
  <c r="AD44" i="87" s="1"/>
  <c r="AK44" i="87"/>
  <c r="AH44" i="87"/>
  <c r="P44" i="87"/>
  <c r="O44" i="87"/>
  <c r="N44" i="87"/>
  <c r="M44" i="87"/>
  <c r="L44" i="87"/>
  <c r="K44" i="87"/>
  <c r="J44" i="87"/>
  <c r="I44" i="87"/>
  <c r="H44" i="87"/>
  <c r="AL43" i="87"/>
  <c r="AD43" i="87"/>
  <c r="AG43" i="87" s="1"/>
  <c r="AP42" i="87"/>
  <c r="AD42" i="87"/>
  <c r="AG42" i="87" s="1"/>
  <c r="AK41" i="87"/>
  <c r="AH41" i="87"/>
  <c r="AD41" i="87"/>
  <c r="O41" i="87"/>
  <c r="N41" i="87"/>
  <c r="M41" i="87"/>
  <c r="L41" i="87"/>
  <c r="K41" i="87"/>
  <c r="J41" i="87"/>
  <c r="I41" i="87"/>
  <c r="H41" i="87"/>
  <c r="AN40" i="87"/>
  <c r="AI40" i="87"/>
  <c r="AG40" i="87"/>
  <c r="AM40" i="87" s="1"/>
  <c r="AG39" i="87"/>
  <c r="AG36" i="87" s="1"/>
  <c r="AG35" i="87" s="1"/>
  <c r="AG38" i="87"/>
  <c r="AN38" i="87" s="1"/>
  <c r="AD38" i="87"/>
  <c r="AD36" i="87" s="1"/>
  <c r="AD35" i="87" s="1"/>
  <c r="AL37" i="87"/>
  <c r="AK37" i="87"/>
  <c r="AP37" i="87" s="1"/>
  <c r="AI37" i="87"/>
  <c r="AD37" i="87"/>
  <c r="AO36" i="87"/>
  <c r="AO35" i="87" s="1"/>
  <c r="AH36" i="87"/>
  <c r="AH35" i="87" s="1"/>
  <c r="O35" i="87"/>
  <c r="N35" i="87"/>
  <c r="M35" i="87"/>
  <c r="L35" i="87"/>
  <c r="K35" i="87"/>
  <c r="J35" i="87"/>
  <c r="I35" i="87"/>
  <c r="H35" i="87"/>
  <c r="AG34" i="87"/>
  <c r="AM34" i="87" s="1"/>
  <c r="AP34" i="87" s="1"/>
  <c r="AG33" i="87"/>
  <c r="AL33" i="87" s="1"/>
  <c r="AP33" i="87" s="1"/>
  <c r="AG32" i="87"/>
  <c r="AN32" i="87" s="1"/>
  <c r="AN28" i="87" s="1"/>
  <c r="AD32" i="87"/>
  <c r="AD31" i="87"/>
  <c r="AD30" i="87"/>
  <c r="AD29" i="87"/>
  <c r="AO28" i="87"/>
  <c r="AK28" i="87"/>
  <c r="AH28" i="87"/>
  <c r="O28" i="87"/>
  <c r="N28" i="87"/>
  <c r="M28" i="87"/>
  <c r="L28" i="87"/>
  <c r="K28" i="87"/>
  <c r="J28" i="87"/>
  <c r="I28" i="87"/>
  <c r="H28" i="87"/>
  <c r="AP27" i="87"/>
  <c r="AO26" i="87"/>
  <c r="AN26" i="87"/>
  <c r="AM26" i="87"/>
  <c r="AP26" i="87" s="1"/>
  <c r="AG26" i="87"/>
  <c r="AI26" i="87" s="1"/>
  <c r="AP25" i="87"/>
  <c r="AO25" i="87"/>
  <c r="AN25" i="87"/>
  <c r="AM25" i="87"/>
  <c r="AI25" i="87"/>
  <c r="AG25" i="87"/>
  <c r="AO24" i="87"/>
  <c r="AO23" i="87" s="1"/>
  <c r="AN24" i="87"/>
  <c r="AN23" i="87" s="1"/>
  <c r="AM24" i="87"/>
  <c r="AM23" i="87" s="1"/>
  <c r="AG24" i="87"/>
  <c r="AG23" i="87" s="1"/>
  <c r="AD24" i="87"/>
  <c r="AL23" i="87"/>
  <c r="AK23" i="87"/>
  <c r="AH23" i="87"/>
  <c r="AD23" i="87"/>
  <c r="AD22" i="87"/>
  <c r="AG22" i="87" s="1"/>
  <c r="AN21" i="87"/>
  <c r="AD21" i="87"/>
  <c r="AG21" i="87" s="1"/>
  <c r="AD20" i="87"/>
  <c r="AD19" i="87" s="1"/>
  <c r="AO19" i="87"/>
  <c r="AK19" i="87"/>
  <c r="AH19" i="87"/>
  <c r="AH10" i="87" s="1"/>
  <c r="AC18" i="87"/>
  <c r="AG18" i="87" s="1"/>
  <c r="R18" i="87"/>
  <c r="AP17" i="87"/>
  <c r="AD17" i="87"/>
  <c r="AG17" i="87" s="1"/>
  <c r="AI17" i="87" s="1"/>
  <c r="AP16" i="87"/>
  <c r="AD16" i="87"/>
  <c r="AG16" i="87" s="1"/>
  <c r="AI16" i="87" s="1"/>
  <c r="AL15" i="87"/>
  <c r="AG15" i="87"/>
  <c r="AI15" i="87" s="1"/>
  <c r="AK15" i="87" s="1"/>
  <c r="AP15" i="87" s="1"/>
  <c r="AL14" i="87"/>
  <c r="AK14" i="87"/>
  <c r="AP14" i="87" s="1"/>
  <c r="AI14" i="87"/>
  <c r="AG14" i="87"/>
  <c r="AL13" i="87"/>
  <c r="AK13" i="87"/>
  <c r="AP13" i="87" s="1"/>
  <c r="AI13" i="87"/>
  <c r="AG13" i="87"/>
  <c r="AL12" i="87"/>
  <c r="AK12" i="87"/>
  <c r="AD12" i="87"/>
  <c r="AD11" i="87" s="1"/>
  <c r="AO11" i="87"/>
  <c r="AO10" i="87" s="1"/>
  <c r="AN11" i="87"/>
  <c r="AM11" i="87"/>
  <c r="AH11" i="87"/>
  <c r="P11" i="87"/>
  <c r="O11" i="87"/>
  <c r="N11" i="87"/>
  <c r="M11" i="87"/>
  <c r="L11" i="87"/>
  <c r="K11" i="87"/>
  <c r="J11" i="87"/>
  <c r="I11" i="87"/>
  <c r="H11" i="87"/>
  <c r="O10" i="87"/>
  <c r="N10" i="87"/>
  <c r="M10" i="87"/>
  <c r="L10" i="87"/>
  <c r="K10" i="87"/>
  <c r="J10" i="87"/>
  <c r="I10" i="87"/>
  <c r="H10" i="87"/>
  <c r="AP9" i="87"/>
  <c r="AH9" i="87"/>
  <c r="AC7" i="87"/>
  <c r="AI2" i="87"/>
  <c r="L210" i="88"/>
  <c r="B210" i="88"/>
  <c r="L209" i="88"/>
  <c r="B209" i="88"/>
  <c r="B208" i="88"/>
  <c r="L207" i="88"/>
  <c r="L205" i="88"/>
  <c r="B205" i="88"/>
  <c r="B204" i="88"/>
  <c r="L203" i="88"/>
  <c r="L201" i="88"/>
  <c r="B201" i="88"/>
  <c r="L200" i="88"/>
  <c r="L198" i="88"/>
  <c r="B198" i="88"/>
  <c r="B197" i="88"/>
  <c r="L195" i="88"/>
  <c r="B195" i="88"/>
  <c r="L193" i="88"/>
  <c r="B193" i="88"/>
  <c r="L192" i="88"/>
  <c r="L191" i="88"/>
  <c r="L190" i="88"/>
  <c r="B190" i="88"/>
  <c r="L189" i="88"/>
  <c r="L188" i="88"/>
  <c r="L187" i="88"/>
  <c r="L186" i="88"/>
  <c r="B186" i="88"/>
  <c r="L185" i="88"/>
  <c r="L184" i="88"/>
  <c r="B184" i="88"/>
  <c r="L183" i="88"/>
  <c r="L182" i="88"/>
  <c r="L181" i="88"/>
  <c r="B181" i="88"/>
  <c r="B180" i="88"/>
  <c r="B178" i="88"/>
  <c r="L176" i="88"/>
  <c r="B176" i="88"/>
  <c r="L175" i="88"/>
  <c r="L174" i="88"/>
  <c r="B174" i="88"/>
  <c r="L173" i="88"/>
  <c r="L172" i="88"/>
  <c r="B172" i="88"/>
  <c r="L171" i="88"/>
  <c r="L170" i="88"/>
  <c r="L169" i="88"/>
  <c r="L168" i="88"/>
  <c r="B168" i="88"/>
  <c r="L167" i="88"/>
  <c r="L166" i="88"/>
  <c r="B166" i="88"/>
  <c r="L165" i="88"/>
  <c r="B164" i="88"/>
  <c r="L162" i="88"/>
  <c r="L161" i="88"/>
  <c r="B161" i="88"/>
  <c r="B159" i="88"/>
  <c r="L158" i="88"/>
  <c r="L157" i="88"/>
  <c r="L156" i="88"/>
  <c r="L155" i="88"/>
  <c r="L154" i="88"/>
  <c r="L153" i="88"/>
  <c r="B153" i="88"/>
  <c r="B152" i="88"/>
  <c r="L150" i="88"/>
  <c r="L149" i="88"/>
  <c r="L148" i="88"/>
  <c r="L147" i="88"/>
  <c r="L146" i="88"/>
  <c r="L145" i="88"/>
  <c r="L144" i="88"/>
  <c r="L143" i="88"/>
  <c r="B143" i="88"/>
  <c r="L142" i="88"/>
  <c r="L141" i="88"/>
  <c r="B141" i="88"/>
  <c r="L140" i="88"/>
  <c r="L139" i="88"/>
  <c r="B139" i="88"/>
  <c r="L138" i="88"/>
  <c r="L137" i="88"/>
  <c r="B137" i="88"/>
  <c r="B136" i="88"/>
  <c r="B134" i="88"/>
  <c r="L133" i="88"/>
  <c r="L132" i="88"/>
  <c r="L131" i="88"/>
  <c r="L130" i="88"/>
  <c r="L129" i="88"/>
  <c r="L128" i="88"/>
  <c r="L127" i="88"/>
  <c r="L126" i="88"/>
  <c r="L125" i="88"/>
  <c r="L124" i="88"/>
  <c r="L123" i="88"/>
  <c r="L122" i="88"/>
  <c r="L117" i="88"/>
  <c r="L116" i="88"/>
  <c r="I116" i="88"/>
  <c r="G116" i="88"/>
  <c r="L114" i="88"/>
  <c r="L113" i="88"/>
  <c r="L112" i="88"/>
  <c r="L111" i="88"/>
  <c r="L110" i="88"/>
  <c r="L109" i="88"/>
  <c r="L106" i="88"/>
  <c r="L105" i="88"/>
  <c r="L104" i="88"/>
  <c r="L103" i="88"/>
  <c r="L102" i="88"/>
  <c r="L101" i="88"/>
  <c r="L100" i="88"/>
  <c r="L99" i="88"/>
  <c r="L98" i="88"/>
  <c r="L97" i="88"/>
  <c r="L96" i="88"/>
  <c r="L95" i="88"/>
  <c r="L94" i="88"/>
  <c r="L93" i="88"/>
  <c r="L87" i="88"/>
  <c r="L85" i="88"/>
  <c r="B85" i="88"/>
  <c r="L83" i="88"/>
  <c r="L81" i="88"/>
  <c r="L79" i="88"/>
  <c r="B79" i="88"/>
  <c r="B78" i="88"/>
  <c r="L76" i="88"/>
  <c r="L75" i="88"/>
  <c r="L74" i="88"/>
  <c r="L73" i="88"/>
  <c r="L72" i="88"/>
  <c r="L71" i="88"/>
  <c r="L70" i="88"/>
  <c r="B69" i="88"/>
  <c r="L67" i="88"/>
  <c r="L66" i="88"/>
  <c r="B66" i="88"/>
  <c r="L65" i="88"/>
  <c r="L64" i="88"/>
  <c r="B64" i="88"/>
  <c r="L63" i="88"/>
  <c r="L62" i="88"/>
  <c r="B62" i="88"/>
  <c r="L61" i="88"/>
  <c r="L60" i="88"/>
  <c r="B60" i="88"/>
  <c r="L59" i="88"/>
  <c r="L58" i="88"/>
  <c r="L57" i="88"/>
  <c r="L56" i="88"/>
  <c r="B56" i="88"/>
  <c r="B55" i="88"/>
  <c r="L54" i="88"/>
  <c r="L53" i="88"/>
  <c r="L52" i="88"/>
  <c r="L51" i="88"/>
  <c r="L50" i="88"/>
  <c r="L49" i="88"/>
  <c r="L48" i="88"/>
  <c r="L47" i="88"/>
  <c r="L46" i="88"/>
  <c r="L45" i="88"/>
  <c r="L44" i="88"/>
  <c r="L43" i="88"/>
  <c r="L42" i="88"/>
  <c r="L41" i="88"/>
  <c r="L40" i="88"/>
  <c r="L39" i="88"/>
  <c r="L38" i="88"/>
  <c r="L37" i="88"/>
  <c r="L36" i="88"/>
  <c r="L34" i="88"/>
  <c r="L33" i="88"/>
  <c r="L32" i="88"/>
  <c r="L31" i="88"/>
  <c r="B30" i="88"/>
  <c r="B28" i="88"/>
  <c r="C23" i="81"/>
  <c r="E21" i="81"/>
  <c r="C21" i="81"/>
  <c r="B21" i="81"/>
  <c r="E20" i="81"/>
  <c r="C20" i="81"/>
  <c r="B20" i="81"/>
  <c r="E19" i="81"/>
  <c r="C19" i="81"/>
  <c r="B19" i="81"/>
  <c r="E18" i="81"/>
  <c r="C18" i="81"/>
  <c r="B18" i="81"/>
  <c r="E17" i="81"/>
  <c r="C17" i="81"/>
  <c r="B17" i="81"/>
  <c r="E16" i="81"/>
  <c r="C16" i="81"/>
  <c r="B16" i="81"/>
  <c r="E15" i="81"/>
  <c r="C15" i="81"/>
  <c r="B15" i="81"/>
  <c r="E14" i="81"/>
  <c r="C14" i="81"/>
  <c r="B14" i="81"/>
  <c r="E13" i="81"/>
  <c r="C13" i="81"/>
  <c r="B13" i="81"/>
  <c r="E12" i="81"/>
  <c r="C12" i="81"/>
  <c r="B12" i="81"/>
  <c r="E11" i="81"/>
  <c r="C11" i="81"/>
  <c r="B11" i="81"/>
  <c r="E9" i="81"/>
  <c r="C9" i="81"/>
  <c r="B9" i="81"/>
  <c r="E8" i="81"/>
  <c r="C8" i="81"/>
  <c r="B8" i="81"/>
  <c r="E4" i="81"/>
  <c r="C4" i="81"/>
  <c r="B4" i="81"/>
  <c r="D268" i="80"/>
  <c r="C268" i="80"/>
  <c r="B268" i="80"/>
  <c r="C267" i="80"/>
  <c r="B267" i="80"/>
  <c r="C266" i="80"/>
  <c r="B266" i="80"/>
  <c r="C265" i="80"/>
  <c r="B265" i="80"/>
  <c r="D264" i="80"/>
  <c r="C264" i="80"/>
  <c r="B264" i="80"/>
  <c r="D263" i="80"/>
  <c r="C263" i="80"/>
  <c r="B263" i="80"/>
  <c r="D262" i="80"/>
  <c r="C262" i="80"/>
  <c r="B262" i="80"/>
  <c r="D261" i="80"/>
  <c r="C261" i="80"/>
  <c r="B261" i="80"/>
  <c r="D260" i="80"/>
  <c r="C260" i="80"/>
  <c r="B260" i="80"/>
  <c r="D259" i="80"/>
  <c r="C259" i="80"/>
  <c r="B259" i="80"/>
  <c r="D258" i="80"/>
  <c r="C258" i="80"/>
  <c r="B258" i="80"/>
  <c r="D257" i="80"/>
  <c r="C257" i="80"/>
  <c r="B257" i="80"/>
  <c r="C256" i="80"/>
  <c r="B256" i="80"/>
  <c r="D255" i="80"/>
  <c r="C255" i="80"/>
  <c r="B255" i="80"/>
  <c r="D254" i="80"/>
  <c r="C254" i="80"/>
  <c r="B254" i="80"/>
  <c r="D253" i="80"/>
  <c r="C253" i="80"/>
  <c r="B253" i="80"/>
  <c r="D252" i="80"/>
  <c r="C252" i="80"/>
  <c r="B252" i="80"/>
  <c r="D251" i="80"/>
  <c r="C251" i="80"/>
  <c r="B251" i="80"/>
  <c r="D250" i="80"/>
  <c r="C250" i="80"/>
  <c r="B250" i="80"/>
  <c r="D249" i="80"/>
  <c r="C249" i="80"/>
  <c r="B249" i="80"/>
  <c r="D248" i="80"/>
  <c r="C248" i="80"/>
  <c r="B248" i="80"/>
  <c r="D247" i="80"/>
  <c r="C247" i="80"/>
  <c r="B247" i="80"/>
  <c r="D246" i="80"/>
  <c r="C246" i="80"/>
  <c r="B246" i="80"/>
  <c r="D245" i="80"/>
  <c r="C245" i="80"/>
  <c r="B245" i="80"/>
  <c r="C244" i="80"/>
  <c r="B244" i="80"/>
  <c r="C243" i="80"/>
  <c r="B243" i="80"/>
  <c r="D242" i="80"/>
  <c r="C242" i="80"/>
  <c r="B242" i="80"/>
  <c r="D241" i="80"/>
  <c r="C241" i="80"/>
  <c r="B241" i="80"/>
  <c r="D240" i="80"/>
  <c r="C240" i="80"/>
  <c r="B240" i="80"/>
  <c r="D239" i="80"/>
  <c r="C239" i="80"/>
  <c r="B239" i="80"/>
  <c r="D238" i="80"/>
  <c r="C238" i="80"/>
  <c r="B238" i="80"/>
  <c r="C237" i="80"/>
  <c r="B237" i="80"/>
  <c r="C236" i="80"/>
  <c r="B236" i="80"/>
  <c r="D235" i="80"/>
  <c r="C235" i="80"/>
  <c r="B235" i="80"/>
  <c r="D234" i="80"/>
  <c r="C234" i="80"/>
  <c r="B234" i="80"/>
  <c r="C233" i="80"/>
  <c r="B233" i="80"/>
  <c r="C232" i="80"/>
  <c r="B232" i="80"/>
  <c r="C231" i="80"/>
  <c r="B231" i="80"/>
  <c r="C230" i="80"/>
  <c r="B230" i="80"/>
  <c r="D229" i="80"/>
  <c r="C229" i="80"/>
  <c r="B229" i="80"/>
  <c r="D228" i="80"/>
  <c r="C228" i="80"/>
  <c r="B228" i="80"/>
  <c r="D227" i="80"/>
  <c r="C227" i="80"/>
  <c r="B227" i="80"/>
  <c r="C226" i="80"/>
  <c r="B226" i="80"/>
  <c r="C225" i="80"/>
  <c r="B225" i="80"/>
  <c r="C224" i="80"/>
  <c r="B224" i="80"/>
  <c r="C223" i="80"/>
  <c r="B223" i="80"/>
  <c r="C222" i="80"/>
  <c r="B222" i="80"/>
  <c r="C221" i="80"/>
  <c r="B221" i="80"/>
  <c r="C220" i="80"/>
  <c r="B220" i="80"/>
  <c r="C219" i="80"/>
  <c r="B219" i="80"/>
  <c r="C218" i="80"/>
  <c r="B218" i="80"/>
  <c r="H213" i="80"/>
  <c r="L206" i="80"/>
  <c r="G206" i="80" s="1"/>
  <c r="K206" i="80"/>
  <c r="L205" i="80"/>
  <c r="G205" i="80" s="1"/>
  <c r="K205" i="80"/>
  <c r="L204" i="80"/>
  <c r="G204" i="80" s="1"/>
  <c r="K204" i="80"/>
  <c r="L203" i="80"/>
  <c r="G203" i="80" s="1"/>
  <c r="K203" i="80"/>
  <c r="L202" i="80"/>
  <c r="G202" i="80" s="1"/>
  <c r="K202" i="80"/>
  <c r="L201" i="80"/>
  <c r="G201" i="80" s="1"/>
  <c r="K201" i="80"/>
  <c r="L200" i="80"/>
  <c r="G200" i="80" s="1"/>
  <c r="K200" i="80"/>
  <c r="K199" i="80"/>
  <c r="K198" i="80"/>
  <c r="K197" i="80"/>
  <c r="K196" i="80"/>
  <c r="K195" i="80"/>
  <c r="K194" i="80"/>
  <c r="K193" i="80"/>
  <c r="K192" i="80"/>
  <c r="L191" i="80"/>
  <c r="G191" i="80" s="1"/>
  <c r="K191" i="80"/>
  <c r="L190" i="80"/>
  <c r="G190" i="80" s="1"/>
  <c r="K190" i="80"/>
  <c r="L189" i="80"/>
  <c r="G189" i="80" s="1"/>
  <c r="K189" i="80"/>
  <c r="K188" i="80"/>
  <c r="K187" i="80"/>
  <c r="L186" i="80"/>
  <c r="G186" i="80" s="1"/>
  <c r="K186" i="80"/>
  <c r="L185" i="80"/>
  <c r="G185" i="80" s="1"/>
  <c r="K185" i="80"/>
  <c r="L184" i="80"/>
  <c r="G184" i="80" s="1"/>
  <c r="K184" i="80"/>
  <c r="L183" i="80"/>
  <c r="G183" i="80" s="1"/>
  <c r="K183" i="80"/>
  <c r="L182" i="80"/>
  <c r="G182" i="80" s="1"/>
  <c r="K182" i="80"/>
  <c r="L181" i="80"/>
  <c r="G181" i="80" s="1"/>
  <c r="K181" i="80"/>
  <c r="L180" i="80"/>
  <c r="G180" i="80" s="1"/>
  <c r="K180" i="80"/>
  <c r="L179" i="80"/>
  <c r="G179" i="80" s="1"/>
  <c r="K179" i="80"/>
  <c r="L178" i="80"/>
  <c r="G178" i="80" s="1"/>
  <c r="K178" i="80"/>
  <c r="L177" i="80"/>
  <c r="G177" i="80" s="1"/>
  <c r="K177" i="80"/>
  <c r="L176" i="80"/>
  <c r="G176" i="80" s="1"/>
  <c r="K176" i="80"/>
  <c r="K175" i="80"/>
  <c r="K174" i="80"/>
  <c r="K173" i="80"/>
  <c r="K172" i="80"/>
  <c r="L171" i="80"/>
  <c r="G171" i="80" s="1"/>
  <c r="K171" i="80"/>
  <c r="L170" i="80"/>
  <c r="G170" i="80" s="1"/>
  <c r="K170" i="80"/>
  <c r="L169" i="80"/>
  <c r="G169" i="80" s="1"/>
  <c r="K169" i="80"/>
  <c r="L168" i="80"/>
  <c r="G168" i="80" s="1"/>
  <c r="K168" i="80"/>
  <c r="L167" i="80"/>
  <c r="K167" i="80"/>
  <c r="L166" i="80"/>
  <c r="G166" i="80" s="1"/>
  <c r="K166" i="80"/>
  <c r="K165" i="80"/>
  <c r="K164" i="80"/>
  <c r="K163" i="80"/>
  <c r="K162" i="80"/>
  <c r="J156" i="80"/>
  <c r="J155" i="80"/>
  <c r="J154" i="80"/>
  <c r="K153" i="80"/>
  <c r="J153" i="80"/>
  <c r="K152" i="80"/>
  <c r="J152" i="80"/>
  <c r="J151" i="80"/>
  <c r="J150" i="80"/>
  <c r="K149" i="80"/>
  <c r="J149" i="80"/>
  <c r="K148" i="80"/>
  <c r="J148" i="80"/>
  <c r="K147" i="80"/>
  <c r="J147" i="80"/>
  <c r="K146" i="80"/>
  <c r="J146" i="80"/>
  <c r="K145" i="80"/>
  <c r="G145" i="80" s="1"/>
  <c r="J145" i="80"/>
  <c r="K144" i="80"/>
  <c r="J144" i="80"/>
  <c r="K143" i="80"/>
  <c r="J143" i="80"/>
  <c r="K142" i="80"/>
  <c r="J142" i="80"/>
  <c r="K141" i="80"/>
  <c r="J141" i="80"/>
  <c r="K140" i="80"/>
  <c r="J140" i="80"/>
  <c r="K139" i="80"/>
  <c r="J139" i="80"/>
  <c r="K138" i="80"/>
  <c r="J138" i="80"/>
  <c r="K137" i="80"/>
  <c r="G137" i="80" s="1"/>
  <c r="F20" i="81" s="1"/>
  <c r="J137" i="80"/>
  <c r="J136" i="80"/>
  <c r="J135" i="80"/>
  <c r="J134" i="80"/>
  <c r="K133" i="80"/>
  <c r="G133" i="80" s="1"/>
  <c r="J133" i="80"/>
  <c r="J132" i="80"/>
  <c r="J131" i="80"/>
  <c r="J130" i="80"/>
  <c r="J129" i="80"/>
  <c r="J128" i="80"/>
  <c r="J127" i="80"/>
  <c r="J126" i="80"/>
  <c r="K125" i="80"/>
  <c r="J125" i="80"/>
  <c r="K124" i="80"/>
  <c r="J124" i="80"/>
  <c r="J123" i="80"/>
  <c r="J122" i="80"/>
  <c r="K121" i="80"/>
  <c r="J121" i="80"/>
  <c r="K120" i="80"/>
  <c r="J120" i="80"/>
  <c r="K119" i="80"/>
  <c r="J119" i="80"/>
  <c r="K118" i="80"/>
  <c r="J118" i="80"/>
  <c r="K117" i="80"/>
  <c r="J117" i="80"/>
  <c r="K116" i="80"/>
  <c r="G116" i="80" s="1"/>
  <c r="J116" i="80"/>
  <c r="K115" i="80"/>
  <c r="J115" i="80"/>
  <c r="K114" i="80"/>
  <c r="J114" i="80"/>
  <c r="K113" i="80"/>
  <c r="J113" i="80"/>
  <c r="K112" i="80"/>
  <c r="J112" i="80"/>
  <c r="J111" i="80"/>
  <c r="J110" i="80"/>
  <c r="K109" i="80"/>
  <c r="G109" i="80" s="1"/>
  <c r="J109" i="80"/>
  <c r="K108" i="80"/>
  <c r="J108" i="80"/>
  <c r="K107" i="80"/>
  <c r="G107" i="80" s="1"/>
  <c r="J107" i="80"/>
  <c r="K106" i="80"/>
  <c r="G106" i="80" s="1"/>
  <c r="J106" i="80"/>
  <c r="K105" i="80"/>
  <c r="G105" i="80" s="1"/>
  <c r="F19" i="81" s="1"/>
  <c r="J105" i="80"/>
  <c r="K104" i="80"/>
  <c r="G104" i="80" s="1"/>
  <c r="J104" i="80"/>
  <c r="K103" i="80"/>
  <c r="G103" i="80" s="1"/>
  <c r="J103" i="80"/>
  <c r="K102" i="80"/>
  <c r="G102" i="80" s="1"/>
  <c r="J102" i="80"/>
  <c r="K101" i="80"/>
  <c r="J101" i="80"/>
  <c r="K100" i="80"/>
  <c r="J100" i="80"/>
  <c r="K99" i="80"/>
  <c r="J99" i="80"/>
  <c r="K98" i="80"/>
  <c r="J98" i="80"/>
  <c r="K97" i="80"/>
  <c r="J97" i="80"/>
  <c r="K96" i="80"/>
  <c r="J96" i="80"/>
  <c r="K95" i="80"/>
  <c r="J95" i="80"/>
  <c r="K94" i="80"/>
  <c r="G94" i="80" s="1"/>
  <c r="J94" i="80"/>
  <c r="K93" i="80"/>
  <c r="G93" i="80" s="1"/>
  <c r="J93" i="80"/>
  <c r="K92" i="80"/>
  <c r="G92" i="80" s="1"/>
  <c r="J92" i="80"/>
  <c r="J91" i="80"/>
  <c r="J90" i="80"/>
  <c r="K89" i="80"/>
  <c r="G89" i="80" s="1"/>
  <c r="J89" i="80"/>
  <c r="J88" i="80"/>
  <c r="J87" i="80"/>
  <c r="J86" i="80"/>
  <c r="J85" i="80"/>
  <c r="J84" i="80"/>
  <c r="J83" i="80"/>
  <c r="K82" i="80"/>
  <c r="G82" i="80" s="1"/>
  <c r="J82" i="80"/>
  <c r="J81" i="80"/>
  <c r="J80" i="80"/>
  <c r="J79" i="80"/>
  <c r="J78" i="80"/>
  <c r="J77" i="80"/>
  <c r="K76" i="80"/>
  <c r="G76" i="80" s="1"/>
  <c r="J76" i="80"/>
  <c r="K75" i="80"/>
  <c r="J75" i="80"/>
  <c r="K74" i="80"/>
  <c r="J74" i="80"/>
  <c r="K73" i="80"/>
  <c r="J73" i="80"/>
  <c r="K72" i="80"/>
  <c r="J72" i="80"/>
  <c r="K71" i="80"/>
  <c r="J71" i="80"/>
  <c r="K70" i="80"/>
  <c r="J70" i="80"/>
  <c r="K69" i="80"/>
  <c r="J69" i="80"/>
  <c r="K68" i="80"/>
  <c r="G68" i="80" s="1"/>
  <c r="F18" i="81" s="1"/>
  <c r="J68" i="80"/>
  <c r="J67" i="80"/>
  <c r="J66" i="80"/>
  <c r="K65" i="80"/>
  <c r="G65" i="80" s="1"/>
  <c r="F17" i="81" s="1"/>
  <c r="J65" i="80"/>
  <c r="J64" i="80"/>
  <c r="J63" i="80"/>
  <c r="J62" i="80"/>
  <c r="J61" i="80"/>
  <c r="J60" i="80"/>
  <c r="J59" i="80"/>
  <c r="J58" i="80"/>
  <c r="J57" i="80"/>
  <c r="J56" i="80"/>
  <c r="K55" i="80"/>
  <c r="G55" i="80" s="1"/>
  <c r="F15" i="81" s="1"/>
  <c r="J55" i="80"/>
  <c r="K54" i="80"/>
  <c r="G54" i="80" s="1"/>
  <c r="J54" i="80"/>
  <c r="K53" i="80"/>
  <c r="G53" i="80" s="1"/>
  <c r="J53" i="80"/>
  <c r="J52" i="80"/>
  <c r="J51" i="80"/>
  <c r="J50" i="80"/>
  <c r="K49" i="80"/>
  <c r="J49" i="80"/>
  <c r="K48" i="80"/>
  <c r="J48" i="80"/>
  <c r="K47" i="80"/>
  <c r="J47" i="80"/>
  <c r="K46" i="80"/>
  <c r="J46" i="80"/>
  <c r="J45" i="80"/>
  <c r="J44" i="80"/>
  <c r="J43" i="80"/>
  <c r="J42" i="80"/>
  <c r="K41" i="80"/>
  <c r="G41" i="80" s="1"/>
  <c r="J41" i="80"/>
  <c r="K40" i="80"/>
  <c r="J40" i="80"/>
  <c r="J39" i="80"/>
  <c r="J38" i="80"/>
  <c r="J37" i="80"/>
  <c r="J36" i="80"/>
  <c r="J35" i="80"/>
  <c r="J34" i="80"/>
  <c r="J33" i="80"/>
  <c r="J32" i="80"/>
  <c r="K31" i="80"/>
  <c r="G31" i="80" s="1"/>
  <c r="J31" i="80"/>
  <c r="K25" i="80"/>
  <c r="L24" i="80"/>
  <c r="H24" i="80" s="1"/>
  <c r="K24" i="80"/>
  <c r="L23" i="80"/>
  <c r="H23" i="80" s="1"/>
  <c r="K23" i="80"/>
  <c r="L22" i="80"/>
  <c r="H22" i="80" s="1"/>
  <c r="K22" i="80"/>
  <c r="L16" i="80"/>
  <c r="H16" i="80" s="1"/>
  <c r="K16" i="80"/>
  <c r="L15" i="80"/>
  <c r="H15" i="80" s="1"/>
  <c r="K15" i="80"/>
  <c r="G15" i="80"/>
  <c r="U243" i="86" s="1"/>
  <c r="L14" i="80"/>
  <c r="H14" i="80" s="1"/>
  <c r="F4" i="81" s="1"/>
  <c r="K14" i="80"/>
  <c r="H9" i="80"/>
  <c r="H40" i="73"/>
  <c r="H39" i="73" s="1"/>
  <c r="F40" i="73"/>
  <c r="F39" i="73" s="1"/>
  <c r="G39" i="73" s="1"/>
  <c r="I39" i="73"/>
  <c r="H38" i="73"/>
  <c r="F37" i="73"/>
  <c r="H37" i="73" s="1"/>
  <c r="F36" i="73"/>
  <c r="H35" i="73"/>
  <c r="F35" i="73"/>
  <c r="I34" i="73"/>
  <c r="I33" i="73"/>
  <c r="H33" i="73"/>
  <c r="I32" i="73"/>
  <c r="I23" i="73" s="1"/>
  <c r="I7" i="73" s="1"/>
  <c r="H32" i="73"/>
  <c r="H31" i="73"/>
  <c r="F31" i="73"/>
  <c r="F30" i="73"/>
  <c r="H30" i="73" s="1"/>
  <c r="F29" i="73"/>
  <c r="H29" i="73" s="1"/>
  <c r="F28" i="73"/>
  <c r="H28" i="73" s="1"/>
  <c r="F27" i="73"/>
  <c r="H27" i="73" s="1"/>
  <c r="H26" i="73"/>
  <c r="F26" i="73"/>
  <c r="H25" i="73"/>
  <c r="F25" i="73"/>
  <c r="F24" i="73"/>
  <c r="H24" i="73" s="1"/>
  <c r="I21" i="73"/>
  <c r="H21" i="73"/>
  <c r="I20" i="73"/>
  <c r="H20" i="73"/>
  <c r="F19" i="73"/>
  <c r="H19" i="73" s="1"/>
  <c r="I18" i="73"/>
  <c r="H18" i="73"/>
  <c r="F17" i="73"/>
  <c r="H17" i="73" s="1"/>
  <c r="H16" i="73"/>
  <c r="F16" i="73"/>
  <c r="H15" i="73"/>
  <c r="F15" i="73"/>
  <c r="I14" i="73"/>
  <c r="H14" i="73"/>
  <c r="H13" i="73"/>
  <c r="F13" i="73"/>
  <c r="F12" i="73"/>
  <c r="H12" i="73" s="1"/>
  <c r="H11" i="73"/>
  <c r="F11" i="73"/>
  <c r="F10" i="73"/>
  <c r="H10" i="73" s="1"/>
  <c r="F9" i="73"/>
  <c r="H9" i="73" s="1"/>
  <c r="I8" i="73"/>
  <c r="F41" i="77"/>
  <c r="E41" i="77"/>
  <c r="E40" i="77" s="1"/>
  <c r="E38" i="77" s="1"/>
  <c r="E37" i="77" s="1"/>
  <c r="B41" i="77"/>
  <c r="A41" i="77"/>
  <c r="B40" i="77"/>
  <c r="A40" i="77"/>
  <c r="F39" i="77"/>
  <c r="E39" i="77"/>
  <c r="B39" i="77"/>
  <c r="A39" i="77"/>
  <c r="B38" i="77"/>
  <c r="A38" i="77"/>
  <c r="B37" i="77"/>
  <c r="A37" i="77"/>
  <c r="F36" i="77"/>
  <c r="E36" i="77"/>
  <c r="B36" i="77"/>
  <c r="A36" i="77"/>
  <c r="F35" i="77"/>
  <c r="E35" i="77"/>
  <c r="B35" i="77"/>
  <c r="A35" i="77"/>
  <c r="E34" i="77"/>
  <c r="B34" i="77"/>
  <c r="A34" i="77"/>
  <c r="F33" i="77"/>
  <c r="E33" i="77"/>
  <c r="B33" i="77"/>
  <c r="A33" i="77"/>
  <c r="F32" i="77"/>
  <c r="E32" i="77"/>
  <c r="B32" i="77"/>
  <c r="A32" i="77"/>
  <c r="E31" i="77"/>
  <c r="E30" i="77" s="1"/>
  <c r="E29" i="77" s="1"/>
  <c r="B31" i="77"/>
  <c r="A31" i="77"/>
  <c r="B30" i="77"/>
  <c r="A30" i="77"/>
  <c r="B29" i="77"/>
  <c r="A29" i="77"/>
  <c r="F28" i="77"/>
  <c r="B28" i="77"/>
  <c r="A28" i="77"/>
  <c r="E27" i="77"/>
  <c r="B27" i="77"/>
  <c r="A27" i="77"/>
  <c r="E26" i="77"/>
  <c r="B26" i="77"/>
  <c r="A26" i="77"/>
  <c r="E25" i="77"/>
  <c r="B25" i="77"/>
  <c r="E24" i="77"/>
  <c r="B24" i="77"/>
  <c r="A24" i="77"/>
  <c r="E23" i="77"/>
  <c r="E22" i="77" s="1"/>
  <c r="E21" i="77" s="1"/>
  <c r="E20" i="77" s="1"/>
  <c r="B23" i="77"/>
  <c r="A23" i="77"/>
  <c r="F22" i="77"/>
  <c r="B22" i="77"/>
  <c r="A22" i="77"/>
  <c r="B21" i="77"/>
  <c r="A21" i="77"/>
  <c r="B20" i="77"/>
  <c r="A20" i="77"/>
  <c r="F19" i="77"/>
  <c r="E19" i="77"/>
  <c r="B19" i="77"/>
  <c r="A19" i="77"/>
  <c r="E18" i="77"/>
  <c r="E17" i="77" s="1"/>
  <c r="B18" i="77"/>
  <c r="A18" i="77"/>
  <c r="B17" i="77"/>
  <c r="A17" i="77"/>
  <c r="E15" i="77"/>
  <c r="B15" i="77"/>
  <c r="A15" i="77"/>
  <c r="E14" i="77"/>
  <c r="E13" i="77" s="1"/>
  <c r="B14" i="77"/>
  <c r="A14" i="77"/>
  <c r="B13" i="77"/>
  <c r="A13" i="77"/>
  <c r="F12" i="77"/>
  <c r="E12" i="77"/>
  <c r="B12" i="77"/>
  <c r="A12" i="77"/>
  <c r="E11" i="77"/>
  <c r="E5" i="77" s="1"/>
  <c r="E4" i="77" s="1"/>
  <c r="E3" i="77" s="1"/>
  <c r="B11" i="77"/>
  <c r="A11" i="77"/>
  <c r="F10" i="77"/>
  <c r="E10" i="77"/>
  <c r="B10" i="77"/>
  <c r="A10" i="77"/>
  <c r="F9" i="77"/>
  <c r="E9" i="77"/>
  <c r="B9" i="77"/>
  <c r="A9" i="77"/>
  <c r="E8" i="77"/>
  <c r="B8" i="77"/>
  <c r="A8" i="77"/>
  <c r="F7" i="77"/>
  <c r="E7" i="77"/>
  <c r="B7" i="77"/>
  <c r="A7" i="77"/>
  <c r="E6" i="77"/>
  <c r="B6" i="77"/>
  <c r="A6" i="77"/>
  <c r="B5" i="77"/>
  <c r="A5" i="77"/>
  <c r="B4" i="77"/>
  <c r="A4" i="77"/>
  <c r="A29" i="79"/>
  <c r="A28" i="79"/>
  <c r="C27" i="79"/>
  <c r="B27" i="79"/>
  <c r="A27" i="79"/>
  <c r="A26" i="79"/>
  <c r="C13" i="79"/>
  <c r="B13" i="79"/>
  <c r="C18" i="78"/>
  <c r="C17" i="78"/>
  <c r="C16" i="78"/>
  <c r="C15" i="78"/>
  <c r="D219" i="89"/>
  <c r="C219" i="89"/>
  <c r="E218" i="89"/>
  <c r="D218" i="89"/>
  <c r="C218" i="89"/>
  <c r="D217" i="89"/>
  <c r="C217" i="89"/>
  <c r="F215" i="89"/>
  <c r="E215" i="89"/>
  <c r="D215" i="89"/>
  <c r="C215" i="89"/>
  <c r="F214" i="89"/>
  <c r="E214" i="89"/>
  <c r="D214" i="89"/>
  <c r="C214" i="89"/>
  <c r="F213" i="89"/>
  <c r="E213" i="89"/>
  <c r="D213" i="89"/>
  <c r="C213" i="89"/>
  <c r="F212" i="89"/>
  <c r="E212" i="89"/>
  <c r="D212" i="89"/>
  <c r="C212" i="89"/>
  <c r="F211" i="89"/>
  <c r="E211" i="89"/>
  <c r="D211" i="89"/>
  <c r="C211" i="89"/>
  <c r="F210" i="89"/>
  <c r="E210" i="89"/>
  <c r="D210" i="89"/>
  <c r="C210" i="89"/>
  <c r="F209" i="89"/>
  <c r="E209" i="89"/>
  <c r="D209" i="89"/>
  <c r="C209" i="89"/>
  <c r="D208" i="89"/>
  <c r="C208" i="89"/>
  <c r="D207" i="89"/>
  <c r="C207" i="89"/>
  <c r="D206" i="89"/>
  <c r="C206" i="89"/>
  <c r="E205" i="89"/>
  <c r="D205" i="89"/>
  <c r="C205" i="89"/>
  <c r="D204" i="89"/>
  <c r="C204" i="89"/>
  <c r="D203" i="89"/>
  <c r="C203" i="89"/>
  <c r="D202" i="89"/>
  <c r="C202" i="89"/>
  <c r="D201" i="89"/>
  <c r="C201" i="89"/>
  <c r="D200" i="89"/>
  <c r="C200" i="89"/>
  <c r="D199" i="89"/>
  <c r="C199" i="89"/>
  <c r="D198" i="89"/>
  <c r="C198" i="89"/>
  <c r="D197" i="89"/>
  <c r="C197" i="89"/>
  <c r="D196" i="89"/>
  <c r="C196" i="89"/>
  <c r="D195" i="89"/>
  <c r="C195" i="89"/>
  <c r="D194" i="89"/>
  <c r="C194" i="89"/>
  <c r="D193" i="89"/>
  <c r="C193" i="89"/>
  <c r="D192" i="89"/>
  <c r="C192" i="89"/>
  <c r="D191" i="89"/>
  <c r="C191" i="89"/>
  <c r="D190" i="89"/>
  <c r="C190" i="89"/>
  <c r="D189" i="89"/>
  <c r="C189" i="89"/>
  <c r="D188" i="89"/>
  <c r="C188" i="89"/>
  <c r="D187" i="89"/>
  <c r="C187" i="89"/>
  <c r="D186" i="89"/>
  <c r="C186" i="89"/>
  <c r="D185" i="89"/>
  <c r="C185" i="89"/>
  <c r="D184" i="89"/>
  <c r="C184" i="89"/>
  <c r="D183" i="89"/>
  <c r="C183" i="89"/>
  <c r="D182" i="89"/>
  <c r="C182" i="89"/>
  <c r="E181" i="89"/>
  <c r="D181" i="89"/>
  <c r="C181" i="89"/>
  <c r="E180" i="89"/>
  <c r="D180" i="89"/>
  <c r="C180" i="89"/>
  <c r="D179" i="89"/>
  <c r="C179" i="89"/>
  <c r="D178" i="89"/>
  <c r="C178" i="89"/>
  <c r="E177" i="89"/>
  <c r="D177" i="89"/>
  <c r="C177" i="89"/>
  <c r="E176" i="89"/>
  <c r="D176" i="89"/>
  <c r="C176" i="89"/>
  <c r="E175" i="89"/>
  <c r="D175" i="89"/>
  <c r="C175" i="89"/>
  <c r="E174" i="89"/>
  <c r="D174" i="89"/>
  <c r="C174" i="89"/>
  <c r="D173" i="89"/>
  <c r="C173" i="89"/>
  <c r="D172" i="89"/>
  <c r="C172" i="89"/>
  <c r="D171" i="89"/>
  <c r="C171" i="89"/>
  <c r="E170" i="89"/>
  <c r="D170" i="89"/>
  <c r="C170" i="89"/>
  <c r="E169" i="89"/>
  <c r="D169" i="89"/>
  <c r="C169" i="89"/>
  <c r="D168" i="89"/>
  <c r="C168" i="89"/>
  <c r="D167" i="89"/>
  <c r="C167" i="89"/>
  <c r="E166" i="89"/>
  <c r="D166" i="89"/>
  <c r="C166" i="89"/>
  <c r="E165" i="89"/>
  <c r="D165" i="89"/>
  <c r="C165" i="89"/>
  <c r="E164" i="89"/>
  <c r="D164" i="89"/>
  <c r="C164" i="89"/>
  <c r="D163" i="89"/>
  <c r="C163" i="89"/>
  <c r="E162" i="89"/>
  <c r="D162" i="89"/>
  <c r="C162" i="89"/>
  <c r="E161" i="89"/>
  <c r="D161" i="89"/>
  <c r="C161" i="89"/>
  <c r="F160" i="89"/>
  <c r="E160" i="89"/>
  <c r="D160" i="89"/>
  <c r="C160" i="89"/>
  <c r="D159" i="89"/>
  <c r="C159" i="89"/>
  <c r="E158" i="89"/>
  <c r="D158" i="89"/>
  <c r="C158" i="89"/>
  <c r="D157" i="89"/>
  <c r="C157" i="89"/>
  <c r="E156" i="89"/>
  <c r="D156" i="89"/>
  <c r="C156" i="89"/>
  <c r="D155" i="89"/>
  <c r="C155" i="89"/>
  <c r="D154" i="89"/>
  <c r="C154" i="89"/>
  <c r="D153" i="89"/>
  <c r="C153" i="89"/>
  <c r="E152" i="89"/>
  <c r="D152" i="89"/>
  <c r="C152" i="89"/>
  <c r="D151" i="89"/>
  <c r="C151" i="89"/>
  <c r="E150" i="89"/>
  <c r="D150" i="89"/>
  <c r="C150" i="89"/>
  <c r="D149" i="89"/>
  <c r="C149" i="89"/>
  <c r="D148" i="89"/>
  <c r="C148" i="89"/>
  <c r="E147" i="89"/>
  <c r="D147" i="89"/>
  <c r="C147" i="89"/>
  <c r="D146" i="89"/>
  <c r="C146" i="89"/>
  <c r="D145" i="89"/>
  <c r="C145" i="89"/>
  <c r="F144" i="89"/>
  <c r="D144" i="89"/>
  <c r="C144" i="89"/>
  <c r="D143" i="89"/>
  <c r="C143" i="89"/>
  <c r="D142" i="89"/>
  <c r="C142" i="89"/>
  <c r="D141" i="89"/>
  <c r="C141" i="89"/>
  <c r="F140" i="89"/>
  <c r="E140" i="89"/>
  <c r="D140" i="89"/>
  <c r="C140" i="89"/>
  <c r="F139" i="89"/>
  <c r="E139" i="89"/>
  <c r="D139" i="89"/>
  <c r="C139" i="89"/>
  <c r="D138" i="89"/>
  <c r="C138" i="89"/>
  <c r="F137" i="89"/>
  <c r="E137" i="89"/>
  <c r="D137" i="89"/>
  <c r="C137" i="89"/>
  <c r="F136" i="89"/>
  <c r="E136" i="89"/>
  <c r="D136" i="89"/>
  <c r="C136" i="89"/>
  <c r="D135" i="89"/>
  <c r="C135" i="89"/>
  <c r="F134" i="89"/>
  <c r="E134" i="89"/>
  <c r="D134" i="89"/>
  <c r="C134" i="89"/>
  <c r="F133" i="89"/>
  <c r="E133" i="89"/>
  <c r="D133" i="89"/>
  <c r="C133" i="89"/>
  <c r="D132" i="89"/>
  <c r="C132" i="89"/>
  <c r="F131" i="89"/>
  <c r="E131" i="89"/>
  <c r="D131" i="89"/>
  <c r="C131" i="89"/>
  <c r="F130" i="89"/>
  <c r="E130" i="89"/>
  <c r="D130" i="89"/>
  <c r="C130" i="89"/>
  <c r="D129" i="89"/>
  <c r="C129" i="89"/>
  <c r="D128" i="89"/>
  <c r="C128" i="89"/>
  <c r="D127" i="89"/>
  <c r="C127" i="89"/>
  <c r="D126" i="89"/>
  <c r="C126" i="89"/>
  <c r="D125" i="89"/>
  <c r="C125" i="89"/>
  <c r="D124" i="89"/>
  <c r="C124" i="89"/>
  <c r="D123" i="89"/>
  <c r="C123" i="89"/>
  <c r="D122" i="89"/>
  <c r="C122" i="89"/>
  <c r="D121" i="89"/>
  <c r="C121" i="89"/>
  <c r="D120" i="89"/>
  <c r="C120" i="89"/>
  <c r="F119" i="89"/>
  <c r="E119" i="89"/>
  <c r="D119" i="89"/>
  <c r="C119" i="89"/>
  <c r="F118" i="89"/>
  <c r="E118" i="89"/>
  <c r="D118" i="89"/>
  <c r="C118" i="89"/>
  <c r="D117" i="89"/>
  <c r="C117" i="89"/>
  <c r="F116" i="89"/>
  <c r="E116" i="89"/>
  <c r="D116" i="89"/>
  <c r="C116" i="89"/>
  <c r="F115" i="89"/>
  <c r="E115" i="89"/>
  <c r="D115" i="89"/>
  <c r="C115" i="89"/>
  <c r="D114" i="89"/>
  <c r="C114" i="89"/>
  <c r="F113" i="89"/>
  <c r="E113" i="89"/>
  <c r="D113" i="89"/>
  <c r="C113" i="89"/>
  <c r="F112" i="89"/>
  <c r="E112" i="89"/>
  <c r="D112" i="89"/>
  <c r="C112" i="89"/>
  <c r="F111" i="89"/>
  <c r="E111" i="89"/>
  <c r="D111" i="89"/>
  <c r="C111" i="89"/>
  <c r="F110" i="89"/>
  <c r="E110" i="89"/>
  <c r="D110" i="89"/>
  <c r="C110" i="89"/>
  <c r="D109" i="89"/>
  <c r="C109" i="89"/>
  <c r="F108" i="89"/>
  <c r="E108" i="89"/>
  <c r="D108" i="89"/>
  <c r="C108" i="89"/>
  <c r="D107" i="89"/>
  <c r="C107" i="89"/>
  <c r="F106" i="89"/>
  <c r="E106" i="89"/>
  <c r="D106" i="89"/>
  <c r="C106" i="89"/>
  <c r="D105" i="89"/>
  <c r="C105" i="89"/>
  <c r="F104" i="89"/>
  <c r="E104" i="89"/>
  <c r="D104" i="89"/>
  <c r="C104" i="89"/>
  <c r="F103" i="89"/>
  <c r="E103" i="89"/>
  <c r="D103" i="89"/>
  <c r="C103" i="89"/>
  <c r="F102" i="89"/>
  <c r="E102" i="89"/>
  <c r="D102" i="89"/>
  <c r="C102" i="89"/>
  <c r="F101" i="89"/>
  <c r="D101" i="89"/>
  <c r="C101" i="89"/>
  <c r="F100" i="89"/>
  <c r="E100" i="89"/>
  <c r="D100" i="89"/>
  <c r="C100" i="89"/>
  <c r="D99" i="89"/>
  <c r="C99" i="89"/>
  <c r="F98" i="89"/>
  <c r="E98" i="89"/>
  <c r="D98" i="89"/>
  <c r="C98" i="89"/>
  <c r="F97" i="89"/>
  <c r="E97" i="89"/>
  <c r="D97" i="89"/>
  <c r="C97" i="89"/>
  <c r="F96" i="89"/>
  <c r="E96" i="89"/>
  <c r="D96" i="89"/>
  <c r="C96" i="89"/>
  <c r="F95" i="89"/>
  <c r="E95" i="89"/>
  <c r="D95" i="89"/>
  <c r="C95" i="89"/>
  <c r="D94" i="89"/>
  <c r="C94" i="89"/>
  <c r="F93" i="89"/>
  <c r="D93" i="89"/>
  <c r="C93" i="89"/>
  <c r="D92" i="89"/>
  <c r="C92" i="89"/>
  <c r="D91" i="89"/>
  <c r="C91" i="89"/>
  <c r="D90" i="89"/>
  <c r="C90" i="89"/>
  <c r="D89" i="89"/>
  <c r="C89" i="89"/>
  <c r="D88" i="89"/>
  <c r="C88" i="89"/>
  <c r="D87" i="89"/>
  <c r="C87" i="89"/>
  <c r="D86" i="89"/>
  <c r="C86" i="89"/>
  <c r="F85" i="89"/>
  <c r="D85" i="89"/>
  <c r="C85" i="89"/>
  <c r="F84" i="89"/>
  <c r="D84" i="89"/>
  <c r="C84" i="89"/>
  <c r="E83" i="89"/>
  <c r="D83" i="89"/>
  <c r="C83" i="89"/>
  <c r="E82" i="89"/>
  <c r="D82" i="89"/>
  <c r="C82" i="89"/>
  <c r="D81" i="89"/>
  <c r="C81" i="89"/>
  <c r="D80" i="89"/>
  <c r="C80" i="89"/>
  <c r="D79" i="89"/>
  <c r="C79" i="89"/>
  <c r="D78" i="89"/>
  <c r="C78" i="89"/>
  <c r="F77" i="89"/>
  <c r="E77" i="89"/>
  <c r="D77" i="89"/>
  <c r="C77" i="89"/>
  <c r="F76" i="89"/>
  <c r="E76" i="89"/>
  <c r="D76" i="89"/>
  <c r="C76" i="89"/>
  <c r="F75" i="89"/>
  <c r="E75" i="89"/>
  <c r="D75" i="89"/>
  <c r="C75" i="89"/>
  <c r="F74" i="89"/>
  <c r="F73" i="89" s="1"/>
  <c r="D74" i="89"/>
  <c r="C74" i="89"/>
  <c r="D73" i="89"/>
  <c r="C73" i="89"/>
  <c r="E72" i="89"/>
  <c r="D72" i="89"/>
  <c r="C72" i="89"/>
  <c r="E71" i="89"/>
  <c r="D71" i="89"/>
  <c r="C71" i="89"/>
  <c r="E70" i="89"/>
  <c r="D70" i="89"/>
  <c r="C70" i="89"/>
  <c r="D69" i="89"/>
  <c r="C69" i="89"/>
  <c r="E68" i="89"/>
  <c r="D68" i="89"/>
  <c r="C68" i="89"/>
  <c r="D67" i="89"/>
  <c r="C67" i="89"/>
  <c r="F66" i="89"/>
  <c r="D66" i="89"/>
  <c r="C66" i="89"/>
  <c r="E65" i="89"/>
  <c r="D65" i="89"/>
  <c r="C65" i="89"/>
  <c r="E64" i="89"/>
  <c r="D64" i="89"/>
  <c r="C64" i="89"/>
  <c r="E63" i="89"/>
  <c r="D63" i="89"/>
  <c r="C63" i="89"/>
  <c r="D62" i="89"/>
  <c r="C62" i="89"/>
  <c r="D61" i="89"/>
  <c r="C61" i="89"/>
  <c r="D60" i="89"/>
  <c r="C60" i="89"/>
  <c r="E59" i="89"/>
  <c r="D59" i="89"/>
  <c r="C59" i="89"/>
  <c r="D58" i="89"/>
  <c r="C58" i="89"/>
  <c r="E57" i="89"/>
  <c r="D57" i="89"/>
  <c r="C57" i="89"/>
  <c r="D56" i="89"/>
  <c r="C56" i="89"/>
  <c r="E55" i="89"/>
  <c r="D55" i="89"/>
  <c r="C55" i="89"/>
  <c r="E54" i="89"/>
  <c r="D54" i="89"/>
  <c r="C54" i="89"/>
  <c r="E53" i="89"/>
  <c r="D53" i="89"/>
  <c r="C53" i="89"/>
  <c r="D52" i="89"/>
  <c r="C52" i="89"/>
  <c r="E51" i="89"/>
  <c r="D51" i="89"/>
  <c r="C51" i="89"/>
  <c r="D50" i="89"/>
  <c r="C50" i="89"/>
  <c r="E49" i="89"/>
  <c r="D49" i="89"/>
  <c r="C49" i="89"/>
  <c r="E48" i="89"/>
  <c r="D48" i="89"/>
  <c r="C48" i="89"/>
  <c r="E47" i="89"/>
  <c r="D47" i="89"/>
  <c r="C47" i="89"/>
  <c r="E46" i="89"/>
  <c r="D46" i="89"/>
  <c r="C46" i="89"/>
  <c r="E45" i="89"/>
  <c r="D45" i="89"/>
  <c r="C45" i="89"/>
  <c r="D44" i="89"/>
  <c r="C44" i="89"/>
  <c r="D43" i="89"/>
  <c r="C43" i="89"/>
  <c r="D42" i="89"/>
  <c r="C42" i="89"/>
  <c r="D41" i="89"/>
  <c r="C41" i="89"/>
  <c r="D40" i="89"/>
  <c r="C40" i="89"/>
  <c r="D39" i="89"/>
  <c r="C39" i="89"/>
  <c r="D38" i="89"/>
  <c r="C38" i="89"/>
  <c r="D37" i="89"/>
  <c r="C37" i="89"/>
  <c r="D36" i="89"/>
  <c r="C36" i="89"/>
  <c r="F35" i="89"/>
  <c r="F34" i="89" s="1"/>
  <c r="D35" i="89"/>
  <c r="C35" i="89"/>
  <c r="D34" i="89"/>
  <c r="C34" i="89"/>
  <c r="F33" i="89"/>
  <c r="F32" i="89" s="1"/>
  <c r="D33" i="89"/>
  <c r="C33" i="89"/>
  <c r="D32" i="89"/>
  <c r="C32" i="89"/>
  <c r="D31" i="89"/>
  <c r="C31" i="89"/>
  <c r="D30" i="89"/>
  <c r="C30" i="89"/>
  <c r="D29" i="89"/>
  <c r="C29" i="89"/>
  <c r="D28" i="89"/>
  <c r="C28" i="89"/>
  <c r="D27" i="89"/>
  <c r="C27" i="89"/>
  <c r="D26" i="89"/>
  <c r="C26" i="89"/>
  <c r="F25" i="89"/>
  <c r="D25" i="89"/>
  <c r="C25" i="89"/>
  <c r="D24" i="89"/>
  <c r="C24" i="89"/>
  <c r="D23" i="89"/>
  <c r="C23" i="89"/>
  <c r="D22" i="89"/>
  <c r="C22" i="89"/>
  <c r="D21" i="89"/>
  <c r="C21" i="89"/>
  <c r="D20" i="89"/>
  <c r="C20" i="89"/>
  <c r="F19" i="89"/>
  <c r="E19" i="89"/>
  <c r="D19" i="89"/>
  <c r="C19" i="89"/>
  <c r="F18" i="89"/>
  <c r="E18" i="89"/>
  <c r="D18" i="89"/>
  <c r="C18" i="89"/>
  <c r="F17" i="89"/>
  <c r="E17" i="89"/>
  <c r="D17" i="89"/>
  <c r="C17" i="89"/>
  <c r="F16" i="89"/>
  <c r="F15" i="89" s="1"/>
  <c r="E16" i="89"/>
  <c r="D16" i="89"/>
  <c r="C16" i="89"/>
  <c r="D15" i="89"/>
  <c r="C15" i="89"/>
  <c r="D14" i="89"/>
  <c r="C14" i="89"/>
  <c r="D13" i="89"/>
  <c r="C13" i="89"/>
  <c r="D12" i="89"/>
  <c r="C12" i="89"/>
  <c r="F11" i="89"/>
  <c r="D11" i="89"/>
  <c r="C11" i="89"/>
  <c r="F10" i="89"/>
  <c r="D10" i="89"/>
  <c r="C10" i="89"/>
  <c r="D9" i="89"/>
  <c r="C9" i="89"/>
  <c r="F8" i="89"/>
  <c r="D8" i="89"/>
  <c r="C8" i="89"/>
  <c r="D7" i="89"/>
  <c r="C7" i="89"/>
  <c r="D6" i="89"/>
  <c r="C6" i="89"/>
  <c r="D3" i="89"/>
  <c r="B6" i="91"/>
  <c r="B7" i="91" s="1"/>
  <c r="B8" i="91" s="1"/>
  <c r="B9" i="91" s="1"/>
  <c r="B10" i="91" s="1"/>
  <c r="B11" i="91" s="1"/>
  <c r="B12" i="91" s="1"/>
  <c r="B13" i="91" s="1"/>
  <c r="B14" i="91" s="1"/>
  <c r="B15" i="91" s="1"/>
  <c r="B16" i="91" s="1"/>
  <c r="B5" i="91"/>
  <c r="I20" i="107"/>
  <c r="G20" i="107"/>
  <c r="F20" i="107"/>
  <c r="H20" i="107" s="1"/>
  <c r="G19" i="107"/>
  <c r="F19" i="107"/>
  <c r="H18" i="107"/>
  <c r="G18" i="107"/>
  <c r="F18" i="107"/>
  <c r="I18" i="107" s="1"/>
  <c r="I17" i="107"/>
  <c r="G17" i="107"/>
  <c r="F17" i="107"/>
  <c r="H17" i="107" s="1"/>
  <c r="I16" i="107"/>
  <c r="H16" i="107"/>
  <c r="G16" i="107"/>
  <c r="F16" i="107"/>
  <c r="I15" i="107"/>
  <c r="G15" i="107"/>
  <c r="F15" i="107"/>
  <c r="H15" i="107" s="1"/>
  <c r="L10" i="107"/>
  <c r="H10" i="107"/>
  <c r="I10" i="107" s="1"/>
  <c r="G10" i="107"/>
  <c r="L9" i="107"/>
  <c r="I9" i="107"/>
  <c r="H9" i="107"/>
  <c r="G9" i="107"/>
  <c r="L8" i="107"/>
  <c r="H8" i="107"/>
  <c r="I8" i="107" s="1"/>
  <c r="G8" i="107"/>
  <c r="L7" i="107"/>
  <c r="H7" i="107"/>
  <c r="I7" i="107" s="1"/>
  <c r="G7" i="107"/>
  <c r="L6" i="107"/>
  <c r="H6" i="107"/>
  <c r="I6" i="107" s="1"/>
  <c r="G6" i="107"/>
  <c r="L5" i="107"/>
  <c r="H5" i="107"/>
  <c r="I5" i="107" s="1"/>
  <c r="G5" i="107"/>
  <c r="E14" i="97"/>
  <c r="D14" i="97"/>
  <c r="E8" i="97"/>
  <c r="D8" i="97"/>
  <c r="E65" i="96"/>
  <c r="J64" i="96"/>
  <c r="D64" i="96" s="1"/>
  <c r="I64" i="96"/>
  <c r="J63" i="96"/>
  <c r="D63" i="96" s="1"/>
  <c r="I63" i="96"/>
  <c r="J62" i="96"/>
  <c r="D62" i="96" s="1"/>
  <c r="I62" i="96"/>
  <c r="J61" i="96"/>
  <c r="D61" i="96" s="1"/>
  <c r="I61" i="96"/>
  <c r="I60" i="96"/>
  <c r="I59" i="96"/>
  <c r="J58" i="96"/>
  <c r="D58" i="96" s="1"/>
  <c r="I58" i="96"/>
  <c r="J57" i="96"/>
  <c r="D57" i="96" s="1"/>
  <c r="I57" i="96"/>
  <c r="J56" i="96"/>
  <c r="D56" i="96" s="1"/>
  <c r="I56" i="96"/>
  <c r="J55" i="96"/>
  <c r="D55" i="96" s="1"/>
  <c r="I55" i="96"/>
  <c r="J54" i="96"/>
  <c r="D54" i="96" s="1"/>
  <c r="I54" i="96"/>
  <c r="J53" i="96"/>
  <c r="D53" i="96" s="1"/>
  <c r="I53" i="96"/>
  <c r="J52" i="96"/>
  <c r="D52" i="96" s="1"/>
  <c r="I52" i="96"/>
  <c r="J51" i="96"/>
  <c r="D51" i="96" s="1"/>
  <c r="I51" i="96"/>
  <c r="J50" i="96"/>
  <c r="D50" i="96" s="1"/>
  <c r="I50" i="96"/>
  <c r="J49" i="96"/>
  <c r="D49" i="96" s="1"/>
  <c r="I49" i="96"/>
  <c r="J48" i="96"/>
  <c r="D48" i="96" s="1"/>
  <c r="I48" i="96"/>
  <c r="J47" i="96"/>
  <c r="D47" i="96" s="1"/>
  <c r="I47" i="96"/>
  <c r="J46" i="96"/>
  <c r="D46" i="96" s="1"/>
  <c r="I46" i="96"/>
  <c r="A46" i="96"/>
  <c r="A47" i="96" s="1"/>
  <c r="A48" i="96" s="1"/>
  <c r="A49" i="96" s="1"/>
  <c r="A50" i="96" s="1"/>
  <c r="A51" i="96" s="1"/>
  <c r="A52" i="96" s="1"/>
  <c r="A53" i="96" s="1"/>
  <c r="A54" i="96" s="1"/>
  <c r="A55" i="96" s="1"/>
  <c r="A56" i="96" s="1"/>
  <c r="A57" i="96" s="1"/>
  <c r="A58" i="96" s="1"/>
  <c r="A59" i="96" s="1"/>
  <c r="J45" i="96"/>
  <c r="D45" i="96" s="1"/>
  <c r="I45" i="96"/>
  <c r="J44" i="96"/>
  <c r="D44" i="96" s="1"/>
  <c r="I44" i="96"/>
  <c r="J43" i="96"/>
  <c r="D43" i="96" s="1"/>
  <c r="I43" i="96"/>
  <c r="J42" i="96"/>
  <c r="D42" i="96" s="1"/>
  <c r="I42" i="96"/>
  <c r="J41" i="96"/>
  <c r="D41" i="96" s="1"/>
  <c r="I41" i="96"/>
  <c r="E36" i="96"/>
  <c r="I35" i="96"/>
  <c r="J34" i="96"/>
  <c r="D34" i="96" s="1"/>
  <c r="I34" i="96"/>
  <c r="J33" i="96"/>
  <c r="D33" i="96" s="1"/>
  <c r="I33" i="96"/>
  <c r="J32" i="96"/>
  <c r="D32" i="96" s="1"/>
  <c r="I32" i="96"/>
  <c r="E27" i="96"/>
  <c r="J26" i="96"/>
  <c r="D26" i="96" s="1"/>
  <c r="I26" i="96"/>
  <c r="J25" i="96"/>
  <c r="D25" i="96" s="1"/>
  <c r="I25" i="96"/>
  <c r="J24" i="96"/>
  <c r="D24" i="96" s="1"/>
  <c r="I24" i="96"/>
  <c r="I23" i="96"/>
  <c r="J22" i="96"/>
  <c r="D22" i="96" s="1"/>
  <c r="I22" i="96"/>
  <c r="E17" i="96"/>
  <c r="D17" i="96"/>
  <c r="E11" i="96"/>
  <c r="I10" i="96"/>
  <c r="I9" i="96"/>
  <c r="I8" i="96"/>
  <c r="J7" i="96"/>
  <c r="D7" i="96" s="1"/>
  <c r="I7" i="96"/>
  <c r="A7" i="96"/>
  <c r="A8" i="96" s="1"/>
  <c r="A9" i="96" s="1"/>
  <c r="A10" i="96" s="1"/>
  <c r="A22" i="96" s="1"/>
  <c r="A24" i="96" s="1"/>
  <c r="A25" i="96" s="1"/>
  <c r="A26" i="96" s="1"/>
  <c r="A32" i="96" s="1"/>
  <c r="A33" i="96" s="1"/>
  <c r="A34" i="96" s="1"/>
  <c r="A35" i="96" s="1"/>
  <c r="A41" i="96" s="1"/>
  <c r="A42" i="96" s="1"/>
  <c r="A43" i="96" s="1"/>
  <c r="A44" i="96" s="1"/>
  <c r="A45" i="96" s="1"/>
  <c r="E21" i="95"/>
  <c r="D21" i="95"/>
  <c r="E8" i="95"/>
  <c r="I7" i="95"/>
  <c r="C50" i="94"/>
  <c r="B50" i="94"/>
  <c r="A50" i="94"/>
  <c r="C49" i="94"/>
  <c r="B49" i="94"/>
  <c r="A49" i="94"/>
  <c r="C48" i="94"/>
  <c r="B48" i="94"/>
  <c r="A48" i="94"/>
  <c r="C47" i="94"/>
  <c r="B47" i="94"/>
  <c r="A47" i="94"/>
  <c r="C46" i="94"/>
  <c r="B46" i="94"/>
  <c r="A46" i="94"/>
  <c r="C45" i="94"/>
  <c r="B45" i="94"/>
  <c r="A45" i="94"/>
  <c r="C44" i="94"/>
  <c r="B44" i="94"/>
  <c r="A44" i="94"/>
  <c r="C43" i="94"/>
  <c r="B43" i="94"/>
  <c r="A43" i="94"/>
  <c r="B42" i="94"/>
  <c r="A42" i="94"/>
  <c r="B41" i="94"/>
  <c r="A41" i="94"/>
  <c r="B40" i="94"/>
  <c r="A40" i="94"/>
  <c r="B39" i="94"/>
  <c r="A39" i="94"/>
  <c r="B38" i="94"/>
  <c r="A38" i="94"/>
  <c r="B37" i="94"/>
  <c r="A37" i="94"/>
  <c r="C36" i="94"/>
  <c r="B36" i="94"/>
  <c r="A36" i="94"/>
  <c r="C35" i="94"/>
  <c r="B35" i="94"/>
  <c r="A35" i="94"/>
  <c r="C34" i="94"/>
  <c r="B34" i="94"/>
  <c r="A34" i="94"/>
  <c r="C33" i="94"/>
  <c r="B33" i="94"/>
  <c r="A33" i="94"/>
  <c r="C32" i="94"/>
  <c r="B32" i="94"/>
  <c r="A32" i="94"/>
  <c r="C31" i="94"/>
  <c r="B31" i="94"/>
  <c r="A31" i="94"/>
  <c r="C30" i="94"/>
  <c r="B30" i="94"/>
  <c r="A30" i="94"/>
  <c r="C29" i="94"/>
  <c r="B29" i="94"/>
  <c r="A29" i="94"/>
  <c r="C28" i="94"/>
  <c r="B28" i="94"/>
  <c r="A28" i="94"/>
  <c r="C27" i="94"/>
  <c r="B27" i="94"/>
  <c r="A27" i="94"/>
  <c r="C26" i="94"/>
  <c r="B26" i="94"/>
  <c r="A26" i="94"/>
  <c r="C25" i="94"/>
  <c r="B25" i="94"/>
  <c r="A25" i="94"/>
  <c r="C24" i="94"/>
  <c r="B24" i="94"/>
  <c r="A24" i="94"/>
  <c r="C23" i="94"/>
  <c r="B23" i="94"/>
  <c r="A23" i="94"/>
  <c r="C22" i="94"/>
  <c r="B22" i="94"/>
  <c r="A22" i="94"/>
  <c r="C21" i="94"/>
  <c r="B21" i="94"/>
  <c r="A21" i="94"/>
  <c r="C20" i="94"/>
  <c r="B20" i="94"/>
  <c r="A20" i="94"/>
  <c r="C19" i="94"/>
  <c r="B19" i="94"/>
  <c r="A19" i="94"/>
  <c r="C18" i="94"/>
  <c r="B18" i="94"/>
  <c r="A18" i="94"/>
  <c r="C17" i="94"/>
  <c r="B17" i="94"/>
  <c r="A17" i="94"/>
  <c r="C16" i="94"/>
  <c r="B16" i="94"/>
  <c r="A16" i="94"/>
  <c r="B9" i="94"/>
  <c r="E14" i="102"/>
  <c r="D14" i="102"/>
  <c r="E8" i="102"/>
  <c r="I7" i="102"/>
  <c r="E158" i="101"/>
  <c r="D157" i="101"/>
  <c r="D156" i="101"/>
  <c r="D155" i="101"/>
  <c r="D154" i="101"/>
  <c r="D153" i="101"/>
  <c r="D152" i="101"/>
  <c r="J151" i="101"/>
  <c r="D151" i="101" s="1"/>
  <c r="I151" i="101"/>
  <c r="J150" i="101"/>
  <c r="D150" i="101" s="1"/>
  <c r="I150" i="101"/>
  <c r="J149" i="101"/>
  <c r="D149" i="101" s="1"/>
  <c r="I149" i="101"/>
  <c r="J148" i="101"/>
  <c r="D148" i="101" s="1"/>
  <c r="I148" i="101"/>
  <c r="J147" i="101"/>
  <c r="D147" i="101" s="1"/>
  <c r="I147" i="101"/>
  <c r="J146" i="101"/>
  <c r="D146" i="101" s="1"/>
  <c r="I146" i="101"/>
  <c r="J145" i="101"/>
  <c r="D145" i="101" s="1"/>
  <c r="I145" i="101"/>
  <c r="J144" i="101"/>
  <c r="D144" i="101" s="1"/>
  <c r="I144" i="101"/>
  <c r="J143" i="101"/>
  <c r="D143" i="101" s="1"/>
  <c r="I143" i="101"/>
  <c r="J142" i="101"/>
  <c r="D142" i="101" s="1"/>
  <c r="I142" i="101"/>
  <c r="J141" i="101"/>
  <c r="D141" i="101" s="1"/>
  <c r="I141" i="101"/>
  <c r="J140" i="101"/>
  <c r="D140" i="101" s="1"/>
  <c r="I140" i="101"/>
  <c r="J139" i="101"/>
  <c r="D139" i="101" s="1"/>
  <c r="I139" i="101"/>
  <c r="I138" i="101"/>
  <c r="I137" i="101"/>
  <c r="I136" i="101"/>
  <c r="I135" i="101"/>
  <c r="I134" i="101"/>
  <c r="I133" i="101"/>
  <c r="I132" i="101"/>
  <c r="I131" i="101"/>
  <c r="I130" i="101"/>
  <c r="J129" i="101"/>
  <c r="D129" i="101" s="1"/>
  <c r="I129" i="101"/>
  <c r="J128" i="101"/>
  <c r="D128" i="101" s="1"/>
  <c r="I128" i="101"/>
  <c r="J127" i="101"/>
  <c r="D127" i="101" s="1"/>
  <c r="I127" i="101"/>
  <c r="J126" i="101"/>
  <c r="D126" i="101" s="1"/>
  <c r="I126" i="101"/>
  <c r="J125" i="101"/>
  <c r="D125" i="101" s="1"/>
  <c r="I125" i="101"/>
  <c r="J124" i="101"/>
  <c r="D124" i="101" s="1"/>
  <c r="I124" i="101"/>
  <c r="J123" i="101"/>
  <c r="D123" i="101" s="1"/>
  <c r="I123" i="101"/>
  <c r="J122" i="101"/>
  <c r="D122" i="101" s="1"/>
  <c r="I122" i="101"/>
  <c r="J121" i="101"/>
  <c r="D121" i="101" s="1"/>
  <c r="I121" i="101"/>
  <c r="J120" i="101"/>
  <c r="D120" i="101" s="1"/>
  <c r="I120" i="101"/>
  <c r="J119" i="101"/>
  <c r="D119" i="101" s="1"/>
  <c r="I119" i="101"/>
  <c r="J118" i="101"/>
  <c r="D118" i="101" s="1"/>
  <c r="I118" i="101"/>
  <c r="J117" i="101"/>
  <c r="D117" i="101" s="1"/>
  <c r="I117" i="101"/>
  <c r="J116" i="101"/>
  <c r="D116" i="101" s="1"/>
  <c r="I116" i="101"/>
  <c r="J115" i="101"/>
  <c r="D115" i="101" s="1"/>
  <c r="I115" i="101"/>
  <c r="J114" i="101"/>
  <c r="D114" i="101" s="1"/>
  <c r="I114" i="101"/>
  <c r="J113" i="101"/>
  <c r="D113" i="101" s="1"/>
  <c r="I113" i="101"/>
  <c r="J112" i="101"/>
  <c r="D112" i="101" s="1"/>
  <c r="I112" i="101"/>
  <c r="I111" i="101"/>
  <c r="I110" i="101"/>
  <c r="I109" i="101"/>
  <c r="J108" i="101"/>
  <c r="I108" i="101"/>
  <c r="I107" i="101"/>
  <c r="I106" i="101"/>
  <c r="J105" i="101"/>
  <c r="I105" i="101"/>
  <c r="I104" i="101"/>
  <c r="I103" i="101"/>
  <c r="I102" i="101"/>
  <c r="I101" i="101"/>
  <c r="J100" i="101"/>
  <c r="D100" i="101" s="1"/>
  <c r="I100" i="101"/>
  <c r="J99" i="101"/>
  <c r="D99" i="101" s="1"/>
  <c r="I99" i="101"/>
  <c r="J98" i="101"/>
  <c r="D98" i="101" s="1"/>
  <c r="I98" i="101"/>
  <c r="J97" i="101"/>
  <c r="D97" i="101" s="1"/>
  <c r="I97" i="101"/>
  <c r="I96" i="101"/>
  <c r="J95" i="101"/>
  <c r="D95" i="101" s="1"/>
  <c r="I95" i="101"/>
  <c r="J94" i="101"/>
  <c r="D94" i="101" s="1"/>
  <c r="I94" i="101"/>
  <c r="J93" i="101"/>
  <c r="D93" i="101" s="1"/>
  <c r="I93" i="101"/>
  <c r="J92" i="101"/>
  <c r="D92" i="101" s="1"/>
  <c r="I92" i="101"/>
  <c r="J91" i="101"/>
  <c r="D91" i="101" s="1"/>
  <c r="I91" i="101"/>
  <c r="J90" i="101"/>
  <c r="D90" i="101" s="1"/>
  <c r="I90" i="101"/>
  <c r="I89" i="101"/>
  <c r="J88" i="101"/>
  <c r="D88" i="101" s="1"/>
  <c r="I88" i="101"/>
  <c r="I87" i="101"/>
  <c r="I86" i="101"/>
  <c r="I85" i="101"/>
  <c r="J84" i="101"/>
  <c r="D84" i="101" s="1"/>
  <c r="I84" i="101"/>
  <c r="J83" i="101"/>
  <c r="D83" i="101" s="1"/>
  <c r="I83" i="101"/>
  <c r="J82" i="101"/>
  <c r="D82" i="101" s="1"/>
  <c r="I82" i="101"/>
  <c r="J81" i="101"/>
  <c r="D81" i="101" s="1"/>
  <c r="I81" i="101"/>
  <c r="J80" i="101"/>
  <c r="D80" i="101" s="1"/>
  <c r="I80" i="101"/>
  <c r="J79" i="101"/>
  <c r="D79" i="101" s="1"/>
  <c r="I79" i="101"/>
  <c r="I78" i="101"/>
  <c r="I77" i="101"/>
  <c r="J76" i="101"/>
  <c r="D76" i="101" s="1"/>
  <c r="I76" i="101"/>
  <c r="J75" i="101"/>
  <c r="D75" i="101" s="1"/>
  <c r="D158" i="101" s="1"/>
  <c r="I75" i="101"/>
  <c r="E70" i="101"/>
  <c r="I65" i="101"/>
  <c r="I64" i="101"/>
  <c r="J63" i="101"/>
  <c r="D63" i="101" s="1"/>
  <c r="I63" i="101"/>
  <c r="J62" i="101"/>
  <c r="D62" i="101" s="1"/>
  <c r="I62" i="101"/>
  <c r="J61" i="101"/>
  <c r="D61" i="101" s="1"/>
  <c r="I61" i="101"/>
  <c r="E56" i="101"/>
  <c r="I53" i="101"/>
  <c r="J52" i="101"/>
  <c r="D52" i="101" s="1"/>
  <c r="I52" i="101"/>
  <c r="J51" i="101"/>
  <c r="D51" i="101" s="1"/>
  <c r="I51" i="101"/>
  <c r="J50" i="101"/>
  <c r="D50" i="101" s="1"/>
  <c r="I50" i="101"/>
  <c r="I49" i="101"/>
  <c r="J48" i="101"/>
  <c r="D48" i="101" s="1"/>
  <c r="I48" i="101"/>
  <c r="I47" i="101"/>
  <c r="E42" i="101"/>
  <c r="D42" i="101"/>
  <c r="E36" i="101"/>
  <c r="I34" i="101"/>
  <c r="I33" i="101"/>
  <c r="I32" i="101"/>
  <c r="I31" i="101"/>
  <c r="I30" i="101"/>
  <c r="I29" i="101"/>
  <c r="I28" i="101"/>
  <c r="I27" i="101"/>
  <c r="I26" i="101"/>
  <c r="J25" i="101"/>
  <c r="D25" i="101" s="1"/>
  <c r="I25" i="101"/>
  <c r="I24" i="101"/>
  <c r="I23" i="101"/>
  <c r="I22" i="101"/>
  <c r="A22" i="101"/>
  <c r="A23" i="101" s="1"/>
  <c r="A25" i="101" s="1"/>
  <c r="A26" i="101" s="1"/>
  <c r="A27" i="101" s="1"/>
  <c r="A28" i="101" s="1"/>
  <c r="A29" i="101" s="1"/>
  <c r="A47" i="101" s="1"/>
  <c r="A48" i="101" s="1"/>
  <c r="A50" i="101" s="1"/>
  <c r="A51" i="101" s="1"/>
  <c r="A52" i="101" s="1"/>
  <c r="A53" i="101" s="1"/>
  <c r="A61" i="101" s="1"/>
  <c r="A62" i="101" s="1"/>
  <c r="A63" i="101" s="1"/>
  <c r="A64" i="101" s="1"/>
  <c r="A65" i="101" s="1"/>
  <c r="A75" i="101" s="1"/>
  <c r="A76" i="101" s="1"/>
  <c r="A77" i="101" s="1"/>
  <c r="A78" i="101" s="1"/>
  <c r="A79" i="101" s="1"/>
  <c r="A80" i="101" s="1"/>
  <c r="A81" i="101" s="1"/>
  <c r="A82" i="101" s="1"/>
  <c r="A83" i="101" s="1"/>
  <c r="A84" i="101" s="1"/>
  <c r="A85" i="101" s="1"/>
  <c r="A86" i="101" s="1"/>
  <c r="A87" i="101" s="1"/>
  <c r="A88" i="101" s="1"/>
  <c r="A89" i="101" s="1"/>
  <c r="A90" i="101" s="1"/>
  <c r="A91" i="101" s="1"/>
  <c r="A92" i="101" s="1"/>
  <c r="A93" i="101" s="1"/>
  <c r="A94" i="101" s="1"/>
  <c r="A95" i="101" s="1"/>
  <c r="A96" i="101" s="1"/>
  <c r="A97" i="101" s="1"/>
  <c r="A98" i="101" s="1"/>
  <c r="A99" i="101" s="1"/>
  <c r="A100" i="101" s="1"/>
  <c r="A101" i="101" s="1"/>
  <c r="A102" i="101" s="1"/>
  <c r="A103" i="101" s="1"/>
  <c r="A106" i="101" s="1"/>
  <c r="A109" i="101" s="1"/>
  <c r="A110" i="101" s="1"/>
  <c r="A111" i="101" s="1"/>
  <c r="A112" i="101" s="1"/>
  <c r="A113" i="101" s="1"/>
  <c r="A114" i="101" s="1"/>
  <c r="A115" i="101" s="1"/>
  <c r="A116" i="101" s="1"/>
  <c r="A117" i="101" s="1"/>
  <c r="A118" i="101" s="1"/>
  <c r="A119" i="101" s="1"/>
  <c r="A120" i="101" s="1"/>
  <c r="A121" i="101" s="1"/>
  <c r="A122" i="101" s="1"/>
  <c r="A123" i="101" s="1"/>
  <c r="A124" i="101" s="1"/>
  <c r="A125" i="101" s="1"/>
  <c r="A126" i="101" s="1"/>
  <c r="A127" i="101" s="1"/>
  <c r="A128" i="101" s="1"/>
  <c r="A129" i="101" s="1"/>
  <c r="A130" i="101" s="1"/>
  <c r="A131" i="101" s="1"/>
  <c r="A132" i="101" s="1"/>
  <c r="A133" i="101" s="1"/>
  <c r="A134" i="101" s="1"/>
  <c r="A135" i="101" s="1"/>
  <c r="A136" i="101" s="1"/>
  <c r="A137" i="101" s="1"/>
  <c r="A138" i="101" s="1"/>
  <c r="A139" i="101" s="1"/>
  <c r="A140" i="101" s="1"/>
  <c r="A141" i="101" s="1"/>
  <c r="A142" i="101" s="1"/>
  <c r="A143" i="101" s="1"/>
  <c r="A144" i="101" s="1"/>
  <c r="A145" i="101" s="1"/>
  <c r="A146" i="101" s="1"/>
  <c r="A147" i="101" s="1"/>
  <c r="A148" i="101" s="1"/>
  <c r="A149" i="101" s="1"/>
  <c r="A150" i="101" s="1"/>
  <c r="A151" i="101" s="1"/>
  <c r="A7" i="102" s="1"/>
  <c r="J21" i="101"/>
  <c r="I21" i="101"/>
  <c r="I20" i="101"/>
  <c r="I19" i="101"/>
  <c r="I18" i="101"/>
  <c r="I17" i="101"/>
  <c r="I16" i="101"/>
  <c r="I15" i="101"/>
  <c r="I14" i="101"/>
  <c r="I13" i="101"/>
  <c r="I12" i="101"/>
  <c r="I11" i="101"/>
  <c r="I10" i="101"/>
  <c r="I9" i="101"/>
  <c r="I8" i="101"/>
  <c r="I7" i="101"/>
  <c r="A7" i="101"/>
  <c r="A16" i="101" s="1"/>
  <c r="A17" i="101" s="1"/>
  <c r="A19" i="101" s="1"/>
  <c r="E25" i="100"/>
  <c r="I21" i="100"/>
  <c r="E10" i="100"/>
  <c r="I8" i="100"/>
  <c r="A8" i="100"/>
  <c r="A21" i="100" s="1"/>
  <c r="I7" i="100"/>
  <c r="E14" i="67"/>
  <c r="D14" i="67"/>
  <c r="E8" i="67"/>
  <c r="I7" i="67"/>
  <c r="E105" i="66"/>
  <c r="J104" i="66"/>
  <c r="D104" i="66" s="1"/>
  <c r="I104" i="66"/>
  <c r="J103" i="66"/>
  <c r="D103" i="66" s="1"/>
  <c r="I103" i="66"/>
  <c r="J102" i="66"/>
  <c r="D102" i="66" s="1"/>
  <c r="I102" i="66"/>
  <c r="J101" i="66"/>
  <c r="D101" i="66" s="1"/>
  <c r="I101" i="66"/>
  <c r="J100" i="66"/>
  <c r="D100" i="66" s="1"/>
  <c r="I100" i="66"/>
  <c r="J99" i="66"/>
  <c r="D99" i="66" s="1"/>
  <c r="I99" i="66"/>
  <c r="J98" i="66"/>
  <c r="D98" i="66" s="1"/>
  <c r="I98" i="66"/>
  <c r="I97" i="66"/>
  <c r="I96" i="66"/>
  <c r="I95" i="66"/>
  <c r="I94" i="66"/>
  <c r="I93" i="66"/>
  <c r="I92" i="66"/>
  <c r="I91" i="66"/>
  <c r="I90" i="66"/>
  <c r="I89" i="66"/>
  <c r="I88" i="66"/>
  <c r="I87" i="66"/>
  <c r="I86" i="66"/>
  <c r="I85" i="66"/>
  <c r="I84" i="66"/>
  <c r="I83" i="66"/>
  <c r="I82" i="66"/>
  <c r="I81" i="66"/>
  <c r="I80" i="66"/>
  <c r="I79" i="66"/>
  <c r="I78" i="66"/>
  <c r="I77" i="66"/>
  <c r="I76" i="66"/>
  <c r="J75" i="66"/>
  <c r="D75" i="66" s="1"/>
  <c r="I75" i="66"/>
  <c r="J74" i="66"/>
  <c r="D74" i="66" s="1"/>
  <c r="I74" i="66"/>
  <c r="J73" i="66"/>
  <c r="D73" i="66" s="1"/>
  <c r="I73" i="66"/>
  <c r="J72" i="66"/>
  <c r="D72" i="66" s="1"/>
  <c r="I72" i="66"/>
  <c r="J71" i="66"/>
  <c r="D71" i="66" s="1"/>
  <c r="I71" i="66"/>
  <c r="J70" i="66"/>
  <c r="D70" i="66" s="1"/>
  <c r="I70" i="66"/>
  <c r="I69" i="66"/>
  <c r="I68" i="66"/>
  <c r="I67" i="66"/>
  <c r="I66" i="66"/>
  <c r="I65" i="66"/>
  <c r="J64" i="66"/>
  <c r="D64" i="66" s="1"/>
  <c r="I64" i="66"/>
  <c r="J63" i="66"/>
  <c r="D63" i="66" s="1"/>
  <c r="I63" i="66"/>
  <c r="J62" i="66"/>
  <c r="D62" i="66" s="1"/>
  <c r="I62" i="66"/>
  <c r="J61" i="66"/>
  <c r="D61" i="66" s="1"/>
  <c r="I61" i="66"/>
  <c r="J60" i="66"/>
  <c r="D60" i="66" s="1"/>
  <c r="I60" i="66"/>
  <c r="J59" i="66"/>
  <c r="D59" i="66" s="1"/>
  <c r="I59" i="66"/>
  <c r="I58" i="66"/>
  <c r="I57" i="66"/>
  <c r="J56" i="66"/>
  <c r="D56" i="66" s="1"/>
  <c r="I56" i="66"/>
  <c r="J55" i="66"/>
  <c r="D55" i="66" s="1"/>
  <c r="D105" i="66" s="1"/>
  <c r="I55" i="66"/>
  <c r="E50" i="66"/>
  <c r="I49" i="66"/>
  <c r="B49" i="66"/>
  <c r="A49" i="66"/>
  <c r="I48" i="66"/>
  <c r="E43" i="66"/>
  <c r="I42" i="66"/>
  <c r="I41" i="66"/>
  <c r="E36" i="66"/>
  <c r="D36" i="66"/>
  <c r="E30" i="66"/>
  <c r="I29" i="66"/>
  <c r="I28" i="66"/>
  <c r="I27" i="66"/>
  <c r="I26" i="66"/>
  <c r="I25" i="66"/>
  <c r="I24" i="66"/>
  <c r="I23" i="66"/>
  <c r="I22" i="66"/>
  <c r="I21" i="66"/>
  <c r="I20" i="66"/>
  <c r="I19" i="66"/>
  <c r="I18" i="66"/>
  <c r="I17" i="66"/>
  <c r="I16" i="66"/>
  <c r="I15" i="66"/>
  <c r="I14" i="66"/>
  <c r="I13" i="66"/>
  <c r="I12" i="66"/>
  <c r="I11" i="66"/>
  <c r="I10" i="66"/>
  <c r="I9" i="66"/>
  <c r="I8" i="66"/>
  <c r="I7" i="66"/>
  <c r="A7" i="66"/>
  <c r="A16" i="66" s="1"/>
  <c r="A17" i="66" s="1"/>
  <c r="A19" i="66" s="1"/>
  <c r="A21" i="66" s="1"/>
  <c r="A22" i="66" s="1"/>
  <c r="A24" i="66" s="1"/>
  <c r="A41" i="66" s="1"/>
  <c r="A42" i="66" s="1"/>
  <c r="A48"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5" i="66" s="1"/>
  <c r="A87" i="66" s="1"/>
  <c r="A88" i="66" s="1"/>
  <c r="A89" i="66" s="1"/>
  <c r="A90" i="66" s="1"/>
  <c r="A91" i="66" s="1"/>
  <c r="A92" i="66" s="1"/>
  <c r="A93" i="66" s="1"/>
  <c r="A94" i="66" s="1"/>
  <c r="A95" i="66" s="1"/>
  <c r="A96" i="66" s="1"/>
  <c r="A97" i="66" s="1"/>
  <c r="E20" i="65"/>
  <c r="I19" i="65"/>
  <c r="A19" i="65"/>
  <c r="E8" i="65"/>
  <c r="I7" i="65"/>
  <c r="BY321" i="106"/>
  <c r="BT321" i="106"/>
  <c r="BF321" i="106"/>
  <c r="AR321" i="106"/>
  <c r="BZ321" i="106" s="1"/>
  <c r="AD321" i="106"/>
  <c r="P321" i="106"/>
  <c r="BY320" i="106"/>
  <c r="BT320" i="106"/>
  <c r="BF320" i="106"/>
  <c r="AR320" i="106"/>
  <c r="AD320" i="106"/>
  <c r="P320" i="106"/>
  <c r="BY319" i="106"/>
  <c r="BT319" i="106"/>
  <c r="BF319" i="106"/>
  <c r="AR319" i="106"/>
  <c r="AD319" i="106"/>
  <c r="BZ319" i="106" s="1"/>
  <c r="P319" i="106"/>
  <c r="BY318" i="106"/>
  <c r="BT318" i="106"/>
  <c r="BF318" i="106"/>
  <c r="AR318" i="106"/>
  <c r="AD318" i="106"/>
  <c r="P318" i="106"/>
  <c r="BZ318" i="106" s="1"/>
  <c r="BY317" i="106"/>
  <c r="BZ317" i="106" s="1"/>
  <c r="BT317" i="106"/>
  <c r="BF317" i="106"/>
  <c r="AR317" i="106"/>
  <c r="AD317" i="106"/>
  <c r="P317" i="106"/>
  <c r="BY304" i="106"/>
  <c r="BT304" i="106"/>
  <c r="BF304" i="106"/>
  <c r="AR304" i="106"/>
  <c r="AD304" i="106"/>
  <c r="P304" i="106"/>
  <c r="BY303" i="106"/>
  <c r="BT303" i="106"/>
  <c r="BF303" i="106"/>
  <c r="AR303" i="106"/>
  <c r="AD303" i="106"/>
  <c r="P303" i="106"/>
  <c r="BZ303" i="106" s="1"/>
  <c r="BZ302" i="106"/>
  <c r="BY302" i="106"/>
  <c r="BT302" i="106"/>
  <c r="BF302" i="106"/>
  <c r="AR302" i="106"/>
  <c r="AD302" i="106"/>
  <c r="P302" i="106"/>
  <c r="BZ301" i="106"/>
  <c r="BY301" i="106"/>
  <c r="BT301" i="106"/>
  <c r="BF301" i="106"/>
  <c r="AR301" i="106"/>
  <c r="AD301" i="106"/>
  <c r="P301" i="106"/>
  <c r="BY300" i="106"/>
  <c r="BT300" i="106"/>
  <c r="BF300" i="106"/>
  <c r="AR300" i="106"/>
  <c r="AD300" i="106"/>
  <c r="P300" i="106"/>
  <c r="BY299" i="106"/>
  <c r="BT299" i="106"/>
  <c r="BF299" i="106"/>
  <c r="AR299" i="106"/>
  <c r="AD299" i="106"/>
  <c r="P299" i="106"/>
  <c r="BZ299" i="106" s="1"/>
  <c r="BY298" i="106"/>
  <c r="BT298" i="106"/>
  <c r="BF298" i="106"/>
  <c r="AR298" i="106"/>
  <c r="AD298" i="106"/>
  <c r="BZ298" i="106" s="1"/>
  <c r="P298" i="106"/>
  <c r="BY297" i="106"/>
  <c r="BT297" i="106"/>
  <c r="BF297" i="106"/>
  <c r="AR297" i="106"/>
  <c r="AD297" i="106"/>
  <c r="BZ297" i="106" s="1"/>
  <c r="P297" i="106"/>
  <c r="BY296" i="106"/>
  <c r="BT296" i="106"/>
  <c r="BF296" i="106"/>
  <c r="AR296" i="106"/>
  <c r="AD296" i="106"/>
  <c r="BZ296" i="106" s="1"/>
  <c r="P296" i="106"/>
  <c r="BY288" i="106"/>
  <c r="BT288" i="106"/>
  <c r="BF288" i="106"/>
  <c r="AR288" i="106"/>
  <c r="AD288" i="106"/>
  <c r="P288" i="106"/>
  <c r="BZ288" i="106" s="1"/>
  <c r="BY287" i="106"/>
  <c r="BT287" i="106"/>
  <c r="BF287" i="106"/>
  <c r="AR287" i="106"/>
  <c r="AD287" i="106"/>
  <c r="P287" i="106"/>
  <c r="BY286" i="106"/>
  <c r="BT286" i="106"/>
  <c r="BF286" i="106"/>
  <c r="AR286" i="106"/>
  <c r="BZ286" i="106" s="1"/>
  <c r="AD286" i="106"/>
  <c r="P286" i="106"/>
  <c r="BZ255" i="106"/>
  <c r="BY255" i="106"/>
  <c r="BT255" i="106"/>
  <c r="BF255" i="106"/>
  <c r="AR255" i="106"/>
  <c r="AD255" i="106"/>
  <c r="P255" i="106"/>
  <c r="BY254" i="106"/>
  <c r="BT254" i="106"/>
  <c r="BF254" i="106"/>
  <c r="AR254" i="106"/>
  <c r="AD254" i="106"/>
  <c r="P254" i="106"/>
  <c r="BY253" i="106"/>
  <c r="BT253" i="106"/>
  <c r="BF253" i="106"/>
  <c r="AR253" i="106"/>
  <c r="AD253" i="106"/>
  <c r="P253" i="106"/>
  <c r="BY252" i="106"/>
  <c r="BT252" i="106"/>
  <c r="BF252" i="106"/>
  <c r="AR252" i="106"/>
  <c r="BZ252" i="106" s="1"/>
  <c r="AD252" i="106"/>
  <c r="P252" i="106"/>
  <c r="BY251" i="106"/>
  <c r="BT251" i="106"/>
  <c r="BZ251" i="106" s="1"/>
  <c r="BF251" i="106"/>
  <c r="AR251" i="106"/>
  <c r="AD251" i="106"/>
  <c r="P251" i="106"/>
  <c r="BY250" i="106"/>
  <c r="BT250" i="106"/>
  <c r="BF250" i="106"/>
  <c r="AR250" i="106"/>
  <c r="AD250" i="106"/>
  <c r="P250" i="106"/>
  <c r="BY243" i="106"/>
  <c r="BT243" i="106"/>
  <c r="BF243" i="106"/>
  <c r="AR243" i="106"/>
  <c r="AD243" i="106"/>
  <c r="P243" i="106"/>
  <c r="BZ243" i="106" s="1"/>
  <c r="BZ242" i="106"/>
  <c r="BY242" i="106"/>
  <c r="BT242" i="106"/>
  <c r="BF242" i="106"/>
  <c r="AR242" i="106"/>
  <c r="AD242" i="106"/>
  <c r="P242" i="106"/>
  <c r="BY241" i="106"/>
  <c r="BT241" i="106"/>
  <c r="BF241" i="106"/>
  <c r="AR241" i="106"/>
  <c r="AD241" i="106"/>
  <c r="BZ241" i="106" s="1"/>
  <c r="P241" i="106"/>
  <c r="BY240" i="106"/>
  <c r="BT240" i="106"/>
  <c r="BF240" i="106"/>
  <c r="AR240" i="106"/>
  <c r="AD240" i="106"/>
  <c r="P240" i="106"/>
  <c r="BZ239" i="106"/>
  <c r="BY239" i="106"/>
  <c r="BT239" i="106"/>
  <c r="BF239" i="106"/>
  <c r="AR239" i="106"/>
  <c r="AD239" i="106"/>
  <c r="P239" i="106"/>
  <c r="BZ238" i="106"/>
  <c r="BY238" i="106"/>
  <c r="BT238" i="106"/>
  <c r="BF238" i="106"/>
  <c r="AR238" i="106"/>
  <c r="AD238" i="106"/>
  <c r="P238" i="106"/>
  <c r="BY237" i="106"/>
  <c r="BT237" i="106"/>
  <c r="BF237" i="106"/>
  <c r="AR237" i="106"/>
  <c r="AD237" i="106"/>
  <c r="P237" i="106"/>
  <c r="BY231" i="106"/>
  <c r="BT231" i="106"/>
  <c r="BF231" i="106"/>
  <c r="AR231" i="106"/>
  <c r="AD231" i="106"/>
  <c r="P231" i="106"/>
  <c r="BZ231" i="106" s="1"/>
  <c r="BY230" i="106"/>
  <c r="BT230" i="106"/>
  <c r="BF230" i="106"/>
  <c r="AR230" i="106"/>
  <c r="AD230" i="106"/>
  <c r="BZ230" i="106" s="1"/>
  <c r="P230" i="106"/>
  <c r="BY229" i="106"/>
  <c r="BT229" i="106"/>
  <c r="BF229" i="106"/>
  <c r="AR229" i="106"/>
  <c r="AD229" i="106"/>
  <c r="P229" i="106"/>
  <c r="BY228" i="106"/>
  <c r="BT228" i="106"/>
  <c r="BF228" i="106"/>
  <c r="AR228" i="106"/>
  <c r="AD228" i="106"/>
  <c r="BZ228" i="106" s="1"/>
  <c r="P228" i="106"/>
  <c r="BY227" i="106"/>
  <c r="BT227" i="106"/>
  <c r="BF227" i="106"/>
  <c r="AR227" i="106"/>
  <c r="AD227" i="106"/>
  <c r="P227" i="106"/>
  <c r="BZ227" i="106" s="1"/>
  <c r="BY226" i="106"/>
  <c r="BT226" i="106"/>
  <c r="BF226" i="106"/>
  <c r="AR226" i="106"/>
  <c r="AD226" i="106"/>
  <c r="P226" i="106"/>
  <c r="BY214" i="106"/>
  <c r="BT214" i="106"/>
  <c r="BF214" i="106"/>
  <c r="AR214" i="106"/>
  <c r="BZ214" i="106" s="1"/>
  <c r="AD214" i="106"/>
  <c r="P214" i="106"/>
  <c r="BZ211" i="106"/>
  <c r="BY211" i="106"/>
  <c r="BT211" i="106"/>
  <c r="BF211" i="106"/>
  <c r="AR211" i="106"/>
  <c r="AD211" i="106"/>
  <c r="P211" i="106"/>
  <c r="BY210" i="106"/>
  <c r="BT210" i="106"/>
  <c r="BF210" i="106"/>
  <c r="AR210" i="106"/>
  <c r="AD210" i="106"/>
  <c r="P210" i="106"/>
  <c r="BY209" i="106"/>
  <c r="BT209" i="106"/>
  <c r="BF209" i="106"/>
  <c r="AR209" i="106"/>
  <c r="AD209" i="106"/>
  <c r="P209" i="106"/>
  <c r="BZ209" i="106" s="1"/>
  <c r="BY208" i="106"/>
  <c r="BT208" i="106"/>
  <c r="BF208" i="106"/>
  <c r="AR208" i="106"/>
  <c r="BZ208" i="106" s="1"/>
  <c r="AD208" i="106"/>
  <c r="P208" i="106"/>
  <c r="BY177" i="106"/>
  <c r="BZ177" i="106" s="1"/>
  <c r="BT177" i="106"/>
  <c r="BR177" i="106"/>
  <c r="BF177" i="106"/>
  <c r="BE177" i="106"/>
  <c r="BA177" i="106"/>
  <c r="AR177" i="106"/>
  <c r="AQ177" i="106"/>
  <c r="AD177" i="106"/>
  <c r="P177" i="106"/>
  <c r="BY176" i="106"/>
  <c r="BT176" i="106"/>
  <c r="BR176" i="106"/>
  <c r="BE176" i="106"/>
  <c r="BA176" i="106"/>
  <c r="BF176" i="106" s="1"/>
  <c r="AQ176" i="106"/>
  <c r="AR176" i="106" s="1"/>
  <c r="AD176" i="106"/>
  <c r="P176" i="106"/>
  <c r="BZ168" i="106"/>
  <c r="BY168" i="106"/>
  <c r="BT168" i="106"/>
  <c r="BF168" i="106"/>
  <c r="AR168" i="106"/>
  <c r="AD168" i="106"/>
  <c r="P168" i="106"/>
  <c r="BZ167" i="106"/>
  <c r="BY167" i="106"/>
  <c r="BT167" i="106"/>
  <c r="BF167" i="106"/>
  <c r="AR167" i="106"/>
  <c r="AD167" i="106"/>
  <c r="P167" i="106"/>
  <c r="BY166" i="106"/>
  <c r="BT166" i="106"/>
  <c r="BF166" i="106"/>
  <c r="AR166" i="106"/>
  <c r="AD166" i="106"/>
  <c r="P166" i="106"/>
  <c r="BY164" i="106"/>
  <c r="BT164" i="106"/>
  <c r="BF164" i="106"/>
  <c r="AR164" i="106"/>
  <c r="AD164" i="106"/>
  <c r="P164" i="106"/>
  <c r="BZ164" i="106" s="1"/>
  <c r="BY163" i="106"/>
  <c r="BT163" i="106"/>
  <c r="BF163" i="106"/>
  <c r="AR163" i="106"/>
  <c r="AD163" i="106"/>
  <c r="BZ163" i="106" s="1"/>
  <c r="P163" i="106"/>
  <c r="BY162" i="106"/>
  <c r="BT162" i="106"/>
  <c r="BF162" i="106"/>
  <c r="AR162" i="106"/>
  <c r="AD162" i="106"/>
  <c r="P162" i="106"/>
  <c r="BY161" i="106"/>
  <c r="BT161" i="106"/>
  <c r="BF161" i="106"/>
  <c r="AR161" i="106"/>
  <c r="AD161" i="106"/>
  <c r="BZ161" i="106" s="1"/>
  <c r="P161" i="106"/>
  <c r="BY110" i="106"/>
  <c r="BT110" i="106"/>
  <c r="BF110" i="106"/>
  <c r="AR110" i="106"/>
  <c r="AD110" i="106"/>
  <c r="P110" i="106"/>
  <c r="BZ110" i="106" s="1"/>
  <c r="BY105" i="106"/>
  <c r="BT105" i="106"/>
  <c r="BF105" i="106"/>
  <c r="AR105" i="106"/>
  <c r="AD105" i="106"/>
  <c r="P105" i="106"/>
  <c r="BY104" i="106"/>
  <c r="BT104" i="106"/>
  <c r="BF104" i="106"/>
  <c r="AR104" i="106"/>
  <c r="BZ104" i="106" s="1"/>
  <c r="AD104" i="106"/>
  <c r="P104" i="106"/>
  <c r="BZ103" i="106"/>
  <c r="BY103" i="106"/>
  <c r="BT103" i="106"/>
  <c r="BF103" i="106"/>
  <c r="AR103" i="106"/>
  <c r="AD103" i="106"/>
  <c r="P103" i="106"/>
  <c r="BY31" i="106"/>
  <c r="BT31" i="106"/>
  <c r="BF31" i="106"/>
  <c r="AR31" i="106"/>
  <c r="AD31" i="106"/>
  <c r="P31" i="106"/>
  <c r="BZ31" i="106" s="1"/>
  <c r="BY30" i="106"/>
  <c r="BT30" i="106"/>
  <c r="BF30" i="106"/>
  <c r="AR30" i="106"/>
  <c r="AD30" i="106"/>
  <c r="P30" i="106"/>
  <c r="BZ30" i="106" s="1"/>
  <c r="BZ13" i="106"/>
  <c r="BY13" i="106"/>
  <c r="BT13" i="106"/>
  <c r="BF13" i="106"/>
  <c r="AR13" i="106"/>
  <c r="AD13" i="106"/>
  <c r="P13" i="106"/>
  <c r="F7" i="112"/>
  <c r="F6" i="112"/>
  <c r="F5" i="112"/>
  <c r="C58" i="64"/>
  <c r="B8" i="64"/>
  <c r="B7" i="64"/>
  <c r="G6" i="64"/>
  <c r="H80" i="110"/>
  <c r="H78" i="110" s="1"/>
  <c r="G78" i="110"/>
  <c r="H73" i="110"/>
  <c r="G73" i="110"/>
  <c r="H71" i="110"/>
  <c r="H69" i="110" s="1"/>
  <c r="G69" i="110"/>
  <c r="H63" i="110"/>
  <c r="H61" i="110" s="1"/>
  <c r="G61" i="110"/>
  <c r="G59" i="110" s="1"/>
  <c r="H57" i="110"/>
  <c r="H52" i="110"/>
  <c r="H50" i="110"/>
  <c r="G50" i="110"/>
  <c r="H48" i="110"/>
  <c r="H47" i="110"/>
  <c r="H44" i="110" s="1"/>
  <c r="H46" i="110"/>
  <c r="G44" i="110"/>
  <c r="H43" i="110"/>
  <c r="H38" i="110" s="1"/>
  <c r="H41" i="110"/>
  <c r="H40" i="110"/>
  <c r="G38" i="110"/>
  <c r="H34" i="110"/>
  <c r="H32" i="110"/>
  <c r="G32" i="110"/>
  <c r="H30" i="110"/>
  <c r="L29" i="110"/>
  <c r="M29" i="110" s="1"/>
  <c r="K29" i="110"/>
  <c r="L30" i="110" s="1"/>
  <c r="M30" i="110" s="1"/>
  <c r="H29" i="110"/>
  <c r="K27" i="110"/>
  <c r="H27" i="110"/>
  <c r="G27" i="110"/>
  <c r="H26" i="110"/>
  <c r="E26" i="110"/>
  <c r="H22" i="110"/>
  <c r="H20" i="110" s="1"/>
  <c r="G20" i="110"/>
  <c r="H18" i="110"/>
  <c r="H16" i="110"/>
  <c r="M16" i="110" s="1"/>
  <c r="N16" i="110" s="1"/>
  <c r="L14" i="110"/>
  <c r="M17" i="110" s="1"/>
  <c r="N17" i="110" s="1"/>
  <c r="H14" i="110"/>
  <c r="M14" i="110" s="1"/>
  <c r="N14" i="110" s="1"/>
  <c r="H12" i="110"/>
  <c r="G12" i="110"/>
  <c r="B10" i="110"/>
  <c r="C10" i="8"/>
  <c r="D10" i="8" s="1"/>
  <c r="E10" i="8" s="1"/>
  <c r="F10" i="8" s="1"/>
  <c r="G10" i="8" s="1"/>
  <c r="H10" i="8" s="1"/>
  <c r="EF597" i="9"/>
  <c r="EE597" i="9"/>
  <c r="ED597" i="9"/>
  <c r="EC597" i="9"/>
  <c r="EB597" i="9"/>
  <c r="DZ597" i="9"/>
  <c r="DX597" i="9"/>
  <c r="DW597" i="9"/>
  <c r="DV597" i="9"/>
  <c r="EF596" i="9"/>
  <c r="EE596" i="9"/>
  <c r="ED596" i="9"/>
  <c r="EC596" i="9"/>
  <c r="EB596" i="9"/>
  <c r="DZ596" i="9"/>
  <c r="DX596" i="9"/>
  <c r="DW596" i="9"/>
  <c r="DV596" i="9"/>
  <c r="EF595" i="9"/>
  <c r="EE595" i="9"/>
  <c r="ED595" i="9"/>
  <c r="EC595" i="9"/>
  <c r="EB595" i="9"/>
  <c r="DZ595" i="9"/>
  <c r="DY595" i="9"/>
  <c r="DX595" i="9"/>
  <c r="DV595" i="9"/>
  <c r="EF594" i="9"/>
  <c r="EE594" i="9"/>
  <c r="ED594" i="9"/>
  <c r="EC594" i="9"/>
  <c r="EB594" i="9"/>
  <c r="DZ594" i="9"/>
  <c r="DY594" i="9"/>
  <c r="DX594" i="9"/>
  <c r="DV594" i="9"/>
  <c r="EF593" i="9"/>
  <c r="EE593" i="9"/>
  <c r="ED593" i="9"/>
  <c r="DZ593" i="9"/>
  <c r="DY593" i="9"/>
  <c r="DX593" i="9"/>
  <c r="DW593" i="9"/>
  <c r="EF592" i="9"/>
  <c r="EE592" i="9"/>
  <c r="ED592" i="9"/>
  <c r="EC592" i="9"/>
  <c r="EB592" i="9"/>
  <c r="DZ592" i="9"/>
  <c r="DY592" i="9"/>
  <c r="DX592" i="9"/>
  <c r="DV592" i="9"/>
  <c r="EF591" i="9"/>
  <c r="EE591" i="9"/>
  <c r="ED591" i="9"/>
  <c r="EC591" i="9"/>
  <c r="EB591" i="9"/>
  <c r="DZ591" i="9"/>
  <c r="DY591" i="9"/>
  <c r="DW591" i="9"/>
  <c r="DV591" i="9"/>
  <c r="EF590" i="9"/>
  <c r="ED590" i="9"/>
  <c r="EC590" i="9"/>
  <c r="EB590" i="9"/>
  <c r="DZ590" i="9"/>
  <c r="DY590" i="9"/>
  <c r="DX590" i="9"/>
  <c r="DW590" i="9"/>
  <c r="DV590" i="9"/>
  <c r="EF589" i="9"/>
  <c r="EE589" i="9"/>
  <c r="ED589" i="9"/>
  <c r="EC589" i="9"/>
  <c r="EB589" i="9"/>
  <c r="DZ589" i="9"/>
  <c r="DY589" i="9"/>
  <c r="DW589" i="9"/>
  <c r="DV589" i="9"/>
  <c r="EF582" i="9"/>
  <c r="EE582" i="9"/>
  <c r="ED582" i="9"/>
  <c r="EC582" i="9"/>
  <c r="EB582" i="9"/>
  <c r="DZ582" i="9"/>
  <c r="DX582" i="9"/>
  <c r="DW582" i="9"/>
  <c r="DV582" i="9"/>
  <c r="EF581" i="9"/>
  <c r="EE581" i="9"/>
  <c r="ED581" i="9"/>
  <c r="EC581" i="9"/>
  <c r="EB581" i="9"/>
  <c r="DZ581" i="9"/>
  <c r="DX581" i="9"/>
  <c r="DW581" i="9"/>
  <c r="DV581" i="9"/>
  <c r="EF580" i="9"/>
  <c r="EE580" i="9"/>
  <c r="ED580" i="9"/>
  <c r="EC580" i="9"/>
  <c r="EB580" i="9"/>
  <c r="DZ580" i="9"/>
  <c r="DY580" i="9"/>
  <c r="DX580" i="9"/>
  <c r="DV580" i="9"/>
  <c r="EF579" i="9"/>
  <c r="EE579" i="9"/>
  <c r="ED579" i="9"/>
  <c r="EC579" i="9"/>
  <c r="EB579" i="9"/>
  <c r="DZ579" i="9"/>
  <c r="DY579" i="9"/>
  <c r="DX579" i="9"/>
  <c r="DV579" i="9"/>
  <c r="EF578" i="9"/>
  <c r="EE578" i="9"/>
  <c r="ED578" i="9"/>
  <c r="DZ578" i="9"/>
  <c r="DY578" i="9"/>
  <c r="DX578" i="9"/>
  <c r="DW578" i="9"/>
  <c r="EF577" i="9"/>
  <c r="EE577" i="9"/>
  <c r="ED577" i="9"/>
  <c r="EC577" i="9"/>
  <c r="EB577" i="9"/>
  <c r="DZ577" i="9"/>
  <c r="DY577" i="9"/>
  <c r="DX577" i="9"/>
  <c r="DV577" i="9"/>
  <c r="EF576" i="9"/>
  <c r="EE576" i="9"/>
  <c r="ED576" i="9"/>
  <c r="EC576" i="9"/>
  <c r="EB576" i="9"/>
  <c r="DZ576" i="9"/>
  <c r="DY576" i="9"/>
  <c r="DW576" i="9"/>
  <c r="DV576" i="9"/>
  <c r="EF575" i="9"/>
  <c r="ED575" i="9"/>
  <c r="EC575" i="9"/>
  <c r="EB575" i="9"/>
  <c r="DZ575" i="9"/>
  <c r="DY575" i="9"/>
  <c r="DX575" i="9"/>
  <c r="DW575" i="9"/>
  <c r="DV575" i="9"/>
  <c r="EF574" i="9"/>
  <c r="EE574" i="9"/>
  <c r="ED574" i="9"/>
  <c r="EC574" i="9"/>
  <c r="EB574" i="9"/>
  <c r="DZ574" i="9"/>
  <c r="DY574" i="9"/>
  <c r="DW574" i="9"/>
  <c r="DV574" i="9"/>
  <c r="EF567" i="9"/>
  <c r="EE567" i="9"/>
  <c r="ED567" i="9"/>
  <c r="EC567" i="9"/>
  <c r="EB567" i="9"/>
  <c r="DZ567" i="9"/>
  <c r="DX567" i="9"/>
  <c r="DW567" i="9"/>
  <c r="DV567" i="9"/>
  <c r="EF566" i="9"/>
  <c r="EE566" i="9"/>
  <c r="ED566" i="9"/>
  <c r="EC566" i="9"/>
  <c r="EB566" i="9"/>
  <c r="DZ566" i="9"/>
  <c r="DX566" i="9"/>
  <c r="DW566" i="9"/>
  <c r="DV566" i="9"/>
  <c r="EF565" i="9"/>
  <c r="EE565" i="9"/>
  <c r="ED565" i="9"/>
  <c r="EC565" i="9"/>
  <c r="EB565" i="9"/>
  <c r="DZ565" i="9"/>
  <c r="DY565" i="9"/>
  <c r="DX565" i="9"/>
  <c r="DV565" i="9"/>
  <c r="EF564" i="9"/>
  <c r="EE564" i="9"/>
  <c r="ED564" i="9"/>
  <c r="EC564" i="9"/>
  <c r="EB564" i="9"/>
  <c r="DZ564" i="9"/>
  <c r="DY564" i="9"/>
  <c r="DX564" i="9"/>
  <c r="DV564" i="9"/>
  <c r="EF563" i="9"/>
  <c r="EE563" i="9"/>
  <c r="ED563" i="9"/>
  <c r="DZ563" i="9"/>
  <c r="DY563" i="9"/>
  <c r="DX563" i="9"/>
  <c r="DW563" i="9"/>
  <c r="EF562" i="9"/>
  <c r="EE562" i="9"/>
  <c r="ED562" i="9"/>
  <c r="EC562" i="9"/>
  <c r="EB562" i="9"/>
  <c r="DZ562" i="9"/>
  <c r="DY562" i="9"/>
  <c r="DX562" i="9"/>
  <c r="DV562" i="9"/>
  <c r="EF561" i="9"/>
  <c r="EE561" i="9"/>
  <c r="ED561" i="9"/>
  <c r="EC561" i="9"/>
  <c r="EB561" i="9"/>
  <c r="DZ561" i="9"/>
  <c r="DY561" i="9"/>
  <c r="DW561" i="9"/>
  <c r="DV561" i="9"/>
  <c r="EF560" i="9"/>
  <c r="ED560" i="9"/>
  <c r="EC560" i="9"/>
  <c r="EB560" i="9"/>
  <c r="DZ560" i="9"/>
  <c r="DY560" i="9"/>
  <c r="DX560" i="9"/>
  <c r="DW560" i="9"/>
  <c r="DV560" i="9"/>
  <c r="EF559" i="9"/>
  <c r="EE559" i="9"/>
  <c r="ED559" i="9"/>
  <c r="EC559" i="9"/>
  <c r="EB559" i="9"/>
  <c r="DZ559" i="9"/>
  <c r="DY559" i="9"/>
  <c r="DW559" i="9"/>
  <c r="DV559" i="9"/>
  <c r="EF552" i="9"/>
  <c r="EE552" i="9"/>
  <c r="ED552" i="9"/>
  <c r="EC552" i="9"/>
  <c r="EB552" i="9"/>
  <c r="DZ552" i="9"/>
  <c r="DX552" i="9"/>
  <c r="DW552" i="9"/>
  <c r="DV552" i="9"/>
  <c r="EF551" i="9"/>
  <c r="EE551" i="9"/>
  <c r="ED551" i="9"/>
  <c r="EC551" i="9"/>
  <c r="EB551" i="9"/>
  <c r="DZ551" i="9"/>
  <c r="DX551" i="9"/>
  <c r="DW551" i="9"/>
  <c r="DV551" i="9"/>
  <c r="EF550" i="9"/>
  <c r="EE550" i="9"/>
  <c r="ED550" i="9"/>
  <c r="EC550" i="9"/>
  <c r="EB550" i="9"/>
  <c r="DZ550" i="9"/>
  <c r="DY550" i="9"/>
  <c r="DX550" i="9"/>
  <c r="DV550" i="9"/>
  <c r="EF549" i="9"/>
  <c r="EE549" i="9"/>
  <c r="ED549" i="9"/>
  <c r="EC549" i="9"/>
  <c r="EB549" i="9"/>
  <c r="DZ549" i="9"/>
  <c r="DY549" i="9"/>
  <c r="DX549" i="9"/>
  <c r="DV549" i="9"/>
  <c r="EF548" i="9"/>
  <c r="EE548" i="9"/>
  <c r="ED548" i="9"/>
  <c r="DZ548" i="9"/>
  <c r="DY548" i="9"/>
  <c r="DX548" i="9"/>
  <c r="DW548" i="9"/>
  <c r="EF547" i="9"/>
  <c r="EE547" i="9"/>
  <c r="ED547" i="9"/>
  <c r="EC547" i="9"/>
  <c r="EB547" i="9"/>
  <c r="DZ547" i="9"/>
  <c r="DY547" i="9"/>
  <c r="DX547" i="9"/>
  <c r="DV547" i="9"/>
  <c r="EF546" i="9"/>
  <c r="EE546" i="9"/>
  <c r="ED546" i="9"/>
  <c r="EC546" i="9"/>
  <c r="EB546" i="9"/>
  <c r="DZ546" i="9"/>
  <c r="DY546" i="9"/>
  <c r="DW546" i="9"/>
  <c r="DV546" i="9"/>
  <c r="EF545" i="9"/>
  <c r="ED545" i="9"/>
  <c r="EC545" i="9"/>
  <c r="EB545" i="9"/>
  <c r="DZ545" i="9"/>
  <c r="DY545" i="9"/>
  <c r="DX545" i="9"/>
  <c r="DW545" i="9"/>
  <c r="DV545" i="9"/>
  <c r="EF544" i="9"/>
  <c r="EE544" i="9"/>
  <c r="ED544" i="9"/>
  <c r="EC544" i="9"/>
  <c r="EB544" i="9"/>
  <c r="DZ544" i="9"/>
  <c r="DY544" i="9"/>
  <c r="DW544" i="9"/>
  <c r="DV544" i="9"/>
  <c r="EF537" i="9"/>
  <c r="EE537" i="9"/>
  <c r="ED537" i="9"/>
  <c r="EC537" i="9"/>
  <c r="EB537" i="9"/>
  <c r="DZ537" i="9"/>
  <c r="DX537" i="9"/>
  <c r="DW537" i="9"/>
  <c r="DV537" i="9"/>
  <c r="EF536" i="9"/>
  <c r="EE536" i="9"/>
  <c r="ED536" i="9"/>
  <c r="EC536" i="9"/>
  <c r="EB536" i="9"/>
  <c r="DZ536" i="9"/>
  <c r="DX536" i="9"/>
  <c r="DW536" i="9"/>
  <c r="DV536" i="9"/>
  <c r="EF535" i="9"/>
  <c r="EE535" i="9"/>
  <c r="ED535" i="9"/>
  <c r="EC535" i="9"/>
  <c r="EB535" i="9"/>
  <c r="DZ535" i="9"/>
  <c r="DY535" i="9"/>
  <c r="DX535" i="9"/>
  <c r="DV535" i="9"/>
  <c r="EF534" i="9"/>
  <c r="EE534" i="9"/>
  <c r="ED534" i="9"/>
  <c r="EC534" i="9"/>
  <c r="EB534" i="9"/>
  <c r="DZ534" i="9"/>
  <c r="DY534" i="9"/>
  <c r="DX534" i="9"/>
  <c r="DV534" i="9"/>
  <c r="EF533" i="9"/>
  <c r="EE533" i="9"/>
  <c r="ED533" i="9"/>
  <c r="DZ533" i="9"/>
  <c r="DY533" i="9"/>
  <c r="DX533" i="9"/>
  <c r="DW533" i="9"/>
  <c r="EF532" i="9"/>
  <c r="EE532" i="9"/>
  <c r="ED532" i="9"/>
  <c r="EC532" i="9"/>
  <c r="EB532" i="9"/>
  <c r="DZ532" i="9"/>
  <c r="DY532" i="9"/>
  <c r="DX532" i="9"/>
  <c r="DV532" i="9"/>
  <c r="EF531" i="9"/>
  <c r="EE531" i="9"/>
  <c r="ED531" i="9"/>
  <c r="EC531" i="9"/>
  <c r="EB531" i="9"/>
  <c r="DZ531" i="9"/>
  <c r="DY531" i="9"/>
  <c r="DW531" i="9"/>
  <c r="DV531" i="9"/>
  <c r="EF530" i="9"/>
  <c r="ED530" i="9"/>
  <c r="EC530" i="9"/>
  <c r="EB530" i="9"/>
  <c r="DZ530" i="9"/>
  <c r="DY530" i="9"/>
  <c r="DX530" i="9"/>
  <c r="DW530" i="9"/>
  <c r="DV530" i="9"/>
  <c r="EF529" i="9"/>
  <c r="EE529" i="9"/>
  <c r="ED529" i="9"/>
  <c r="EC529" i="9"/>
  <c r="EB529" i="9"/>
  <c r="DZ529" i="9"/>
  <c r="DY529" i="9"/>
  <c r="DW529" i="9"/>
  <c r="DV529" i="9"/>
  <c r="EF522" i="9"/>
  <c r="EE522" i="9"/>
  <c r="ED522" i="9"/>
  <c r="EC522" i="9"/>
  <c r="EB522" i="9"/>
  <c r="DZ522" i="9"/>
  <c r="DX522" i="9"/>
  <c r="DW522" i="9"/>
  <c r="DV522" i="9"/>
  <c r="EF521" i="9"/>
  <c r="EE521" i="9"/>
  <c r="ED521" i="9"/>
  <c r="EC521" i="9"/>
  <c r="EB521" i="9"/>
  <c r="DZ521" i="9"/>
  <c r="DX521" i="9"/>
  <c r="DW521" i="9"/>
  <c r="DV521" i="9"/>
  <c r="EF520" i="9"/>
  <c r="EE520" i="9"/>
  <c r="ED520" i="9"/>
  <c r="EC520" i="9"/>
  <c r="EB520" i="9"/>
  <c r="DZ520" i="9"/>
  <c r="DY520" i="9"/>
  <c r="DX520" i="9"/>
  <c r="DV520" i="9"/>
  <c r="EF519" i="9"/>
  <c r="EE519" i="9"/>
  <c r="ED519" i="9"/>
  <c r="EC519" i="9"/>
  <c r="EB519" i="9"/>
  <c r="DZ519" i="9"/>
  <c r="DY519" i="9"/>
  <c r="DX519" i="9"/>
  <c r="DV519" i="9"/>
  <c r="EF518" i="9"/>
  <c r="EE518" i="9"/>
  <c r="ED518" i="9"/>
  <c r="DZ518" i="9"/>
  <c r="DY518" i="9"/>
  <c r="DX518" i="9"/>
  <c r="DW518" i="9"/>
  <c r="EF517" i="9"/>
  <c r="EE517" i="9"/>
  <c r="ED517" i="9"/>
  <c r="EC517" i="9"/>
  <c r="EB517" i="9"/>
  <c r="DZ517" i="9"/>
  <c r="DY517" i="9"/>
  <c r="DX517" i="9"/>
  <c r="DV517" i="9"/>
  <c r="EF516" i="9"/>
  <c r="EE516" i="9"/>
  <c r="ED516" i="9"/>
  <c r="EC516" i="9"/>
  <c r="EB516" i="9"/>
  <c r="DZ516" i="9"/>
  <c r="DY516" i="9"/>
  <c r="DW516" i="9"/>
  <c r="DV516" i="9"/>
  <c r="EF515" i="9"/>
  <c r="ED515" i="9"/>
  <c r="EC515" i="9"/>
  <c r="EB515" i="9"/>
  <c r="DZ515" i="9"/>
  <c r="DY515" i="9"/>
  <c r="DX515" i="9"/>
  <c r="DW515" i="9"/>
  <c r="DV515" i="9"/>
  <c r="EF514" i="9"/>
  <c r="EE514" i="9"/>
  <c r="ED514" i="9"/>
  <c r="EC514" i="9"/>
  <c r="EB514" i="9"/>
  <c r="DZ514" i="9"/>
  <c r="DY514" i="9"/>
  <c r="DW514" i="9"/>
  <c r="DV514" i="9"/>
  <c r="EF507" i="9"/>
  <c r="EE507" i="9"/>
  <c r="ED507" i="9"/>
  <c r="EC507" i="9"/>
  <c r="EB507" i="9"/>
  <c r="DZ507" i="9"/>
  <c r="DX507" i="9"/>
  <c r="DW507" i="9"/>
  <c r="DV507" i="9"/>
  <c r="EF506" i="9"/>
  <c r="EE506" i="9"/>
  <c r="ED506" i="9"/>
  <c r="EC506" i="9"/>
  <c r="EB506" i="9"/>
  <c r="DZ506" i="9"/>
  <c r="DX506" i="9"/>
  <c r="DW506" i="9"/>
  <c r="DV506" i="9"/>
  <c r="EF505" i="9"/>
  <c r="EE505" i="9"/>
  <c r="ED505" i="9"/>
  <c r="EC505" i="9"/>
  <c r="EB505" i="9"/>
  <c r="DZ505" i="9"/>
  <c r="DY505" i="9"/>
  <c r="DX505" i="9"/>
  <c r="DV505" i="9"/>
  <c r="EF504" i="9"/>
  <c r="EE504" i="9"/>
  <c r="ED504" i="9"/>
  <c r="EC504" i="9"/>
  <c r="EB504" i="9"/>
  <c r="DZ504" i="9"/>
  <c r="DY504" i="9"/>
  <c r="DX504" i="9"/>
  <c r="DV504" i="9"/>
  <c r="EF503" i="9"/>
  <c r="EE503" i="9"/>
  <c r="ED503" i="9"/>
  <c r="DZ503" i="9"/>
  <c r="DY503" i="9"/>
  <c r="DX503" i="9"/>
  <c r="DW503" i="9"/>
  <c r="EF502" i="9"/>
  <c r="EE502" i="9"/>
  <c r="ED502" i="9"/>
  <c r="EC502" i="9"/>
  <c r="EB502" i="9"/>
  <c r="DZ502" i="9"/>
  <c r="DY502" i="9"/>
  <c r="DX502" i="9"/>
  <c r="DV502" i="9"/>
  <c r="EF501" i="9"/>
  <c r="EE501" i="9"/>
  <c r="ED501" i="9"/>
  <c r="EC501" i="9"/>
  <c r="EB501" i="9"/>
  <c r="DZ501" i="9"/>
  <c r="DY501" i="9"/>
  <c r="DW501" i="9"/>
  <c r="DV501" i="9"/>
  <c r="EF500" i="9"/>
  <c r="ED500" i="9"/>
  <c r="EC500" i="9"/>
  <c r="EB500" i="9"/>
  <c r="DZ500" i="9"/>
  <c r="DY500" i="9"/>
  <c r="DX500" i="9"/>
  <c r="DW500" i="9"/>
  <c r="DV500" i="9"/>
  <c r="EF499" i="9"/>
  <c r="EE499" i="9"/>
  <c r="ED499" i="9"/>
  <c r="EC499" i="9"/>
  <c r="EB499" i="9"/>
  <c r="DZ499" i="9"/>
  <c r="DY499" i="9"/>
  <c r="DW499" i="9"/>
  <c r="DV499" i="9"/>
  <c r="EI476" i="9"/>
  <c r="EH476" i="9"/>
  <c r="EF476" i="9"/>
  <c r="EE476" i="9"/>
  <c r="EC476" i="9"/>
  <c r="EB476" i="9"/>
  <c r="DZ476" i="9"/>
  <c r="DY476" i="9"/>
  <c r="DW476" i="9"/>
  <c r="DV476" i="9"/>
  <c r="DT476" i="9"/>
  <c r="DS476" i="9"/>
  <c r="DR476" i="9"/>
  <c r="EI474" i="9"/>
  <c r="EF474" i="9"/>
  <c r="EC474" i="9"/>
  <c r="DZ474" i="9"/>
  <c r="DW474" i="9"/>
  <c r="DT474" i="9"/>
  <c r="EI467" i="9"/>
  <c r="EF467" i="9"/>
  <c r="EC467" i="9"/>
  <c r="DZ467" i="9"/>
  <c r="DW467" i="9"/>
  <c r="DT467" i="9"/>
  <c r="EI466" i="9"/>
  <c r="EF466" i="9"/>
  <c r="EC466" i="9"/>
  <c r="DZ466" i="9"/>
  <c r="DW466" i="9"/>
  <c r="DT466" i="9"/>
  <c r="EI464" i="9"/>
  <c r="EF464" i="9"/>
  <c r="EC464" i="9"/>
  <c r="DZ464" i="9"/>
  <c r="DW464" i="9"/>
  <c r="DT464" i="9"/>
  <c r="EI462" i="9"/>
  <c r="EF462" i="9"/>
  <c r="EC462" i="9"/>
  <c r="DZ462" i="9"/>
  <c r="DW462" i="9"/>
  <c r="DT462" i="9"/>
  <c r="EI461" i="9"/>
  <c r="EF461" i="9"/>
  <c r="EC461" i="9"/>
  <c r="DZ461" i="9"/>
  <c r="DW461" i="9"/>
  <c r="DT461" i="9"/>
  <c r="EH460" i="9"/>
  <c r="EE460" i="9"/>
  <c r="EB460" i="9"/>
  <c r="DY460" i="9"/>
  <c r="DV460" i="9"/>
  <c r="DS460" i="9"/>
  <c r="EI459" i="9"/>
  <c r="EF459" i="9"/>
  <c r="EC459" i="9"/>
  <c r="DZ459" i="9"/>
  <c r="DW459" i="9"/>
  <c r="DT459" i="9"/>
  <c r="DJ457" i="9"/>
  <c r="DI457" i="9"/>
  <c r="DH457" i="9"/>
  <c r="DG457" i="9"/>
  <c r="DF457" i="9"/>
  <c r="DE457" i="9"/>
  <c r="DD457" i="9"/>
  <c r="DC457" i="9"/>
  <c r="DB457" i="9"/>
  <c r="DA457" i="9"/>
  <c r="CZ457" i="9"/>
  <c r="CY457" i="9"/>
  <c r="CX457" i="9"/>
  <c r="CW457" i="9"/>
  <c r="CV457" i="9"/>
  <c r="CU457" i="9"/>
  <c r="CT457" i="9"/>
  <c r="CS457" i="9"/>
  <c r="CR457" i="9"/>
  <c r="CQ457" i="9"/>
  <c r="CP457" i="9"/>
  <c r="CO457" i="9"/>
  <c r="CN457" i="9"/>
  <c r="CM457" i="9"/>
  <c r="CL457" i="9"/>
  <c r="CK457" i="9"/>
  <c r="CJ457" i="9"/>
  <c r="CI457" i="9"/>
  <c r="CH457" i="9"/>
  <c r="CG457" i="9"/>
  <c r="CF457" i="9"/>
  <c r="CE457" i="9"/>
  <c r="CD457" i="9"/>
  <c r="CC457" i="9"/>
  <c r="CB457" i="9"/>
  <c r="CA457" i="9"/>
  <c r="BZ457" i="9"/>
  <c r="BY457" i="9"/>
  <c r="BX457" i="9"/>
  <c r="BW457" i="9"/>
  <c r="BV457" i="9"/>
  <c r="BU457" i="9"/>
  <c r="BT457" i="9"/>
  <c r="BS457" i="9"/>
  <c r="BR457" i="9"/>
  <c r="BQ457" i="9"/>
  <c r="BP457" i="9"/>
  <c r="BO457" i="9"/>
  <c r="BN457" i="9"/>
  <c r="AZ457" i="9"/>
  <c r="DE456" i="9"/>
  <c r="CQ456" i="9"/>
  <c r="CC456" i="9"/>
  <c r="BO456" i="9"/>
  <c r="D266" i="80"/>
  <c r="D265" i="80"/>
  <c r="F207" i="89"/>
  <c r="F206" i="89" s="1"/>
  <c r="F204" i="89"/>
  <c r="E204" i="89"/>
  <c r="F203" i="89"/>
  <c r="E203" i="89"/>
  <c r="E202" i="89"/>
  <c r="E201" i="89"/>
  <c r="E200" i="89"/>
  <c r="E199" i="89"/>
  <c r="F198" i="89"/>
  <c r="E198" i="89"/>
  <c r="DR451" i="9"/>
  <c r="CP451" i="9"/>
  <c r="BN451" i="9"/>
  <c r="AN451" i="9"/>
  <c r="DR449" i="9"/>
  <c r="DI449" i="9"/>
  <c r="DD449" i="9"/>
  <c r="CP449" i="9"/>
  <c r="CB449" i="9"/>
  <c r="BN449" i="9"/>
  <c r="AN449" i="9"/>
  <c r="DR448" i="9"/>
  <c r="BN448" i="9"/>
  <c r="AZ448" i="9"/>
  <c r="AI448" i="9"/>
  <c r="DR447" i="9"/>
  <c r="BN447" i="9"/>
  <c r="AZ447" i="9"/>
  <c r="AI447" i="9"/>
  <c r="DR446" i="9"/>
  <c r="BN446" i="9"/>
  <c r="AZ446" i="9"/>
  <c r="AI446" i="9"/>
  <c r="DR445" i="9"/>
  <c r="DI445" i="9"/>
  <c r="DD445" i="9"/>
  <c r="BN445" i="9"/>
  <c r="AZ445" i="9"/>
  <c r="AI445" i="9"/>
  <c r="DR444" i="9"/>
  <c r="DH444" i="9"/>
  <c r="DH441" i="9" s="1"/>
  <c r="DH440" i="9" s="1"/>
  <c r="DH439" i="9" s="1"/>
  <c r="DG444" i="9"/>
  <c r="DG441" i="9" s="1"/>
  <c r="DG440" i="9" s="1"/>
  <c r="DG439" i="9" s="1"/>
  <c r="DC444" i="9"/>
  <c r="DC441" i="9" s="1"/>
  <c r="DC440" i="9" s="1"/>
  <c r="DC439" i="9" s="1"/>
  <c r="DB444" i="9"/>
  <c r="CZ444" i="9"/>
  <c r="CZ441" i="9" s="1"/>
  <c r="CZ440" i="9" s="1"/>
  <c r="CZ439" i="9" s="1"/>
  <c r="CY444" i="9"/>
  <c r="CY441" i="9" s="1"/>
  <c r="CY440" i="9" s="1"/>
  <c r="CY439" i="9" s="1"/>
  <c r="CX444" i="9"/>
  <c r="CV444" i="9"/>
  <c r="CV441" i="9" s="1"/>
  <c r="CV440" i="9" s="1"/>
  <c r="CV439" i="9" s="1"/>
  <c r="CU444" i="9"/>
  <c r="CU441" i="9" s="1"/>
  <c r="CU440" i="9" s="1"/>
  <c r="CU439" i="9" s="1"/>
  <c r="CT444" i="9"/>
  <c r="CR444" i="9"/>
  <c r="CR441" i="9" s="1"/>
  <c r="CO444" i="9"/>
  <c r="CO441" i="9" s="1"/>
  <c r="CO440" i="9" s="1"/>
  <c r="CO439" i="9" s="1"/>
  <c r="CN444" i="9"/>
  <c r="CL444" i="9"/>
  <c r="CL441" i="9" s="1"/>
  <c r="CL440" i="9" s="1"/>
  <c r="CL439" i="9" s="1"/>
  <c r="CI444" i="9"/>
  <c r="CI441" i="9" s="1"/>
  <c r="CI440" i="9" s="1"/>
  <c r="CI439" i="9" s="1"/>
  <c r="CG444" i="9"/>
  <c r="CD444" i="9"/>
  <c r="CD441" i="9" s="1"/>
  <c r="CD440" i="9" s="1"/>
  <c r="CA444" i="9"/>
  <c r="BS444" i="9"/>
  <c r="BS441" i="9" s="1"/>
  <c r="BS440" i="9" s="1"/>
  <c r="BS439" i="9" s="1"/>
  <c r="BQ444" i="9"/>
  <c r="BQ441" i="9" s="1"/>
  <c r="BQ440" i="9" s="1"/>
  <c r="BQ439" i="9" s="1"/>
  <c r="BM444" i="9"/>
  <c r="BM441" i="9" s="1"/>
  <c r="BM440" i="9" s="1"/>
  <c r="BM439" i="9" s="1"/>
  <c r="BL444" i="9"/>
  <c r="BL441" i="9" s="1"/>
  <c r="BL440" i="9" s="1"/>
  <c r="BL439" i="9" s="1"/>
  <c r="BK444" i="9"/>
  <c r="BK441" i="9" s="1"/>
  <c r="BK440" i="9" s="1"/>
  <c r="BK439" i="9" s="1"/>
  <c r="BJ444" i="9"/>
  <c r="BJ441" i="9" s="1"/>
  <c r="BJ440" i="9" s="1"/>
  <c r="BJ439" i="9" s="1"/>
  <c r="BI444" i="9"/>
  <c r="BI441" i="9" s="1"/>
  <c r="BI440" i="9" s="1"/>
  <c r="BI439" i="9" s="1"/>
  <c r="BH444" i="9"/>
  <c r="BH441" i="9" s="1"/>
  <c r="BH440" i="9" s="1"/>
  <c r="BH439" i="9" s="1"/>
  <c r="BG444" i="9"/>
  <c r="BG441" i="9" s="1"/>
  <c r="BG440" i="9" s="1"/>
  <c r="BG439" i="9" s="1"/>
  <c r="BF444" i="9"/>
  <c r="BF441" i="9" s="1"/>
  <c r="BF440" i="9" s="1"/>
  <c r="BF439" i="9" s="1"/>
  <c r="BE444" i="9"/>
  <c r="BE441" i="9" s="1"/>
  <c r="BE440" i="9" s="1"/>
  <c r="BE439" i="9" s="1"/>
  <c r="BD444" i="9"/>
  <c r="BD441" i="9" s="1"/>
  <c r="BD440" i="9" s="1"/>
  <c r="BD439" i="9" s="1"/>
  <c r="BC444" i="9"/>
  <c r="BC441" i="9" s="1"/>
  <c r="BC440" i="9" s="1"/>
  <c r="BC439" i="9" s="1"/>
  <c r="BB444" i="9"/>
  <c r="BB441" i="9" s="1"/>
  <c r="BB440" i="9" s="1"/>
  <c r="AY444" i="9"/>
  <c r="AY441" i="9" s="1"/>
  <c r="AX444" i="9"/>
  <c r="AX441" i="9" s="1"/>
  <c r="AW444" i="9"/>
  <c r="AW441" i="9" s="1"/>
  <c r="AW439" i="9" s="1"/>
  <c r="AV444" i="9"/>
  <c r="AV441" i="9" s="1"/>
  <c r="AU444" i="9"/>
  <c r="AU441" i="9" s="1"/>
  <c r="AU440" i="9" s="1"/>
  <c r="AT444" i="9"/>
  <c r="AT441" i="9" s="1"/>
  <c r="AS444" i="9"/>
  <c r="AS441" i="9" s="1"/>
  <c r="AR444" i="9"/>
  <c r="AR441" i="9" s="1"/>
  <c r="AR439" i="9" s="1"/>
  <c r="AQ444" i="9"/>
  <c r="AQ441" i="9" s="1"/>
  <c r="AP444" i="9"/>
  <c r="AM444" i="9"/>
  <c r="AM441" i="9" s="1"/>
  <c r="AM439" i="9" s="1"/>
  <c r="U444" i="9"/>
  <c r="T444" i="9"/>
  <c r="S444" i="9"/>
  <c r="R444" i="9"/>
  <c r="Q444" i="9"/>
  <c r="P444" i="9"/>
  <c r="O444" i="9"/>
  <c r="N444" i="9"/>
  <c r="M444" i="9"/>
  <c r="L444" i="9"/>
  <c r="DR443" i="9"/>
  <c r="BN443" i="9"/>
  <c r="AZ443" i="9"/>
  <c r="AI443" i="9"/>
  <c r="CE443" i="9" s="1"/>
  <c r="DR441" i="9"/>
  <c r="DE441" i="9"/>
  <c r="DE439" i="9" s="1"/>
  <c r="CQ441" i="9"/>
  <c r="CQ439" i="9" s="1"/>
  <c r="CC441" i="9"/>
  <c r="CC439" i="9" s="1"/>
  <c r="BO441" i="9"/>
  <c r="BO439" i="9" s="1"/>
  <c r="BA441" i="9"/>
  <c r="BA439" i="9" s="1"/>
  <c r="T441" i="9"/>
  <c r="S441" i="9"/>
  <c r="R441" i="9"/>
  <c r="Q441" i="9"/>
  <c r="P441" i="9"/>
  <c r="O441" i="9"/>
  <c r="N441" i="9"/>
  <c r="M441" i="9"/>
  <c r="L441" i="9"/>
  <c r="DR440" i="9"/>
  <c r="DR439" i="9"/>
  <c r="DR438" i="9"/>
  <c r="DI438" i="9"/>
  <c r="DD438" i="9"/>
  <c r="CP438" i="9"/>
  <c r="CB438" i="9"/>
  <c r="BN438" i="9"/>
  <c r="AZ438" i="9"/>
  <c r="AN438" i="9"/>
  <c r="DR437" i="9"/>
  <c r="DI437" i="9"/>
  <c r="CP437" i="9"/>
  <c r="CB437" i="9"/>
  <c r="BN437" i="9"/>
  <c r="AZ437" i="9"/>
  <c r="AI437" i="9"/>
  <c r="CX437" i="9" s="1"/>
  <c r="DD437" i="9" s="1"/>
  <c r="DR436" i="9"/>
  <c r="BN436" i="9"/>
  <c r="AZ436" i="9"/>
  <c r="AI436" i="9"/>
  <c r="DR435" i="9"/>
  <c r="BN435" i="9"/>
  <c r="AZ435" i="9"/>
  <c r="AI435" i="9"/>
  <c r="DR434" i="9"/>
  <c r="BN434" i="9"/>
  <c r="AZ434" i="9"/>
  <c r="AI434" i="9"/>
  <c r="DR433" i="9"/>
  <c r="BN433" i="9"/>
  <c r="AZ433" i="9"/>
  <c r="AI433" i="9"/>
  <c r="DR432" i="9"/>
  <c r="BN432" i="9"/>
  <c r="AZ432" i="9"/>
  <c r="AI432" i="9"/>
  <c r="DR431" i="9"/>
  <c r="BN431" i="9"/>
  <c r="AZ431" i="9"/>
  <c r="AI431" i="9"/>
  <c r="DR430" i="9"/>
  <c r="BN430" i="9"/>
  <c r="AZ430" i="9"/>
  <c r="AI430" i="9"/>
  <c r="DR429" i="9"/>
  <c r="BN429" i="9"/>
  <c r="AZ429" i="9"/>
  <c r="AI429" i="9"/>
  <c r="DR428" i="9"/>
  <c r="BN428" i="9"/>
  <c r="AZ428" i="9"/>
  <c r="AI428" i="9"/>
  <c r="DR427" i="9"/>
  <c r="BN427" i="9"/>
  <c r="AZ427" i="9"/>
  <c r="AI427" i="9"/>
  <c r="DR426" i="9"/>
  <c r="BN426" i="9"/>
  <c r="AZ426" i="9"/>
  <c r="AI426" i="9"/>
  <c r="DR425" i="9"/>
  <c r="BN425" i="9"/>
  <c r="AZ425" i="9"/>
  <c r="AI425" i="9"/>
  <c r="DR424" i="9"/>
  <c r="DH424" i="9"/>
  <c r="DG424" i="9"/>
  <c r="DC424" i="9"/>
  <c r="DA424" i="9"/>
  <c r="CX424" i="9"/>
  <c r="CW424" i="9"/>
  <c r="CW422" i="9" s="1"/>
  <c r="CW421" i="9" s="1"/>
  <c r="CU424" i="9"/>
  <c r="CT424" i="9"/>
  <c r="CR424" i="9"/>
  <c r="CR422" i="9" s="1"/>
  <c r="CO424" i="9"/>
  <c r="CM424" i="9"/>
  <c r="CL424" i="9"/>
  <c r="CI424" i="9"/>
  <c r="CF424" i="9"/>
  <c r="CA424" i="9"/>
  <c r="BZ424" i="9"/>
  <c r="BX424" i="9"/>
  <c r="BW424" i="9"/>
  <c r="BV424" i="9"/>
  <c r="BU424" i="9"/>
  <c r="BT424" i="9"/>
  <c r="BS424" i="9"/>
  <c r="BR424" i="9"/>
  <c r="BQ424" i="9"/>
  <c r="BP424" i="9"/>
  <c r="BM424" i="9"/>
  <c r="BM422" i="9" s="1"/>
  <c r="BM421" i="9" s="1"/>
  <c r="BL424" i="9"/>
  <c r="BK424" i="9"/>
  <c r="BJ424" i="9"/>
  <c r="BJ422" i="9" s="1"/>
  <c r="BJ421" i="9" s="1"/>
  <c r="BI424" i="9"/>
  <c r="BH424" i="9"/>
  <c r="BH422" i="9" s="1"/>
  <c r="BH421" i="9" s="1"/>
  <c r="BG424" i="9"/>
  <c r="BG422" i="9" s="1"/>
  <c r="BG421" i="9" s="1"/>
  <c r="BF424" i="9"/>
  <c r="BF422" i="9" s="1"/>
  <c r="BF421" i="9" s="1"/>
  <c r="BE424" i="9"/>
  <c r="BE422" i="9" s="1"/>
  <c r="BE421" i="9" s="1"/>
  <c r="BD424" i="9"/>
  <c r="BD422" i="9" s="1"/>
  <c r="BD421" i="9" s="1"/>
  <c r="BC424" i="9"/>
  <c r="BC422" i="9" s="1"/>
  <c r="BC421" i="9" s="1"/>
  <c r="BB424" i="9"/>
  <c r="BB422" i="9" s="1"/>
  <c r="BB421" i="9" s="1"/>
  <c r="AY424" i="9"/>
  <c r="AY422" i="9" s="1"/>
  <c r="AY421" i="9" s="1"/>
  <c r="AX424" i="9"/>
  <c r="AX422" i="9" s="1"/>
  <c r="AX421" i="9" s="1"/>
  <c r="AW424" i="9"/>
  <c r="AW422" i="9" s="1"/>
  <c r="AW421" i="9" s="1"/>
  <c r="AV424" i="9"/>
  <c r="AV422" i="9" s="1"/>
  <c r="AV421" i="9" s="1"/>
  <c r="AU424" i="9"/>
  <c r="AU422" i="9" s="1"/>
  <c r="AU421" i="9" s="1"/>
  <c r="AT424" i="9"/>
  <c r="AT422" i="9" s="1"/>
  <c r="AT421" i="9" s="1"/>
  <c r="AS424" i="9"/>
  <c r="AS422" i="9" s="1"/>
  <c r="AS421" i="9" s="1"/>
  <c r="AR424" i="9"/>
  <c r="AR422" i="9" s="1"/>
  <c r="AR421" i="9" s="1"/>
  <c r="AQ424" i="9"/>
  <c r="AQ422" i="9" s="1"/>
  <c r="AQ421" i="9" s="1"/>
  <c r="AP424" i="9"/>
  <c r="AP422" i="9" s="1"/>
  <c r="AM424" i="9"/>
  <c r="AM422" i="9" s="1"/>
  <c r="AM421" i="9" s="1"/>
  <c r="DR423" i="9"/>
  <c r="DI423" i="9"/>
  <c r="DD423" i="9"/>
  <c r="CP423" i="9"/>
  <c r="AZ423" i="9"/>
  <c r="AI423" i="9"/>
  <c r="BP423" i="9" s="1"/>
  <c r="DR422" i="9"/>
  <c r="U422" i="9"/>
  <c r="T422" i="9"/>
  <c r="S422" i="9"/>
  <c r="R422" i="9"/>
  <c r="Q422" i="9"/>
  <c r="P422" i="9"/>
  <c r="O422" i="9"/>
  <c r="N422" i="9"/>
  <c r="M422" i="9"/>
  <c r="L422" i="9"/>
  <c r="DR421" i="9"/>
  <c r="DR420" i="9"/>
  <c r="DI420" i="9"/>
  <c r="DD420" i="9"/>
  <c r="CP420" i="9"/>
  <c r="CB420" i="9"/>
  <c r="BN420" i="9"/>
  <c r="AZ420" i="9"/>
  <c r="AN420" i="9"/>
  <c r="DR419" i="9"/>
  <c r="DI419" i="9"/>
  <c r="CP419" i="9"/>
  <c r="CB419" i="9"/>
  <c r="BN419" i="9"/>
  <c r="AZ419" i="9"/>
  <c r="AI419" i="9"/>
  <c r="DR418" i="9"/>
  <c r="DI418" i="9"/>
  <c r="DD418" i="9"/>
  <c r="BN418" i="9"/>
  <c r="AZ418" i="9"/>
  <c r="AI418" i="9"/>
  <c r="DR417" i="9"/>
  <c r="DI417" i="9"/>
  <c r="DD417" i="9"/>
  <c r="BN417" i="9"/>
  <c r="AZ417" i="9"/>
  <c r="AI417" i="9"/>
  <c r="DR416" i="9"/>
  <c r="DI416" i="9"/>
  <c r="DD416" i="9"/>
  <c r="CE412" i="9"/>
  <c r="CD412" i="9"/>
  <c r="CA412" i="9"/>
  <c r="BZ412" i="9"/>
  <c r="BX412" i="9"/>
  <c r="BV412" i="9"/>
  <c r="BV411" i="9" s="1"/>
  <c r="BN416" i="9"/>
  <c r="AZ416" i="9"/>
  <c r="AI416" i="9"/>
  <c r="DR415" i="9"/>
  <c r="DI415" i="9"/>
  <c r="DD415" i="9"/>
  <c r="CP415" i="9"/>
  <c r="BQ415" i="9"/>
  <c r="BM415" i="9"/>
  <c r="BN415" i="9" s="1"/>
  <c r="AZ415" i="9"/>
  <c r="AI415" i="9"/>
  <c r="DR414" i="9"/>
  <c r="DI414" i="9"/>
  <c r="DD414" i="9"/>
  <c r="CP414" i="9"/>
  <c r="BQ414" i="9"/>
  <c r="BP414" i="9"/>
  <c r="BM414" i="9"/>
  <c r="BN414" i="9" s="1"/>
  <c r="AZ414" i="9"/>
  <c r="AI414" i="9"/>
  <c r="F174" i="89" s="1"/>
  <c r="DR413" i="9"/>
  <c r="DI413" i="9"/>
  <c r="DD413" i="9"/>
  <c r="CP413" i="9"/>
  <c r="CB413" i="9"/>
  <c r="BN413" i="9"/>
  <c r="AZ413" i="9"/>
  <c r="AI413" i="9"/>
  <c r="F173" i="89" s="1"/>
  <c r="DR412" i="9"/>
  <c r="DH412" i="9"/>
  <c r="DH411" i="9" s="1"/>
  <c r="DG412" i="9"/>
  <c r="DG411" i="9" s="1"/>
  <c r="DF412" i="9"/>
  <c r="DF411" i="9" s="1"/>
  <c r="DC412" i="9"/>
  <c r="DC411" i="9" s="1"/>
  <c r="DB412" i="9"/>
  <c r="DB411" i="9" s="1"/>
  <c r="DA412" i="9"/>
  <c r="DA411" i="9" s="1"/>
  <c r="CZ412" i="9"/>
  <c r="CZ411" i="9" s="1"/>
  <c r="CY412" i="9"/>
  <c r="CY411" i="9" s="1"/>
  <c r="CX412" i="9"/>
  <c r="CX411" i="9" s="1"/>
  <c r="CW412" i="9"/>
  <c r="CW411" i="9" s="1"/>
  <c r="CV412" i="9"/>
  <c r="CV411" i="9" s="1"/>
  <c r="CU412" i="9"/>
  <c r="CU411" i="9" s="1"/>
  <c r="CT412" i="9"/>
  <c r="CT411" i="9" s="1"/>
  <c r="CS412" i="9"/>
  <c r="CS411" i="9" s="1"/>
  <c r="CR412" i="9"/>
  <c r="CO412" i="9"/>
  <c r="CO411" i="9" s="1"/>
  <c r="CN412" i="9"/>
  <c r="CN411" i="9" s="1"/>
  <c r="CM412" i="9"/>
  <c r="CM411" i="9" s="1"/>
  <c r="CL412" i="9"/>
  <c r="CK412" i="9"/>
  <c r="CK411" i="9" s="1"/>
  <c r="CJ412" i="9"/>
  <c r="CI412" i="9"/>
  <c r="CH412" i="9"/>
  <c r="CG412" i="9"/>
  <c r="CF412" i="9"/>
  <c r="BL412" i="9"/>
  <c r="BL411" i="9" s="1"/>
  <c r="BK412" i="9"/>
  <c r="BK411" i="9" s="1"/>
  <c r="BJ412" i="9"/>
  <c r="BJ411" i="9" s="1"/>
  <c r="BI412" i="9"/>
  <c r="BI411" i="9" s="1"/>
  <c r="BH412" i="9"/>
  <c r="BH411" i="9" s="1"/>
  <c r="BG412" i="9"/>
  <c r="BG411" i="9" s="1"/>
  <c r="BF412" i="9"/>
  <c r="BF411" i="9" s="1"/>
  <c r="BE412" i="9"/>
  <c r="BE411" i="9" s="1"/>
  <c r="BD412" i="9"/>
  <c r="BD411" i="9" s="1"/>
  <c r="BC412" i="9"/>
  <c r="BC411" i="9" s="1"/>
  <c r="BB412" i="9"/>
  <c r="BB411" i="9" s="1"/>
  <c r="AY412" i="9"/>
  <c r="AY411" i="9" s="1"/>
  <c r="AX412" i="9"/>
  <c r="AX411" i="9" s="1"/>
  <c r="AW412" i="9"/>
  <c r="AW411" i="9" s="1"/>
  <c r="AV412" i="9"/>
  <c r="AV411" i="9" s="1"/>
  <c r="AU412" i="9"/>
  <c r="AU411" i="9" s="1"/>
  <c r="AT412" i="9"/>
  <c r="AT411" i="9" s="1"/>
  <c r="AS412" i="9"/>
  <c r="AS411" i="9" s="1"/>
  <c r="AR412" i="9"/>
  <c r="AR411" i="9" s="1"/>
  <c r="AQ412" i="9"/>
  <c r="AQ411" i="9" s="1"/>
  <c r="AP412" i="9"/>
  <c r="AM412" i="9"/>
  <c r="AM411" i="9" s="1"/>
  <c r="DR411" i="9"/>
  <c r="U411" i="9"/>
  <c r="T411" i="9"/>
  <c r="S411" i="9"/>
  <c r="R411" i="9"/>
  <c r="Q411" i="9"/>
  <c r="P411" i="9"/>
  <c r="O411" i="9"/>
  <c r="N411" i="9"/>
  <c r="M411" i="9"/>
  <c r="L411" i="9"/>
  <c r="DR410" i="9"/>
  <c r="DI410" i="9"/>
  <c r="CB410" i="9"/>
  <c r="BN410" i="9"/>
  <c r="AZ410" i="9"/>
  <c r="AI410" i="9"/>
  <c r="DC410" i="9" s="1"/>
  <c r="DC407" i="9" s="1"/>
  <c r="DR409" i="9"/>
  <c r="DI409" i="9"/>
  <c r="DD409" i="9"/>
  <c r="CP409" i="9"/>
  <c r="BN409" i="9"/>
  <c r="AZ409" i="9"/>
  <c r="AI409" i="9"/>
  <c r="DR408" i="9"/>
  <c r="DI408" i="9"/>
  <c r="DD408" i="9"/>
  <c r="BN408" i="9"/>
  <c r="AZ408" i="9"/>
  <c r="AI408" i="9"/>
  <c r="DH407" i="9"/>
  <c r="DG407" i="9"/>
  <c r="DF407" i="9"/>
  <c r="DB407" i="9"/>
  <c r="DA407" i="9"/>
  <c r="CY407" i="9"/>
  <c r="CW407" i="9"/>
  <c r="CU407" i="9"/>
  <c r="CT407" i="9"/>
  <c r="CR407" i="9"/>
  <c r="CO407" i="9"/>
  <c r="CN407" i="9"/>
  <c r="CL407" i="9"/>
  <c r="CK407" i="9"/>
  <c r="CH407" i="9"/>
  <c r="CG407" i="9"/>
  <c r="CE407" i="9"/>
  <c r="CD407" i="9"/>
  <c r="CA407" i="9"/>
  <c r="BP407" i="9"/>
  <c r="BM407" i="9"/>
  <c r="BL407" i="9"/>
  <c r="BK407" i="9"/>
  <c r="BJ407" i="9"/>
  <c r="BI407" i="9"/>
  <c r="BH407" i="9"/>
  <c r="BG407" i="9"/>
  <c r="BF407" i="9"/>
  <c r="BE407" i="9"/>
  <c r="BD407" i="9"/>
  <c r="BC407" i="9"/>
  <c r="BB407" i="9"/>
  <c r="AY407" i="9"/>
  <c r="AX407" i="9"/>
  <c r="AW407" i="9"/>
  <c r="AV407" i="9"/>
  <c r="AU407" i="9"/>
  <c r="AT407" i="9"/>
  <c r="AS407" i="9"/>
  <c r="AR407" i="9"/>
  <c r="AQ407" i="9"/>
  <c r="AP407" i="9"/>
  <c r="DR406" i="9"/>
  <c r="AY406" i="9"/>
  <c r="AX406" i="9"/>
  <c r="AW406" i="9"/>
  <c r="AV406" i="9"/>
  <c r="AU406" i="9"/>
  <c r="AT406" i="9"/>
  <c r="AS406" i="9"/>
  <c r="AR406" i="9"/>
  <c r="AQ406" i="9"/>
  <c r="AP406" i="9"/>
  <c r="AM406" i="9"/>
  <c r="U406" i="9"/>
  <c r="T406" i="9"/>
  <c r="S406" i="9"/>
  <c r="R406" i="9"/>
  <c r="Q406" i="9"/>
  <c r="P406" i="9"/>
  <c r="O406" i="9"/>
  <c r="N406" i="9"/>
  <c r="M406" i="9"/>
  <c r="L406" i="9"/>
  <c r="DR405" i="9"/>
  <c r="DR404" i="9"/>
  <c r="DI404" i="9"/>
  <c r="DD404" i="9"/>
  <c r="CP404" i="9"/>
  <c r="CB404" i="9"/>
  <c r="BN404" i="9"/>
  <c r="AZ404" i="9"/>
  <c r="AN404" i="9"/>
  <c r="DR403" i="9"/>
  <c r="DI403" i="9"/>
  <c r="DD403" i="9"/>
  <c r="CP403" i="9"/>
  <c r="BN403" i="9"/>
  <c r="DX514" i="9" s="1"/>
  <c r="AZ403" i="9"/>
  <c r="DS459" i="9" s="1"/>
  <c r="AI403" i="9"/>
  <c r="DR402" i="9"/>
  <c r="DI402" i="9"/>
  <c r="DD402" i="9"/>
  <c r="CP402" i="9"/>
  <c r="AZ402" i="9"/>
  <c r="AI402" i="9"/>
  <c r="DR401" i="9"/>
  <c r="DI401" i="9"/>
  <c r="DD401" i="9"/>
  <c r="BN401" i="9"/>
  <c r="AZ401" i="9"/>
  <c r="AI401" i="9"/>
  <c r="DR400" i="9"/>
  <c r="DI400" i="9"/>
  <c r="DD400" i="9"/>
  <c r="CE400" i="9"/>
  <c r="CE398" i="9" s="1"/>
  <c r="CD400" i="9"/>
  <c r="CA400" i="9"/>
  <c r="CA398" i="9" s="1"/>
  <c r="BZ400" i="9"/>
  <c r="BY400" i="9"/>
  <c r="BX400" i="9"/>
  <c r="BX398" i="9" s="1"/>
  <c r="BW400" i="9"/>
  <c r="BV400" i="9"/>
  <c r="BU400" i="9"/>
  <c r="BU398" i="9" s="1"/>
  <c r="BT400" i="9"/>
  <c r="BT398" i="9" s="1"/>
  <c r="BS400" i="9"/>
  <c r="BR400" i="9"/>
  <c r="BQ400" i="9"/>
  <c r="BP400" i="9"/>
  <c r="BM400" i="9"/>
  <c r="BL400" i="9"/>
  <c r="BL398" i="9" s="1"/>
  <c r="BK400" i="9"/>
  <c r="BJ400" i="9"/>
  <c r="BJ398" i="9" s="1"/>
  <c r="AZ400" i="9"/>
  <c r="AI400" i="9"/>
  <c r="F161" i="89" s="1"/>
  <c r="DR399" i="9"/>
  <c r="DI399" i="9"/>
  <c r="DD399" i="9"/>
  <c r="CP399" i="9"/>
  <c r="CB399" i="9"/>
  <c r="BN399" i="9"/>
  <c r="AZ399" i="9"/>
  <c r="AL399" i="9"/>
  <c r="AN399" i="9" s="1"/>
  <c r="DR398" i="9"/>
  <c r="DH398" i="9"/>
  <c r="DG398" i="9"/>
  <c r="DF398" i="9"/>
  <c r="DC398" i="9"/>
  <c r="DB398" i="9"/>
  <c r="DA398" i="9"/>
  <c r="CZ398" i="9"/>
  <c r="CY398" i="9"/>
  <c r="CX398" i="9"/>
  <c r="CW398" i="9"/>
  <c r="CV398" i="9"/>
  <c r="CU398" i="9"/>
  <c r="CT398" i="9"/>
  <c r="CS398" i="9"/>
  <c r="CR398" i="9"/>
  <c r="CO398" i="9"/>
  <c r="CN398" i="9"/>
  <c r="CM398" i="9"/>
  <c r="CL398" i="9"/>
  <c r="CK398" i="9"/>
  <c r="CJ398" i="9"/>
  <c r="CI398" i="9"/>
  <c r="CG398" i="9"/>
  <c r="BI398" i="9"/>
  <c r="BH398" i="9"/>
  <c r="BG398" i="9"/>
  <c r="BF398" i="9"/>
  <c r="BE398" i="9"/>
  <c r="BD398" i="9"/>
  <c r="BC398" i="9"/>
  <c r="BB398" i="9"/>
  <c r="AY398" i="9"/>
  <c r="AX398" i="9"/>
  <c r="AW398" i="9"/>
  <c r="AV398" i="9"/>
  <c r="AU398" i="9"/>
  <c r="AT398" i="9"/>
  <c r="AS398" i="9"/>
  <c r="AR398" i="9"/>
  <c r="AQ398" i="9"/>
  <c r="AP398" i="9"/>
  <c r="AM398" i="9"/>
  <c r="T398" i="9"/>
  <c r="S398" i="9"/>
  <c r="R398" i="9"/>
  <c r="Q398" i="9"/>
  <c r="P398" i="9"/>
  <c r="O398" i="9"/>
  <c r="N398" i="9"/>
  <c r="M398" i="9"/>
  <c r="L398" i="9"/>
  <c r="DR397" i="9"/>
  <c r="DI397" i="9"/>
  <c r="DD397" i="9"/>
  <c r="BN397" i="9"/>
  <c r="BN393" i="9" s="1"/>
  <c r="AZ397" i="9"/>
  <c r="DR393" i="9"/>
  <c r="AM393" i="9"/>
  <c r="AN393" i="9" s="1"/>
  <c r="T393" i="9"/>
  <c r="S393" i="9"/>
  <c r="R393" i="9"/>
  <c r="Q393" i="9"/>
  <c r="P393" i="9"/>
  <c r="O393" i="9"/>
  <c r="N393" i="9"/>
  <c r="M393" i="9"/>
  <c r="L393" i="9"/>
  <c r="DR392" i="9"/>
  <c r="DI392" i="9"/>
  <c r="DD392" i="9"/>
  <c r="CP392" i="9"/>
  <c r="CB392" i="9"/>
  <c r="BN392" i="9"/>
  <c r="AZ392" i="9"/>
  <c r="AN392" i="9"/>
  <c r="DI391" i="9"/>
  <c r="CP391" i="9"/>
  <c r="CB391" i="9"/>
  <c r="BN391" i="9"/>
  <c r="AZ391" i="9"/>
  <c r="AI391" i="9"/>
  <c r="DI390" i="9"/>
  <c r="BN390" i="9"/>
  <c r="AZ390" i="9"/>
  <c r="AI390" i="9"/>
  <c r="DI389" i="9"/>
  <c r="DD389" i="9"/>
  <c r="CP389" i="9"/>
  <c r="BP389" i="9"/>
  <c r="BP387" i="9" s="1"/>
  <c r="BL389" i="9"/>
  <c r="BL387" i="9" s="1"/>
  <c r="BK389" i="9"/>
  <c r="BJ389" i="9"/>
  <c r="AZ389" i="9"/>
  <c r="AI389" i="9"/>
  <c r="AL389" i="9" s="1"/>
  <c r="AN389" i="9" s="1"/>
  <c r="I227" i="114" s="1"/>
  <c r="DI388" i="9"/>
  <c r="DD388" i="9"/>
  <c r="CP388" i="9"/>
  <c r="AZ388" i="9"/>
  <c r="AI388" i="9"/>
  <c r="DH387" i="9"/>
  <c r="DG387" i="9"/>
  <c r="DF387" i="9"/>
  <c r="DC387" i="9"/>
  <c r="DB387" i="9"/>
  <c r="DA387" i="9"/>
  <c r="CZ387" i="9"/>
  <c r="CY387" i="9"/>
  <c r="CW387" i="9"/>
  <c r="CV387" i="9"/>
  <c r="CT387" i="9"/>
  <c r="CS387" i="9"/>
  <c r="CO387" i="9"/>
  <c r="CM387" i="9"/>
  <c r="CJ387" i="9"/>
  <c r="CI387" i="9"/>
  <c r="CF387" i="9"/>
  <c r="CA387" i="9"/>
  <c r="BX387" i="9"/>
  <c r="BW387" i="9"/>
  <c r="BV387" i="9"/>
  <c r="BU387" i="9"/>
  <c r="BT387" i="9"/>
  <c r="BR387" i="9"/>
  <c r="BI387" i="9"/>
  <c r="BH387" i="9"/>
  <c r="BG387" i="9"/>
  <c r="BF387" i="9"/>
  <c r="BE387" i="9"/>
  <c r="BD387" i="9"/>
  <c r="BC387" i="9"/>
  <c r="BB387" i="9"/>
  <c r="AY387" i="9"/>
  <c r="AX387" i="9"/>
  <c r="AW387" i="9"/>
  <c r="AV387" i="9"/>
  <c r="AU387" i="9"/>
  <c r="AT387" i="9"/>
  <c r="AS387" i="9"/>
  <c r="AR387" i="9"/>
  <c r="AQ387" i="9"/>
  <c r="AP387" i="9"/>
  <c r="AM387" i="9"/>
  <c r="DR386" i="9"/>
  <c r="DI386" i="9"/>
  <c r="CB386" i="9"/>
  <c r="BN386" i="9"/>
  <c r="AZ386" i="9"/>
  <c r="AI386" i="9"/>
  <c r="CU386" i="9" s="1"/>
  <c r="CU382" i="9" s="1"/>
  <c r="DR385" i="9"/>
  <c r="DI385" i="9"/>
  <c r="CB385" i="9"/>
  <c r="BN385" i="9"/>
  <c r="AZ385" i="9"/>
  <c r="AI385" i="9"/>
  <c r="DR384" i="9"/>
  <c r="DI384" i="9"/>
  <c r="DD384" i="9"/>
  <c r="BN384" i="9"/>
  <c r="AZ384" i="9"/>
  <c r="AI384" i="9"/>
  <c r="DR383" i="9"/>
  <c r="DI383" i="9"/>
  <c r="DD383" i="9"/>
  <c r="BN383" i="9"/>
  <c r="AZ383" i="9"/>
  <c r="AI383" i="9"/>
  <c r="DR382" i="9"/>
  <c r="DH382" i="9"/>
  <c r="DG382" i="9"/>
  <c r="DF382" i="9"/>
  <c r="DC382" i="9"/>
  <c r="DB382" i="9"/>
  <c r="DA382" i="9"/>
  <c r="CZ382" i="9"/>
  <c r="CY382" i="9"/>
  <c r="CX382" i="9"/>
  <c r="CW382" i="9"/>
  <c r="BX382" i="9"/>
  <c r="BW382" i="9"/>
  <c r="BV382" i="9"/>
  <c r="BU382" i="9"/>
  <c r="BT382" i="9"/>
  <c r="BS382" i="9"/>
  <c r="BR382" i="9"/>
  <c r="BQ382" i="9"/>
  <c r="BP382" i="9"/>
  <c r="BM382" i="9"/>
  <c r="BL382" i="9"/>
  <c r="BK382" i="9"/>
  <c r="BJ382" i="9"/>
  <c r="BI382" i="9"/>
  <c r="BH382" i="9"/>
  <c r="BG382" i="9"/>
  <c r="BF382" i="9"/>
  <c r="BE382" i="9"/>
  <c r="BD382" i="9"/>
  <c r="BC382" i="9"/>
  <c r="BB382" i="9"/>
  <c r="AY382" i="9"/>
  <c r="AX382" i="9"/>
  <c r="AW382" i="9"/>
  <c r="AV382" i="9"/>
  <c r="AU382" i="9"/>
  <c r="AT382" i="9"/>
  <c r="AS382" i="9"/>
  <c r="AR382" i="9"/>
  <c r="AQ382" i="9"/>
  <c r="AP382" i="9"/>
  <c r="AM382" i="9"/>
  <c r="U382" i="9"/>
  <c r="T382" i="9"/>
  <c r="S382" i="9"/>
  <c r="R382" i="9"/>
  <c r="Q382" i="9"/>
  <c r="P382" i="9"/>
  <c r="O382" i="9"/>
  <c r="N382" i="9"/>
  <c r="M382" i="9"/>
  <c r="L382" i="9"/>
  <c r="DR381" i="9"/>
  <c r="DI381" i="9"/>
  <c r="CB381" i="9"/>
  <c r="BN381" i="9"/>
  <c r="AZ381" i="9"/>
  <c r="AI381" i="9"/>
  <c r="AL381" i="9" s="1"/>
  <c r="AN381" i="9" s="1"/>
  <c r="AI380" i="9"/>
  <c r="DR379" i="9"/>
  <c r="DI379" i="9"/>
  <c r="DD379" i="9"/>
  <c r="BN379" i="9"/>
  <c r="AZ379" i="9"/>
  <c r="AI379" i="9"/>
  <c r="DR378" i="9"/>
  <c r="DH378" i="9"/>
  <c r="DG378" i="9"/>
  <c r="DF378" i="9"/>
  <c r="DC378" i="9"/>
  <c r="DB378" i="9"/>
  <c r="DA378" i="9"/>
  <c r="CZ378" i="9"/>
  <c r="CY378" i="9"/>
  <c r="CX378" i="9"/>
  <c r="CW378" i="9"/>
  <c r="BX378" i="9"/>
  <c r="BW378" i="9"/>
  <c r="BV378" i="9"/>
  <c r="BQ378" i="9"/>
  <c r="BP378" i="9"/>
  <c r="BM378" i="9"/>
  <c r="BL378" i="9"/>
  <c r="BK378" i="9"/>
  <c r="BJ378" i="9"/>
  <c r="BI378" i="9"/>
  <c r="BH378" i="9"/>
  <c r="BG378" i="9"/>
  <c r="BF378" i="9"/>
  <c r="BE378" i="9"/>
  <c r="BD378" i="9"/>
  <c r="BC378" i="9"/>
  <c r="BB378" i="9"/>
  <c r="AY378" i="9"/>
  <c r="AX378" i="9"/>
  <c r="AW378" i="9"/>
  <c r="AV378" i="9"/>
  <c r="AU378" i="9"/>
  <c r="AT378" i="9"/>
  <c r="AS378" i="9"/>
  <c r="AR378" i="9"/>
  <c r="AQ378" i="9"/>
  <c r="AP378" i="9"/>
  <c r="AM378" i="9"/>
  <c r="U378" i="9"/>
  <c r="T378" i="9"/>
  <c r="S378" i="9"/>
  <c r="R378" i="9"/>
  <c r="Q378" i="9"/>
  <c r="P378" i="9"/>
  <c r="O378" i="9"/>
  <c r="N378" i="9"/>
  <c r="M378" i="9"/>
  <c r="L378" i="9"/>
  <c r="DR377" i="9"/>
  <c r="DI377" i="9"/>
  <c r="CP377" i="9"/>
  <c r="CB377" i="9"/>
  <c r="BN377" i="9"/>
  <c r="AZ377" i="9"/>
  <c r="AL377" i="9"/>
  <c r="AN377" i="9" s="1"/>
  <c r="I215" i="114" s="1"/>
  <c r="DR376" i="9"/>
  <c r="DI376" i="9"/>
  <c r="DD376" i="9"/>
  <c r="BN376" i="9"/>
  <c r="AZ376" i="9"/>
  <c r="AI376" i="9"/>
  <c r="DR375" i="9"/>
  <c r="DI375" i="9"/>
  <c r="DD375" i="9"/>
  <c r="CP375" i="9"/>
  <c r="BN375" i="9"/>
  <c r="AZ375" i="9"/>
  <c r="AI375" i="9"/>
  <c r="AL375" i="9" s="1"/>
  <c r="AN375" i="9" s="1"/>
  <c r="DR374" i="9"/>
  <c r="DI374" i="9"/>
  <c r="DD374" i="9"/>
  <c r="CP374" i="9"/>
  <c r="BN374" i="9"/>
  <c r="AZ374" i="9"/>
  <c r="AM374" i="9"/>
  <c r="AI374" i="9"/>
  <c r="AL374" i="9" s="1"/>
  <c r="DR373" i="9"/>
  <c r="DI373" i="9"/>
  <c r="DD373" i="9"/>
  <c r="CP373" i="9"/>
  <c r="BN373" i="9"/>
  <c r="AZ373" i="9"/>
  <c r="AI373" i="9"/>
  <c r="AL373" i="9" s="1"/>
  <c r="AN373" i="9" s="1"/>
  <c r="I211" i="114" s="1"/>
  <c r="DR372" i="9"/>
  <c r="DI372" i="9"/>
  <c r="DD372" i="9"/>
  <c r="CP372" i="9"/>
  <c r="BX372" i="9"/>
  <c r="BW372" i="9"/>
  <c r="BV372" i="9"/>
  <c r="BU372" i="9"/>
  <c r="AZ372" i="9"/>
  <c r="AI372" i="9"/>
  <c r="BG372" i="9" s="1"/>
  <c r="BN372" i="9" s="1"/>
  <c r="DI371" i="9"/>
  <c r="DD371" i="9"/>
  <c r="CP371" i="9"/>
  <c r="CB371" i="9"/>
  <c r="BN371" i="9"/>
  <c r="AZ371" i="9"/>
  <c r="AL371" i="9"/>
  <c r="AN371" i="9" s="1"/>
  <c r="DR370" i="9"/>
  <c r="T370" i="9"/>
  <c r="S370" i="9"/>
  <c r="R370" i="9"/>
  <c r="Q370" i="9"/>
  <c r="P370" i="9"/>
  <c r="O370" i="9"/>
  <c r="N370" i="9"/>
  <c r="M370" i="9"/>
  <c r="L370" i="9"/>
  <c r="DR369" i="9"/>
  <c r="DR368" i="9"/>
  <c r="DR367" i="9"/>
  <c r="DI367" i="9"/>
  <c r="DD367" i="9"/>
  <c r="CP367" i="9"/>
  <c r="CB367" i="9"/>
  <c r="BN367" i="9"/>
  <c r="AZ367" i="9"/>
  <c r="AN367" i="9"/>
  <c r="AI365" i="9"/>
  <c r="AL365" i="9" s="1"/>
  <c r="AN365" i="9" s="1"/>
  <c r="DR364" i="9"/>
  <c r="DI364" i="9"/>
  <c r="DC364" i="9"/>
  <c r="DC356" i="9" s="1"/>
  <c r="CO364" i="9"/>
  <c r="CP364" i="9" s="1"/>
  <c r="EC475" i="9" s="1"/>
  <c r="CA364" i="9"/>
  <c r="CA356" i="9" s="1"/>
  <c r="BM364" i="9"/>
  <c r="AZ364" i="9"/>
  <c r="DT475" i="9" s="1"/>
  <c r="AI364" i="9"/>
  <c r="AI356" i="9" s="1"/>
  <c r="Z364" i="9"/>
  <c r="DR363" i="9"/>
  <c r="DI363" i="9"/>
  <c r="BN363" i="9"/>
  <c r="AZ363" i="9"/>
  <c r="AI363" i="9"/>
  <c r="CD363" i="9" s="1"/>
  <c r="CD358" i="9" s="1"/>
  <c r="DR362" i="9"/>
  <c r="DI362" i="9"/>
  <c r="CB362" i="9"/>
  <c r="BN362" i="9"/>
  <c r="AZ362" i="9"/>
  <c r="AI362" i="9"/>
  <c r="DR361" i="9"/>
  <c r="DI361" i="9"/>
  <c r="CB361" i="9"/>
  <c r="BN361" i="9"/>
  <c r="AZ361" i="9"/>
  <c r="AI361" i="9"/>
  <c r="CM361" i="9" s="1"/>
  <c r="DR360" i="9"/>
  <c r="DI360" i="9"/>
  <c r="DD360" i="9"/>
  <c r="CP360" i="9"/>
  <c r="AZ360" i="9"/>
  <c r="AI360" i="9"/>
  <c r="AL360" i="9" s="1"/>
  <c r="AN360" i="9" s="1"/>
  <c r="Z360" i="9"/>
  <c r="DR359" i="9"/>
  <c r="DI359" i="9"/>
  <c r="BN359" i="9"/>
  <c r="AZ359" i="9"/>
  <c r="AH359" i="9"/>
  <c r="AI359" i="9" s="1"/>
  <c r="DR358" i="9"/>
  <c r="DH358" i="9"/>
  <c r="DG358" i="9"/>
  <c r="DF358" i="9"/>
  <c r="DC358" i="9"/>
  <c r="DB358" i="9"/>
  <c r="DA358" i="9"/>
  <c r="CZ358" i="9"/>
  <c r="CY358" i="9"/>
  <c r="CX358" i="9"/>
  <c r="CV358" i="9"/>
  <c r="CU358" i="9"/>
  <c r="CT358" i="9"/>
  <c r="CN358" i="9"/>
  <c r="CK358" i="9"/>
  <c r="CJ358" i="9"/>
  <c r="CG358" i="9"/>
  <c r="CF358" i="9"/>
  <c r="BZ358" i="9"/>
  <c r="BY358" i="9"/>
  <c r="BW358" i="9"/>
  <c r="BV358" i="9"/>
  <c r="BT358" i="9"/>
  <c r="BS358" i="9"/>
  <c r="BQ358" i="9"/>
  <c r="BP358" i="9"/>
  <c r="BM358" i="9"/>
  <c r="BK358" i="9"/>
  <c r="BJ358" i="9"/>
  <c r="BI358" i="9"/>
  <c r="BG358" i="9"/>
  <c r="BF358" i="9"/>
  <c r="BE358" i="9"/>
  <c r="BD358" i="9"/>
  <c r="BC358" i="9"/>
  <c r="BB358" i="9"/>
  <c r="AY358" i="9"/>
  <c r="AX358" i="9"/>
  <c r="AW358" i="9"/>
  <c r="AV358" i="9"/>
  <c r="AU358" i="9"/>
  <c r="AT358" i="9"/>
  <c r="AS358" i="9"/>
  <c r="AR358" i="9"/>
  <c r="AQ358" i="9"/>
  <c r="AP358" i="9"/>
  <c r="AM358" i="9"/>
  <c r="U358" i="9"/>
  <c r="T358" i="9"/>
  <c r="S358" i="9"/>
  <c r="R358" i="9"/>
  <c r="Q358" i="9"/>
  <c r="P358" i="9"/>
  <c r="O358" i="9"/>
  <c r="N358" i="9"/>
  <c r="M358" i="9"/>
  <c r="L358" i="9"/>
  <c r="DR356" i="9"/>
  <c r="DH356" i="9"/>
  <c r="DG356" i="9"/>
  <c r="DF356" i="9"/>
  <c r="DB356" i="9"/>
  <c r="DA356" i="9"/>
  <c r="CZ356" i="9"/>
  <c r="CY356" i="9"/>
  <c r="CX356" i="9"/>
  <c r="CW356" i="9"/>
  <c r="CV356" i="9"/>
  <c r="CU356" i="9"/>
  <c r="CT356" i="9"/>
  <c r="CS356" i="9"/>
  <c r="CR356" i="9"/>
  <c r="CN356" i="9"/>
  <c r="CM356" i="9"/>
  <c r="CL356" i="9"/>
  <c r="CK356" i="9"/>
  <c r="CJ356" i="9"/>
  <c r="CI356" i="9"/>
  <c r="CH356" i="9"/>
  <c r="CG356" i="9"/>
  <c r="CF356" i="9"/>
  <c r="CE356" i="9"/>
  <c r="CD356" i="9"/>
  <c r="BZ356" i="9"/>
  <c r="BY356" i="9"/>
  <c r="BX356" i="9"/>
  <c r="BW356" i="9"/>
  <c r="BV356" i="9"/>
  <c r="BU356" i="9"/>
  <c r="BT356" i="9"/>
  <c r="BS356" i="9"/>
  <c r="BR356" i="9"/>
  <c r="BQ356" i="9"/>
  <c r="BP356" i="9"/>
  <c r="BL356" i="9"/>
  <c r="BK356" i="9"/>
  <c r="BJ356" i="9"/>
  <c r="BI356" i="9"/>
  <c r="BH356" i="9"/>
  <c r="BG356" i="9"/>
  <c r="BF356" i="9"/>
  <c r="BE356" i="9"/>
  <c r="BD356" i="9"/>
  <c r="BC356" i="9"/>
  <c r="BB356" i="9"/>
  <c r="AY356" i="9"/>
  <c r="AX356" i="9"/>
  <c r="AW356" i="9"/>
  <c r="AV356" i="9"/>
  <c r="AU356" i="9"/>
  <c r="AT356" i="9"/>
  <c r="AS356" i="9"/>
  <c r="AR356" i="9"/>
  <c r="AQ356" i="9"/>
  <c r="AP356" i="9"/>
  <c r="AM356" i="9"/>
  <c r="U356" i="9"/>
  <c r="T356" i="9"/>
  <c r="S356" i="9"/>
  <c r="R356" i="9"/>
  <c r="Q356" i="9"/>
  <c r="P356" i="9"/>
  <c r="O356" i="9"/>
  <c r="N356" i="9"/>
  <c r="M356" i="9"/>
  <c r="L356" i="9"/>
  <c r="DR355" i="9"/>
  <c r="DI355" i="9"/>
  <c r="DD355" i="9"/>
  <c r="CP355" i="9"/>
  <c r="CB355" i="9"/>
  <c r="BN355" i="9"/>
  <c r="AZ355" i="9"/>
  <c r="AN355" i="9"/>
  <c r="DR354" i="9"/>
  <c r="DI354" i="9"/>
  <c r="DD354" i="9"/>
  <c r="CP354" i="9"/>
  <c r="CB354" i="9"/>
  <c r="BN354" i="9"/>
  <c r="AZ354" i="9"/>
  <c r="AN354" i="9"/>
  <c r="DR353" i="9"/>
  <c r="DI353" i="9"/>
  <c r="DD353" i="9"/>
  <c r="CP353" i="9"/>
  <c r="CB353" i="9"/>
  <c r="BN353" i="9"/>
  <c r="AZ353" i="9"/>
  <c r="AN353" i="9"/>
  <c r="DR352" i="9"/>
  <c r="DI352" i="9"/>
  <c r="DD352" i="9"/>
  <c r="CP352" i="9"/>
  <c r="CB352" i="9"/>
  <c r="BN352" i="9"/>
  <c r="AZ352" i="9"/>
  <c r="AN352" i="9"/>
  <c r="DR351" i="9"/>
  <c r="DI351" i="9"/>
  <c r="DD351" i="9"/>
  <c r="CP351" i="9"/>
  <c r="CB351" i="9"/>
  <c r="BN351" i="9"/>
  <c r="AZ351" i="9"/>
  <c r="AN351" i="9"/>
  <c r="DR350" i="9"/>
  <c r="DI350" i="9"/>
  <c r="BN350" i="9"/>
  <c r="AZ350" i="9"/>
  <c r="AI350" i="9"/>
  <c r="AI349" i="9" s="1"/>
  <c r="DR349" i="9"/>
  <c r="DH349" i="9"/>
  <c r="DG349" i="9"/>
  <c r="DF349" i="9"/>
  <c r="DC349" i="9"/>
  <c r="DB349" i="9"/>
  <c r="DA349" i="9"/>
  <c r="CZ349" i="9"/>
  <c r="CY349" i="9"/>
  <c r="CW349" i="9"/>
  <c r="CV349" i="9"/>
  <c r="CU349" i="9"/>
  <c r="CS349" i="9"/>
  <c r="CR349" i="9"/>
  <c r="CO349" i="9"/>
  <c r="CN349" i="9"/>
  <c r="CL349" i="9"/>
  <c r="CK349" i="9"/>
  <c r="CJ349" i="9"/>
  <c r="CH349" i="9"/>
  <c r="CG349" i="9"/>
  <c r="CF349" i="9"/>
  <c r="CD349" i="9"/>
  <c r="CA349" i="9"/>
  <c r="BY349" i="9"/>
  <c r="BX349" i="9"/>
  <c r="BW349" i="9"/>
  <c r="BV349" i="9"/>
  <c r="BU349" i="9"/>
  <c r="BT349" i="9"/>
  <c r="BS349" i="9"/>
  <c r="BR349" i="9"/>
  <c r="BQ349" i="9"/>
  <c r="BP349" i="9"/>
  <c r="BM349" i="9"/>
  <c r="BL349" i="9"/>
  <c r="BK349" i="9"/>
  <c r="BJ349" i="9"/>
  <c r="BI349" i="9"/>
  <c r="BH349" i="9"/>
  <c r="BG349" i="9"/>
  <c r="BF349" i="9"/>
  <c r="BE349" i="9"/>
  <c r="BD349" i="9"/>
  <c r="BC349" i="9"/>
  <c r="BB349" i="9"/>
  <c r="AY349" i="9"/>
  <c r="AX349" i="9"/>
  <c r="AW349" i="9"/>
  <c r="AV349" i="9"/>
  <c r="AU349" i="9"/>
  <c r="AT349" i="9"/>
  <c r="AS349" i="9"/>
  <c r="AR349" i="9"/>
  <c r="AQ349" i="9"/>
  <c r="AP349" i="9"/>
  <c r="AM349" i="9"/>
  <c r="U349" i="9"/>
  <c r="T349" i="9"/>
  <c r="S349" i="9"/>
  <c r="R349" i="9"/>
  <c r="Q349" i="9"/>
  <c r="P349" i="9"/>
  <c r="O349" i="9"/>
  <c r="N349" i="9"/>
  <c r="M349" i="9"/>
  <c r="L349" i="9"/>
  <c r="DR348" i="9"/>
  <c r="DI348" i="9"/>
  <c r="CB348" i="9"/>
  <c r="BN348" i="9"/>
  <c r="AZ348" i="9"/>
  <c r="AI348" i="9"/>
  <c r="AL348" i="9" s="1"/>
  <c r="DB348" i="9" s="1"/>
  <c r="Z348" i="9"/>
  <c r="DR347" i="9"/>
  <c r="DI347" i="9"/>
  <c r="DD347" i="9"/>
  <c r="BN347" i="9"/>
  <c r="AZ347" i="9"/>
  <c r="AI347" i="9"/>
  <c r="AL347" i="9" s="1"/>
  <c r="AN347" i="9" s="1"/>
  <c r="DR346" i="9"/>
  <c r="DI346" i="9"/>
  <c r="DD346" i="9"/>
  <c r="BN346" i="9"/>
  <c r="AZ346" i="9"/>
  <c r="AI346" i="9"/>
  <c r="AL346" i="9" s="1"/>
  <c r="AN346" i="9" s="1"/>
  <c r="DR345" i="9"/>
  <c r="DI345" i="9"/>
  <c r="DD345" i="9"/>
  <c r="BN345" i="9"/>
  <c r="AZ345" i="9"/>
  <c r="AI345" i="9"/>
  <c r="AL345" i="9" s="1"/>
  <c r="AN345" i="9" s="1"/>
  <c r="DR344" i="9"/>
  <c r="DI344" i="9"/>
  <c r="DD344" i="9"/>
  <c r="BN344" i="9"/>
  <c r="AZ344" i="9"/>
  <c r="AI344" i="9"/>
  <c r="AL344" i="9" s="1"/>
  <c r="AN344" i="9" s="1"/>
  <c r="DR343" i="9"/>
  <c r="DI343" i="9"/>
  <c r="DD343" i="9"/>
  <c r="BN343" i="9"/>
  <c r="AZ343" i="9"/>
  <c r="Z343" i="9"/>
  <c r="DR342" i="9"/>
  <c r="DH342" i="9"/>
  <c r="DH340" i="9" s="1"/>
  <c r="DG342" i="9"/>
  <c r="DG340" i="9" s="1"/>
  <c r="DF342" i="9"/>
  <c r="DC342" i="9"/>
  <c r="DC340" i="9" s="1"/>
  <c r="DB342" i="9"/>
  <c r="DA342" i="9"/>
  <c r="DA340" i="9" s="1"/>
  <c r="CZ342" i="9"/>
  <c r="CZ340" i="9" s="1"/>
  <c r="CY342" i="9"/>
  <c r="CY340" i="9" s="1"/>
  <c r="CX342" i="9"/>
  <c r="CW342" i="9"/>
  <c r="CW340" i="9" s="1"/>
  <c r="CV342" i="9"/>
  <c r="CV340" i="9" s="1"/>
  <c r="CU342" i="9"/>
  <c r="CU340" i="9" s="1"/>
  <c r="CT342" i="9"/>
  <c r="CS342" i="9"/>
  <c r="CS340" i="9" s="1"/>
  <c r="CR342" i="9"/>
  <c r="CR340" i="9" s="1"/>
  <c r="CO342" i="9"/>
  <c r="CO340" i="9" s="1"/>
  <c r="CN342" i="9"/>
  <c r="CM342" i="9"/>
  <c r="CM340" i="9" s="1"/>
  <c r="CL342" i="9"/>
  <c r="CL340" i="9" s="1"/>
  <c r="CK342" i="9"/>
  <c r="CK340" i="9" s="1"/>
  <c r="CJ342" i="9"/>
  <c r="CH342" i="9"/>
  <c r="CH340" i="9" s="1"/>
  <c r="CG342" i="9"/>
  <c r="CG340" i="9" s="1"/>
  <c r="CE342" i="9"/>
  <c r="CD342" i="9"/>
  <c r="CD340" i="9" s="1"/>
  <c r="CA342" i="9"/>
  <c r="CA340" i="9" s="1"/>
  <c r="BY342" i="9"/>
  <c r="BY340" i="9" s="1"/>
  <c r="BX342" i="9"/>
  <c r="BX340" i="9" s="1"/>
  <c r="BW342" i="9"/>
  <c r="BW340" i="9" s="1"/>
  <c r="BU342" i="9"/>
  <c r="BU340" i="9" s="1"/>
  <c r="BT342" i="9"/>
  <c r="BT340" i="9" s="1"/>
  <c r="BS342" i="9"/>
  <c r="BS340" i="9" s="1"/>
  <c r="BQ342" i="9"/>
  <c r="BQ340" i="9" s="1"/>
  <c r="BP342" i="9"/>
  <c r="BM342" i="9"/>
  <c r="BL342" i="9"/>
  <c r="BK342" i="9"/>
  <c r="BJ342" i="9"/>
  <c r="BI342" i="9"/>
  <c r="BH342" i="9"/>
  <c r="BG342" i="9"/>
  <c r="BF342" i="9"/>
  <c r="BE342" i="9"/>
  <c r="BD342" i="9"/>
  <c r="BC342" i="9"/>
  <c r="BB342" i="9"/>
  <c r="AY342" i="9"/>
  <c r="AY340" i="9" s="1"/>
  <c r="AX342" i="9"/>
  <c r="AX340" i="9" s="1"/>
  <c r="AW342" i="9"/>
  <c r="AW340" i="9" s="1"/>
  <c r="AV342" i="9"/>
  <c r="AV340" i="9" s="1"/>
  <c r="AU342" i="9"/>
  <c r="AU340" i="9" s="1"/>
  <c r="AT342" i="9"/>
  <c r="AT340" i="9" s="1"/>
  <c r="AS342" i="9"/>
  <c r="AS340" i="9" s="1"/>
  <c r="AR342" i="9"/>
  <c r="AR340" i="9" s="1"/>
  <c r="AQ342" i="9"/>
  <c r="AQ340" i="9" s="1"/>
  <c r="AP342" i="9"/>
  <c r="AM342" i="9"/>
  <c r="AM340" i="9" s="1"/>
  <c r="DR341" i="9"/>
  <c r="DI341" i="9"/>
  <c r="DD341" i="9"/>
  <c r="CP341" i="9"/>
  <c r="BP341" i="9"/>
  <c r="CB341" i="9" s="1"/>
  <c r="BM341" i="9"/>
  <c r="BL341" i="9"/>
  <c r="BK341" i="9"/>
  <c r="BJ341" i="9"/>
  <c r="BI341" i="9"/>
  <c r="BH341" i="9"/>
  <c r="BG341" i="9"/>
  <c r="BF341" i="9"/>
  <c r="BE341" i="9"/>
  <c r="BD341" i="9"/>
  <c r="BC341" i="9"/>
  <c r="AZ341" i="9"/>
  <c r="AI341" i="9"/>
  <c r="F147" i="89" s="1"/>
  <c r="DR340" i="9"/>
  <c r="U340" i="9"/>
  <c r="T340" i="9"/>
  <c r="S340" i="9"/>
  <c r="R340" i="9"/>
  <c r="Q340" i="9"/>
  <c r="P340" i="9"/>
  <c r="O340" i="9"/>
  <c r="N340" i="9"/>
  <c r="M340" i="9"/>
  <c r="L340" i="9"/>
  <c r="DR339" i="9"/>
  <c r="CB339" i="9"/>
  <c r="BN339" i="9"/>
  <c r="AZ339" i="9"/>
  <c r="AI339" i="9"/>
  <c r="AL339" i="9" s="1"/>
  <c r="DR338" i="9"/>
  <c r="DI338" i="9"/>
  <c r="DD338" i="9"/>
  <c r="CP338" i="9"/>
  <c r="CB338" i="9"/>
  <c r="BN338" i="9"/>
  <c r="AZ338" i="9"/>
  <c r="AN338" i="9"/>
  <c r="DR337" i="9"/>
  <c r="DI337" i="9"/>
  <c r="DD337" i="9"/>
  <c r="CP337" i="9"/>
  <c r="CB337" i="9"/>
  <c r="BN337" i="9"/>
  <c r="AZ337" i="9"/>
  <c r="AN337" i="9"/>
  <c r="DR336" i="9"/>
  <c r="DI336" i="9"/>
  <c r="DD336" i="9"/>
  <c r="CP336" i="9"/>
  <c r="CB336" i="9"/>
  <c r="BN336" i="9"/>
  <c r="AZ336" i="9"/>
  <c r="AN336" i="9"/>
  <c r="DR335" i="9"/>
  <c r="DI335" i="9"/>
  <c r="DD335" i="9"/>
  <c r="CP335" i="9"/>
  <c r="CB335" i="9"/>
  <c r="BN335" i="9"/>
  <c r="AZ335" i="9"/>
  <c r="AN335" i="9"/>
  <c r="DR334" i="9"/>
  <c r="DI334" i="9"/>
  <c r="DD334" i="9"/>
  <c r="CP334" i="9"/>
  <c r="CB334" i="9"/>
  <c r="BN334" i="9"/>
  <c r="AZ334" i="9"/>
  <c r="AN334" i="9"/>
  <c r="DR333" i="9"/>
  <c r="DI333" i="9"/>
  <c r="DD333" i="9"/>
  <c r="CP333" i="9"/>
  <c r="CB333" i="9"/>
  <c r="BN333" i="9"/>
  <c r="AZ333" i="9"/>
  <c r="AN333" i="9"/>
  <c r="DR332" i="9"/>
  <c r="DI332" i="9"/>
  <c r="DD332" i="9"/>
  <c r="CP332" i="9"/>
  <c r="CB332" i="9"/>
  <c r="BN332" i="9"/>
  <c r="AZ332" i="9"/>
  <c r="AN332" i="9"/>
  <c r="DR331" i="9"/>
  <c r="DI331" i="9"/>
  <c r="DD331" i="9"/>
  <c r="CP331" i="9"/>
  <c r="CB331" i="9"/>
  <c r="BN331" i="9"/>
  <c r="AZ331" i="9"/>
  <c r="AN331" i="9"/>
  <c r="DR330" i="9"/>
  <c r="DI330" i="9"/>
  <c r="DD330" i="9"/>
  <c r="CP330" i="9"/>
  <c r="CB330" i="9"/>
  <c r="BN330" i="9"/>
  <c r="AZ330" i="9"/>
  <c r="AN330" i="9"/>
  <c r="DR329" i="9"/>
  <c r="DI329" i="9"/>
  <c r="DD329" i="9"/>
  <c r="AZ329" i="9"/>
  <c r="AI329" i="9"/>
  <c r="BY329" i="9" s="1"/>
  <c r="BY328" i="9" s="1"/>
  <c r="Z329" i="9"/>
  <c r="DR328" i="9"/>
  <c r="DH328" i="9"/>
  <c r="DG328" i="9"/>
  <c r="DF328" i="9"/>
  <c r="DC328" i="9"/>
  <c r="DB328" i="9"/>
  <c r="DA328" i="9"/>
  <c r="CZ328" i="9"/>
  <c r="CY328" i="9"/>
  <c r="CX328" i="9"/>
  <c r="CW328" i="9"/>
  <c r="CV328" i="9"/>
  <c r="CU328" i="9"/>
  <c r="CT328" i="9"/>
  <c r="CS328" i="9"/>
  <c r="CR328" i="9"/>
  <c r="CO328" i="9"/>
  <c r="CN328" i="9"/>
  <c r="CM328" i="9"/>
  <c r="CL328" i="9"/>
  <c r="CK328" i="9"/>
  <c r="CJ328" i="9"/>
  <c r="CH328" i="9"/>
  <c r="CG328" i="9"/>
  <c r="CF328" i="9"/>
  <c r="CD328" i="9"/>
  <c r="CA328" i="9"/>
  <c r="BZ328" i="9"/>
  <c r="BX328" i="9"/>
  <c r="BW328" i="9"/>
  <c r="BV328" i="9"/>
  <c r="BT328" i="9"/>
  <c r="BS328" i="9"/>
  <c r="BR328" i="9"/>
  <c r="BP328" i="9"/>
  <c r="BM328" i="9"/>
  <c r="BL328" i="9"/>
  <c r="BJ328" i="9"/>
  <c r="BI328" i="9"/>
  <c r="BH328" i="9"/>
  <c r="BF328" i="9"/>
  <c r="BE328" i="9"/>
  <c r="BD328" i="9"/>
  <c r="BC328" i="9"/>
  <c r="BB328" i="9"/>
  <c r="AY328" i="9"/>
  <c r="AX328" i="9"/>
  <c r="AW328" i="9"/>
  <c r="AV328" i="9"/>
  <c r="AU328" i="9"/>
  <c r="AT328" i="9"/>
  <c r="AS328" i="9"/>
  <c r="AR328" i="9"/>
  <c r="AQ328" i="9"/>
  <c r="AP328" i="9"/>
  <c r="AM328" i="9"/>
  <c r="DR327" i="9"/>
  <c r="DI327" i="9"/>
  <c r="DD327" i="9"/>
  <c r="CP327" i="9"/>
  <c r="CB327" i="9"/>
  <c r="BN327" i="9"/>
  <c r="AZ327" i="9"/>
  <c r="AN327" i="9"/>
  <c r="DR326" i="9"/>
  <c r="DI326" i="9"/>
  <c r="DD326" i="9"/>
  <c r="CP326" i="9"/>
  <c r="CB326" i="9"/>
  <c r="BK326" i="9"/>
  <c r="BJ326" i="9"/>
  <c r="BI326" i="9"/>
  <c r="BH326" i="9"/>
  <c r="BG326" i="9"/>
  <c r="BF326" i="9"/>
  <c r="AZ326" i="9"/>
  <c r="AI326" i="9"/>
  <c r="F143" i="89" s="1"/>
  <c r="DR325" i="9"/>
  <c r="DE325" i="9"/>
  <c r="CQ325" i="9"/>
  <c r="CC325" i="9"/>
  <c r="BO325" i="9"/>
  <c r="BA325" i="9"/>
  <c r="U325" i="9"/>
  <c r="T325" i="9"/>
  <c r="S325" i="9"/>
  <c r="R325" i="9"/>
  <c r="Q325" i="9"/>
  <c r="P325" i="9"/>
  <c r="O325" i="9"/>
  <c r="N325" i="9"/>
  <c r="M325" i="9"/>
  <c r="L325" i="9"/>
  <c r="DR323" i="9"/>
  <c r="DR322" i="9"/>
  <c r="DR320" i="9"/>
  <c r="DR319" i="9"/>
  <c r="DR318" i="9"/>
  <c r="DR317" i="9"/>
  <c r="DR316" i="9"/>
  <c r="DR315" i="9"/>
  <c r="DR314" i="9"/>
  <c r="DR313" i="9"/>
  <c r="DR312" i="9"/>
  <c r="DR311" i="9"/>
  <c r="DR310" i="9"/>
  <c r="DR309" i="9"/>
  <c r="DR308" i="9"/>
  <c r="DR307" i="9"/>
  <c r="DR306" i="9"/>
  <c r="DR305" i="9"/>
  <c r="DR304" i="9"/>
  <c r="DR303" i="9"/>
  <c r="DR302" i="9"/>
  <c r="DR301" i="9"/>
  <c r="DR300" i="9"/>
  <c r="DR299" i="9"/>
  <c r="DR298" i="9"/>
  <c r="DR297" i="9"/>
  <c r="DR296" i="9"/>
  <c r="DR295" i="9"/>
  <c r="DR294" i="9"/>
  <c r="DR293" i="9"/>
  <c r="DR292" i="9"/>
  <c r="DR291" i="9"/>
  <c r="DR289" i="9"/>
  <c r="DR288" i="9"/>
  <c r="DR287" i="9"/>
  <c r="DR286" i="9"/>
  <c r="DR285" i="9"/>
  <c r="DR284" i="9"/>
  <c r="DR283" i="9"/>
  <c r="DR282" i="9"/>
  <c r="DR281" i="9"/>
  <c r="DR280" i="9"/>
  <c r="DR278" i="9"/>
  <c r="DR277" i="9"/>
  <c r="DR276" i="9"/>
  <c r="DR275" i="9"/>
  <c r="DR274" i="9"/>
  <c r="DR273" i="9"/>
  <c r="DR272" i="9"/>
  <c r="DR271" i="9"/>
  <c r="DR270" i="9"/>
  <c r="DR269" i="9"/>
  <c r="DR268" i="9"/>
  <c r="DR267" i="9"/>
  <c r="DR266" i="9"/>
  <c r="DR265" i="9"/>
  <c r="DR264" i="9"/>
  <c r="DR263" i="9"/>
  <c r="DR262" i="9"/>
  <c r="DR261" i="9"/>
  <c r="DR260" i="9"/>
  <c r="DR259" i="9"/>
  <c r="DR258" i="9"/>
  <c r="DR257" i="9"/>
  <c r="DR256" i="9"/>
  <c r="DR255" i="9"/>
  <c r="DR254" i="9"/>
  <c r="DR253" i="9"/>
  <c r="DR252" i="9"/>
  <c r="DR251" i="9"/>
  <c r="DR250" i="9"/>
  <c r="DR249" i="9"/>
  <c r="DR248" i="9"/>
  <c r="DR247" i="9"/>
  <c r="DR243" i="9"/>
  <c r="DR242" i="9"/>
  <c r="DR241" i="9"/>
  <c r="DR240" i="9"/>
  <c r="DR238" i="9"/>
  <c r="DR237" i="9"/>
  <c r="DR236" i="9"/>
  <c r="DR235" i="9"/>
  <c r="DR233" i="9"/>
  <c r="DR232" i="9"/>
  <c r="DR231" i="9"/>
  <c r="DR230" i="9"/>
  <c r="DR229" i="9"/>
  <c r="DR228" i="9"/>
  <c r="DR227" i="9"/>
  <c r="DR226" i="9"/>
  <c r="DR225" i="9"/>
  <c r="DR224" i="9"/>
  <c r="DR223" i="9"/>
  <c r="DR222" i="9"/>
  <c r="DR221" i="9"/>
  <c r="DR220" i="9"/>
  <c r="DR219" i="9"/>
  <c r="DR218" i="9"/>
  <c r="DR217" i="9"/>
  <c r="DR216" i="9"/>
  <c r="DR215" i="9"/>
  <c r="I192" i="114"/>
  <c r="F72" i="89"/>
  <c r="F68" i="89"/>
  <c r="I161" i="114"/>
  <c r="I160" i="114"/>
  <c r="I159" i="114"/>
  <c r="I152" i="114"/>
  <c r="I151" i="114"/>
  <c r="I150" i="114"/>
  <c r="L173" i="80"/>
  <c r="G173" i="80" s="1"/>
  <c r="I148" i="114"/>
  <c r="F65" i="89"/>
  <c r="I137" i="114"/>
  <c r="F57" i="89"/>
  <c r="F56" i="89" s="1"/>
  <c r="J116" i="114"/>
  <c r="J77" i="66"/>
  <c r="D77" i="66" s="1"/>
  <c r="F42" i="89"/>
  <c r="F41" i="89" s="1"/>
  <c r="D221" i="80"/>
  <c r="J15" i="101"/>
  <c r="I28" i="114"/>
  <c r="I27" i="114"/>
  <c r="I26" i="114"/>
  <c r="I19" i="114"/>
  <c r="L164" i="80"/>
  <c r="E63" i="116"/>
  <c r="E62" i="116"/>
  <c r="E61" i="116"/>
  <c r="E60" i="116"/>
  <c r="J14" i="116"/>
  <c r="E14" i="116"/>
  <c r="J13" i="116"/>
  <c r="E13" i="116"/>
  <c r="J12" i="116"/>
  <c r="E12" i="116"/>
  <c r="J11" i="116"/>
  <c r="E11" i="116"/>
  <c r="J10" i="116"/>
  <c r="E10" i="116"/>
  <c r="J9" i="116"/>
  <c r="E9" i="116"/>
  <c r="J8" i="116"/>
  <c r="E8" i="116"/>
  <c r="J7" i="116"/>
  <c r="E7" i="116"/>
  <c r="J6" i="116"/>
  <c r="I6" i="116"/>
  <c r="I7" i="116" s="1"/>
  <c r="I8" i="116" s="1"/>
  <c r="I9" i="116" s="1"/>
  <c r="I10" i="116" s="1"/>
  <c r="I11" i="116" s="1"/>
  <c r="I12" i="116" s="1"/>
  <c r="I13" i="116" s="1"/>
  <c r="I14" i="116" s="1"/>
  <c r="E6" i="116"/>
  <c r="J5" i="116"/>
  <c r="I5" i="116"/>
  <c r="G5" i="116"/>
  <c r="G6" i="116" s="1"/>
  <c r="G7" i="116" s="1"/>
  <c r="G8" i="116" s="1"/>
  <c r="G9" i="116" s="1"/>
  <c r="G10" i="116" s="1"/>
  <c r="G11" i="116" s="1"/>
  <c r="G12" i="116" s="1"/>
  <c r="G13" i="116" s="1"/>
  <c r="G14" i="116" s="1"/>
  <c r="E5" i="116"/>
  <c r="J4" i="116"/>
  <c r="I4" i="116"/>
  <c r="G4" i="116"/>
  <c r="E4" i="116"/>
  <c r="J3" i="116"/>
  <c r="I3" i="116"/>
  <c r="G3" i="116"/>
  <c r="F3" i="116"/>
  <c r="F4" i="116" s="1"/>
  <c r="F5" i="116" s="1"/>
  <c r="F6" i="116" s="1"/>
  <c r="F7" i="116" s="1"/>
  <c r="F8" i="116" s="1"/>
  <c r="F9" i="116" s="1"/>
  <c r="F10" i="116" s="1"/>
  <c r="F11" i="116" s="1"/>
  <c r="F12" i="116" s="1"/>
  <c r="F13" i="116" s="1"/>
  <c r="F14" i="116" s="1"/>
  <c r="B148" i="115"/>
  <c r="A148" i="115"/>
  <c r="K147" i="115"/>
  <c r="B144" i="115"/>
  <c r="A144" i="115"/>
  <c r="K143" i="115"/>
  <c r="B140" i="115"/>
  <c r="A140" i="115"/>
  <c r="K139" i="115"/>
  <c r="K136" i="115"/>
  <c r="K133" i="115"/>
  <c r="B130" i="115"/>
  <c r="A130" i="115"/>
  <c r="B129" i="115"/>
  <c r="A129" i="115"/>
  <c r="M121" i="115"/>
  <c r="L121" i="115"/>
  <c r="J121" i="115"/>
  <c r="I121" i="115"/>
  <c r="H121" i="115"/>
  <c r="G121" i="115"/>
  <c r="F121" i="115"/>
  <c r="E121" i="115"/>
  <c r="C121" i="115"/>
  <c r="B120" i="115"/>
  <c r="M117" i="115"/>
  <c r="L117" i="115"/>
  <c r="K117" i="115"/>
  <c r="J117" i="115"/>
  <c r="I117" i="115"/>
  <c r="H117" i="115"/>
  <c r="G117" i="115"/>
  <c r="F117" i="115"/>
  <c r="E117" i="115"/>
  <c r="C117" i="115"/>
  <c r="M113" i="115"/>
  <c r="L113" i="115"/>
  <c r="K113" i="115"/>
  <c r="J113" i="115"/>
  <c r="I113" i="115"/>
  <c r="H113" i="115"/>
  <c r="G113" i="115"/>
  <c r="F113" i="115"/>
  <c r="E113" i="115"/>
  <c r="C113" i="115"/>
  <c r="M109" i="115"/>
  <c r="L109" i="115"/>
  <c r="J109" i="115"/>
  <c r="I109" i="115"/>
  <c r="H109" i="115"/>
  <c r="G109" i="115"/>
  <c r="F109" i="115"/>
  <c r="E109" i="115"/>
  <c r="C109" i="115"/>
  <c r="M106" i="115"/>
  <c r="L106" i="115"/>
  <c r="J106" i="115"/>
  <c r="I106" i="115"/>
  <c r="H106" i="115"/>
  <c r="G106" i="115"/>
  <c r="F106" i="115"/>
  <c r="E106" i="115"/>
  <c r="C106" i="115"/>
  <c r="M103" i="115"/>
  <c r="L103" i="115"/>
  <c r="J103" i="115"/>
  <c r="I103" i="115"/>
  <c r="H103" i="115"/>
  <c r="G103" i="115"/>
  <c r="F103" i="115"/>
  <c r="E103" i="115"/>
  <c r="C103" i="115"/>
  <c r="M98" i="115"/>
  <c r="L98" i="115"/>
  <c r="J98" i="115"/>
  <c r="I98" i="115"/>
  <c r="H98" i="115"/>
  <c r="G98" i="115"/>
  <c r="C98" i="115"/>
  <c r="B97" i="115"/>
  <c r="M94" i="115"/>
  <c r="L94" i="115"/>
  <c r="K94" i="115"/>
  <c r="J94" i="115"/>
  <c r="I94" i="115"/>
  <c r="H94" i="115"/>
  <c r="E94" i="115"/>
  <c r="C94" i="115"/>
  <c r="M91" i="115"/>
  <c r="L91" i="115"/>
  <c r="K91" i="115"/>
  <c r="H91" i="115"/>
  <c r="G91" i="115"/>
  <c r="F91" i="115"/>
  <c r="E91" i="115"/>
  <c r="C91" i="115"/>
  <c r="M88" i="115"/>
  <c r="L88" i="115"/>
  <c r="K88" i="115"/>
  <c r="J88" i="115"/>
  <c r="I88" i="115"/>
  <c r="H88" i="115"/>
  <c r="E88" i="115"/>
  <c r="C88" i="115"/>
  <c r="B87" i="115"/>
  <c r="M84" i="115"/>
  <c r="L84" i="115"/>
  <c r="K84" i="115"/>
  <c r="I84" i="115"/>
  <c r="H84" i="115"/>
  <c r="G84" i="115"/>
  <c r="F84" i="115"/>
  <c r="E84" i="115"/>
  <c r="C84" i="115"/>
  <c r="M81" i="115"/>
  <c r="L81" i="115"/>
  <c r="K81" i="115"/>
  <c r="J81" i="115"/>
  <c r="I81" i="115"/>
  <c r="H81" i="115"/>
  <c r="G81" i="115"/>
  <c r="F81" i="115"/>
  <c r="E81" i="115"/>
  <c r="C81" i="115"/>
  <c r="M78" i="115"/>
  <c r="L78" i="115"/>
  <c r="K78" i="115"/>
  <c r="J78" i="115"/>
  <c r="I78" i="115"/>
  <c r="H78" i="115"/>
  <c r="G78" i="115"/>
  <c r="C78" i="115"/>
  <c r="B77" i="115"/>
  <c r="B76" i="115"/>
  <c r="M73" i="115"/>
  <c r="L73" i="115"/>
  <c r="C73" i="115"/>
  <c r="M69" i="115"/>
  <c r="L69" i="115"/>
  <c r="C69" i="115"/>
  <c r="B69" i="115"/>
  <c r="M65" i="115"/>
  <c r="L65" i="115"/>
  <c r="C65" i="115"/>
  <c r="M62" i="115"/>
  <c r="L62" i="115"/>
  <c r="C62" i="115"/>
  <c r="M59" i="115"/>
  <c r="L59" i="115"/>
  <c r="C59" i="115"/>
  <c r="M55" i="115"/>
  <c r="L55" i="115"/>
  <c r="C55" i="115"/>
  <c r="B55" i="115"/>
  <c r="M52" i="115"/>
  <c r="L52" i="115"/>
  <c r="C52" i="115"/>
  <c r="M49" i="115"/>
  <c r="L49" i="115"/>
  <c r="C49" i="115"/>
  <c r="M40" i="115"/>
  <c r="I40" i="115"/>
  <c r="G40" i="115"/>
  <c r="F40" i="115"/>
  <c r="E40" i="115"/>
  <c r="C40" i="115"/>
  <c r="A40" i="115"/>
  <c r="M37" i="115"/>
  <c r="I37" i="115"/>
  <c r="G37" i="115"/>
  <c r="F37" i="115"/>
  <c r="E37" i="115"/>
  <c r="C37" i="115"/>
  <c r="A37" i="115"/>
  <c r="M34" i="115"/>
  <c r="I34" i="115"/>
  <c r="G34" i="115"/>
  <c r="F34" i="115"/>
  <c r="E34" i="115"/>
  <c r="C34" i="115"/>
  <c r="A34" i="115"/>
  <c r="M31" i="115"/>
  <c r="I31" i="115"/>
  <c r="G31" i="115"/>
  <c r="F31" i="115"/>
  <c r="E31" i="115"/>
  <c r="C31" i="115"/>
  <c r="A31" i="115"/>
  <c r="A28" i="115"/>
  <c r="M25" i="115"/>
  <c r="I25" i="115"/>
  <c r="G25" i="115"/>
  <c r="F25" i="115"/>
  <c r="E25" i="115"/>
  <c r="C25" i="115"/>
  <c r="A25" i="115"/>
  <c r="A22" i="115"/>
  <c r="M19" i="115"/>
  <c r="I19" i="115"/>
  <c r="G19" i="115"/>
  <c r="F19" i="115"/>
  <c r="E19" i="115"/>
  <c r="C19" i="115"/>
  <c r="A19" i="115"/>
  <c r="M16" i="115"/>
  <c r="I16" i="115"/>
  <c r="G16" i="115"/>
  <c r="F16" i="115"/>
  <c r="E16" i="115"/>
  <c r="C16" i="115"/>
  <c r="A16" i="115"/>
  <c r="M13" i="115"/>
  <c r="I13" i="115"/>
  <c r="G13" i="115"/>
  <c r="F13" i="115"/>
  <c r="E13" i="115"/>
  <c r="C13" i="115"/>
  <c r="A13" i="115"/>
  <c r="M10" i="115"/>
  <c r="I10" i="115"/>
  <c r="G10" i="115"/>
  <c r="F10" i="115"/>
  <c r="E10" i="115"/>
  <c r="C10" i="115"/>
  <c r="A10" i="115"/>
  <c r="A7" i="115"/>
  <c r="C3" i="115"/>
  <c r="H39" i="7"/>
  <c r="H38" i="7"/>
  <c r="F37" i="7"/>
  <c r="E37" i="7"/>
  <c r="D37" i="7"/>
  <c r="C37" i="7"/>
  <c r="B37" i="7"/>
  <c r="H26" i="7"/>
  <c r="H10" i="7"/>
  <c r="K279" i="114"/>
  <c r="J279" i="114"/>
  <c r="H279" i="114"/>
  <c r="G279" i="114"/>
  <c r="K278" i="114"/>
  <c r="J278" i="114"/>
  <c r="H278" i="114"/>
  <c r="G278" i="114"/>
  <c r="K277" i="114"/>
  <c r="J277" i="114"/>
  <c r="H277" i="114"/>
  <c r="G277" i="114"/>
  <c r="K276" i="114"/>
  <c r="H276" i="114"/>
  <c r="G276" i="114"/>
  <c r="H275" i="114"/>
  <c r="G275" i="114"/>
  <c r="K274" i="114"/>
  <c r="J274" i="114"/>
  <c r="H274" i="114"/>
  <c r="G274" i="114"/>
  <c r="H273" i="114"/>
  <c r="G273" i="114"/>
  <c r="H272" i="114"/>
  <c r="G272" i="114"/>
  <c r="H271" i="114"/>
  <c r="G271" i="114"/>
  <c r="K269" i="114"/>
  <c r="J269" i="114"/>
  <c r="H269" i="114"/>
  <c r="G269" i="114"/>
  <c r="K268" i="114"/>
  <c r="J268" i="114"/>
  <c r="H268" i="114"/>
  <c r="G268" i="114"/>
  <c r="K267" i="114"/>
  <c r="J267" i="114"/>
  <c r="H267" i="114"/>
  <c r="G267" i="114"/>
  <c r="K266" i="114"/>
  <c r="J266" i="114"/>
  <c r="H266" i="114"/>
  <c r="G266" i="114"/>
  <c r="K265" i="114"/>
  <c r="J265" i="114"/>
  <c r="H265" i="114"/>
  <c r="G265" i="114"/>
  <c r="K264" i="114"/>
  <c r="J264" i="114"/>
  <c r="H264" i="114"/>
  <c r="G264" i="114"/>
  <c r="K263" i="114"/>
  <c r="J263" i="114"/>
  <c r="H263" i="114"/>
  <c r="G263" i="114"/>
  <c r="K262" i="114"/>
  <c r="J262" i="114"/>
  <c r="H262" i="114"/>
  <c r="G262" i="114"/>
  <c r="K261" i="114"/>
  <c r="J261" i="114"/>
  <c r="H261" i="114"/>
  <c r="G261" i="114"/>
  <c r="K260" i="114"/>
  <c r="J260" i="114"/>
  <c r="H260" i="114"/>
  <c r="G260" i="114"/>
  <c r="K259" i="114"/>
  <c r="J259" i="114"/>
  <c r="H259" i="114"/>
  <c r="G259" i="114"/>
  <c r="K258" i="114"/>
  <c r="J258" i="114"/>
  <c r="H258" i="114"/>
  <c r="G258" i="114"/>
  <c r="K257" i="114"/>
  <c r="J257" i="114"/>
  <c r="H257" i="114"/>
  <c r="G257" i="114"/>
  <c r="H256" i="114"/>
  <c r="G256" i="114"/>
  <c r="K255" i="114"/>
  <c r="J255" i="114"/>
  <c r="H255" i="114"/>
  <c r="G255" i="114"/>
  <c r="H254" i="114"/>
  <c r="G254" i="114"/>
  <c r="H253" i="114"/>
  <c r="G253" i="114"/>
  <c r="C253" i="114"/>
  <c r="C207" i="114" s="1"/>
  <c r="K251" i="114"/>
  <c r="J251" i="114"/>
  <c r="H251" i="114"/>
  <c r="G251" i="114"/>
  <c r="K250" i="114"/>
  <c r="J250" i="114"/>
  <c r="H250" i="114"/>
  <c r="G250" i="114"/>
  <c r="K249" i="114"/>
  <c r="J249" i="114"/>
  <c r="H249" i="114"/>
  <c r="G249" i="114"/>
  <c r="K248" i="114"/>
  <c r="J248" i="114"/>
  <c r="H248" i="114"/>
  <c r="G248" i="114"/>
  <c r="K247" i="114"/>
  <c r="J247" i="114"/>
  <c r="H247" i="114"/>
  <c r="G247" i="114"/>
  <c r="K246" i="114"/>
  <c r="J246" i="114"/>
  <c r="H246" i="114"/>
  <c r="G246" i="114"/>
  <c r="H245" i="114"/>
  <c r="G245" i="114"/>
  <c r="K244" i="114"/>
  <c r="J244" i="114"/>
  <c r="H244" i="114"/>
  <c r="G244" i="114"/>
  <c r="K243" i="114"/>
  <c r="J243" i="114"/>
  <c r="H243" i="114"/>
  <c r="G243" i="114"/>
  <c r="K242" i="114"/>
  <c r="J242" i="114"/>
  <c r="H242" i="114"/>
  <c r="G242" i="114"/>
  <c r="H241" i="114"/>
  <c r="G241" i="114"/>
  <c r="H240" i="114"/>
  <c r="G240" i="114"/>
  <c r="K239" i="114"/>
  <c r="J239" i="114"/>
  <c r="H239" i="114"/>
  <c r="G239" i="114"/>
  <c r="K237" i="114"/>
  <c r="J237" i="114"/>
  <c r="H237" i="114"/>
  <c r="G237" i="114"/>
  <c r="K236" i="114"/>
  <c r="J236" i="114"/>
  <c r="H236" i="114"/>
  <c r="G236" i="114"/>
  <c r="K235" i="114"/>
  <c r="J235" i="114"/>
  <c r="H235" i="114"/>
  <c r="G235" i="114"/>
  <c r="K234" i="114"/>
  <c r="J234" i="114"/>
  <c r="H234" i="114"/>
  <c r="G234" i="114"/>
  <c r="H233" i="114"/>
  <c r="G233" i="114"/>
  <c r="K231" i="114"/>
  <c r="J231" i="114"/>
  <c r="H231" i="114"/>
  <c r="G231" i="114"/>
  <c r="H230" i="114"/>
  <c r="G230" i="114"/>
  <c r="K228" i="114"/>
  <c r="J228" i="114"/>
  <c r="H228" i="114"/>
  <c r="G228" i="114"/>
  <c r="K227" i="114"/>
  <c r="J227" i="114"/>
  <c r="H227" i="114"/>
  <c r="G227" i="114"/>
  <c r="K226" i="114"/>
  <c r="J226" i="114"/>
  <c r="H226" i="114"/>
  <c r="G226" i="114"/>
  <c r="H225" i="114"/>
  <c r="G225" i="114"/>
  <c r="K224" i="114"/>
  <c r="J224" i="114"/>
  <c r="H224" i="114"/>
  <c r="G224" i="114"/>
  <c r="K223" i="114"/>
  <c r="J223" i="114"/>
  <c r="H223" i="114"/>
  <c r="G223" i="114"/>
  <c r="K222" i="114"/>
  <c r="J222" i="114"/>
  <c r="H222" i="114"/>
  <c r="G222" i="114"/>
  <c r="K221" i="114"/>
  <c r="J221" i="114"/>
  <c r="H221" i="114"/>
  <c r="G221" i="114"/>
  <c r="H220" i="114"/>
  <c r="G220" i="114"/>
  <c r="K219" i="114"/>
  <c r="J219" i="114"/>
  <c r="H219" i="114"/>
  <c r="G219" i="114"/>
  <c r="K218" i="114"/>
  <c r="J218" i="114"/>
  <c r="H218" i="114"/>
  <c r="G218" i="114"/>
  <c r="K217" i="114"/>
  <c r="J217" i="114"/>
  <c r="H217" i="114"/>
  <c r="G217" i="114"/>
  <c r="H216" i="114"/>
  <c r="G216" i="114"/>
  <c r="K215" i="114"/>
  <c r="J215" i="114"/>
  <c r="H215" i="114"/>
  <c r="G215" i="114"/>
  <c r="K214" i="114"/>
  <c r="J214" i="114"/>
  <c r="H214" i="114"/>
  <c r="G214" i="114"/>
  <c r="K213" i="114"/>
  <c r="J213" i="114"/>
  <c r="H213" i="114"/>
  <c r="G213" i="114"/>
  <c r="K212" i="114"/>
  <c r="J212" i="114"/>
  <c r="H212" i="114"/>
  <c r="G212" i="114"/>
  <c r="K211" i="114"/>
  <c r="J211" i="114"/>
  <c r="H211" i="114"/>
  <c r="G211" i="114"/>
  <c r="K210" i="114"/>
  <c r="J210" i="114"/>
  <c r="H210" i="114"/>
  <c r="G210" i="114"/>
  <c r="H209" i="114"/>
  <c r="G209" i="114"/>
  <c r="H208" i="114"/>
  <c r="G208" i="114"/>
  <c r="H207" i="114"/>
  <c r="G207" i="114"/>
  <c r="H205" i="114"/>
  <c r="G205" i="114"/>
  <c r="H204" i="114"/>
  <c r="G204" i="114"/>
  <c r="H203" i="114"/>
  <c r="G203" i="114"/>
  <c r="H202" i="114"/>
  <c r="G202" i="114"/>
  <c r="K201" i="114"/>
  <c r="J201" i="114"/>
  <c r="H201" i="114"/>
  <c r="G201" i="114"/>
  <c r="H200" i="114"/>
  <c r="G200" i="114"/>
  <c r="K199" i="114"/>
  <c r="J199" i="114"/>
  <c r="H199" i="114"/>
  <c r="G199" i="114"/>
  <c r="H198" i="114"/>
  <c r="G198" i="114"/>
  <c r="H197" i="114"/>
  <c r="G197" i="114"/>
  <c r="H196" i="114"/>
  <c r="G196" i="114"/>
  <c r="K195" i="114"/>
  <c r="J195" i="114"/>
  <c r="H195" i="114"/>
  <c r="G195" i="114"/>
  <c r="H194" i="114"/>
  <c r="G194" i="114"/>
  <c r="K193" i="114"/>
  <c r="J193" i="114"/>
  <c r="H193" i="114"/>
  <c r="G193" i="114"/>
  <c r="K192" i="114"/>
  <c r="J192" i="114"/>
  <c r="H192" i="114"/>
  <c r="G192" i="114"/>
  <c r="K191" i="114"/>
  <c r="J191" i="114"/>
  <c r="H191" i="114"/>
  <c r="G191" i="114"/>
  <c r="K190" i="114"/>
  <c r="J190" i="114"/>
  <c r="H190" i="114"/>
  <c r="G190" i="114"/>
  <c r="H189" i="114"/>
  <c r="G189" i="114"/>
  <c r="H188" i="114"/>
  <c r="G188" i="114"/>
  <c r="H187" i="114"/>
  <c r="G187" i="114"/>
  <c r="H186" i="114"/>
  <c r="G186" i="114"/>
  <c r="H185" i="114"/>
  <c r="G185" i="114"/>
  <c r="I184" i="114"/>
  <c r="H184" i="114"/>
  <c r="G184" i="114"/>
  <c r="H183" i="114"/>
  <c r="G183" i="114"/>
  <c r="H182" i="114"/>
  <c r="G182" i="114"/>
  <c r="H181" i="114"/>
  <c r="G181" i="114"/>
  <c r="H180" i="114"/>
  <c r="G180" i="114"/>
  <c r="H179" i="114"/>
  <c r="G179" i="114"/>
  <c r="I178" i="114"/>
  <c r="H178" i="114"/>
  <c r="G178" i="114"/>
  <c r="H177" i="114"/>
  <c r="G177" i="114"/>
  <c r="H176" i="114"/>
  <c r="G176" i="114"/>
  <c r="I175" i="114"/>
  <c r="H175" i="114"/>
  <c r="G175" i="114"/>
  <c r="H174" i="114"/>
  <c r="G174" i="114"/>
  <c r="H173" i="114"/>
  <c r="G173" i="114"/>
  <c r="C173" i="114"/>
  <c r="K171" i="114"/>
  <c r="J171" i="114"/>
  <c r="H171" i="114"/>
  <c r="G171" i="114"/>
  <c r="H170" i="114"/>
  <c r="G170" i="114"/>
  <c r="K169" i="114"/>
  <c r="J169" i="114"/>
  <c r="H169" i="114"/>
  <c r="G169" i="114"/>
  <c r="K168" i="114"/>
  <c r="J168" i="114"/>
  <c r="H168" i="114"/>
  <c r="G168" i="114"/>
  <c r="K167" i="114"/>
  <c r="J167" i="114"/>
  <c r="H167" i="114"/>
  <c r="G167" i="114"/>
  <c r="H166" i="114"/>
  <c r="G166" i="114"/>
  <c r="K165" i="114"/>
  <c r="J165" i="114"/>
  <c r="H165" i="114"/>
  <c r="G165" i="114"/>
  <c r="H164" i="114"/>
  <c r="G164" i="114"/>
  <c r="H163" i="114"/>
  <c r="G163" i="114"/>
  <c r="H162" i="114"/>
  <c r="G162" i="114"/>
  <c r="K161" i="114"/>
  <c r="J161" i="114"/>
  <c r="H161" i="114"/>
  <c r="G161" i="114"/>
  <c r="K160" i="114"/>
  <c r="J160" i="114"/>
  <c r="H160" i="114"/>
  <c r="G160" i="114"/>
  <c r="K159" i="114"/>
  <c r="J159" i="114"/>
  <c r="H159" i="114"/>
  <c r="G159" i="114"/>
  <c r="H158" i="114"/>
  <c r="I157" i="114"/>
  <c r="H157" i="114"/>
  <c r="G157" i="114"/>
  <c r="I156" i="114"/>
  <c r="H156" i="114"/>
  <c r="G156" i="114"/>
  <c r="I155" i="114"/>
  <c r="H155" i="114"/>
  <c r="G155" i="114"/>
  <c r="I154" i="114"/>
  <c r="H154" i="114"/>
  <c r="G154" i="114"/>
  <c r="I153" i="114"/>
  <c r="H153" i="114"/>
  <c r="G153" i="114"/>
  <c r="H152" i="114"/>
  <c r="G152" i="114"/>
  <c r="H151" i="114"/>
  <c r="G151" i="114"/>
  <c r="H150" i="114"/>
  <c r="G150" i="114"/>
  <c r="H149" i="114"/>
  <c r="G149" i="114"/>
  <c r="H148" i="114"/>
  <c r="G148" i="114"/>
  <c r="H147" i="114"/>
  <c r="G147" i="114"/>
  <c r="K146" i="114"/>
  <c r="J146" i="114"/>
  <c r="H146" i="114"/>
  <c r="G146" i="114"/>
  <c r="K145" i="114"/>
  <c r="J145" i="114"/>
  <c r="H145" i="114"/>
  <c r="G145" i="114"/>
  <c r="K144" i="114"/>
  <c r="J144" i="114"/>
  <c r="H144" i="114"/>
  <c r="G144" i="114"/>
  <c r="H143" i="114"/>
  <c r="G143" i="114"/>
  <c r="H142" i="114"/>
  <c r="G142" i="114"/>
  <c r="H141" i="114"/>
  <c r="G141" i="114"/>
  <c r="K139" i="114"/>
  <c r="J139" i="114"/>
  <c r="H139" i="114"/>
  <c r="G139" i="114"/>
  <c r="H138" i="114"/>
  <c r="G138" i="114"/>
  <c r="K137" i="114"/>
  <c r="J137" i="114"/>
  <c r="H137" i="114"/>
  <c r="G137" i="114"/>
  <c r="H136" i="114"/>
  <c r="G136" i="114"/>
  <c r="H135" i="114"/>
  <c r="G135" i="114"/>
  <c r="K133" i="114"/>
  <c r="J133" i="114"/>
  <c r="G133" i="114"/>
  <c r="K132" i="114"/>
  <c r="J132" i="114"/>
  <c r="G132" i="114"/>
  <c r="K131" i="114"/>
  <c r="J131" i="114"/>
  <c r="H131" i="114"/>
  <c r="G131" i="114"/>
  <c r="H130" i="114"/>
  <c r="G130" i="114"/>
  <c r="K129" i="114"/>
  <c r="J129" i="114"/>
  <c r="H129" i="114"/>
  <c r="G129" i="114"/>
  <c r="H128" i="114"/>
  <c r="G128" i="114"/>
  <c r="K124" i="114"/>
  <c r="J124" i="114"/>
  <c r="H124" i="114"/>
  <c r="G124" i="114"/>
  <c r="H123" i="114"/>
  <c r="G123" i="114"/>
  <c r="K122" i="114"/>
  <c r="J122" i="114"/>
  <c r="H122" i="114"/>
  <c r="G122" i="114"/>
  <c r="H121" i="114"/>
  <c r="G121" i="114"/>
  <c r="I120" i="114"/>
  <c r="H120" i="114"/>
  <c r="G120" i="114"/>
  <c r="K118" i="114"/>
  <c r="J118" i="114"/>
  <c r="H118" i="114"/>
  <c r="G118" i="114"/>
  <c r="K117" i="114"/>
  <c r="J117" i="114"/>
  <c r="H117" i="114"/>
  <c r="G117" i="114"/>
  <c r="K116" i="114"/>
  <c r="H116" i="114"/>
  <c r="G116" i="114"/>
  <c r="K115" i="114"/>
  <c r="J115" i="114"/>
  <c r="H115" i="114"/>
  <c r="G115" i="114"/>
  <c r="K114" i="114"/>
  <c r="J114" i="114"/>
  <c r="H114" i="114"/>
  <c r="G114" i="114"/>
  <c r="I113" i="114"/>
  <c r="I112" i="114" s="1"/>
  <c r="H113" i="114"/>
  <c r="G113" i="114"/>
  <c r="H112" i="114"/>
  <c r="G112" i="114"/>
  <c r="I110" i="114"/>
  <c r="H110" i="114"/>
  <c r="G110" i="114"/>
  <c r="H109" i="114"/>
  <c r="G109" i="114"/>
  <c r="I98" i="114"/>
  <c r="H98" i="114"/>
  <c r="G98" i="114"/>
  <c r="K97" i="114"/>
  <c r="J97" i="114"/>
  <c r="H97" i="114"/>
  <c r="G97" i="114"/>
  <c r="K96" i="114"/>
  <c r="J96" i="114"/>
  <c r="H96" i="114"/>
  <c r="G96" i="114"/>
  <c r="I95" i="114"/>
  <c r="H95" i="114"/>
  <c r="G95" i="114"/>
  <c r="K94" i="114"/>
  <c r="J94" i="114"/>
  <c r="H94" i="114"/>
  <c r="G94" i="114"/>
  <c r="K93" i="114"/>
  <c r="J93" i="114"/>
  <c r="H93" i="114"/>
  <c r="G93" i="114"/>
  <c r="I92" i="114"/>
  <c r="H92" i="114"/>
  <c r="G92" i="114"/>
  <c r="K91" i="114"/>
  <c r="J91" i="114"/>
  <c r="H91" i="114"/>
  <c r="G91" i="114"/>
  <c r="K90" i="114"/>
  <c r="J90" i="114"/>
  <c r="H90" i="114"/>
  <c r="G90" i="114"/>
  <c r="K89" i="114"/>
  <c r="J89" i="114"/>
  <c r="H89" i="114"/>
  <c r="G89" i="114"/>
  <c r="K88" i="114"/>
  <c r="J88" i="114"/>
  <c r="H88" i="114"/>
  <c r="G88" i="114"/>
  <c r="I87" i="114"/>
  <c r="H87" i="114"/>
  <c r="G87" i="114"/>
  <c r="K86" i="114"/>
  <c r="J86" i="114"/>
  <c r="H86" i="114"/>
  <c r="G86" i="114"/>
  <c r="K85" i="114"/>
  <c r="J85" i="114"/>
  <c r="H85" i="114"/>
  <c r="G85" i="114"/>
  <c r="K84" i="114"/>
  <c r="J84" i="114"/>
  <c r="H84" i="114"/>
  <c r="G84" i="114"/>
  <c r="K83" i="114"/>
  <c r="J83" i="114"/>
  <c r="H83" i="114"/>
  <c r="G83" i="114"/>
  <c r="I82" i="114"/>
  <c r="H82" i="114"/>
  <c r="G82" i="114"/>
  <c r="K81" i="114"/>
  <c r="J81" i="114"/>
  <c r="H81" i="114"/>
  <c r="G81" i="114"/>
  <c r="K80" i="114"/>
  <c r="J80" i="114"/>
  <c r="H80" i="114"/>
  <c r="G80" i="114"/>
  <c r="I79" i="114"/>
  <c r="H79" i="114"/>
  <c r="G79" i="114"/>
  <c r="K78" i="114"/>
  <c r="J78" i="114"/>
  <c r="H78" i="114"/>
  <c r="G78" i="114"/>
  <c r="K77" i="114"/>
  <c r="J77" i="114"/>
  <c r="H77" i="114"/>
  <c r="G77" i="114"/>
  <c r="I76" i="114"/>
  <c r="H76" i="114"/>
  <c r="G76" i="114"/>
  <c r="H75" i="114"/>
  <c r="G75" i="114"/>
  <c r="H74" i="114"/>
  <c r="G74" i="114"/>
  <c r="C74" i="114"/>
  <c r="J72" i="114"/>
  <c r="H72" i="114"/>
  <c r="G72" i="114"/>
  <c r="J71" i="114"/>
  <c r="H71" i="114"/>
  <c r="G71" i="114"/>
  <c r="H70" i="114"/>
  <c r="G70" i="114"/>
  <c r="H68" i="114"/>
  <c r="G68" i="114"/>
  <c r="H67" i="114"/>
  <c r="G67" i="114"/>
  <c r="J66" i="114"/>
  <c r="H66" i="114"/>
  <c r="G66" i="114"/>
  <c r="J65" i="114"/>
  <c r="H65" i="114"/>
  <c r="G65" i="114"/>
  <c r="I64" i="114"/>
  <c r="H64" i="114"/>
  <c r="G64" i="114"/>
  <c r="J63" i="114"/>
  <c r="H63" i="114"/>
  <c r="G63" i="114"/>
  <c r="J62" i="114"/>
  <c r="H62" i="114"/>
  <c r="G62" i="114"/>
  <c r="J61" i="114"/>
  <c r="H61" i="114"/>
  <c r="G61" i="114"/>
  <c r="J60" i="114"/>
  <c r="H60" i="114"/>
  <c r="G60" i="114"/>
  <c r="J59" i="114"/>
  <c r="H59" i="114"/>
  <c r="G59" i="114"/>
  <c r="J58" i="114"/>
  <c r="H58" i="114"/>
  <c r="G58" i="114"/>
  <c r="J57" i="114"/>
  <c r="H57" i="114"/>
  <c r="G57" i="114"/>
  <c r="H56" i="114"/>
  <c r="G56" i="114"/>
  <c r="H55" i="114"/>
  <c r="G55" i="114"/>
  <c r="K54" i="114"/>
  <c r="J54" i="114"/>
  <c r="H54" i="114"/>
  <c r="G54" i="114"/>
  <c r="K53" i="114"/>
  <c r="J53" i="114"/>
  <c r="H53" i="114"/>
  <c r="G53" i="114"/>
  <c r="K52" i="114"/>
  <c r="J52" i="114"/>
  <c r="H52" i="114"/>
  <c r="G52" i="114"/>
  <c r="K51" i="114"/>
  <c r="J51" i="114"/>
  <c r="H51" i="114"/>
  <c r="G51" i="114"/>
  <c r="K50" i="114"/>
  <c r="J50" i="114"/>
  <c r="H50" i="114"/>
  <c r="G50" i="114"/>
  <c r="H49" i="114"/>
  <c r="G49" i="114"/>
  <c r="K48" i="114"/>
  <c r="J48" i="114"/>
  <c r="H48" i="114"/>
  <c r="G48" i="114"/>
  <c r="K47" i="114"/>
  <c r="J47" i="114"/>
  <c r="H47" i="114"/>
  <c r="G47" i="114"/>
  <c r="K46" i="114"/>
  <c r="J46" i="114"/>
  <c r="H46" i="114"/>
  <c r="G46" i="114"/>
  <c r="K45" i="114"/>
  <c r="J45" i="114"/>
  <c r="H45" i="114"/>
  <c r="G45" i="114"/>
  <c r="H44" i="114"/>
  <c r="G44" i="114"/>
  <c r="K43" i="114"/>
  <c r="J43" i="114"/>
  <c r="H43" i="114"/>
  <c r="G43" i="114"/>
  <c r="K42" i="114"/>
  <c r="J42" i="114"/>
  <c r="H42" i="114"/>
  <c r="G42" i="114"/>
  <c r="K41" i="114"/>
  <c r="J41" i="114"/>
  <c r="H41" i="114"/>
  <c r="G41" i="114"/>
  <c r="K40" i="114"/>
  <c r="J40" i="114"/>
  <c r="H40" i="114"/>
  <c r="G40" i="114"/>
  <c r="K39" i="114"/>
  <c r="J39" i="114"/>
  <c r="H39" i="114"/>
  <c r="G39" i="114"/>
  <c r="H38" i="114"/>
  <c r="G38" i="114"/>
  <c r="H37" i="114"/>
  <c r="G37" i="114"/>
  <c r="H36" i="114"/>
  <c r="G36" i="114"/>
  <c r="H35" i="114"/>
  <c r="G35" i="114"/>
  <c r="K34" i="114"/>
  <c r="J34" i="114"/>
  <c r="H34" i="114"/>
  <c r="G34" i="114"/>
  <c r="H33" i="114"/>
  <c r="G33" i="114"/>
  <c r="K32" i="114"/>
  <c r="J32" i="114"/>
  <c r="H32" i="114"/>
  <c r="G32" i="114"/>
  <c r="K31" i="114"/>
  <c r="J31" i="114"/>
  <c r="H31" i="114"/>
  <c r="G31" i="114"/>
  <c r="H30" i="114"/>
  <c r="G30" i="114"/>
  <c r="H29" i="114"/>
  <c r="G29" i="114"/>
  <c r="K28" i="114"/>
  <c r="J28" i="114"/>
  <c r="H28" i="114"/>
  <c r="G28" i="114"/>
  <c r="K27" i="114"/>
  <c r="J27" i="114"/>
  <c r="H27" i="114"/>
  <c r="G27" i="114"/>
  <c r="K26" i="114"/>
  <c r="J26" i="114"/>
  <c r="H26" i="114"/>
  <c r="G26" i="114"/>
  <c r="K25" i="114"/>
  <c r="J25" i="114"/>
  <c r="H25" i="114"/>
  <c r="G25" i="114"/>
  <c r="H24" i="114"/>
  <c r="G24" i="114"/>
  <c r="J20" i="114"/>
  <c r="H20" i="114"/>
  <c r="G20" i="114"/>
  <c r="K19" i="114" a="1"/>
  <c r="K19" i="114" s="1"/>
  <c r="J19" i="114"/>
  <c r="H19" i="114"/>
  <c r="G19" i="114"/>
  <c r="H18" i="114"/>
  <c r="G18" i="114"/>
  <c r="K17" i="114"/>
  <c r="J17" i="114"/>
  <c r="H17" i="114"/>
  <c r="G17" i="114"/>
  <c r="K16" i="114"/>
  <c r="J16" i="114"/>
  <c r="H16" i="114"/>
  <c r="G16" i="114"/>
  <c r="H15" i="114"/>
  <c r="G15" i="114"/>
  <c r="H9" i="114"/>
  <c r="G9" i="114"/>
  <c r="H8" i="114"/>
  <c r="G8" i="114"/>
  <c r="H7" i="114"/>
  <c r="G7" i="114"/>
  <c r="H6" i="114"/>
  <c r="G6" i="114"/>
  <c r="H5" i="114"/>
  <c r="G5" i="114"/>
  <c r="C5" i="114"/>
  <c r="C4" i="114" s="1"/>
  <c r="H4" i="114"/>
  <c r="G4" i="114"/>
  <c r="Q38" i="84"/>
  <c r="P38" i="84"/>
  <c r="O38" i="84"/>
  <c r="K37" i="84"/>
  <c r="P37" i="84" s="1"/>
  <c r="P36" i="84"/>
  <c r="I36" i="84"/>
  <c r="H36" i="84"/>
  <c r="K35" i="84"/>
  <c r="P35" i="84" s="1"/>
  <c r="P34" i="84"/>
  <c r="I34" i="84"/>
  <c r="H34" i="84"/>
  <c r="Q33" i="84"/>
  <c r="P33" i="84"/>
  <c r="O33" i="84"/>
  <c r="K32" i="84"/>
  <c r="P32" i="84" s="1"/>
  <c r="P31" i="84"/>
  <c r="I31" i="84"/>
  <c r="H31" i="84"/>
  <c r="Q30" i="84"/>
  <c r="P30" i="84"/>
  <c r="O30" i="84"/>
  <c r="Q29" i="84"/>
  <c r="P29" i="84"/>
  <c r="O29" i="84"/>
  <c r="Q28" i="84"/>
  <c r="P28" i="84"/>
  <c r="O28" i="84"/>
  <c r="Q27" i="84"/>
  <c r="P27" i="84"/>
  <c r="O27" i="84"/>
  <c r="K26" i="84"/>
  <c r="P26" i="84" s="1"/>
  <c r="K25" i="84"/>
  <c r="P25" i="84" s="1"/>
  <c r="K24" i="84"/>
  <c r="P24" i="84" s="1"/>
  <c r="P23" i="84"/>
  <c r="I23" i="84"/>
  <c r="H23" i="84"/>
  <c r="P22" i="84"/>
  <c r="I22" i="84"/>
  <c r="H22" i="84"/>
  <c r="Q21" i="84"/>
  <c r="P21" i="84"/>
  <c r="O21" i="84"/>
  <c r="Q20" i="84"/>
  <c r="P20" i="84"/>
  <c r="O20" i="84"/>
  <c r="Q19" i="84"/>
  <c r="P19" i="84"/>
  <c r="O19" i="84"/>
  <c r="Q18" i="84"/>
  <c r="P18" i="84"/>
  <c r="O18" i="84"/>
  <c r="Q17" i="84"/>
  <c r="P17" i="84"/>
  <c r="O17" i="84"/>
  <c r="Q16" i="84"/>
  <c r="P16" i="84"/>
  <c r="O16" i="84"/>
  <c r="E37" i="85"/>
  <c r="D37" i="85"/>
  <c r="E36" i="85"/>
  <c r="D36" i="85"/>
  <c r="E35" i="85"/>
  <c r="D35" i="85"/>
  <c r="E34" i="85"/>
  <c r="D34" i="85"/>
  <c r="E32" i="85"/>
  <c r="D32" i="85"/>
  <c r="E31" i="85"/>
  <c r="D31" i="85"/>
  <c r="E28" i="85"/>
  <c r="D28" i="85"/>
  <c r="E26" i="85"/>
  <c r="D26" i="85"/>
  <c r="E25" i="85"/>
  <c r="D25" i="85"/>
  <c r="E24" i="85"/>
  <c r="D24" i="85"/>
  <c r="E23" i="85"/>
  <c r="D23" i="85"/>
  <c r="E20" i="85"/>
  <c r="D20" i="85"/>
  <c r="E19" i="85"/>
  <c r="D19" i="85"/>
  <c r="E18" i="85"/>
  <c r="D18" i="85"/>
  <c r="E17" i="85"/>
  <c r="D17" i="85"/>
  <c r="E16" i="85"/>
  <c r="D16" i="85"/>
  <c r="E15" i="85"/>
  <c r="D15" i="85"/>
  <c r="E14" i="85"/>
  <c r="D14" i="85"/>
  <c r="E13" i="85"/>
  <c r="D13" i="85"/>
  <c r="E12" i="85"/>
  <c r="D12" i="85"/>
  <c r="E11" i="85"/>
  <c r="D11" i="85"/>
  <c r="E10" i="85"/>
  <c r="D10" i="85"/>
  <c r="E9" i="85"/>
  <c r="D9" i="85"/>
  <c r="E8" i="85"/>
  <c r="D8" i="85"/>
  <c r="E7" i="85"/>
  <c r="D7" i="85"/>
  <c r="E6" i="85"/>
  <c r="D6" i="85"/>
  <c r="E5" i="85"/>
  <c r="D5" i="85"/>
  <c r="E4" i="85"/>
  <c r="D4" i="85"/>
  <c r="B9" i="75"/>
  <c r="M16" i="26"/>
  <c r="I37" i="84" s="1"/>
  <c r="L16" i="26"/>
  <c r="H37" i="84" s="1"/>
  <c r="M15" i="26"/>
  <c r="L15" i="26"/>
  <c r="M14" i="26"/>
  <c r="I35" i="84" s="1"/>
  <c r="L14" i="26"/>
  <c r="H35" i="84" s="1"/>
  <c r="M13" i="26"/>
  <c r="L13" i="26"/>
  <c r="M12" i="26"/>
  <c r="I32" i="84" s="1"/>
  <c r="L12" i="26"/>
  <c r="H32" i="84" s="1"/>
  <c r="M11" i="26"/>
  <c r="L11" i="26"/>
  <c r="M10" i="26"/>
  <c r="I26" i="84" s="1"/>
  <c r="L10" i="26"/>
  <c r="H26" i="84" s="1"/>
  <c r="M9" i="26"/>
  <c r="I25" i="84" s="1"/>
  <c r="L9" i="26"/>
  <c r="H25" i="84" s="1"/>
  <c r="M8" i="26"/>
  <c r="I24" i="84" s="1"/>
  <c r="L8" i="26"/>
  <c r="H24" i="84" s="1"/>
  <c r="M7" i="26"/>
  <c r="L7" i="26"/>
  <c r="M6" i="26"/>
  <c r="B5" i="75" s="1"/>
  <c r="L6" i="26"/>
  <c r="A5" i="75" s="1"/>
  <c r="B6" i="75"/>
  <c r="B4" i="75"/>
  <c r="B8" i="75"/>
  <c r="B3" i="75"/>
  <c r="M4" i="26"/>
  <c r="B5" i="6"/>
  <c r="A5" i="6"/>
  <c r="D4" i="6"/>
  <c r="E4" i="6" s="1"/>
  <c r="B4" i="6"/>
  <c r="A4" i="6"/>
  <c r="M133" i="113"/>
  <c r="B133" i="113"/>
  <c r="M132" i="113"/>
  <c r="M131" i="113"/>
  <c r="M130" i="113"/>
  <c r="M129" i="113"/>
  <c r="B129" i="113"/>
  <c r="B128" i="113"/>
  <c r="M127" i="113"/>
  <c r="B126" i="113"/>
  <c r="B125" i="113"/>
  <c r="M124" i="113"/>
  <c r="M123" i="113"/>
  <c r="B123" i="113"/>
  <c r="B122" i="113"/>
  <c r="B121" i="113"/>
  <c r="M120" i="113"/>
  <c r="B120" i="113"/>
  <c r="M119" i="113"/>
  <c r="B119" i="113"/>
  <c r="M118" i="113"/>
  <c r="B118" i="113"/>
  <c r="M117" i="113"/>
  <c r="B117" i="113"/>
  <c r="M116" i="113"/>
  <c r="M115" i="113"/>
  <c r="B115" i="113"/>
  <c r="B114" i="113"/>
  <c r="B112" i="113"/>
  <c r="M110" i="113"/>
  <c r="M109" i="113"/>
  <c r="M108" i="113"/>
  <c r="M107" i="113"/>
  <c r="M106" i="113"/>
  <c r="M104" i="113"/>
  <c r="B104" i="113"/>
  <c r="B100" i="113"/>
  <c r="M99" i="113"/>
  <c r="M97" i="113"/>
  <c r="J97" i="113"/>
  <c r="H97" i="113"/>
  <c r="M96" i="113"/>
  <c r="B96" i="113"/>
  <c r="M95" i="113"/>
  <c r="B94" i="113"/>
  <c r="B91" i="113"/>
  <c r="M88" i="113"/>
  <c r="B88" i="113"/>
  <c r="B86" i="113"/>
  <c r="M81" i="113"/>
  <c r="B81" i="113"/>
  <c r="M80" i="113"/>
  <c r="M79" i="113"/>
  <c r="B78" i="113"/>
  <c r="B77" i="113"/>
  <c r="M76" i="113"/>
  <c r="M75" i="113"/>
  <c r="M74" i="113"/>
  <c r="M73" i="113"/>
  <c r="M72" i="113"/>
  <c r="M71" i="113"/>
  <c r="M70" i="113"/>
  <c r="M69" i="113"/>
  <c r="M68" i="113"/>
  <c r="M67" i="113"/>
  <c r="M66" i="113"/>
  <c r="M65" i="113"/>
  <c r="M64" i="113"/>
  <c r="M63" i="113"/>
  <c r="M62" i="113"/>
  <c r="M61" i="113"/>
  <c r="M60" i="113"/>
  <c r="B59" i="113"/>
  <c r="M58" i="113"/>
  <c r="B57" i="113"/>
  <c r="M56" i="113"/>
  <c r="M55" i="113"/>
  <c r="M54" i="113"/>
  <c r="M53" i="113"/>
  <c r="M52" i="113"/>
  <c r="B52" i="113"/>
  <c r="M51" i="113"/>
  <c r="B51" i="113"/>
  <c r="M50" i="113"/>
  <c r="M49" i="113"/>
  <c r="M48" i="113"/>
  <c r="M47" i="113"/>
  <c r="M46" i="113"/>
  <c r="M45" i="113"/>
  <c r="M44" i="113"/>
  <c r="M43" i="113"/>
  <c r="M42" i="113"/>
  <c r="B42" i="113"/>
  <c r="B41" i="113"/>
  <c r="M40" i="113"/>
  <c r="M39" i="113"/>
  <c r="M38" i="113"/>
  <c r="M37" i="113"/>
  <c r="M36" i="113"/>
  <c r="M35" i="113"/>
  <c r="M34" i="113"/>
  <c r="B34" i="113"/>
  <c r="M33" i="113"/>
  <c r="M32" i="113"/>
  <c r="B32" i="113"/>
  <c r="M31" i="113"/>
  <c r="M30" i="113"/>
  <c r="M29" i="113"/>
  <c r="M28" i="113"/>
  <c r="M27" i="113"/>
  <c r="B27" i="113"/>
  <c r="B26" i="113"/>
  <c r="B24" i="113"/>
  <c r="M70" i="93"/>
  <c r="U441" i="9" s="1"/>
  <c r="B70" i="93"/>
  <c r="B121" i="115" s="1"/>
  <c r="B149" i="115" s="1"/>
  <c r="B68" i="93"/>
  <c r="B117" i="115" s="1"/>
  <c r="B145" i="115" s="1"/>
  <c r="B67" i="93"/>
  <c r="B116" i="115" s="1"/>
  <c r="B66" i="93"/>
  <c r="B113" i="115" s="1"/>
  <c r="B141" i="115" s="1"/>
  <c r="B65" i="93"/>
  <c r="B112" i="115" s="1"/>
  <c r="M64" i="93"/>
  <c r="K109" i="115" s="1"/>
  <c r="B64" i="93"/>
  <c r="B109" i="115" s="1"/>
  <c r="B137" i="115" s="1"/>
  <c r="M63" i="93"/>
  <c r="K106" i="115" s="1"/>
  <c r="B63" i="93"/>
  <c r="B106" i="115" s="1"/>
  <c r="B134" i="115" s="1"/>
  <c r="M62" i="93"/>
  <c r="K103" i="115" s="1"/>
  <c r="B62" i="93"/>
  <c r="B103" i="115" s="1"/>
  <c r="B131" i="115" s="1"/>
  <c r="B61" i="93"/>
  <c r="B102" i="115" s="1"/>
  <c r="B59" i="93"/>
  <c r="B101" i="115" s="1"/>
  <c r="M56" i="93"/>
  <c r="K98" i="115" s="1"/>
  <c r="B56" i="93"/>
  <c r="B98" i="115" s="1"/>
  <c r="B52" i="93"/>
  <c r="B94" i="115" s="1"/>
  <c r="M50" i="93"/>
  <c r="B50" i="93"/>
  <c r="B91" i="115" s="1"/>
  <c r="B49" i="93"/>
  <c r="B88" i="115" s="1"/>
  <c r="B46" i="93"/>
  <c r="B84" i="115" s="1"/>
  <c r="M44" i="93"/>
  <c r="B44" i="93"/>
  <c r="B81" i="115" s="1"/>
  <c r="B42" i="93"/>
  <c r="B78" i="115" s="1"/>
  <c r="M35" i="93"/>
  <c r="K69" i="115" s="1"/>
  <c r="M32" i="93"/>
  <c r="K62" i="115" s="1"/>
  <c r="M31" i="93"/>
  <c r="K59" i="115" s="1"/>
  <c r="B31" i="93"/>
  <c r="B59" i="115" s="1"/>
  <c r="B30" i="93"/>
  <c r="B58" i="115" s="1"/>
  <c r="M29" i="93"/>
  <c r="K55" i="115" s="1"/>
  <c r="M28" i="93"/>
  <c r="K52" i="115" s="1"/>
  <c r="B28" i="93"/>
  <c r="B52" i="115" s="1"/>
  <c r="M27" i="93"/>
  <c r="K49" i="115" s="1"/>
  <c r="B27" i="93"/>
  <c r="B49" i="115" s="1"/>
  <c r="B26" i="93"/>
  <c r="B48" i="115" s="1"/>
  <c r="B24" i="93"/>
  <c r="B47" i="115" s="1"/>
  <c r="L108" i="27"/>
  <c r="B108" i="27"/>
  <c r="L107" i="27"/>
  <c r="L106" i="27"/>
  <c r="L105" i="27"/>
  <c r="L104" i="27"/>
  <c r="B104" i="27"/>
  <c r="B103" i="27"/>
  <c r="L102" i="27"/>
  <c r="L101" i="27"/>
  <c r="B101" i="27"/>
  <c r="B100" i="27"/>
  <c r="L99" i="27"/>
  <c r="L98" i="27"/>
  <c r="B98" i="27"/>
  <c r="L97" i="27"/>
  <c r="B97" i="27"/>
  <c r="B96" i="27"/>
  <c r="L95" i="27"/>
  <c r="B95" i="27"/>
  <c r="L94" i="27"/>
  <c r="B94" i="27"/>
  <c r="L93" i="27"/>
  <c r="B93" i="27"/>
  <c r="L92" i="27"/>
  <c r="B92" i="27"/>
  <c r="L91" i="27"/>
  <c r="L90" i="27"/>
  <c r="B90" i="27"/>
  <c r="B89" i="27"/>
  <c r="B87" i="27"/>
  <c r="L85" i="27"/>
  <c r="L84" i="27"/>
  <c r="L83" i="27"/>
  <c r="L82" i="27"/>
  <c r="L81" i="27"/>
  <c r="L79" i="27"/>
  <c r="L78" i="27"/>
  <c r="L77" i="27"/>
  <c r="L76" i="27"/>
  <c r="L75" i="27"/>
  <c r="L73" i="27"/>
  <c r="L72" i="27"/>
  <c r="L71" i="27"/>
  <c r="L70" i="27"/>
  <c r="L65" i="27"/>
  <c r="B65" i="27"/>
  <c r="L64" i="27"/>
  <c r="L63" i="27"/>
  <c r="L62" i="27"/>
  <c r="B62" i="27"/>
  <c r="B61" i="27"/>
  <c r="L60" i="27"/>
  <c r="L59" i="27"/>
  <c r="L58" i="27"/>
  <c r="B57" i="27"/>
  <c r="L55" i="27"/>
  <c r="L54" i="27"/>
  <c r="P109" i="86" s="1"/>
  <c r="B54" i="27"/>
  <c r="L53" i="27"/>
  <c r="L52" i="27"/>
  <c r="L51" i="27"/>
  <c r="L50" i="27"/>
  <c r="L49" i="27"/>
  <c r="B49" i="27"/>
  <c r="B48" i="27"/>
  <c r="L47" i="27"/>
  <c r="L46" i="27"/>
  <c r="L45" i="27"/>
  <c r="L44" i="27"/>
  <c r="L43" i="27"/>
  <c r="B43" i="27"/>
  <c r="L42" i="27"/>
  <c r="L41" i="27"/>
  <c r="L40" i="27"/>
  <c r="L39" i="27"/>
  <c r="B39" i="27"/>
  <c r="B38" i="27"/>
  <c r="L37" i="27"/>
  <c r="L36" i="27"/>
  <c r="L35" i="27"/>
  <c r="L34" i="27"/>
  <c r="P40" i="86" s="1"/>
  <c r="L33" i="27"/>
  <c r="L32" i="27"/>
  <c r="L31" i="27"/>
  <c r="L30" i="27"/>
  <c r="L29" i="27"/>
  <c r="L28" i="27"/>
  <c r="L27" i="27"/>
  <c r="B26" i="27"/>
  <c r="B24" i="27"/>
  <c r="P8" i="111"/>
  <c r="E8" i="111"/>
  <c r="D8" i="111"/>
  <c r="C8" i="111"/>
  <c r="Q7" i="111"/>
  <c r="Q8" i="111" s="1"/>
  <c r="P7" i="111"/>
  <c r="O7" i="111"/>
  <c r="O8" i="111" s="1"/>
  <c r="C7" i="111"/>
  <c r="O6" i="111"/>
  <c r="C6" i="111"/>
  <c r="O5" i="111"/>
  <c r="C5" i="111"/>
  <c r="O4" i="111"/>
  <c r="C4" i="111"/>
  <c r="BY416" i="9" l="1"/>
  <c r="BY412" i="9" s="1"/>
  <c r="BU416" i="9"/>
  <c r="BU412" i="9" s="1"/>
  <c r="BS416" i="9"/>
  <c r="BS412" i="9" s="1"/>
  <c r="BW416" i="9"/>
  <c r="BW412" i="9" s="1"/>
  <c r="Z326" i="9"/>
  <c r="A60" i="96"/>
  <c r="AO63" i="87"/>
  <c r="AN63" i="87"/>
  <c r="AP63" i="87" s="1"/>
  <c r="P32" i="86"/>
  <c r="P35" i="87"/>
  <c r="P273" i="86"/>
  <c r="P313" i="87"/>
  <c r="F8" i="73"/>
  <c r="H34" i="73"/>
  <c r="AP52" i="87"/>
  <c r="AN57" i="87"/>
  <c r="AN55" i="87" s="1"/>
  <c r="AM57" i="87"/>
  <c r="AP57" i="87" s="1"/>
  <c r="AO124" i="87"/>
  <c r="AO121" i="87" s="1"/>
  <c r="AO105" i="87" s="1"/>
  <c r="AN124" i="87"/>
  <c r="AN121" i="87" s="1"/>
  <c r="AN105" i="87" s="1"/>
  <c r="AM124" i="87"/>
  <c r="AM121" i="87" s="1"/>
  <c r="AL124" i="87"/>
  <c r="AL121" i="87" s="1"/>
  <c r="AK124" i="87"/>
  <c r="AI124" i="87"/>
  <c r="AG176" i="87"/>
  <c r="AD191" i="87"/>
  <c r="AD189" i="87" s="1"/>
  <c r="AG192" i="87"/>
  <c r="AI280" i="87"/>
  <c r="AI278" i="87" s="1"/>
  <c r="AG278" i="87"/>
  <c r="AI334" i="87"/>
  <c r="AO334" i="87"/>
  <c r="AP334" i="87" s="1"/>
  <c r="F34" i="73"/>
  <c r="G34" i="73" s="1"/>
  <c r="H36" i="73"/>
  <c r="AG65" i="87"/>
  <c r="AM66" i="87"/>
  <c r="AI66" i="87"/>
  <c r="AI178" i="87"/>
  <c r="AI176" i="87" s="1"/>
  <c r="P280" i="86"/>
  <c r="P320" i="87"/>
  <c r="BZ287" i="106"/>
  <c r="H8" i="73"/>
  <c r="AO65" i="87"/>
  <c r="AN247" i="87"/>
  <c r="AN241" i="87" s="1"/>
  <c r="AM247" i="87"/>
  <c r="AM241" i="87" s="1"/>
  <c r="AO247" i="87"/>
  <c r="AO241" i="87" s="1"/>
  <c r="AL247" i="87"/>
  <c r="AI247" i="87"/>
  <c r="AM322" i="87"/>
  <c r="AI322" i="87"/>
  <c r="AL322" i="87"/>
  <c r="AP322" i="87" s="1"/>
  <c r="BZ254" i="106"/>
  <c r="H23" i="73"/>
  <c r="AP23" i="87"/>
  <c r="AD204" i="87"/>
  <c r="AD175" i="87" s="1"/>
  <c r="AD174" i="87" s="1"/>
  <c r="AE174" i="87" s="1"/>
  <c r="AG207" i="87"/>
  <c r="AM323" i="87"/>
  <c r="AL323" i="87"/>
  <c r="AP323" i="87" s="1"/>
  <c r="AI323" i="87"/>
  <c r="AO394" i="86"/>
  <c r="AN390" i="86"/>
  <c r="P295" i="86"/>
  <c r="P335" i="87"/>
  <c r="P352" i="86"/>
  <c r="P392" i="87"/>
  <c r="AI88" i="87"/>
  <c r="AG87" i="87"/>
  <c r="AI87" i="87" s="1"/>
  <c r="AP102" i="87"/>
  <c r="AM101" i="87"/>
  <c r="AM98" i="87" s="1"/>
  <c r="AI310" i="87"/>
  <c r="AL310" i="87"/>
  <c r="AG309" i="87"/>
  <c r="AI309" i="87" s="1"/>
  <c r="AM23" i="86"/>
  <c r="AL23" i="86"/>
  <c r="AK23" i="86"/>
  <c r="AH23" i="86"/>
  <c r="H59" i="110"/>
  <c r="BZ304" i="106"/>
  <c r="AH8" i="87"/>
  <c r="AP53" i="87"/>
  <c r="AL52" i="87"/>
  <c r="P98" i="87"/>
  <c r="P301" i="86"/>
  <c r="P341" i="87"/>
  <c r="AI24" i="87"/>
  <c r="AI23" i="87" s="1"/>
  <c r="AD87" i="87"/>
  <c r="AG89" i="87"/>
  <c r="AI89" i="87" s="1"/>
  <c r="AG252" i="87"/>
  <c r="AL254" i="87"/>
  <c r="AI254" i="87"/>
  <c r="AI252" i="87" s="1"/>
  <c r="BZ166" i="106"/>
  <c r="BZ176" i="106"/>
  <c r="I19" i="107"/>
  <c r="H19" i="107"/>
  <c r="AD48" i="87"/>
  <c r="AP73" i="87"/>
  <c r="AI94" i="87"/>
  <c r="AI141" i="87"/>
  <c r="AD216" i="87"/>
  <c r="AG218" i="87"/>
  <c r="AH47" i="87"/>
  <c r="AL258" i="87"/>
  <c r="AP258" i="87" s="1"/>
  <c r="AI258" i="87"/>
  <c r="AP329" i="87"/>
  <c r="P45" i="86"/>
  <c r="O45" i="86"/>
  <c r="P48" i="87"/>
  <c r="O48" i="87"/>
  <c r="P306" i="86"/>
  <c r="P346" i="87"/>
  <c r="AD92" i="87"/>
  <c r="AD91" i="87" s="1"/>
  <c r="AG95" i="87"/>
  <c r="AI95" i="87" s="1"/>
  <c r="AI305" i="87"/>
  <c r="P126" i="86"/>
  <c r="P106" i="87"/>
  <c r="BZ162" i="106"/>
  <c r="AL18" i="87"/>
  <c r="AP18" i="87" s="1"/>
  <c r="AI18" i="87"/>
  <c r="P41" i="87"/>
  <c r="AP353" i="87"/>
  <c r="AM350" i="87"/>
  <c r="AO366" i="87"/>
  <c r="AN366" i="87"/>
  <c r="AM366" i="87"/>
  <c r="AI366" i="87"/>
  <c r="P119" i="86"/>
  <c r="O119" i="86"/>
  <c r="P121" i="87"/>
  <c r="O121" i="87"/>
  <c r="P310" i="86"/>
  <c r="P350" i="87"/>
  <c r="BZ105" i="106"/>
  <c r="AN62" i="87"/>
  <c r="AP62" i="87" s="1"/>
  <c r="AI62" i="87"/>
  <c r="AO62" i="87" s="1"/>
  <c r="AI81" i="87"/>
  <c r="AG80" i="87"/>
  <c r="AG79" i="87" s="1"/>
  <c r="AI79" i="87" s="1"/>
  <c r="AK11" i="87"/>
  <c r="AM70" i="87"/>
  <c r="AP70" i="87" s="1"/>
  <c r="AI70" i="87"/>
  <c r="AP99" i="87"/>
  <c r="AL140" i="87"/>
  <c r="AL196" i="87"/>
  <c r="AK196" i="87"/>
  <c r="AI196" i="87"/>
  <c r="BZ237" i="106"/>
  <c r="BZ240" i="106"/>
  <c r="BZ320" i="106"/>
  <c r="AL11" i="87"/>
  <c r="AM140" i="87"/>
  <c r="P92" i="86"/>
  <c r="P72" i="87"/>
  <c r="AI42" i="87"/>
  <c r="AG41" i="87"/>
  <c r="AP50" i="87"/>
  <c r="AK49" i="87"/>
  <c r="AI99" i="87"/>
  <c r="AG98" i="87"/>
  <c r="AI98" i="87" s="1"/>
  <c r="AG161" i="87"/>
  <c r="P137" i="86"/>
  <c r="P140" i="87"/>
  <c r="P318" i="86"/>
  <c r="P358" i="87"/>
  <c r="U398" i="9"/>
  <c r="AD28" i="87"/>
  <c r="AG31" i="87"/>
  <c r="AI49" i="87"/>
  <c r="AI56" i="87"/>
  <c r="AG55" i="87"/>
  <c r="AI55" i="87" s="1"/>
  <c r="AL99" i="87"/>
  <c r="AL98" i="87" s="1"/>
  <c r="AP98" i="87" s="1"/>
  <c r="AP100" i="87"/>
  <c r="AG295" i="87"/>
  <c r="AD294" i="87"/>
  <c r="BZ229" i="106"/>
  <c r="AM21" i="87"/>
  <c r="AL21" i="87"/>
  <c r="AP21" i="87" s="1"/>
  <c r="AI21" i="87"/>
  <c r="AN36" i="87"/>
  <c r="AN35" i="87" s="1"/>
  <c r="AI43" i="87"/>
  <c r="AO45" i="87"/>
  <c r="AO44" i="87" s="1"/>
  <c r="AN45" i="87"/>
  <c r="AN44" i="87" s="1"/>
  <c r="AM45" i="87"/>
  <c r="AM44" i="87" s="1"/>
  <c r="AL45" i="87"/>
  <c r="AO43" i="87"/>
  <c r="AO41" i="87" s="1"/>
  <c r="AN43" i="87"/>
  <c r="AN41" i="87" s="1"/>
  <c r="AG121" i="87"/>
  <c r="AG105" i="87" s="1"/>
  <c r="AK199" i="87"/>
  <c r="AP199" i="87" s="1"/>
  <c r="AL199" i="87"/>
  <c r="AI199" i="87"/>
  <c r="AP317" i="87"/>
  <c r="AL316" i="87"/>
  <c r="AL313" i="87" s="1"/>
  <c r="AN380" i="87"/>
  <c r="AP380" i="87" s="1"/>
  <c r="AI380" i="87"/>
  <c r="P101" i="86"/>
  <c r="P91" i="87"/>
  <c r="BZ226" i="106"/>
  <c r="BZ253" i="106"/>
  <c r="AN39" i="87"/>
  <c r="AM39" i="87"/>
  <c r="AL39" i="87"/>
  <c r="AL41" i="87"/>
  <c r="AL49" i="87"/>
  <c r="AL48" i="87" s="1"/>
  <c r="AP51" i="87"/>
  <c r="AL200" i="87"/>
  <c r="AK200" i="87"/>
  <c r="AI200" i="87"/>
  <c r="AK231" i="87"/>
  <c r="AI231" i="87"/>
  <c r="AI229" i="87" s="1"/>
  <c r="AI228" i="87" s="1"/>
  <c r="AG229" i="87"/>
  <c r="AG228" i="87" s="1"/>
  <c r="AO231" i="87"/>
  <c r="AO229" i="87" s="1"/>
  <c r="AO228" i="87" s="1"/>
  <c r="AN231" i="87"/>
  <c r="AN229" i="87" s="1"/>
  <c r="AN228" i="87" s="1"/>
  <c r="AL231" i="87"/>
  <c r="AL229" i="87" s="1"/>
  <c r="AK242" i="87"/>
  <c r="AI242" i="87"/>
  <c r="AI241" i="87" s="1"/>
  <c r="AG241" i="87"/>
  <c r="AL335" i="87"/>
  <c r="AP336" i="87"/>
  <c r="P29" i="86"/>
  <c r="P28" i="87"/>
  <c r="BZ210" i="106"/>
  <c r="BZ300" i="106"/>
  <c r="AI39" i="87"/>
  <c r="AM43" i="87"/>
  <c r="AM41" i="87" s="1"/>
  <c r="AP91" i="87"/>
  <c r="AM231" i="87"/>
  <c r="AM229" i="87" s="1"/>
  <c r="AM228" i="87" s="1"/>
  <c r="AD265" i="87"/>
  <c r="AO328" i="87"/>
  <c r="AP333" i="87"/>
  <c r="P16" i="86"/>
  <c r="P10" i="87"/>
  <c r="P266" i="86"/>
  <c r="P306" i="87"/>
  <c r="P150" i="86"/>
  <c r="P166" i="87"/>
  <c r="P349" i="86"/>
  <c r="P389" i="87"/>
  <c r="BZ250" i="106"/>
  <c r="AN22" i="87"/>
  <c r="AM22" i="87"/>
  <c r="AL22" i="87"/>
  <c r="AI22" i="87"/>
  <c r="AP101" i="87"/>
  <c r="AN266" i="87"/>
  <c r="AP342" i="87"/>
  <c r="AM341" i="87"/>
  <c r="AP341" i="87" s="1"/>
  <c r="AI346" i="87"/>
  <c r="AG345" i="87"/>
  <c r="AI345" i="87" s="1"/>
  <c r="AN415" i="87"/>
  <c r="AN412" i="87" s="1"/>
  <c r="AM415" i="87"/>
  <c r="AL415" i="87"/>
  <c r="AK415" i="87"/>
  <c r="AJ105" i="86"/>
  <c r="AO105" i="86" s="1"/>
  <c r="AH105" i="86"/>
  <c r="AH237" i="86"/>
  <c r="AH236" i="86" s="1"/>
  <c r="AF236" i="86"/>
  <c r="AJ318" i="86"/>
  <c r="AO319" i="86"/>
  <c r="AN354" i="86"/>
  <c r="AM354" i="86"/>
  <c r="AL354" i="86"/>
  <c r="AK354" i="86"/>
  <c r="AH354" i="86"/>
  <c r="AN378" i="87"/>
  <c r="AP378" i="87" s="1"/>
  <c r="AI378" i="87"/>
  <c r="AI415" i="87"/>
  <c r="AK106" i="86"/>
  <c r="AJ106" i="86"/>
  <c r="AO106" i="86" s="1"/>
  <c r="AH106" i="86"/>
  <c r="AL318" i="87"/>
  <c r="AP318" i="87" s="1"/>
  <c r="AI353" i="87"/>
  <c r="AN379" i="87"/>
  <c r="AP379" i="87" s="1"/>
  <c r="AI379" i="87"/>
  <c r="AF16" i="86"/>
  <c r="AK36" i="86"/>
  <c r="AO36" i="86" s="1"/>
  <c r="AM74" i="86"/>
  <c r="AO74" i="86" s="1"/>
  <c r="AH74" i="86"/>
  <c r="AN74" i="86" s="1"/>
  <c r="AK107" i="86"/>
  <c r="AO107" i="86" s="1"/>
  <c r="AH107" i="86"/>
  <c r="AG12" i="87"/>
  <c r="AG69" i="87"/>
  <c r="AG74" i="87"/>
  <c r="AI82" i="87"/>
  <c r="AG141" i="87"/>
  <c r="AD241" i="87"/>
  <c r="AD228" i="87" s="1"/>
  <c r="AD360" i="87"/>
  <c r="AH17" i="86"/>
  <c r="AL36" i="86"/>
  <c r="AF41" i="86"/>
  <c r="AM89" i="86"/>
  <c r="AL89" i="86"/>
  <c r="AH92" i="86"/>
  <c r="AJ265" i="86"/>
  <c r="AM292" i="86"/>
  <c r="AO292" i="86" s="1"/>
  <c r="AH292" i="86"/>
  <c r="AG179" i="87"/>
  <c r="AI179" i="87" s="1"/>
  <c r="AG267" i="87"/>
  <c r="AI326" i="87"/>
  <c r="AI336" i="87"/>
  <c r="AO367" i="87"/>
  <c r="AN367" i="87"/>
  <c r="AM367" i="87"/>
  <c r="AP367" i="87" s="1"/>
  <c r="AI367" i="87"/>
  <c r="AM372" i="87"/>
  <c r="AI372" i="87"/>
  <c r="AP406" i="87"/>
  <c r="AG417" i="87"/>
  <c r="AL429" i="87"/>
  <c r="AP429" i="87" s="1"/>
  <c r="AP430" i="87"/>
  <c r="AM36" i="86"/>
  <c r="AM33" i="86" s="1"/>
  <c r="AM32" i="86" s="1"/>
  <c r="AH89" i="86"/>
  <c r="AN89" i="86" s="1"/>
  <c r="AH108" i="86"/>
  <c r="AK108" i="86"/>
  <c r="AO108" i="86" s="1"/>
  <c r="AJ142" i="86"/>
  <c r="AH142" i="86"/>
  <c r="AP24" i="87"/>
  <c r="AL326" i="87"/>
  <c r="AP326" i="87" s="1"/>
  <c r="AC16" i="86"/>
  <c r="AC9" i="86" s="1"/>
  <c r="AH76" i="86"/>
  <c r="AN76" i="86" s="1"/>
  <c r="AM76" i="86"/>
  <c r="AO76" i="86" s="1"/>
  <c r="AO83" i="86"/>
  <c r="AO223" i="86"/>
  <c r="AF349" i="86"/>
  <c r="AK351" i="86"/>
  <c r="AO351" i="86" s="1"/>
  <c r="AH351" i="86"/>
  <c r="AI45" i="87"/>
  <c r="AI44" i="87" s="1"/>
  <c r="AI64" i="87"/>
  <c r="AO64" i="87" s="1"/>
  <c r="AP64" i="87" s="1"/>
  <c r="AI122" i="87"/>
  <c r="AI121" i="87" s="1"/>
  <c r="AI105" i="87" s="1"/>
  <c r="AG145" i="87"/>
  <c r="AG157" i="87"/>
  <c r="AI170" i="87"/>
  <c r="AI169" i="87" s="1"/>
  <c r="AP259" i="87"/>
  <c r="AG288" i="87"/>
  <c r="AL301" i="87"/>
  <c r="AP321" i="87"/>
  <c r="AI368" i="87"/>
  <c r="AI373" i="87"/>
  <c r="AP393" i="87"/>
  <c r="AK60" i="86"/>
  <c r="AH60" i="86"/>
  <c r="AF59" i="86"/>
  <c r="AH59" i="86" s="1"/>
  <c r="AP12" i="87"/>
  <c r="AG167" i="87"/>
  <c r="AL170" i="87"/>
  <c r="AI329" i="87"/>
  <c r="AL347" i="87"/>
  <c r="AI347" i="87"/>
  <c r="AN362" i="87"/>
  <c r="AM362" i="87"/>
  <c r="AI362" i="87"/>
  <c r="AM368" i="87"/>
  <c r="AP368" i="87" s="1"/>
  <c r="AG412" i="87"/>
  <c r="AO90" i="86"/>
  <c r="AI32" i="87"/>
  <c r="AK40" i="87"/>
  <c r="AI61" i="87"/>
  <c r="AO61" i="87" s="1"/>
  <c r="AO60" i="87" s="1"/>
  <c r="AO48" i="87" s="1"/>
  <c r="AO47" i="87" s="1"/>
  <c r="AO8" i="87" s="1"/>
  <c r="AI67" i="87"/>
  <c r="AN170" i="87"/>
  <c r="AN169" i="87" s="1"/>
  <c r="AN166" i="87" s="1"/>
  <c r="AN139" i="87" s="1"/>
  <c r="AP278" i="87"/>
  <c r="AK306" i="87"/>
  <c r="AI358" i="87"/>
  <c r="AO362" i="87"/>
  <c r="AN368" i="87"/>
  <c r="AL390" i="87"/>
  <c r="AI390" i="87"/>
  <c r="AO394" i="87"/>
  <c r="AN394" i="87"/>
  <c r="AM394" i="87"/>
  <c r="AL394" i="87"/>
  <c r="AI394" i="87"/>
  <c r="AK38" i="86"/>
  <c r="AO38" i="86" s="1"/>
  <c r="AH38" i="86"/>
  <c r="AN61" i="86"/>
  <c r="AN59" i="86" s="1"/>
  <c r="AJ61" i="86"/>
  <c r="AM61" i="86"/>
  <c r="AM59" i="86" s="1"/>
  <c r="AL61" i="86"/>
  <c r="AL59" i="86" s="1"/>
  <c r="AC101" i="86"/>
  <c r="AG20" i="87"/>
  <c r="AM32" i="87"/>
  <c r="AL40" i="87"/>
  <c r="AN61" i="87"/>
  <c r="AN67" i="87"/>
  <c r="AM347" i="87"/>
  <c r="AM346" i="87" s="1"/>
  <c r="AF24" i="86"/>
  <c r="AH61" i="86"/>
  <c r="AM69" i="86"/>
  <c r="AL69" i="86"/>
  <c r="AO69" i="86" s="1"/>
  <c r="AH69" i="86"/>
  <c r="AF101" i="86"/>
  <c r="AH101" i="86" s="1"/>
  <c r="AO363" i="87"/>
  <c r="AN363" i="87"/>
  <c r="AP381" i="87"/>
  <c r="AN9" i="86"/>
  <c r="AO19" i="86"/>
  <c r="AH24" i="86"/>
  <c r="AN158" i="86"/>
  <c r="F23" i="73"/>
  <c r="G23" i="73" s="1"/>
  <c r="AM330" i="87"/>
  <c r="AP330" i="87" s="1"/>
  <c r="AI338" i="87"/>
  <c r="AO369" i="87"/>
  <c r="AN369" i="87"/>
  <c r="AM369" i="87"/>
  <c r="AI369" i="87"/>
  <c r="AM374" i="87"/>
  <c r="AP374" i="87" s="1"/>
  <c r="AI374" i="87"/>
  <c r="AL427" i="87"/>
  <c r="AL419" i="87" s="1"/>
  <c r="AK427" i="87"/>
  <c r="AL24" i="86"/>
  <c r="AO24" i="86" s="1"/>
  <c r="AO25" i="86"/>
  <c r="AK114" i="86"/>
  <c r="AO114" i="86" s="1"/>
  <c r="AH114" i="86"/>
  <c r="AI59" i="87"/>
  <c r="AP92" i="87"/>
  <c r="AI109" i="87"/>
  <c r="AM363" i="87"/>
  <c r="AM375" i="87"/>
  <c r="AP375" i="87" s="1"/>
  <c r="AI375" i="87"/>
  <c r="AM427" i="87"/>
  <c r="AI432" i="87"/>
  <c r="AM24" i="86"/>
  <c r="AL334" i="86"/>
  <c r="AO334" i="86" s="1"/>
  <c r="AH334" i="86"/>
  <c r="AH365" i="86"/>
  <c r="AH364" i="86" s="1"/>
  <c r="AF364" i="86"/>
  <c r="AD18" i="87"/>
  <c r="AD10" i="87" s="1"/>
  <c r="AD9" i="87" s="1"/>
  <c r="AI33" i="87"/>
  <c r="AM59" i="87"/>
  <c r="AP59" i="87" s="1"/>
  <c r="AD80" i="87"/>
  <c r="AD79" i="87" s="1"/>
  <c r="AL109" i="87"/>
  <c r="AL171" i="87"/>
  <c r="AI313" i="87"/>
  <c r="AP382" i="87"/>
  <c r="AO381" i="87"/>
  <c r="AD404" i="87"/>
  <c r="AG405" i="87"/>
  <c r="AP410" i="87"/>
  <c r="AN427" i="87"/>
  <c r="AN24" i="86"/>
  <c r="AN77" i="86"/>
  <c r="AL335" i="86"/>
  <c r="AO335" i="86" s="1"/>
  <c r="AH335" i="86"/>
  <c r="AM109" i="87"/>
  <c r="AM106" i="87" s="1"/>
  <c r="AM171" i="87"/>
  <c r="AM169" i="87" s="1"/>
  <c r="AM166" i="87" s="1"/>
  <c r="AI306" i="87"/>
  <c r="AM339" i="87"/>
  <c r="AI339" i="87"/>
  <c r="AO396" i="87"/>
  <c r="AN396" i="87"/>
  <c r="AM396" i="87"/>
  <c r="AL396" i="87"/>
  <c r="AO427" i="87"/>
  <c r="AC92" i="86"/>
  <c r="AF94" i="86"/>
  <c r="AF92" i="86" s="1"/>
  <c r="AG169" i="87"/>
  <c r="AN171" i="87"/>
  <c r="AP359" i="87"/>
  <c r="AK358" i="87"/>
  <c r="AD371" i="87"/>
  <c r="AI396" i="87"/>
  <c r="AG419" i="87"/>
  <c r="AI420" i="87"/>
  <c r="AI419" i="87" s="1"/>
  <c r="AJ10" i="86"/>
  <c r="AN16" i="86"/>
  <c r="AO63" i="86"/>
  <c r="AO79" i="86"/>
  <c r="AM77" i="86"/>
  <c r="AO77" i="86" s="1"/>
  <c r="AF96" i="86"/>
  <c r="AH96" i="86" s="1"/>
  <c r="AF129" i="86"/>
  <c r="AH129" i="86" s="1"/>
  <c r="AH128" i="86" s="1"/>
  <c r="AC128" i="86"/>
  <c r="AI38" i="87"/>
  <c r="AI36" i="87" s="1"/>
  <c r="AI35" i="87" s="1"/>
  <c r="AI102" i="87"/>
  <c r="AI320" i="87"/>
  <c r="AP331" i="87"/>
  <c r="AG371" i="87"/>
  <c r="AI371" i="87" s="1"/>
  <c r="AO397" i="87"/>
  <c r="AN397" i="87"/>
  <c r="AM397" i="87"/>
  <c r="AL397" i="87"/>
  <c r="AP397" i="87" s="1"/>
  <c r="AI397" i="87"/>
  <c r="AM404" i="87"/>
  <c r="AD412" i="87"/>
  <c r="AK419" i="87"/>
  <c r="AK10" i="86"/>
  <c r="AL64" i="86"/>
  <c r="AO64" i="86" s="1"/>
  <c r="AF62" i="86"/>
  <c r="AH62" i="86" s="1"/>
  <c r="AN327" i="86"/>
  <c r="AM327" i="86"/>
  <c r="AL327" i="86"/>
  <c r="AI34" i="87"/>
  <c r="AM38" i="87"/>
  <c r="AO305" i="87"/>
  <c r="AN404" i="87"/>
  <c r="AP408" i="87"/>
  <c r="AM412" i="87"/>
  <c r="AG433" i="87"/>
  <c r="AI433" i="87" s="1"/>
  <c r="AM433" i="87" s="1"/>
  <c r="AC20" i="86"/>
  <c r="AH64" i="86"/>
  <c r="AH72" i="86"/>
  <c r="AN72" i="86" s="1"/>
  <c r="AF70" i="86"/>
  <c r="AH70" i="86" s="1"/>
  <c r="AH80" i="86"/>
  <c r="AN80" i="86" s="1"/>
  <c r="AO80" i="86" s="1"/>
  <c r="AK116" i="86"/>
  <c r="AO116" i="86" s="1"/>
  <c r="AH116" i="86"/>
  <c r="AN219" i="86"/>
  <c r="AM219" i="86"/>
  <c r="AL219" i="86"/>
  <c r="AK219" i="86"/>
  <c r="AH219" i="86"/>
  <c r="AN246" i="86"/>
  <c r="AM246" i="86"/>
  <c r="AL246" i="86"/>
  <c r="AK246" i="86"/>
  <c r="AH246" i="86"/>
  <c r="AO282" i="86"/>
  <c r="AH327" i="86"/>
  <c r="G16" i="80"/>
  <c r="AH189" i="87"/>
  <c r="AH175" i="87" s="1"/>
  <c r="AH174" i="87" s="1"/>
  <c r="AL352" i="87"/>
  <c r="AI352" i="87"/>
  <c r="AM419" i="87"/>
  <c r="AO419" i="87"/>
  <c r="AO401" i="87" s="1"/>
  <c r="AO400" i="87" s="1"/>
  <c r="AF20" i="86"/>
  <c r="AM64" i="86"/>
  <c r="AM62" i="86" s="1"/>
  <c r="AM72" i="86"/>
  <c r="AF352" i="86"/>
  <c r="AN419" i="87"/>
  <c r="AO431" i="87"/>
  <c r="AP434" i="87"/>
  <c r="AG8" i="86"/>
  <c r="AM22" i="86"/>
  <c r="AL22" i="86"/>
  <c r="AK22" i="86"/>
  <c r="AO22" i="86" s="1"/>
  <c r="AH22" i="86"/>
  <c r="AJ104" i="86"/>
  <c r="AH104" i="86"/>
  <c r="AL284" i="86"/>
  <c r="AK284" i="86"/>
  <c r="AO284" i="86" s="1"/>
  <c r="AH284" i="86"/>
  <c r="AF47" i="86"/>
  <c r="AL93" i="86"/>
  <c r="AL92" i="86" s="1"/>
  <c r="AM153" i="86"/>
  <c r="AM152" i="86" s="1"/>
  <c r="AM150" i="86" s="1"/>
  <c r="AL153" i="86"/>
  <c r="AK153" i="86"/>
  <c r="AH153" i="86"/>
  <c r="AH152" i="86" s="1"/>
  <c r="AM154" i="86"/>
  <c r="AL154" i="86"/>
  <c r="AF152" i="86"/>
  <c r="AF150" i="86" s="1"/>
  <c r="AJ236" i="86"/>
  <c r="AO237" i="86"/>
  <c r="AL283" i="86"/>
  <c r="AL280" i="86" s="1"/>
  <c r="AK283" i="86"/>
  <c r="AO283" i="86" s="1"/>
  <c r="AH283" i="86"/>
  <c r="AL313" i="86"/>
  <c r="AH313" i="86"/>
  <c r="AC372" i="86"/>
  <c r="AF374" i="86"/>
  <c r="AM81" i="86"/>
  <c r="AL81" i="86"/>
  <c r="AH81" i="86"/>
  <c r="AF98" i="86"/>
  <c r="AH98" i="86" s="1"/>
  <c r="AK99" i="86"/>
  <c r="AL314" i="86"/>
  <c r="AO314" i="86" s="1"/>
  <c r="AH314" i="86"/>
  <c r="AN328" i="86"/>
  <c r="AM328" i="86"/>
  <c r="AL328" i="86"/>
  <c r="AH328" i="86"/>
  <c r="AM375" i="86"/>
  <c r="AL375" i="86"/>
  <c r="AK375" i="86"/>
  <c r="AJ375" i="86"/>
  <c r="AH375" i="86"/>
  <c r="AF11" i="86"/>
  <c r="AH65" i="86"/>
  <c r="AH90" i="86"/>
  <c r="AN90" i="86" s="1"/>
  <c r="AO96" i="86"/>
  <c r="AH99" i="86"/>
  <c r="AO110" i="86"/>
  <c r="AC196" i="86"/>
  <c r="AC195" i="86" s="1"/>
  <c r="AF197" i="86"/>
  <c r="AM239" i="86"/>
  <c r="AN355" i="86"/>
  <c r="AM355" i="86"/>
  <c r="AL355" i="86"/>
  <c r="AK355" i="86"/>
  <c r="AH355" i="86"/>
  <c r="AG377" i="87"/>
  <c r="AG381" i="87"/>
  <c r="AI381" i="87" s="1"/>
  <c r="AL65" i="86"/>
  <c r="AO65" i="86" s="1"/>
  <c r="AH73" i="86"/>
  <c r="AN73" i="86" s="1"/>
  <c r="AO73" i="86" s="1"/>
  <c r="AL77" i="86"/>
  <c r="AM93" i="86"/>
  <c r="AM92" i="86" s="1"/>
  <c r="AL99" i="86"/>
  <c r="AL98" i="86" s="1"/>
  <c r="AK115" i="86"/>
  <c r="AO115" i="86" s="1"/>
  <c r="AN218" i="86"/>
  <c r="AM218" i="86"/>
  <c r="AL218" i="86"/>
  <c r="AK218" i="86"/>
  <c r="AH218" i="86"/>
  <c r="AN225" i="86"/>
  <c r="AM225" i="86"/>
  <c r="AL225" i="86"/>
  <c r="AK225" i="86"/>
  <c r="AH225" i="86"/>
  <c r="AL321" i="86"/>
  <c r="AH321" i="86"/>
  <c r="AM329" i="86"/>
  <c r="AL329" i="86"/>
  <c r="AH329" i="86"/>
  <c r="AN356" i="86"/>
  <c r="AM356" i="86"/>
  <c r="AL356" i="86"/>
  <c r="AK356" i="86"/>
  <c r="AH356" i="86"/>
  <c r="AK37" i="86"/>
  <c r="AJ37" i="86"/>
  <c r="AO154" i="86"/>
  <c r="AN241" i="86"/>
  <c r="AN239" i="86" s="1"/>
  <c r="AM241" i="86"/>
  <c r="AL241" i="86"/>
  <c r="AH241" i="86"/>
  <c r="AH239" i="86" s="1"/>
  <c r="AN247" i="86"/>
  <c r="AM247" i="86"/>
  <c r="AL247" i="86"/>
  <c r="AK247" i="86"/>
  <c r="AH247" i="86"/>
  <c r="AL285" i="86"/>
  <c r="AK285" i="86"/>
  <c r="AH285" i="86"/>
  <c r="AC310" i="86"/>
  <c r="AF315" i="86"/>
  <c r="AN357" i="86"/>
  <c r="AM357" i="86"/>
  <c r="AI385" i="87"/>
  <c r="AP417" i="87"/>
  <c r="AH21" i="86"/>
  <c r="AH20" i="86" s="1"/>
  <c r="AH30" i="86"/>
  <c r="AF34" i="86"/>
  <c r="AH37" i="86"/>
  <c r="AH82" i="86"/>
  <c r="AN82" i="86" s="1"/>
  <c r="AO82" i="86" s="1"/>
  <c r="AF85" i="86"/>
  <c r="AH85" i="86" s="1"/>
  <c r="AN100" i="86"/>
  <c r="AN98" i="86" s="1"/>
  <c r="AJ100" i="86"/>
  <c r="AH100" i="86"/>
  <c r="AF119" i="86"/>
  <c r="AH120" i="86"/>
  <c r="AH119" i="86" s="1"/>
  <c r="AN186" i="86"/>
  <c r="AN185" i="86" s="1"/>
  <c r="AM186" i="86"/>
  <c r="AM185" i="86" s="1"/>
  <c r="AM158" i="86" s="1"/>
  <c r="AL186" i="86"/>
  <c r="AL185" i="86" s="1"/>
  <c r="AL158" i="86" s="1"/>
  <c r="AK186" i="86"/>
  <c r="AK185" i="86" s="1"/>
  <c r="AJ205" i="86"/>
  <c r="AH270" i="86"/>
  <c r="AL286" i="86"/>
  <c r="AK286" i="86"/>
  <c r="AO286" i="86" s="1"/>
  <c r="AH286" i="86"/>
  <c r="AN321" i="86"/>
  <c r="AH357" i="86"/>
  <c r="AG361" i="87"/>
  <c r="AP420" i="87"/>
  <c r="AK21" i="86"/>
  <c r="AK30" i="86"/>
  <c r="AL37" i="86"/>
  <c r="AH42" i="86"/>
  <c r="AL66" i="86"/>
  <c r="AO66" i="86" s="1"/>
  <c r="AH66" i="86"/>
  <c r="AK100" i="86"/>
  <c r="AH186" i="86"/>
  <c r="AF226" i="86"/>
  <c r="AF222" i="86" s="1"/>
  <c r="AF216" i="86" s="1"/>
  <c r="AK270" i="86"/>
  <c r="AC288" i="86"/>
  <c r="AC320" i="86"/>
  <c r="AC318" i="86" s="1"/>
  <c r="AC317" i="86" s="1"/>
  <c r="AF330" i="86"/>
  <c r="AF320" i="86" s="1"/>
  <c r="AK357" i="86"/>
  <c r="AL21" i="86"/>
  <c r="AL20" i="86" s="1"/>
  <c r="AM37" i="86"/>
  <c r="AH78" i="86"/>
  <c r="AH77" i="86" s="1"/>
  <c r="AF77" i="86"/>
  <c r="AO94" i="86"/>
  <c r="AJ185" i="86"/>
  <c r="AO252" i="86"/>
  <c r="AF288" i="86"/>
  <c r="AC305" i="86"/>
  <c r="AL357" i="86"/>
  <c r="AH19" i="86"/>
  <c r="AM21" i="86"/>
  <c r="AM20" i="86" s="1"/>
  <c r="AM16" i="86" s="1"/>
  <c r="AM9" i="86" s="1"/>
  <c r="AN121" i="86"/>
  <c r="AN119" i="86" s="1"/>
  <c r="AN118" i="86" s="1"/>
  <c r="AM121" i="86"/>
  <c r="AM119" i="86" s="1"/>
  <c r="AL121" i="86"/>
  <c r="AL119" i="86" s="1"/>
  <c r="AL118" i="86" s="1"/>
  <c r="AK121" i="86"/>
  <c r="AK119" i="86" s="1"/>
  <c r="AK118" i="86" s="1"/>
  <c r="AJ121" i="86"/>
  <c r="AO287" i="86"/>
  <c r="AL290" i="86"/>
  <c r="AO290" i="86" s="1"/>
  <c r="AH290" i="86"/>
  <c r="AO371" i="86"/>
  <c r="AJ364" i="86"/>
  <c r="AM364" i="87"/>
  <c r="AP364" i="87" s="1"/>
  <c r="AC85" i="86"/>
  <c r="AH121" i="86"/>
  <c r="AK146" i="86"/>
  <c r="AJ146" i="86"/>
  <c r="AH146" i="86"/>
  <c r="AH145" i="86" s="1"/>
  <c r="AH221" i="86"/>
  <c r="AN221" i="86"/>
  <c r="AM291" i="86"/>
  <c r="AH291" i="86"/>
  <c r="AK296" i="86"/>
  <c r="AH296" i="86"/>
  <c r="AF295" i="86"/>
  <c r="AN323" i="86"/>
  <c r="AM323" i="86"/>
  <c r="AL323" i="86"/>
  <c r="AH323" i="86"/>
  <c r="AM337" i="86"/>
  <c r="AH337" i="86"/>
  <c r="AH336" i="86" s="1"/>
  <c r="AF336" i="86"/>
  <c r="AH31" i="86"/>
  <c r="AH35" i="86"/>
  <c r="AO42" i="86"/>
  <c r="AH48" i="86"/>
  <c r="AH67" i="86"/>
  <c r="AH83" i="86"/>
  <c r="AN83" i="86" s="1"/>
  <c r="AF87" i="86"/>
  <c r="AK221" i="86"/>
  <c r="AO221" i="86" s="1"/>
  <c r="AH250" i="86"/>
  <c r="AN250" i="86"/>
  <c r="AN248" i="86" s="1"/>
  <c r="AG265" i="86"/>
  <c r="AG264" i="86" s="1"/>
  <c r="AI391" i="87"/>
  <c r="AP407" i="87"/>
  <c r="AL31" i="86"/>
  <c r="AL35" i="86"/>
  <c r="AJ48" i="86"/>
  <c r="AL67" i="86"/>
  <c r="AO67" i="86" s="1"/>
  <c r="AK126" i="86"/>
  <c r="AH141" i="86"/>
  <c r="AH137" i="86" s="1"/>
  <c r="AM147" i="86"/>
  <c r="AM145" i="86" s="1"/>
  <c r="AM137" i="86" s="1"/>
  <c r="AL147" i="86"/>
  <c r="AL221" i="86"/>
  <c r="AK250" i="86"/>
  <c r="AO250" i="86" s="1"/>
  <c r="AC301" i="86"/>
  <c r="AC265" i="86" s="1"/>
  <c r="AC264" i="86" s="1"/>
  <c r="AD264" i="86" s="1"/>
  <c r="AF302" i="86"/>
  <c r="AL324" i="86"/>
  <c r="AH338" i="86"/>
  <c r="AO12" i="86"/>
  <c r="AM67" i="86"/>
  <c r="AM75" i="86"/>
  <c r="AH75" i="86"/>
  <c r="AN75" i="86" s="1"/>
  <c r="AH94" i="86"/>
  <c r="AH150" i="86"/>
  <c r="AM221" i="86"/>
  <c r="AN243" i="86"/>
  <c r="AM243" i="86"/>
  <c r="AL243" i="86"/>
  <c r="AO243" i="86" s="1"/>
  <c r="AH243" i="86"/>
  <c r="AL250" i="86"/>
  <c r="AL248" i="86" s="1"/>
  <c r="AK297" i="86"/>
  <c r="AO297" i="86" s="1"/>
  <c r="AH297" i="86"/>
  <c r="AM324" i="86"/>
  <c r="AO386" i="86"/>
  <c r="AF390" i="86"/>
  <c r="AI327" i="87"/>
  <c r="AI332" i="87"/>
  <c r="AI337" i="87"/>
  <c r="AI355" i="87"/>
  <c r="AI370" i="87"/>
  <c r="AI382" i="87"/>
  <c r="AG388" i="87"/>
  <c r="AI388" i="87" s="1"/>
  <c r="AI395" i="87"/>
  <c r="AI414" i="87"/>
  <c r="AI412" i="87" s="1"/>
  <c r="AH15" i="86"/>
  <c r="AJ15" i="86" s="1"/>
  <c r="AO15" i="86" s="1"/>
  <c r="AH63" i="86"/>
  <c r="AH71" i="86"/>
  <c r="AN71" i="86" s="1"/>
  <c r="AN70" i="86" s="1"/>
  <c r="AH79" i="86"/>
  <c r="AN79" i="86" s="1"/>
  <c r="AO95" i="86"/>
  <c r="AK147" i="86"/>
  <c r="AO147" i="86" s="1"/>
  <c r="AJ151" i="86"/>
  <c r="AH169" i="86"/>
  <c r="AF175" i="86"/>
  <c r="AO207" i="86"/>
  <c r="AC209" i="86"/>
  <c r="AF210" i="86"/>
  <c r="AC228" i="86"/>
  <c r="AF229" i="86"/>
  <c r="AM250" i="86"/>
  <c r="AM248" i="86" s="1"/>
  <c r="AC280" i="86"/>
  <c r="AK298" i="86"/>
  <c r="AO298" i="86" s="1"/>
  <c r="AH298" i="86"/>
  <c r="AK311" i="86"/>
  <c r="AH311" i="86"/>
  <c r="AF310" i="86"/>
  <c r="AN324" i="86"/>
  <c r="AM364" i="86"/>
  <c r="AL379" i="86"/>
  <c r="AL327" i="87"/>
  <c r="AP327" i="87" s="1"/>
  <c r="AI342" i="87"/>
  <c r="AM370" i="87"/>
  <c r="AL395" i="87"/>
  <c r="AP395" i="87" s="1"/>
  <c r="AK414" i="87"/>
  <c r="AF112" i="86"/>
  <c r="AK113" i="86"/>
  <c r="AN148" i="86"/>
  <c r="AN145" i="86" s="1"/>
  <c r="AN137" i="86" s="1"/>
  <c r="AN136" i="86" s="1"/>
  <c r="AH148" i="86"/>
  <c r="AJ169" i="86"/>
  <c r="AO169" i="86" s="1"/>
  <c r="AC214" i="86"/>
  <c r="AF214" i="86" s="1"/>
  <c r="AH214" i="86" s="1"/>
  <c r="AJ255" i="86"/>
  <c r="AH255" i="86"/>
  <c r="AH254" i="86" s="1"/>
  <c r="AF254" i="86"/>
  <c r="AM260" i="86"/>
  <c r="AH260" i="86"/>
  <c r="AH259" i="86" s="1"/>
  <c r="AF259" i="86"/>
  <c r="AF281" i="86"/>
  <c r="AL299" i="86"/>
  <c r="AH299" i="86"/>
  <c r="AN364" i="86"/>
  <c r="AN362" i="86" s="1"/>
  <c r="AK364" i="86"/>
  <c r="AO369" i="86"/>
  <c r="AN387" i="86"/>
  <c r="AN379" i="86" s="1"/>
  <c r="AM387" i="86"/>
  <c r="AM379" i="86" s="1"/>
  <c r="AL387" i="86"/>
  <c r="AK387" i="86"/>
  <c r="AK379" i="86" s="1"/>
  <c r="AJ387" i="86"/>
  <c r="AK313" i="87"/>
  <c r="AI324" i="87"/>
  <c r="AM365" i="87"/>
  <c r="AP365" i="87" s="1"/>
  <c r="AN370" i="87"/>
  <c r="AM395" i="87"/>
  <c r="AL414" i="87"/>
  <c r="AL412" i="87" s="1"/>
  <c r="AL402" i="87" s="1"/>
  <c r="AH68" i="86"/>
  <c r="AH113" i="86"/>
  <c r="AH112" i="86" s="1"/>
  <c r="AO128" i="86"/>
  <c r="AO159" i="86"/>
  <c r="AJ178" i="86"/>
  <c r="AH178" i="86"/>
  <c r="AH177" i="86" s="1"/>
  <c r="AH158" i="86" s="1"/>
  <c r="AF177" i="86"/>
  <c r="AF158" i="86" s="1"/>
  <c r="AJ208" i="86"/>
  <c r="AO208" i="86" s="1"/>
  <c r="AH208" i="86"/>
  <c r="AH204" i="86" s="1"/>
  <c r="AC235" i="86"/>
  <c r="AN294" i="86"/>
  <c r="AH294" i="86"/>
  <c r="AL300" i="86"/>
  <c r="AO300" i="86" s="1"/>
  <c r="AH300" i="86"/>
  <c r="AF305" i="86"/>
  <c r="AF332" i="86"/>
  <c r="AC362" i="86"/>
  <c r="AC361" i="86" s="1"/>
  <c r="AC360" i="86" s="1"/>
  <c r="AL390" i="86"/>
  <c r="AO390" i="86" s="1"/>
  <c r="AO392" i="86"/>
  <c r="AJ92" i="86"/>
  <c r="AL148" i="86"/>
  <c r="AO148" i="86" s="1"/>
  <c r="AK178" i="86"/>
  <c r="AK177" i="86" s="1"/>
  <c r="AH223" i="86"/>
  <c r="AN223" i="86"/>
  <c r="AG235" i="86"/>
  <c r="AG213" i="86" s="1"/>
  <c r="AG157" i="86" s="1"/>
  <c r="AO239" i="86"/>
  <c r="AK278" i="86"/>
  <c r="AO278" i="86" s="1"/>
  <c r="AH278" i="86"/>
  <c r="AN326" i="86"/>
  <c r="AM326" i="86"/>
  <c r="AL326" i="86"/>
  <c r="AO326" i="86" s="1"/>
  <c r="AH326" i="86"/>
  <c r="AL333" i="86"/>
  <c r="AO333" i="86" s="1"/>
  <c r="AH333" i="86"/>
  <c r="AK350" i="86"/>
  <c r="AH350" i="86"/>
  <c r="AH349" i="86" s="1"/>
  <c r="AC352" i="86"/>
  <c r="AC348" i="86" s="1"/>
  <c r="AL239" i="86"/>
  <c r="AH127" i="86"/>
  <c r="AH172" i="86"/>
  <c r="AH242" i="86"/>
  <c r="AH257" i="86"/>
  <c r="AH256" i="86" s="1"/>
  <c r="AH302" i="86"/>
  <c r="AH301" i="86" s="1"/>
  <c r="AH312" i="86"/>
  <c r="AH322" i="86"/>
  <c r="AH325" i="86"/>
  <c r="AH339" i="86"/>
  <c r="AJ348" i="86"/>
  <c r="AF389" i="86"/>
  <c r="AH391" i="86"/>
  <c r="AH390" i="86" s="1"/>
  <c r="AJ172" i="86"/>
  <c r="AK257" i="86"/>
  <c r="AH307" i="86"/>
  <c r="AH306" i="86" s="1"/>
  <c r="AL322" i="86"/>
  <c r="AL325" i="86"/>
  <c r="AO325" i="86" s="1"/>
  <c r="AC77" i="86"/>
  <c r="AC45" i="86" s="1"/>
  <c r="AC44" i="86" s="1"/>
  <c r="AL127" i="86"/>
  <c r="AL126" i="86" s="1"/>
  <c r="AC138" i="86"/>
  <c r="AH170" i="86"/>
  <c r="AK172" i="86"/>
  <c r="AH215" i="86"/>
  <c r="AH224" i="86"/>
  <c r="AM242" i="86"/>
  <c r="AO242" i="86" s="1"/>
  <c r="AH271" i="86"/>
  <c r="AF277" i="86"/>
  <c r="AH289" i="86"/>
  <c r="AH293" i="86"/>
  <c r="AK307" i="86"/>
  <c r="AM322" i="86"/>
  <c r="AM325" i="86"/>
  <c r="AH353" i="86"/>
  <c r="AH352" i="86" s="1"/>
  <c r="AM127" i="86"/>
  <c r="AM126" i="86" s="1"/>
  <c r="AO129" i="86"/>
  <c r="AJ170" i="86"/>
  <c r="AO170" i="86" s="1"/>
  <c r="AJ215" i="86"/>
  <c r="AK224" i="86"/>
  <c r="AO229" i="86"/>
  <c r="AL289" i="86"/>
  <c r="AL307" i="86"/>
  <c r="AL306" i="86" s="1"/>
  <c r="AK353" i="86"/>
  <c r="AL224" i="86"/>
  <c r="AH377" i="86"/>
  <c r="AH376" i="86" s="1"/>
  <c r="AF380" i="86"/>
  <c r="AH211" i="86"/>
  <c r="AH220" i="86"/>
  <c r="AO167" i="86"/>
  <c r="AJ173" i="86"/>
  <c r="AO173" i="86" s="1"/>
  <c r="AK220" i="86"/>
  <c r="AF245" i="86"/>
  <c r="AF249" i="86"/>
  <c r="AH344" i="86"/>
  <c r="AH341" i="86" s="1"/>
  <c r="AO389" i="86"/>
  <c r="AF111" i="86"/>
  <c r="AM207" i="86"/>
  <c r="AM204" i="86" s="1"/>
  <c r="AL220" i="86"/>
  <c r="AF168" i="86"/>
  <c r="AM220" i="86"/>
  <c r="AO258" i="86"/>
  <c r="AH345" i="86"/>
  <c r="AH174" i="86"/>
  <c r="AJ174" i="86"/>
  <c r="AO174" i="86" s="1"/>
  <c r="CG418" i="9"/>
  <c r="CG411" i="9" s="1"/>
  <c r="CG406" i="9" s="1"/>
  <c r="CG405" i="9" s="1"/>
  <c r="CD418" i="9"/>
  <c r="CD411" i="9" s="1"/>
  <c r="CD406" i="9" s="1"/>
  <c r="CJ418" i="9"/>
  <c r="CJ411" i="9" s="1"/>
  <c r="CB448" i="9"/>
  <c r="CK448" i="9"/>
  <c r="CE448" i="9"/>
  <c r="BZ445" i="9"/>
  <c r="CK445" i="9"/>
  <c r="CH445" i="9"/>
  <c r="CE445" i="9"/>
  <c r="CB446" i="9"/>
  <c r="CE446" i="9"/>
  <c r="CK446" i="9"/>
  <c r="DF447" i="9"/>
  <c r="DI447" i="9" s="1"/>
  <c r="CK447" i="9"/>
  <c r="CE447" i="9"/>
  <c r="CN380" i="9"/>
  <c r="CO380" i="9"/>
  <c r="CR380" i="9"/>
  <c r="DD380" i="9" s="1"/>
  <c r="DI380" i="9" s="1"/>
  <c r="CI383" i="9"/>
  <c r="CJ383" i="9"/>
  <c r="CK390" i="9"/>
  <c r="CK387" i="9" s="1"/>
  <c r="CN390" i="9"/>
  <c r="CN387" i="9" s="1"/>
  <c r="CO385" i="9"/>
  <c r="CN385" i="9"/>
  <c r="CN382" i="9" s="1"/>
  <c r="CS385" i="9"/>
  <c r="CR385" i="9"/>
  <c r="I49" i="114"/>
  <c r="AL409" i="9"/>
  <c r="AN409" i="9" s="1"/>
  <c r="BT409" i="9"/>
  <c r="BS409" i="9"/>
  <c r="BY409" i="9"/>
  <c r="BY407" i="9" s="1"/>
  <c r="BW409" i="9"/>
  <c r="BW407" i="9" s="1"/>
  <c r="BV409" i="9"/>
  <c r="BR409" i="9"/>
  <c r="I53" i="114"/>
  <c r="F20" i="89"/>
  <c r="CE376" i="9"/>
  <c r="CA376" i="9"/>
  <c r="BY376" i="9"/>
  <c r="BW376" i="9"/>
  <c r="BW370" i="9" s="1"/>
  <c r="BU376" i="9"/>
  <c r="I46" i="114"/>
  <c r="I54" i="114"/>
  <c r="I42" i="114"/>
  <c r="U370" i="9"/>
  <c r="K121" i="115"/>
  <c r="U393" i="9"/>
  <c r="AL401" i="9"/>
  <c r="AN401" i="9" s="1"/>
  <c r="I235" i="114" s="1"/>
  <c r="CH401" i="9"/>
  <c r="CH398" i="9" s="1"/>
  <c r="CF401" i="9"/>
  <c r="CF398" i="9" s="1"/>
  <c r="CD401" i="9"/>
  <c r="CD398" i="9" s="1"/>
  <c r="BZ401" i="9"/>
  <c r="CB401" i="9" s="1"/>
  <c r="BQ402" i="9"/>
  <c r="BQ398" i="9" s="1"/>
  <c r="BP402" i="9"/>
  <c r="BP398" i="9" s="1"/>
  <c r="BV402" i="9"/>
  <c r="BV398" i="9" s="1"/>
  <c r="BS402" i="9"/>
  <c r="BS398" i="9" s="1"/>
  <c r="BX370" i="9"/>
  <c r="BV370" i="9"/>
  <c r="AL391" i="9"/>
  <c r="AN391" i="9" s="1"/>
  <c r="CX391" i="9"/>
  <c r="CX387" i="9" s="1"/>
  <c r="CX370" i="9" s="1"/>
  <c r="CX369" i="9" s="1"/>
  <c r="CU391" i="9"/>
  <c r="CU387" i="9" s="1"/>
  <c r="CR391" i="9"/>
  <c r="BJ388" i="9"/>
  <c r="BJ387" i="9" s="1"/>
  <c r="BJ370" i="9" s="1"/>
  <c r="BJ369" i="9" s="1"/>
  <c r="BM388" i="9"/>
  <c r="BM387" i="9" s="1"/>
  <c r="BM370" i="9" s="1"/>
  <c r="BT378" i="9"/>
  <c r="BT370" i="9" s="1"/>
  <c r="CD379" i="9"/>
  <c r="CP379" i="9" s="1"/>
  <c r="CA379" i="9"/>
  <c r="BZ379" i="9"/>
  <c r="BY379" i="9"/>
  <c r="BY378" i="9" s="1"/>
  <c r="BY444" i="9"/>
  <c r="BY441" i="9" s="1"/>
  <c r="BY440" i="9" s="1"/>
  <c r="BY439" i="9" s="1"/>
  <c r="BV444" i="9"/>
  <c r="BV441" i="9" s="1"/>
  <c r="BV440" i="9" s="1"/>
  <c r="BV439" i="9" s="1"/>
  <c r="BT444" i="9"/>
  <c r="BT412" i="9"/>
  <c r="BR412" i="9"/>
  <c r="BR411" i="9" s="1"/>
  <c r="CI417" i="9"/>
  <c r="CE417" i="9"/>
  <c r="BQ408" i="9"/>
  <c r="BT408" i="9"/>
  <c r="BS408" i="9"/>
  <c r="BR408" i="9"/>
  <c r="BV408" i="9"/>
  <c r="BU408" i="9"/>
  <c r="BU407" i="9" s="1"/>
  <c r="F83" i="89"/>
  <c r="F82" i="89"/>
  <c r="I191" i="114"/>
  <c r="I190" i="114"/>
  <c r="AN374" i="9"/>
  <c r="I212" i="114" s="1"/>
  <c r="AV370" i="9"/>
  <c r="AV369" i="9" s="1"/>
  <c r="I199" i="114"/>
  <c r="I198" i="114" s="1"/>
  <c r="I75" i="114"/>
  <c r="AT370" i="9"/>
  <c r="AT369" i="9" s="1"/>
  <c r="I139" i="114"/>
  <c r="G157" i="80"/>
  <c r="B17" i="79" s="1"/>
  <c r="F11" i="81"/>
  <c r="F64" i="89"/>
  <c r="DB436" i="9"/>
  <c r="CY436" i="9"/>
  <c r="CH436" i="9"/>
  <c r="DF436" i="9"/>
  <c r="DI436" i="9" s="1"/>
  <c r="CK436" i="9"/>
  <c r="CE436" i="9"/>
  <c r="CE380" i="9"/>
  <c r="CE378" i="9" s="1"/>
  <c r="CF380" i="9"/>
  <c r="CF378" i="9" s="1"/>
  <c r="CG380" i="9"/>
  <c r="CG378" i="9" s="1"/>
  <c r="CH380" i="9"/>
  <c r="CH378" i="9" s="1"/>
  <c r="CI380" i="9"/>
  <c r="CI378" i="9" s="1"/>
  <c r="CJ380" i="9"/>
  <c r="CJ378" i="9" s="1"/>
  <c r="CK380" i="9"/>
  <c r="CK378" i="9" s="1"/>
  <c r="CL380" i="9"/>
  <c r="CL378" i="9" s="1"/>
  <c r="CM380" i="9"/>
  <c r="CM378" i="9" s="1"/>
  <c r="CO422" i="9"/>
  <c r="CO421" i="9" s="1"/>
  <c r="AL427" i="9"/>
  <c r="AN427" i="9" s="1"/>
  <c r="I259" i="114" s="1"/>
  <c r="CK427" i="9"/>
  <c r="CE427" i="9"/>
  <c r="DF427" i="9"/>
  <c r="DI427" i="9" s="1"/>
  <c r="CY427" i="9"/>
  <c r="CH427" i="9"/>
  <c r="CI422" i="9"/>
  <c r="CI421" i="9" s="1"/>
  <c r="DB426" i="9"/>
  <c r="DF426" i="9"/>
  <c r="DI426" i="9" s="1"/>
  <c r="CK426" i="9"/>
  <c r="CY426" i="9"/>
  <c r="CE426" i="9"/>
  <c r="CH426" i="9"/>
  <c r="F187" i="89"/>
  <c r="CK431" i="9"/>
  <c r="CE431" i="9"/>
  <c r="CY431" i="9"/>
  <c r="CH431" i="9"/>
  <c r="DF431" i="9"/>
  <c r="DI431" i="9" s="1"/>
  <c r="CL422" i="9"/>
  <c r="CL421" i="9" s="1"/>
  <c r="F55" i="89"/>
  <c r="CM422" i="9"/>
  <c r="CM421" i="9" s="1"/>
  <c r="CN431" i="9"/>
  <c r="CG383" i="9"/>
  <c r="CF383" i="9"/>
  <c r="CE383" i="9"/>
  <c r="CD383" i="9"/>
  <c r="CH383" i="9"/>
  <c r="DB432" i="9"/>
  <c r="CE432" i="9"/>
  <c r="CY432" i="9"/>
  <c r="CH432" i="9"/>
  <c r="DF432" i="9"/>
  <c r="DI432" i="9" s="1"/>
  <c r="CK432" i="9"/>
  <c r="BU444" i="9"/>
  <c r="BU441" i="9" s="1"/>
  <c r="BU440" i="9" s="1"/>
  <c r="BU439" i="9" s="1"/>
  <c r="BR444" i="9"/>
  <c r="BR441" i="9" s="1"/>
  <c r="BR440" i="9" s="1"/>
  <c r="BR439" i="9" s="1"/>
  <c r="BW444" i="9"/>
  <c r="BW441" i="9" s="1"/>
  <c r="BW440" i="9" s="1"/>
  <c r="BW439" i="9" s="1"/>
  <c r="BX444" i="9"/>
  <c r="BX441" i="9" s="1"/>
  <c r="BX440" i="9" s="1"/>
  <c r="BX439" i="9" s="1"/>
  <c r="CO381" i="9"/>
  <c r="CN381" i="9"/>
  <c r="CU422" i="9"/>
  <c r="CU421" i="9" s="1"/>
  <c r="BR422" i="9"/>
  <c r="BR421" i="9" s="1"/>
  <c r="CT422" i="9"/>
  <c r="CT421" i="9" s="1"/>
  <c r="BQ422" i="9"/>
  <c r="BQ421" i="9" s="1"/>
  <c r="CK428" i="9"/>
  <c r="CE428" i="9"/>
  <c r="CY428" i="9"/>
  <c r="CH428" i="9"/>
  <c r="DF428" i="9"/>
  <c r="DI428" i="9" s="1"/>
  <c r="CX422" i="9"/>
  <c r="CX421" i="9" s="1"/>
  <c r="CE433" i="9"/>
  <c r="CY433" i="9"/>
  <c r="CH433" i="9"/>
  <c r="DF433" i="9"/>
  <c r="DI433" i="9" s="1"/>
  <c r="CK433" i="9"/>
  <c r="BT422" i="9"/>
  <c r="BT421" i="9" s="1"/>
  <c r="CL384" i="9"/>
  <c r="CM384" i="9"/>
  <c r="CK384" i="9"/>
  <c r="BU422" i="9"/>
  <c r="BU421" i="9" s="1"/>
  <c r="DA422" i="9"/>
  <c r="DA421" i="9" s="1"/>
  <c r="H17" i="80"/>
  <c r="B14" i="79" s="1"/>
  <c r="B22" i="79" s="1"/>
  <c r="BV422" i="9"/>
  <c r="BV421" i="9" s="1"/>
  <c r="DC422" i="9"/>
  <c r="DC421" i="9" s="1"/>
  <c r="CS429" i="9"/>
  <c r="CK429" i="9"/>
  <c r="CE429" i="9"/>
  <c r="CY429" i="9"/>
  <c r="CH429" i="9"/>
  <c r="DF429" i="9"/>
  <c r="DI429" i="9" s="1"/>
  <c r="BW422" i="9"/>
  <c r="BW421" i="9" s="1"/>
  <c r="DG422" i="9"/>
  <c r="DG421" i="9" s="1"/>
  <c r="CE434" i="9"/>
  <c r="CY434" i="9"/>
  <c r="CH434" i="9"/>
  <c r="DF434" i="9"/>
  <c r="DI434" i="9" s="1"/>
  <c r="CK434" i="9"/>
  <c r="BX422" i="9"/>
  <c r="BX421" i="9" s="1"/>
  <c r="DH422" i="9"/>
  <c r="DH421" i="9" s="1"/>
  <c r="CG387" i="9"/>
  <c r="CL387" i="9"/>
  <c r="BZ387" i="9"/>
  <c r="CE390" i="9"/>
  <c r="CE387" i="9" s="1"/>
  <c r="CH390" i="9"/>
  <c r="CH387" i="9" s="1"/>
  <c r="BZ422" i="9"/>
  <c r="BZ421" i="9" s="1"/>
  <c r="CA422" i="9"/>
  <c r="CA421" i="9" s="1"/>
  <c r="DF425" i="9"/>
  <c r="DI425" i="9" s="1"/>
  <c r="CY425" i="9"/>
  <c r="CK425" i="9"/>
  <c r="CE425" i="9"/>
  <c r="CH425" i="9"/>
  <c r="DB430" i="9"/>
  <c r="CK430" i="9"/>
  <c r="CE430" i="9"/>
  <c r="CY430" i="9"/>
  <c r="CH430" i="9"/>
  <c r="DF430" i="9"/>
  <c r="DI430" i="9" s="1"/>
  <c r="BT417" i="9"/>
  <c r="CL417" i="9"/>
  <c r="CL411" i="9" s="1"/>
  <c r="CL406" i="9" s="1"/>
  <c r="CL405" i="9" s="1"/>
  <c r="CY435" i="9"/>
  <c r="CE435" i="9"/>
  <c r="CH435" i="9"/>
  <c r="DF435" i="9"/>
  <c r="DI435" i="9" s="1"/>
  <c r="CK435" i="9"/>
  <c r="CF422" i="9"/>
  <c r="CF421" i="9" s="1"/>
  <c r="CA441" i="9"/>
  <c r="CA440" i="9" s="1"/>
  <c r="CA439" i="9" s="1"/>
  <c r="DF443" i="9"/>
  <c r="DI443" i="9" s="1"/>
  <c r="EO490" i="9" s="1"/>
  <c r="DA443" i="9"/>
  <c r="CG443" i="9"/>
  <c r="CG441" i="9" s="1"/>
  <c r="CG440" i="9" s="1"/>
  <c r="CG439" i="9" s="1"/>
  <c r="CW443" i="9"/>
  <c r="CS443" i="9"/>
  <c r="CM443" i="9"/>
  <c r="CJ443" i="9"/>
  <c r="CI329" i="9"/>
  <c r="CI328" i="9" s="1"/>
  <c r="CN406" i="9"/>
  <c r="CN405" i="9" s="1"/>
  <c r="BU378" i="9"/>
  <c r="DI382" i="9"/>
  <c r="DB429" i="9"/>
  <c r="CR363" i="9"/>
  <c r="CR358" i="9" s="1"/>
  <c r="AY370" i="9"/>
  <c r="AY369" i="9" s="1"/>
  <c r="DF370" i="9"/>
  <c r="DF369" i="9" s="1"/>
  <c r="CT386" i="9"/>
  <c r="CT382" i="9" s="1"/>
  <c r="AM370" i="9"/>
  <c r="AM369" i="9" s="1"/>
  <c r="AP370" i="9"/>
  <c r="AP369" i="9" s="1"/>
  <c r="CT406" i="9"/>
  <c r="CT405" i="9" s="1"/>
  <c r="AX405" i="9"/>
  <c r="BE406" i="9"/>
  <c r="BE405" i="9" s="1"/>
  <c r="AU439" i="9"/>
  <c r="CH448" i="9"/>
  <c r="CH446" i="9"/>
  <c r="CL363" i="9"/>
  <c r="CL358" i="9" s="1"/>
  <c r="BQ329" i="9"/>
  <c r="BQ328" i="9" s="1"/>
  <c r="BQ325" i="9" s="1"/>
  <c r="BE340" i="9"/>
  <c r="BE325" i="9" s="1"/>
  <c r="L187" i="80"/>
  <c r="G187" i="80" s="1"/>
  <c r="I213" i="114"/>
  <c r="AL417" i="9"/>
  <c r="AN417" i="9" s="1"/>
  <c r="I250" i="114" s="1"/>
  <c r="AX370" i="9"/>
  <c r="AX369" i="9" s="1"/>
  <c r="CC458" i="9"/>
  <c r="BM412" i="9"/>
  <c r="BM411" i="9" s="1"/>
  <c r="BM406" i="9" s="1"/>
  <c r="BM405" i="9" s="1"/>
  <c r="BK329" i="9"/>
  <c r="BK328" i="9" s="1"/>
  <c r="AL376" i="9"/>
  <c r="AN376" i="9" s="1"/>
  <c r="I214" i="114" s="1"/>
  <c r="BR398" i="9"/>
  <c r="AR405" i="9"/>
  <c r="CA417" i="9"/>
  <c r="CQ458" i="9"/>
  <c r="BD406" i="9"/>
  <c r="BD405" i="9" s="1"/>
  <c r="DB427" i="9"/>
  <c r="DF406" i="9"/>
  <c r="DF405" i="9" s="1"/>
  <c r="I243" i="114"/>
  <c r="CU381" i="9"/>
  <c r="CU378" i="9" s="1"/>
  <c r="AV405" i="9"/>
  <c r="CU406" i="9"/>
  <c r="CU405" i="9" s="1"/>
  <c r="CB431" i="9"/>
  <c r="DJ449" i="9"/>
  <c r="DL449" i="9" s="1"/>
  <c r="DH370" i="9"/>
  <c r="DH369" i="9" s="1"/>
  <c r="AI407" i="9"/>
  <c r="CV436" i="9"/>
  <c r="AL426" i="9"/>
  <c r="AN426" i="9" s="1"/>
  <c r="I258" i="114" s="1"/>
  <c r="AZ387" i="9"/>
  <c r="DJ451" i="9"/>
  <c r="DX499" i="9"/>
  <c r="EA499" i="9" s="1"/>
  <c r="AV439" i="9"/>
  <c r="AV440" i="9"/>
  <c r="AU405" i="9"/>
  <c r="CK406" i="9"/>
  <c r="CK405" i="9" s="1"/>
  <c r="DY581" i="9"/>
  <c r="EA581" i="9" s="1"/>
  <c r="AI328" i="9"/>
  <c r="AL329" i="9"/>
  <c r="AL328" i="9" s="1"/>
  <c r="AN328" i="9" s="1"/>
  <c r="J8" i="96" s="1"/>
  <c r="D8" i="96" s="1"/>
  <c r="BI370" i="9"/>
  <c r="BI369" i="9" s="1"/>
  <c r="CV430" i="9"/>
  <c r="CS436" i="9"/>
  <c r="DE458" i="9"/>
  <c r="J110" i="101"/>
  <c r="D110" i="101" s="1"/>
  <c r="AL448" i="9"/>
  <c r="AN448" i="9" s="1"/>
  <c r="I279" i="114" s="1"/>
  <c r="BO458" i="9"/>
  <c r="DX488" i="9"/>
  <c r="AQ370" i="9"/>
  <c r="AQ369" i="9" s="1"/>
  <c r="AL379" i="9"/>
  <c r="AN379" i="9" s="1"/>
  <c r="I217" i="114" s="1"/>
  <c r="BH406" i="9"/>
  <c r="BH405" i="9" s="1"/>
  <c r="I219" i="114"/>
  <c r="BN407" i="9"/>
  <c r="AW440" i="9"/>
  <c r="DD377" i="9"/>
  <c r="DJ377" i="9" s="1"/>
  <c r="DL377" i="9" s="1"/>
  <c r="BR378" i="9"/>
  <c r="BN382" i="9"/>
  <c r="CW370" i="9"/>
  <c r="CW369" i="9" s="1"/>
  <c r="CB364" i="9"/>
  <c r="DZ475" i="9" s="1"/>
  <c r="CW406" i="9"/>
  <c r="CW405" i="9" s="1"/>
  <c r="I202" i="114"/>
  <c r="AY405" i="9"/>
  <c r="BI406" i="9"/>
  <c r="BI405" i="9" s="1"/>
  <c r="AS405" i="9"/>
  <c r="CS431" i="9"/>
  <c r="CN434" i="9"/>
  <c r="DA406" i="9"/>
  <c r="DA405" i="9" s="1"/>
  <c r="BS417" i="9"/>
  <c r="CV431" i="9"/>
  <c r="ED491" i="9"/>
  <c r="BM340" i="9"/>
  <c r="BB370" i="9"/>
  <c r="BB369" i="9" s="1"/>
  <c r="BX417" i="9"/>
  <c r="BX411" i="9" s="1"/>
  <c r="J23" i="66"/>
  <c r="CB372" i="9"/>
  <c r="DJ372" i="9" s="1"/>
  <c r="CY370" i="9"/>
  <c r="CY369" i="9" s="1"/>
  <c r="CB403" i="9"/>
  <c r="EC484" i="9" s="1"/>
  <c r="BL406" i="9"/>
  <c r="BL405" i="9" s="1"/>
  <c r="BY411" i="9"/>
  <c r="DB431" i="9"/>
  <c r="AZ382" i="9"/>
  <c r="DJ438" i="9"/>
  <c r="DL438" i="9" s="1"/>
  <c r="BF370" i="9"/>
  <c r="BF369" i="9" s="1"/>
  <c r="AH343" i="9"/>
  <c r="AI343" i="9" s="1"/>
  <c r="AI342" i="9" s="1"/>
  <c r="AJ342" i="9" s="1"/>
  <c r="DC370" i="9"/>
  <c r="DC369" i="9" s="1"/>
  <c r="F7" i="89"/>
  <c r="DI411" i="9"/>
  <c r="DG406" i="9"/>
  <c r="DG405" i="9" s="1"/>
  <c r="AX439" i="9"/>
  <c r="AX440" i="9"/>
  <c r="DJ437" i="9"/>
  <c r="CB429" i="9"/>
  <c r="AL434" i="9"/>
  <c r="AN434" i="9" s="1"/>
  <c r="I266" i="114" s="1"/>
  <c r="CM448" i="9"/>
  <c r="D6" i="6"/>
  <c r="CM410" i="9"/>
  <c r="CM407" i="9" s="1"/>
  <c r="CM406" i="9" s="1"/>
  <c r="CM405" i="9" s="1"/>
  <c r="AL413" i="9"/>
  <c r="AN413" i="9" s="1"/>
  <c r="F80" i="89"/>
  <c r="AL400" i="9"/>
  <c r="AN400" i="9" s="1"/>
  <c r="I234" i="114" s="1"/>
  <c r="BW398" i="9"/>
  <c r="BF406" i="9"/>
  <c r="BF405" i="9" s="1"/>
  <c r="DJ413" i="9"/>
  <c r="CN427" i="9"/>
  <c r="AL431" i="9"/>
  <c r="AN431" i="9" s="1"/>
  <c r="I263" i="114" s="1"/>
  <c r="CS432" i="9"/>
  <c r="CM446" i="9"/>
  <c r="CS448" i="9"/>
  <c r="I205" i="114"/>
  <c r="DV459" i="9"/>
  <c r="DX459" i="9" s="1"/>
  <c r="BP340" i="9"/>
  <c r="BP325" i="9" s="1"/>
  <c r="BX363" i="9"/>
  <c r="BX358" i="9" s="1"/>
  <c r="BN389" i="9"/>
  <c r="BY398" i="9"/>
  <c r="CO406" i="9"/>
  <c r="CO405" i="9" s="1"/>
  <c r="CV427" i="9"/>
  <c r="CN429" i="9"/>
  <c r="CV432" i="9"/>
  <c r="DF446" i="9"/>
  <c r="DI446" i="9" s="1"/>
  <c r="DF448" i="9"/>
  <c r="DI448" i="9" s="1"/>
  <c r="DJ371" i="9"/>
  <c r="DL371" i="9" s="1"/>
  <c r="DJ420" i="9"/>
  <c r="DL420" i="9" s="1"/>
  <c r="DY551" i="9"/>
  <c r="DS551" i="9" s="1"/>
  <c r="DV462" i="9"/>
  <c r="DX462" i="9" s="1"/>
  <c r="BC340" i="9"/>
  <c r="BC325" i="9" s="1"/>
  <c r="AS325" i="9"/>
  <c r="CH363" i="9"/>
  <c r="CH358" i="9" s="1"/>
  <c r="AI412" i="9"/>
  <c r="AI411" i="9" s="1"/>
  <c r="BJ406" i="9"/>
  <c r="BJ405" i="9" s="1"/>
  <c r="CB434" i="9"/>
  <c r="AR440" i="9"/>
  <c r="CZ370" i="9"/>
  <c r="CZ369" i="9" s="1"/>
  <c r="BE370" i="9"/>
  <c r="BE369" i="9" s="1"/>
  <c r="AL447" i="9"/>
  <c r="AN447" i="9" s="1"/>
  <c r="I278" i="114" s="1"/>
  <c r="AM405" i="9"/>
  <c r="BG370" i="9"/>
  <c r="BG369" i="9" s="1"/>
  <c r="AL388" i="9"/>
  <c r="AN388" i="9" s="1"/>
  <c r="DI412" i="9"/>
  <c r="AL433" i="9"/>
  <c r="AN433" i="9" s="1"/>
  <c r="I265" i="114" s="1"/>
  <c r="AW370" i="9"/>
  <c r="AW369" i="9" s="1"/>
  <c r="CM447" i="9"/>
  <c r="BJ340" i="9"/>
  <c r="BJ325" i="9" s="1"/>
  <c r="BP370" i="9"/>
  <c r="AZ424" i="9"/>
  <c r="CB430" i="9"/>
  <c r="CB433" i="9"/>
  <c r="CV434" i="9"/>
  <c r="CW447" i="9"/>
  <c r="DW517" i="9"/>
  <c r="DQ517" i="9" s="1"/>
  <c r="AT405" i="9"/>
  <c r="AL414" i="9"/>
  <c r="AN414" i="9" s="1"/>
  <c r="I247" i="114" s="1"/>
  <c r="CS434" i="9"/>
  <c r="AL437" i="9"/>
  <c r="AN437" i="9" s="1"/>
  <c r="I269" i="114" s="1"/>
  <c r="CB373" i="9"/>
  <c r="DJ373" i="9" s="1"/>
  <c r="DL373" i="9" s="1"/>
  <c r="BL370" i="9"/>
  <c r="BL369" i="9" s="1"/>
  <c r="AL385" i="9"/>
  <c r="AN385" i="9" s="1"/>
  <c r="I223" i="114" s="1"/>
  <c r="CB426" i="9"/>
  <c r="CB428" i="9"/>
  <c r="DB434" i="9"/>
  <c r="K154" i="80"/>
  <c r="G153" i="80" s="1"/>
  <c r="F21" i="81" s="1"/>
  <c r="BK388" i="9"/>
  <c r="BK387" i="9" s="1"/>
  <c r="BK370" i="9" s="1"/>
  <c r="DH406" i="9"/>
  <c r="DH405" i="9" s="1"/>
  <c r="AY325" i="9"/>
  <c r="AR370" i="9"/>
  <c r="AR369" i="9" s="1"/>
  <c r="CD387" i="9"/>
  <c r="DI393" i="9"/>
  <c r="J135" i="115" s="1"/>
  <c r="BP412" i="9"/>
  <c r="BP411" i="9" s="1"/>
  <c r="BP406" i="9" s="1"/>
  <c r="CV428" i="9"/>
  <c r="CN430" i="9"/>
  <c r="CN433" i="9"/>
  <c r="AI387" i="9"/>
  <c r="CZ325" i="9"/>
  <c r="DJ399" i="9"/>
  <c r="DL399" i="9" s="1"/>
  <c r="BQ412" i="9"/>
  <c r="BQ411" i="9" s="1"/>
  <c r="CS430" i="9"/>
  <c r="CV433" i="9"/>
  <c r="BG329" i="9"/>
  <c r="CB375" i="9"/>
  <c r="DJ375" i="9" s="1"/>
  <c r="DL375" i="9" s="1"/>
  <c r="BC406" i="9"/>
  <c r="BC405" i="9" s="1"/>
  <c r="CB414" i="9"/>
  <c r="DJ414" i="9" s="1"/>
  <c r="DB433" i="9"/>
  <c r="BB406" i="9"/>
  <c r="BB405" i="9" s="1"/>
  <c r="CB435" i="9"/>
  <c r="F208" i="89"/>
  <c r="I51" i="114"/>
  <c r="I41" i="114"/>
  <c r="I47" i="114"/>
  <c r="AR325" i="9"/>
  <c r="AZ356" i="9"/>
  <c r="F107" i="89"/>
  <c r="F105" i="89" s="1"/>
  <c r="AQ325" i="9"/>
  <c r="AL350" i="9"/>
  <c r="CT350" i="9" s="1"/>
  <c r="CT349" i="9" s="1"/>
  <c r="DD364" i="9"/>
  <c r="EF475" i="9" s="1"/>
  <c r="F117" i="89"/>
  <c r="BG340" i="9"/>
  <c r="AW325" i="9"/>
  <c r="AM325" i="9"/>
  <c r="DD356" i="9"/>
  <c r="AL326" i="9"/>
  <c r="AN326" i="9" s="1"/>
  <c r="J130" i="101" s="1"/>
  <c r="D130" i="101" s="1"/>
  <c r="BH340" i="9"/>
  <c r="BH325" i="9" s="1"/>
  <c r="AX325" i="9"/>
  <c r="BX325" i="9"/>
  <c r="EB578" i="9"/>
  <c r="EB583" i="9" s="1"/>
  <c r="AL363" i="9"/>
  <c r="AN363" i="9" s="1"/>
  <c r="C42" i="94" s="1"/>
  <c r="F99" i="89"/>
  <c r="F138" i="89"/>
  <c r="DJ367" i="9"/>
  <c r="DL367" i="9" s="1"/>
  <c r="F129" i="89"/>
  <c r="F135" i="89"/>
  <c r="CY325" i="9"/>
  <c r="DI358" i="9"/>
  <c r="F114" i="89"/>
  <c r="BI340" i="9"/>
  <c r="BI325" i="9" s="1"/>
  <c r="K60" i="80"/>
  <c r="I193" i="114"/>
  <c r="I158" i="114"/>
  <c r="I147" i="114"/>
  <c r="I149" i="114"/>
  <c r="D226" i="80"/>
  <c r="D233" i="80"/>
  <c r="D244" i="80"/>
  <c r="DP564" i="9"/>
  <c r="DP531" i="9"/>
  <c r="I39" i="114"/>
  <c r="I30" i="114"/>
  <c r="I36" i="114"/>
  <c r="DS505" i="9"/>
  <c r="I70" i="114"/>
  <c r="I17" i="114"/>
  <c r="I31" i="114"/>
  <c r="I37" i="114"/>
  <c r="I43" i="114"/>
  <c r="I38" i="114"/>
  <c r="I32" i="114"/>
  <c r="DQ501" i="9"/>
  <c r="I20" i="114"/>
  <c r="I45" i="114"/>
  <c r="I50" i="114"/>
  <c r="DR550" i="9"/>
  <c r="DT552" i="9"/>
  <c r="DR533" i="9"/>
  <c r="DR537" i="9"/>
  <c r="DS564" i="9"/>
  <c r="I25" i="114"/>
  <c r="I24" i="114" s="1"/>
  <c r="F14" i="89"/>
  <c r="DT566" i="9"/>
  <c r="DS499" i="9"/>
  <c r="DT520" i="9"/>
  <c r="I35" i="114"/>
  <c r="I40" i="114"/>
  <c r="I33" i="114"/>
  <c r="DS531" i="9"/>
  <c r="DT536" i="9"/>
  <c r="I34" i="114"/>
  <c r="DS548" i="9"/>
  <c r="DT522" i="9"/>
  <c r="DT548" i="9"/>
  <c r="I48" i="114"/>
  <c r="DS503" i="9"/>
  <c r="I44" i="114"/>
  <c r="DT546" i="9"/>
  <c r="L165" i="80"/>
  <c r="G164" i="80" s="1"/>
  <c r="DR547" i="9"/>
  <c r="DS502" i="9"/>
  <c r="DR519" i="9"/>
  <c r="DR560" i="9"/>
  <c r="DS501" i="9"/>
  <c r="DT533" i="9"/>
  <c r="DS546" i="9"/>
  <c r="I52" i="114"/>
  <c r="DT531" i="9"/>
  <c r="DS544" i="9"/>
  <c r="DT516" i="9"/>
  <c r="DT564" i="9"/>
  <c r="DT519" i="9"/>
  <c r="DS559" i="9"/>
  <c r="DR504" i="9"/>
  <c r="DT502" i="9"/>
  <c r="DQ515" i="9"/>
  <c r="DT551" i="9"/>
  <c r="DR530" i="9"/>
  <c r="DT500" i="9"/>
  <c r="DR580" i="9"/>
  <c r="DR565" i="9"/>
  <c r="DT537" i="9"/>
  <c r="DQ552" i="9"/>
  <c r="D219" i="80"/>
  <c r="K36" i="80"/>
  <c r="D218" i="80"/>
  <c r="F12" i="89"/>
  <c r="I16" i="114"/>
  <c r="K35" i="80"/>
  <c r="F39" i="89"/>
  <c r="D220" i="80"/>
  <c r="J66" i="66"/>
  <c r="D66" i="66" s="1"/>
  <c r="J86" i="101"/>
  <c r="D86" i="101" s="1"/>
  <c r="F46" i="89"/>
  <c r="L172" i="80"/>
  <c r="G172" i="80" s="1"/>
  <c r="L174" i="80"/>
  <c r="G174" i="80" s="1"/>
  <c r="DD342" i="9"/>
  <c r="F87" i="89"/>
  <c r="F28" i="89"/>
  <c r="F40" i="89"/>
  <c r="DV467" i="9"/>
  <c r="DX467" i="9" s="1"/>
  <c r="DY522" i="9"/>
  <c r="DS522" i="9" s="1"/>
  <c r="DX576" i="9"/>
  <c r="EA576" i="9" s="1"/>
  <c r="EH461" i="9"/>
  <c r="EJ461" i="9" s="1"/>
  <c r="EH474" i="9"/>
  <c r="EJ474" i="9" s="1"/>
  <c r="K122" i="80"/>
  <c r="F49" i="89"/>
  <c r="J7" i="65"/>
  <c r="D7" i="65" s="1"/>
  <c r="D8" i="65" s="1"/>
  <c r="J7" i="100"/>
  <c r="D7" i="100" s="1"/>
  <c r="L175" i="80"/>
  <c r="G175" i="80" s="1"/>
  <c r="F164" i="89"/>
  <c r="AI382" i="9"/>
  <c r="AL383" i="9"/>
  <c r="K37" i="80"/>
  <c r="CL325" i="9"/>
  <c r="BQ387" i="9"/>
  <c r="CB389" i="9"/>
  <c r="BN378" i="9"/>
  <c r="BC370" i="9"/>
  <c r="BC369" i="9" s="1"/>
  <c r="AT325" i="9"/>
  <c r="DW505" i="9"/>
  <c r="EA505" i="9" s="1"/>
  <c r="DS465" i="9"/>
  <c r="DX490" i="9"/>
  <c r="BW325" i="9"/>
  <c r="AT439" i="9"/>
  <c r="AT440" i="9"/>
  <c r="F48" i="89"/>
  <c r="AZ398" i="9"/>
  <c r="K59" i="80"/>
  <c r="CX441" i="9"/>
  <c r="CX440" i="9" s="1"/>
  <c r="CX439" i="9" s="1"/>
  <c r="CN441" i="9"/>
  <c r="CN440" i="9" s="1"/>
  <c r="CN439" i="9" s="1"/>
  <c r="AL443" i="9"/>
  <c r="DB441" i="9"/>
  <c r="DB440" i="9" s="1"/>
  <c r="DB439" i="9" s="1"/>
  <c r="AQ405" i="9"/>
  <c r="AZ406" i="9"/>
  <c r="DY507" i="9"/>
  <c r="EA507" i="9" s="1"/>
  <c r="DS475" i="9"/>
  <c r="DU475" i="9" s="1"/>
  <c r="DS467" i="9"/>
  <c r="DU467" i="9" s="1"/>
  <c r="AL359" i="9"/>
  <c r="CE359" i="9" s="1"/>
  <c r="AI358" i="9"/>
  <c r="CM362" i="9"/>
  <c r="CM358" i="9" s="1"/>
  <c r="CW362" i="9"/>
  <c r="CS362" i="9"/>
  <c r="AL362" i="9"/>
  <c r="AN362" i="9" s="1"/>
  <c r="C41" i="94" s="1"/>
  <c r="BM356" i="9"/>
  <c r="BN356" i="9" s="1"/>
  <c r="BN364" i="9"/>
  <c r="EE515" i="9" s="1"/>
  <c r="DS515" i="9" s="1"/>
  <c r="DA370" i="9"/>
  <c r="DA369" i="9" s="1"/>
  <c r="AU325" i="9"/>
  <c r="BT325" i="9"/>
  <c r="CV325" i="9"/>
  <c r="DY506" i="9"/>
  <c r="DS506" i="9" s="1"/>
  <c r="DS466" i="9"/>
  <c r="DU466" i="9" s="1"/>
  <c r="BN326" i="9"/>
  <c r="DJ326" i="9" s="1"/>
  <c r="DJ331" i="9"/>
  <c r="DL331" i="9" s="1"/>
  <c r="DJ336" i="9"/>
  <c r="DL336" i="9" s="1"/>
  <c r="AZ349" i="9"/>
  <c r="DG370" i="9"/>
  <c r="DG369" i="9" s="1"/>
  <c r="DI378" i="9"/>
  <c r="AP421" i="9"/>
  <c r="AZ421" i="9" s="1"/>
  <c r="AZ422" i="9"/>
  <c r="F54" i="89"/>
  <c r="F63" i="89"/>
  <c r="F165" i="89"/>
  <c r="AL384" i="9"/>
  <c r="AN384" i="9" s="1"/>
  <c r="DI398" i="9"/>
  <c r="J138" i="115" s="1"/>
  <c r="AL403" i="9"/>
  <c r="AI398" i="9"/>
  <c r="AU370" i="9"/>
  <c r="AU369" i="9" s="1"/>
  <c r="AP411" i="9"/>
  <c r="AZ412" i="9"/>
  <c r="F45" i="89"/>
  <c r="F47" i="89"/>
  <c r="CP412" i="9"/>
  <c r="AW405" i="9"/>
  <c r="BN402" i="9"/>
  <c r="BM398" i="9"/>
  <c r="DT463" i="9"/>
  <c r="K111" i="80"/>
  <c r="CV378" i="9"/>
  <c r="CT381" i="9"/>
  <c r="CT378" i="9" s="1"/>
  <c r="CS381" i="9"/>
  <c r="CS378" i="9" s="1"/>
  <c r="CR381" i="9"/>
  <c r="DD398" i="9"/>
  <c r="I138" i="115" s="1"/>
  <c r="BK406" i="9"/>
  <c r="BK405" i="9" s="1"/>
  <c r="BK422" i="9"/>
  <c r="BK421" i="9" s="1"/>
  <c r="BN424" i="9"/>
  <c r="F53" i="89"/>
  <c r="F59" i="89"/>
  <c r="F58" i="89" s="1"/>
  <c r="AZ328" i="9"/>
  <c r="AV325" i="9"/>
  <c r="CK325" i="9"/>
  <c r="DS463" i="9"/>
  <c r="DS472" i="9"/>
  <c r="DV503" i="9"/>
  <c r="DV508" i="9" s="1"/>
  <c r="DJ334" i="9"/>
  <c r="DL334" i="9" s="1"/>
  <c r="CY406" i="9"/>
  <c r="CY405" i="9" s="1"/>
  <c r="BK398" i="9"/>
  <c r="BN400" i="9"/>
  <c r="DY490" i="9" s="1"/>
  <c r="BX407" i="9"/>
  <c r="CU325" i="9"/>
  <c r="F169" i="89"/>
  <c r="F168" i="89" s="1"/>
  <c r="AL408" i="9"/>
  <c r="AN408" i="9" s="1"/>
  <c r="BZ407" i="9"/>
  <c r="BN440" i="9"/>
  <c r="BB439" i="9"/>
  <c r="BN439" i="9" s="1"/>
  <c r="F51" i="89"/>
  <c r="BD370" i="9"/>
  <c r="BD369" i="9" s="1"/>
  <c r="CI407" i="9"/>
  <c r="DC406" i="9"/>
  <c r="DC405" i="9" s="1"/>
  <c r="F180" i="89"/>
  <c r="AL423" i="9"/>
  <c r="BI423" i="9"/>
  <c r="BS423" i="9"/>
  <c r="BL422" i="9"/>
  <c r="BL421" i="9" s="1"/>
  <c r="BP422" i="9"/>
  <c r="DI349" i="9"/>
  <c r="AS440" i="9"/>
  <c r="AS439" i="9"/>
  <c r="CD439" i="9"/>
  <c r="DB406" i="9"/>
  <c r="DB405" i="9" s="1"/>
  <c r="DD412" i="9"/>
  <c r="CR411" i="9"/>
  <c r="F175" i="89"/>
  <c r="AL415" i="9"/>
  <c r="AN415" i="9" s="1"/>
  <c r="DJ332" i="9"/>
  <c r="DL332" i="9" s="1"/>
  <c r="DJ337" i="9"/>
  <c r="DL337" i="9" s="1"/>
  <c r="CG325" i="9"/>
  <c r="BN342" i="9"/>
  <c r="DJ353" i="9"/>
  <c r="DL353" i="9" s="1"/>
  <c r="DI407" i="9"/>
  <c r="BN444" i="9"/>
  <c r="K156" i="80"/>
  <c r="G156" i="80" s="1"/>
  <c r="BK340" i="9"/>
  <c r="DB340" i="9"/>
  <c r="DB325" i="9" s="1"/>
  <c r="BH370" i="9"/>
  <c r="BH369" i="9" s="1"/>
  <c r="CR386" i="9"/>
  <c r="CO386" i="9"/>
  <c r="CP386" i="9" s="1"/>
  <c r="CS386" i="9"/>
  <c r="CV386" i="9"/>
  <c r="CV382" i="9" s="1"/>
  <c r="AL386" i="9"/>
  <c r="AN386" i="9" s="1"/>
  <c r="AL390" i="9"/>
  <c r="AN390" i="9" s="1"/>
  <c r="DJ392" i="9"/>
  <c r="DL392" i="9" s="1"/>
  <c r="D267" i="80"/>
  <c r="BV345" i="9"/>
  <c r="CI345" i="9"/>
  <c r="BG406" i="9"/>
  <c r="BG405" i="9" s="1"/>
  <c r="F182" i="89"/>
  <c r="CN426" i="9"/>
  <c r="CV426" i="9"/>
  <c r="CS426" i="9"/>
  <c r="AY439" i="9"/>
  <c r="AY440" i="9"/>
  <c r="DJ330" i="9"/>
  <c r="DL330" i="9" s="1"/>
  <c r="BF340" i="9"/>
  <c r="BF325" i="9" s="1"/>
  <c r="CH325" i="9"/>
  <c r="F156" i="89"/>
  <c r="F155" i="89" s="1"/>
  <c r="AL372" i="9"/>
  <c r="AN372" i="9" s="1"/>
  <c r="AZ393" i="9"/>
  <c r="AL418" i="9"/>
  <c r="AN418" i="9" s="1"/>
  <c r="AL361" i="9"/>
  <c r="AN361" i="9" s="1"/>
  <c r="C40" i="94" s="1"/>
  <c r="CI361" i="9"/>
  <c r="F166" i="89"/>
  <c r="CP400" i="9"/>
  <c r="F202" i="89"/>
  <c r="CB374" i="9"/>
  <c r="DJ374" i="9" s="1"/>
  <c r="AS370" i="9"/>
  <c r="AS369" i="9" s="1"/>
  <c r="DD393" i="9"/>
  <c r="I135" i="115" s="1"/>
  <c r="F88" i="89"/>
  <c r="J22" i="66"/>
  <c r="J23" i="101"/>
  <c r="DJ333" i="9"/>
  <c r="DL333" i="9" s="1"/>
  <c r="DJ338" i="9"/>
  <c r="DL338" i="9" s="1"/>
  <c r="DH325" i="9"/>
  <c r="DI356" i="9"/>
  <c r="F188" i="89"/>
  <c r="CB432" i="9"/>
  <c r="AL432" i="9"/>
  <c r="AN432" i="9" s="1"/>
  <c r="CN432" i="9"/>
  <c r="BN441" i="9"/>
  <c r="DS474" i="9"/>
  <c r="DU474" i="9" s="1"/>
  <c r="DX501" i="9"/>
  <c r="DR501" i="9" s="1"/>
  <c r="DS461" i="9"/>
  <c r="DU461" i="9" s="1"/>
  <c r="DJ354" i="9"/>
  <c r="DL354" i="9" s="1"/>
  <c r="F152" i="89"/>
  <c r="F151" i="89" s="1"/>
  <c r="AL364" i="9"/>
  <c r="AN364" i="9" s="1"/>
  <c r="J8" i="100" s="1"/>
  <c r="D8" i="100" s="1"/>
  <c r="DJ404" i="9"/>
  <c r="DL404" i="9" s="1"/>
  <c r="F181" i="89"/>
  <c r="CS425" i="9"/>
  <c r="AI424" i="9"/>
  <c r="AI422" i="9" s="1"/>
  <c r="DB425" i="9"/>
  <c r="AL425" i="9"/>
  <c r="CV425" i="9"/>
  <c r="F176" i="89"/>
  <c r="AL416" i="9"/>
  <c r="AN416" i="9" s="1"/>
  <c r="F135" i="115"/>
  <c r="F170" i="89"/>
  <c r="CZ410" i="9"/>
  <c r="CZ407" i="9" s="1"/>
  <c r="CZ406" i="9" s="1"/>
  <c r="CZ405" i="9" s="1"/>
  <c r="CV410" i="9"/>
  <c r="CV407" i="9" s="1"/>
  <c r="CV406" i="9" s="1"/>
  <c r="CV405" i="9" s="1"/>
  <c r="CJ410" i="9"/>
  <c r="AL410" i="9"/>
  <c r="AN410" i="9" s="1"/>
  <c r="CS410" i="9"/>
  <c r="F199" i="89"/>
  <c r="BN341" i="9"/>
  <c r="DJ341" i="9" s="1"/>
  <c r="BD340" i="9"/>
  <c r="BD325" i="9" s="1"/>
  <c r="BS325" i="9"/>
  <c r="DJ352" i="9"/>
  <c r="DL352" i="9" s="1"/>
  <c r="AZ378" i="9"/>
  <c r="DB370" i="9"/>
  <c r="DB369" i="9" s="1"/>
  <c r="CB400" i="9"/>
  <c r="AL445" i="9"/>
  <c r="AI444" i="9"/>
  <c r="AI441" i="9" s="1"/>
  <c r="AL380" i="9"/>
  <c r="AN380" i="9" s="1"/>
  <c r="I218" i="114" s="1"/>
  <c r="AI378" i="9"/>
  <c r="CN425" i="9"/>
  <c r="F191" i="89"/>
  <c r="CS435" i="9"/>
  <c r="AL435" i="9"/>
  <c r="AN435" i="9" s="1"/>
  <c r="DB435" i="9"/>
  <c r="CN435" i="9"/>
  <c r="CV435" i="9"/>
  <c r="DI328" i="9"/>
  <c r="DI342" i="9"/>
  <c r="DF340" i="9"/>
  <c r="DI340" i="9" s="1"/>
  <c r="F189" i="89"/>
  <c r="F201" i="89"/>
  <c r="AP441" i="9"/>
  <c r="AZ444" i="9"/>
  <c r="DJ327" i="9"/>
  <c r="DL327" i="9" s="1"/>
  <c r="DX544" i="9"/>
  <c r="DR544" i="9" s="1"/>
  <c r="EB459" i="9"/>
  <c r="ED459" i="9" s="1"/>
  <c r="F184" i="89"/>
  <c r="AL428" i="9"/>
  <c r="AN428" i="9" s="1"/>
  <c r="DB428" i="9"/>
  <c r="CS428" i="9"/>
  <c r="CN428" i="9"/>
  <c r="AQ439" i="9"/>
  <c r="AQ440" i="9"/>
  <c r="BN349" i="9"/>
  <c r="F158" i="89"/>
  <c r="F157" i="89" s="1"/>
  <c r="BS378" i="9"/>
  <c r="AL419" i="9"/>
  <c r="CX419" i="9"/>
  <c r="CS433" i="9"/>
  <c r="F192" i="89"/>
  <c r="CN436" i="9"/>
  <c r="AL436" i="9"/>
  <c r="AN436" i="9" s="1"/>
  <c r="CB436" i="9"/>
  <c r="CR440" i="9"/>
  <c r="DJ355" i="9"/>
  <c r="DL355" i="9" s="1"/>
  <c r="DI387" i="9"/>
  <c r="DA446" i="9"/>
  <c r="CS446" i="9"/>
  <c r="CW446" i="9"/>
  <c r="AL446" i="9"/>
  <c r="AN446" i="9" s="1"/>
  <c r="F177" i="89"/>
  <c r="BW417" i="9"/>
  <c r="BW411" i="9" s="1"/>
  <c r="BU417" i="9"/>
  <c r="F185" i="89"/>
  <c r="AL429" i="9"/>
  <c r="AN429" i="9" s="1"/>
  <c r="F200" i="89"/>
  <c r="EB518" i="9"/>
  <c r="EB523" i="9" s="1"/>
  <c r="DX559" i="9"/>
  <c r="DR559" i="9" s="1"/>
  <c r="EE459" i="9"/>
  <c r="EG459" i="9" s="1"/>
  <c r="CB415" i="9"/>
  <c r="DJ415" i="9" s="1"/>
  <c r="CH411" i="9"/>
  <c r="CH406" i="9" s="1"/>
  <c r="CH405" i="9" s="1"/>
  <c r="CV429" i="9"/>
  <c r="EH459" i="9"/>
  <c r="DX574" i="9"/>
  <c r="DR574" i="9" s="1"/>
  <c r="DA447" i="9"/>
  <c r="CS447" i="9"/>
  <c r="CH447" i="9"/>
  <c r="CB447" i="9"/>
  <c r="F218" i="89"/>
  <c r="F217" i="89" s="1"/>
  <c r="DS532" i="9"/>
  <c r="DJ335" i="9"/>
  <c r="DL335" i="9" s="1"/>
  <c r="BL340" i="9"/>
  <c r="BL325" i="9" s="1"/>
  <c r="DC325" i="9"/>
  <c r="F150" i="89"/>
  <c r="F149" i="89" s="1"/>
  <c r="BH360" i="9"/>
  <c r="BH358" i="9" s="1"/>
  <c r="BR360" i="9"/>
  <c r="BR358" i="9" s="1"/>
  <c r="AZ407" i="9"/>
  <c r="CP416" i="9"/>
  <c r="F162" i="89"/>
  <c r="F159" i="89" s="1"/>
  <c r="AL402" i="9"/>
  <c r="AN402" i="9" s="1"/>
  <c r="F190" i="89"/>
  <c r="DW502" i="9"/>
  <c r="DS462" i="9"/>
  <c r="DU462" i="9" s="1"/>
  <c r="F183" i="89"/>
  <c r="CS427" i="9"/>
  <c r="CB427" i="9"/>
  <c r="F186" i="89"/>
  <c r="AL430" i="9"/>
  <c r="AN430" i="9" s="1"/>
  <c r="DP499" i="9"/>
  <c r="DT505" i="9"/>
  <c r="DJ351" i="9"/>
  <c r="DL351" i="9" s="1"/>
  <c r="AZ358" i="9"/>
  <c r="DA448" i="9"/>
  <c r="CW448" i="9"/>
  <c r="ED538" i="9"/>
  <c r="F94" i="89"/>
  <c r="DP505" i="9"/>
  <c r="DT499" i="9"/>
  <c r="DT501" i="9"/>
  <c r="F8" i="81"/>
  <c r="H26" i="80"/>
  <c r="DR566" i="9"/>
  <c r="DR517" i="9"/>
  <c r="F205" i="89"/>
  <c r="DT517" i="9"/>
  <c r="DS534" i="9"/>
  <c r="DQ500" i="9"/>
  <c r="DS504" i="9"/>
  <c r="DS516" i="9"/>
  <c r="DS518" i="9"/>
  <c r="EA476" i="9"/>
  <c r="DR500" i="9"/>
  <c r="DT504" i="9"/>
  <c r="DT560" i="9"/>
  <c r="F132" i="89"/>
  <c r="DP549" i="9"/>
  <c r="DR563" i="9"/>
  <c r="DS563" i="9"/>
  <c r="DS547" i="9"/>
  <c r="DT563" i="9"/>
  <c r="DS533" i="9"/>
  <c r="D27" i="96"/>
  <c r="DT565" i="9"/>
  <c r="DQ474" i="9"/>
  <c r="DQ590" i="9"/>
  <c r="DS589" i="9"/>
  <c r="DS574" i="9"/>
  <c r="DT591" i="9"/>
  <c r="DS577" i="9"/>
  <c r="DR597" i="9"/>
  <c r="DT576" i="9"/>
  <c r="DT596" i="9"/>
  <c r="DR590" i="9"/>
  <c r="DS592" i="9"/>
  <c r="DT590" i="9"/>
  <c r="DT582" i="9"/>
  <c r="DQ591" i="9"/>
  <c r="DR579" i="9"/>
  <c r="DS591" i="9"/>
  <c r="DT593" i="9"/>
  <c r="DT581" i="9"/>
  <c r="DT577" i="9"/>
  <c r="DT575" i="9"/>
  <c r="DP596" i="9"/>
  <c r="EJ476" i="9"/>
  <c r="DR575" i="9"/>
  <c r="EG532" i="9"/>
  <c r="EF523" i="9"/>
  <c r="DR551" i="9"/>
  <c r="DT597" i="9"/>
  <c r="EG589" i="9"/>
  <c r="EG501" i="9"/>
  <c r="DR507" i="9"/>
  <c r="DR515" i="9"/>
  <c r="EG546" i="9"/>
  <c r="DT567" i="9"/>
  <c r="EG591" i="9"/>
  <c r="DS517" i="9"/>
  <c r="DR521" i="9"/>
  <c r="DT534" i="9"/>
  <c r="DS550" i="9"/>
  <c r="DP566" i="9"/>
  <c r="DP535" i="9"/>
  <c r="DQ560" i="9"/>
  <c r="DQ566" i="9"/>
  <c r="DQ576" i="9"/>
  <c r="DT589" i="9"/>
  <c r="EG507" i="9"/>
  <c r="EG517" i="9"/>
  <c r="DP550" i="9"/>
  <c r="DP582" i="9"/>
  <c r="DQ462" i="9"/>
  <c r="DS576" i="9"/>
  <c r="DQ582" i="9"/>
  <c r="DS535" i="9"/>
  <c r="EG564" i="9"/>
  <c r="DR596" i="9"/>
  <c r="ED476" i="9"/>
  <c r="DT515" i="9"/>
  <c r="DT535" i="9"/>
  <c r="EG574" i="9"/>
  <c r="DT578" i="9"/>
  <c r="DR592" i="9"/>
  <c r="DT594" i="9"/>
  <c r="DP516" i="9"/>
  <c r="DQ545" i="9"/>
  <c r="DP506" i="9"/>
  <c r="DP514" i="9"/>
  <c r="DQ516" i="9"/>
  <c r="DR552" i="9"/>
  <c r="EF538" i="9"/>
  <c r="DR520" i="9"/>
  <c r="DT547" i="9"/>
  <c r="DS549" i="9"/>
  <c r="DP551" i="9"/>
  <c r="DP565" i="9"/>
  <c r="EG504" i="9"/>
  <c r="DQ530" i="9"/>
  <c r="DT549" i="9"/>
  <c r="DT518" i="9"/>
  <c r="DR532" i="9"/>
  <c r="DS561" i="9"/>
  <c r="DR567" i="9"/>
  <c r="DQ575" i="9"/>
  <c r="DS579" i="9"/>
  <c r="DP589" i="9"/>
  <c r="DT530" i="9"/>
  <c r="DR534" i="9"/>
  <c r="DR536" i="9"/>
  <c r="DT545" i="9"/>
  <c r="DT561" i="9"/>
  <c r="DR577" i="9"/>
  <c r="DT579" i="9"/>
  <c r="ED523" i="9"/>
  <c r="EG522" i="9"/>
  <c r="EG579" i="9"/>
  <c r="DQ464" i="9"/>
  <c r="DP507" i="9"/>
  <c r="EG516" i="9"/>
  <c r="DQ531" i="9"/>
  <c r="DS594" i="9"/>
  <c r="DP500" i="9"/>
  <c r="DT503" i="9"/>
  <c r="DP520" i="9"/>
  <c r="EG534" i="9"/>
  <c r="DQ536" i="9"/>
  <c r="DT550" i="9"/>
  <c r="EG561" i="9"/>
  <c r="DZ583" i="9"/>
  <c r="EG476" i="9"/>
  <c r="DR518" i="9"/>
  <c r="DT532" i="9"/>
  <c r="EG565" i="9"/>
  <c r="DP576" i="9"/>
  <c r="DP581" i="9"/>
  <c r="EG552" i="9"/>
  <c r="EA560" i="9"/>
  <c r="DT592" i="9"/>
  <c r="EA515" i="9"/>
  <c r="DS520" i="9"/>
  <c r="EG547" i="9"/>
  <c r="ED583" i="9"/>
  <c r="DP580" i="9"/>
  <c r="EG592" i="9"/>
  <c r="EG596" i="9"/>
  <c r="DP502" i="9"/>
  <c r="DQ522" i="9"/>
  <c r="EG536" i="9"/>
  <c r="EG549" i="9"/>
  <c r="DQ551" i="9"/>
  <c r="DR562" i="9"/>
  <c r="DR564" i="9"/>
  <c r="EF583" i="9"/>
  <c r="DR578" i="9"/>
  <c r="EG520" i="9"/>
  <c r="DR522" i="9"/>
  <c r="DS562" i="9"/>
  <c r="EG567" i="9"/>
  <c r="DS580" i="9"/>
  <c r="DP595" i="9"/>
  <c r="DR502" i="9"/>
  <c r="DP515" i="9"/>
  <c r="DP517" i="9"/>
  <c r="DP530" i="9"/>
  <c r="DQ546" i="9"/>
  <c r="DR549" i="9"/>
  <c r="DQ567" i="9"/>
  <c r="EG576" i="9"/>
  <c r="DT507" i="9"/>
  <c r="EA530" i="9"/>
  <c r="EG531" i="9"/>
  <c r="DZ553" i="9"/>
  <c r="EG580" i="9"/>
  <c r="DP591" i="9"/>
  <c r="DR595" i="9"/>
  <c r="DP597" i="9"/>
  <c r="DR514" i="9"/>
  <c r="DP532" i="9"/>
  <c r="DS595" i="9"/>
  <c r="DQ597" i="9"/>
  <c r="EG551" i="9"/>
  <c r="DR593" i="9"/>
  <c r="DT595" i="9"/>
  <c r="DQ459" i="9"/>
  <c r="DQ514" i="9"/>
  <c r="ED553" i="9"/>
  <c r="EF598" i="9"/>
  <c r="DS593" i="9"/>
  <c r="EG595" i="9"/>
  <c r="DQ461" i="9"/>
  <c r="EG502" i="9"/>
  <c r="DS519" i="9"/>
  <c r="DQ537" i="9"/>
  <c r="DR548" i="9"/>
  <c r="DP574" i="9"/>
  <c r="DQ499" i="9"/>
  <c r="EG506" i="9"/>
  <c r="DP521" i="9"/>
  <c r="EF553" i="9"/>
  <c r="DP561" i="9"/>
  <c r="DQ581" i="9"/>
  <c r="EG582" i="9"/>
  <c r="EG597" i="9"/>
  <c r="ED508" i="9"/>
  <c r="DZ523" i="9"/>
  <c r="EG519" i="9"/>
  <c r="DU489" i="9"/>
  <c r="DX476" i="9"/>
  <c r="DR506" i="9"/>
  <c r="EG535" i="9"/>
  <c r="EG559" i="9"/>
  <c r="EG566" i="9"/>
  <c r="DT574" i="9"/>
  <c r="DR582" i="9"/>
  <c r="EF508" i="9"/>
  <c r="EG537" i="9"/>
  <c r="EA545" i="9"/>
  <c r="DP594" i="9"/>
  <c r="DR503" i="9"/>
  <c r="DQ507" i="9"/>
  <c r="EG521" i="9"/>
  <c r="DP547" i="9"/>
  <c r="EF568" i="9"/>
  <c r="DS565" i="9"/>
  <c r="EG577" i="9"/>
  <c r="DR581" i="9"/>
  <c r="DQ589" i="9"/>
  <c r="DQ596" i="9"/>
  <c r="Z445" i="9"/>
  <c r="J276" i="114" s="1"/>
  <c r="A98" i="66"/>
  <c r="A99" i="66" s="1"/>
  <c r="A100" i="66" s="1"/>
  <c r="A101" i="66" s="1"/>
  <c r="A102" i="66" s="1"/>
  <c r="G5" i="64"/>
  <c r="G7" i="64" s="1"/>
  <c r="BZ346" i="9"/>
  <c r="CI346" i="9"/>
  <c r="CF346" i="9"/>
  <c r="BV346" i="9"/>
  <c r="BR346" i="9"/>
  <c r="AN339" i="9"/>
  <c r="DG339" i="9"/>
  <c r="CI339" i="9"/>
  <c r="DA339" i="9"/>
  <c r="DA325" i="9" s="1"/>
  <c r="CW339" i="9"/>
  <c r="CW325" i="9" s="1"/>
  <c r="CS339" i="9"/>
  <c r="CM339" i="9"/>
  <c r="BY325" i="9"/>
  <c r="CI344" i="9"/>
  <c r="CF344" i="9"/>
  <c r="BZ344" i="9"/>
  <c r="BV344" i="9"/>
  <c r="BR344" i="9"/>
  <c r="CI347" i="9"/>
  <c r="CF347" i="9"/>
  <c r="BZ347" i="9"/>
  <c r="BV347" i="9"/>
  <c r="BR347" i="9"/>
  <c r="CA325" i="9"/>
  <c r="CB356" i="9"/>
  <c r="DU459" i="9"/>
  <c r="DT465" i="9"/>
  <c r="EG485" i="9"/>
  <c r="EE545" i="9"/>
  <c r="DS545" i="9" s="1"/>
  <c r="BU329" i="9"/>
  <c r="BU360" i="9"/>
  <c r="BU358" i="9" s="1"/>
  <c r="DP460" i="9"/>
  <c r="EJ485" i="9"/>
  <c r="DP567" i="9"/>
  <c r="DR594" i="9"/>
  <c r="BZ345" i="9"/>
  <c r="BB340" i="9"/>
  <c r="AL341" i="9"/>
  <c r="CF345" i="9"/>
  <c r="DT460" i="9"/>
  <c r="EE500" i="9"/>
  <c r="DS500" i="9" s="1"/>
  <c r="DY486" i="9"/>
  <c r="EG594" i="9"/>
  <c r="AN348" i="9"/>
  <c r="DT487" i="9"/>
  <c r="DP501" i="9"/>
  <c r="DT506" i="9"/>
  <c r="EI472" i="9"/>
  <c r="DU476" i="9"/>
  <c r="DP476" i="9"/>
  <c r="EK487" i="9"/>
  <c r="DR535" i="9"/>
  <c r="DS578" i="9"/>
  <c r="DQ476" i="9"/>
  <c r="EN487" i="9"/>
  <c r="DT562" i="9"/>
  <c r="DZ598" i="9"/>
  <c r="CE340" i="9"/>
  <c r="DW463" i="9"/>
  <c r="EG562" i="9"/>
  <c r="DQ521" i="9"/>
  <c r="CJ348" i="9"/>
  <c r="EA575" i="9"/>
  <c r="ED598" i="9"/>
  <c r="EP492" i="9"/>
  <c r="DV492" i="9"/>
  <c r="DZ489" i="9"/>
  <c r="EH488" i="9"/>
  <c r="DV487" i="9"/>
  <c r="ED486" i="9"/>
  <c r="EL485" i="9"/>
  <c r="DZ484" i="9"/>
  <c r="EO492" i="9"/>
  <c r="DU492" i="9"/>
  <c r="EC491" i="9"/>
  <c r="EO487" i="9"/>
  <c r="DU487" i="9"/>
  <c r="EK485" i="9"/>
  <c r="DY484" i="9"/>
  <c r="EL492" i="9"/>
  <c r="EP489" i="9"/>
  <c r="DV489" i="9"/>
  <c r="ED488" i="9"/>
  <c r="DZ486" i="9"/>
  <c r="EH485" i="9"/>
  <c r="EP484" i="9"/>
  <c r="DV484" i="9"/>
  <c r="EK492" i="9"/>
  <c r="DY491" i="9"/>
  <c r="EJ487" i="9"/>
  <c r="EF485" i="9"/>
  <c r="EN484" i="9"/>
  <c r="EH492" i="9"/>
  <c r="DV491" i="9"/>
  <c r="EL489" i="9"/>
  <c r="DZ488" i="9"/>
  <c r="EP486" i="9"/>
  <c r="DV486" i="9"/>
  <c r="ED485" i="9"/>
  <c r="EL484" i="9"/>
  <c r="EG492" i="9"/>
  <c r="EO491" i="9"/>
  <c r="DU491" i="9"/>
  <c r="DY488" i="9"/>
  <c r="EG487" i="9"/>
  <c r="EO486" i="9"/>
  <c r="DU486" i="9"/>
  <c r="EC485" i="9"/>
  <c r="EK484" i="9"/>
  <c r="EN491" i="9"/>
  <c r="DT491" i="9"/>
  <c r="EF487" i="9"/>
  <c r="EN486" i="9"/>
  <c r="DT486" i="9"/>
  <c r="ED492" i="9"/>
  <c r="EH489" i="9"/>
  <c r="EP488" i="9"/>
  <c r="DV488" i="9"/>
  <c r="EL486" i="9"/>
  <c r="DZ485" i="9"/>
  <c r="EH484" i="9"/>
  <c r="EC492" i="9"/>
  <c r="EK491" i="9"/>
  <c r="DU488" i="9"/>
  <c r="EC487" i="9"/>
  <c r="DY485" i="9"/>
  <c r="EG484" i="9"/>
  <c r="DT488" i="9"/>
  <c r="EB487" i="9"/>
  <c r="EJ486" i="9"/>
  <c r="DX485" i="9"/>
  <c r="EF484" i="9"/>
  <c r="DZ492" i="9"/>
  <c r="DV490" i="9"/>
  <c r="ED489" i="9"/>
  <c r="EL488" i="9"/>
  <c r="DZ487" i="9"/>
  <c r="EH486" i="9"/>
  <c r="EP485" i="9"/>
  <c r="DV485" i="9"/>
  <c r="ED484" i="9"/>
  <c r="DY492" i="9"/>
  <c r="EG491" i="9"/>
  <c r="DU490" i="9"/>
  <c r="DY487" i="9"/>
  <c r="EO485" i="9"/>
  <c r="DU485" i="9"/>
  <c r="DX492" i="9"/>
  <c r="EF491" i="9"/>
  <c r="EN490" i="9"/>
  <c r="DT490" i="9"/>
  <c r="DX487" i="9"/>
  <c r="EF486" i="9"/>
  <c r="EN485" i="9"/>
  <c r="DT485" i="9"/>
  <c r="EB484" i="9"/>
  <c r="EB503" i="9"/>
  <c r="EB508" i="9" s="1"/>
  <c r="DT472" i="9"/>
  <c r="AZ342" i="9"/>
  <c r="CR325" i="9"/>
  <c r="CE362" i="9"/>
  <c r="DP534" i="9"/>
  <c r="CN348" i="9"/>
  <c r="CN340" i="9" s="1"/>
  <c r="CN325" i="9" s="1"/>
  <c r="EI475" i="9"/>
  <c r="EE575" i="9"/>
  <c r="EG575" i="9" s="1"/>
  <c r="AP340" i="9"/>
  <c r="CT348" i="9"/>
  <c r="CT340" i="9" s="1"/>
  <c r="CO356" i="9"/>
  <c r="CP356" i="9" s="1"/>
  <c r="CI362" i="9"/>
  <c r="DR505" i="9"/>
  <c r="DD328" i="9"/>
  <c r="CE329" i="9"/>
  <c r="F145" i="89"/>
  <c r="F142" i="89" s="1"/>
  <c r="CX348" i="9"/>
  <c r="CX340" i="9" s="1"/>
  <c r="EC460" i="9"/>
  <c r="DQ467" i="9"/>
  <c r="DT484" i="9"/>
  <c r="DZ568" i="9"/>
  <c r="DT559" i="9"/>
  <c r="CE361" i="9"/>
  <c r="DU484" i="9"/>
  <c r="DT473" i="9"/>
  <c r="EC503" i="9"/>
  <c r="EC508" i="9" s="1"/>
  <c r="J28" i="101"/>
  <c r="D28" i="101" s="1"/>
  <c r="J10" i="96"/>
  <c r="D10" i="96" s="1"/>
  <c r="DQ466" i="9"/>
  <c r="DX484" i="9"/>
  <c r="DT492" i="9"/>
  <c r="DZ538" i="9"/>
  <c r="EJ484" i="9"/>
  <c r="EG505" i="9"/>
  <c r="ED568" i="9"/>
  <c r="EO484" i="9"/>
  <c r="EG529" i="9"/>
  <c r="DQ574" i="9"/>
  <c r="DP590" i="9"/>
  <c r="EA590" i="9"/>
  <c r="BL360" i="9"/>
  <c r="BL358" i="9" s="1"/>
  <c r="CS361" i="9"/>
  <c r="EI463" i="9"/>
  <c r="DW472" i="9"/>
  <c r="CD325" i="9"/>
  <c r="BR345" i="9"/>
  <c r="CW361" i="9"/>
  <c r="EI460" i="9"/>
  <c r="EJ460" i="9" s="1"/>
  <c r="EB485" i="9"/>
  <c r="DP546" i="9"/>
  <c r="DP579" i="9"/>
  <c r="DS514" i="9"/>
  <c r="DP529" i="9"/>
  <c r="EG544" i="9"/>
  <c r="DP562" i="9"/>
  <c r="DQ506" i="9"/>
  <c r="DT514" i="9"/>
  <c r="DP522" i="9"/>
  <c r="DQ529" i="9"/>
  <c r="DP545" i="9"/>
  <c r="DT580" i="9"/>
  <c r="EA500" i="9"/>
  <c r="DS529" i="9"/>
  <c r="DP544" i="9"/>
  <c r="DR545" i="9"/>
  <c r="DQ561" i="9"/>
  <c r="DP577" i="9"/>
  <c r="DP504" i="9"/>
  <c r="DT529" i="9"/>
  <c r="DP537" i="9"/>
  <c r="DQ544" i="9"/>
  <c r="DP560" i="9"/>
  <c r="DZ508" i="9"/>
  <c r="DP536" i="9"/>
  <c r="DP559" i="9"/>
  <c r="DP592" i="9"/>
  <c r="DP519" i="9"/>
  <c r="DT521" i="9"/>
  <c r="DT544" i="9"/>
  <c r="DP552" i="9"/>
  <c r="DQ559" i="9"/>
  <c r="DP575" i="9"/>
  <c r="EA514" i="9"/>
  <c r="EG550" i="9"/>
  <c r="EG499" i="9"/>
  <c r="EG581" i="9"/>
  <c r="EG514" i="9"/>
  <c r="F150" i="115" l="1"/>
  <c r="F148" i="115" s="1"/>
  <c r="AL401" i="87"/>
  <c r="AL400" i="87" s="1"/>
  <c r="AF276" i="86"/>
  <c r="AF273" i="86" s="1"/>
  <c r="AK277" i="86"/>
  <c r="AH277" i="86"/>
  <c r="AH276" i="86" s="1"/>
  <c r="AH273" i="86" s="1"/>
  <c r="AF209" i="86"/>
  <c r="AK210" i="86"/>
  <c r="AH210" i="86"/>
  <c r="AH209" i="86" s="1"/>
  <c r="AM374" i="86"/>
  <c r="AM372" i="86" s="1"/>
  <c r="AF372" i="86"/>
  <c r="AL374" i="86"/>
  <c r="AL372" i="86" s="1"/>
  <c r="AL362" i="86" s="1"/>
  <c r="AL361" i="86" s="1"/>
  <c r="AL360" i="86" s="1"/>
  <c r="AK374" i="86"/>
  <c r="AK372" i="86" s="1"/>
  <c r="AJ374" i="86"/>
  <c r="AH374" i="86"/>
  <c r="AH372" i="86" s="1"/>
  <c r="AF45" i="86"/>
  <c r="AH47" i="86"/>
  <c r="AP61" i="87"/>
  <c r="AN60" i="87"/>
  <c r="AP60" i="87" s="1"/>
  <c r="AP316" i="87"/>
  <c r="AP242" i="87"/>
  <c r="AK241" i="87"/>
  <c r="AH7" i="87"/>
  <c r="AH1" i="87" s="1"/>
  <c r="AH3" i="87" s="1"/>
  <c r="AK412" i="87"/>
  <c r="AP414" i="87"/>
  <c r="AK29" i="86"/>
  <c r="AO30" i="86"/>
  <c r="AF10" i="86"/>
  <c r="AH11" i="86"/>
  <c r="AH10" i="86" s="1"/>
  <c r="AP171" i="87"/>
  <c r="AK305" i="87"/>
  <c r="AL169" i="87"/>
  <c r="AP170" i="87"/>
  <c r="AO354" i="86"/>
  <c r="AD47" i="87"/>
  <c r="AD8" i="87" s="1"/>
  <c r="AF379" i="86"/>
  <c r="AH380" i="86"/>
  <c r="AH379" i="86" s="1"/>
  <c r="AO324" i="86"/>
  <c r="AK20" i="86"/>
  <c r="AO21" i="86"/>
  <c r="AP419" i="87"/>
  <c r="AL62" i="86"/>
  <c r="AO62" i="86" s="1"/>
  <c r="AP109" i="87"/>
  <c r="AL106" i="87"/>
  <c r="AP106" i="87" s="1"/>
  <c r="AM28" i="87"/>
  <c r="AP32" i="87"/>
  <c r="AG166" i="87"/>
  <c r="AI167" i="87"/>
  <c r="AI166" i="87" s="1"/>
  <c r="AJ264" i="86"/>
  <c r="AL352" i="86"/>
  <c r="AL348" i="86" s="1"/>
  <c r="AG160" i="87"/>
  <c r="AI160" i="87" s="1"/>
  <c r="AI161" i="87"/>
  <c r="AI195" i="87"/>
  <c r="AP124" i="87"/>
  <c r="AK121" i="87"/>
  <c r="AK362" i="86"/>
  <c r="AK361" i="86" s="1"/>
  <c r="AK360" i="86" s="1"/>
  <c r="AP370" i="87"/>
  <c r="AK175" i="86"/>
  <c r="AJ175" i="86"/>
  <c r="AH175" i="86"/>
  <c r="AH171" i="86" s="1"/>
  <c r="AF301" i="86"/>
  <c r="AL302" i="86"/>
  <c r="AH295" i="86"/>
  <c r="AO100" i="86"/>
  <c r="AJ98" i="86"/>
  <c r="AO247" i="86"/>
  <c r="AO375" i="86"/>
  <c r="AO313" i="86"/>
  <c r="AP352" i="87"/>
  <c r="AL350" i="87"/>
  <c r="AP350" i="87" s="1"/>
  <c r="AG19" i="87"/>
  <c r="AN20" i="87"/>
  <c r="AN19" i="87" s="1"/>
  <c r="AN10" i="87" s="1"/>
  <c r="AM20" i="87"/>
  <c r="AM19" i="87" s="1"/>
  <c r="AM10" i="87" s="1"/>
  <c r="AL20" i="87"/>
  <c r="AI20" i="87"/>
  <c r="AI19" i="87" s="1"/>
  <c r="AF348" i="86"/>
  <c r="AM352" i="86"/>
  <c r="AM348" i="86" s="1"/>
  <c r="AK195" i="87"/>
  <c r="AP196" i="87"/>
  <c r="AL105" i="87"/>
  <c r="AN361" i="86"/>
  <c r="AN360" i="86" s="1"/>
  <c r="AK295" i="86"/>
  <c r="AO296" i="86"/>
  <c r="AG360" i="87"/>
  <c r="AI360" i="87" s="1"/>
  <c r="AN361" i="87"/>
  <c r="AN360" i="87" s="1"/>
  <c r="AO361" i="87"/>
  <c r="AO360" i="87" s="1"/>
  <c r="AO358" i="87" s="1"/>
  <c r="AO357" i="87" s="1"/>
  <c r="AM361" i="87"/>
  <c r="AI361" i="87"/>
  <c r="AO329" i="86"/>
  <c r="AM402" i="87"/>
  <c r="AM401" i="87" s="1"/>
  <c r="AP404" i="87"/>
  <c r="AP339" i="87"/>
  <c r="AM335" i="87"/>
  <c r="AP335" i="87" s="1"/>
  <c r="AN352" i="86"/>
  <c r="AN348" i="86" s="1"/>
  <c r="AL195" i="87"/>
  <c r="AP366" i="87"/>
  <c r="AO23" i="86"/>
  <c r="AG204" i="87"/>
  <c r="AL207" i="87"/>
  <c r="AL204" i="87" s="1"/>
  <c r="AK207" i="87"/>
  <c r="AI207" i="87"/>
  <c r="AI204" i="87" s="1"/>
  <c r="AI175" i="87"/>
  <c r="AI174" i="87" s="1"/>
  <c r="AM105" i="87"/>
  <c r="AK352" i="86"/>
  <c r="AO352" i="86" s="1"/>
  <c r="AO353" i="86"/>
  <c r="AK171" i="86"/>
  <c r="AJ177" i="86"/>
  <c r="AO177" i="86" s="1"/>
  <c r="AO178" i="86"/>
  <c r="AJ150" i="86"/>
  <c r="AO151" i="86"/>
  <c r="AJ119" i="86"/>
  <c r="AO121" i="86"/>
  <c r="AJ101" i="86"/>
  <c r="AO101" i="86" s="1"/>
  <c r="AO104" i="86"/>
  <c r="U246" i="86"/>
  <c r="G22" i="80"/>
  <c r="AM431" i="87"/>
  <c r="AP431" i="87" s="1"/>
  <c r="AP433" i="87"/>
  <c r="AO10" i="86"/>
  <c r="AG416" i="87"/>
  <c r="AI417" i="87"/>
  <c r="AI416" i="87" s="1"/>
  <c r="AK48" i="87"/>
  <c r="AP49" i="87"/>
  <c r="AI65" i="87"/>
  <c r="AO299" i="86"/>
  <c r="AL295" i="86"/>
  <c r="AO291" i="86"/>
  <c r="AM288" i="86"/>
  <c r="AM265" i="86" s="1"/>
  <c r="AO89" i="86"/>
  <c r="AJ317" i="86"/>
  <c r="AP22" i="87"/>
  <c r="AK229" i="87"/>
  <c r="AP231" i="87"/>
  <c r="AM65" i="87"/>
  <c r="AP66" i="87"/>
  <c r="AL288" i="86"/>
  <c r="AO288" i="86" s="1"/>
  <c r="AO289" i="86"/>
  <c r="AC137" i="86"/>
  <c r="AC136" i="86" s="1"/>
  <c r="AF138" i="86"/>
  <c r="AF137" i="86" s="1"/>
  <c r="AF136" i="86" s="1"/>
  <c r="AF280" i="86"/>
  <c r="AK281" i="86"/>
  <c r="AH281" i="86"/>
  <c r="AH280" i="86" s="1"/>
  <c r="AM362" i="86"/>
  <c r="AM361" i="86" s="1"/>
  <c r="AM360" i="86" s="1"/>
  <c r="AL87" i="86"/>
  <c r="AH87" i="86"/>
  <c r="AN87" i="86" s="1"/>
  <c r="AN85" i="86" s="1"/>
  <c r="AN45" i="86" s="1"/>
  <c r="AN44" i="86" s="1"/>
  <c r="AN8" i="86" s="1"/>
  <c r="AM87" i="86"/>
  <c r="AM85" i="86" s="1"/>
  <c r="AG376" i="87"/>
  <c r="AI376" i="87" s="1"/>
  <c r="AN377" i="87"/>
  <c r="AI377" i="87"/>
  <c r="AF362" i="86"/>
  <c r="AJ59" i="86"/>
  <c r="AO59" i="86" s="1"/>
  <c r="AO61" i="86"/>
  <c r="AM55" i="87"/>
  <c r="AO60" i="86"/>
  <c r="AK59" i="86"/>
  <c r="AK45" i="86" s="1"/>
  <c r="AK295" i="87"/>
  <c r="AL295" i="87"/>
  <c r="AL294" i="87" s="1"/>
  <c r="AI295" i="87"/>
  <c r="AI294" i="87" s="1"/>
  <c r="AG294" i="87"/>
  <c r="AO92" i="86"/>
  <c r="AL145" i="86"/>
  <c r="AL137" i="86" s="1"/>
  <c r="AM118" i="86"/>
  <c r="AL16" i="86"/>
  <c r="AK34" i="86"/>
  <c r="AK33" i="86" s="1"/>
  <c r="AK32" i="86" s="1"/>
  <c r="AF33" i="86"/>
  <c r="AF32" i="86" s="1"/>
  <c r="AJ34" i="86"/>
  <c r="AH34" i="86"/>
  <c r="AH33" i="86" s="1"/>
  <c r="AH32" i="86" s="1"/>
  <c r="AO241" i="86"/>
  <c r="AO321" i="86"/>
  <c r="AO328" i="86"/>
  <c r="AH362" i="86"/>
  <c r="AH361" i="86" s="1"/>
  <c r="AP40" i="87"/>
  <c r="AK36" i="87"/>
  <c r="AH235" i="86"/>
  <c r="AH213" i="86" s="1"/>
  <c r="AP200" i="87"/>
  <c r="AI41" i="87"/>
  <c r="AP310" i="87"/>
  <c r="AL309" i="87"/>
  <c r="AK168" i="86"/>
  <c r="AK166" i="86" s="1"/>
  <c r="AK165" i="86" s="1"/>
  <c r="AK158" i="86" s="1"/>
  <c r="AJ168" i="86"/>
  <c r="AF166" i="86"/>
  <c r="AH168" i="86"/>
  <c r="AH166" i="86" s="1"/>
  <c r="AO224" i="86"/>
  <c r="AH348" i="86"/>
  <c r="AM136" i="86"/>
  <c r="AO357" i="86"/>
  <c r="AH29" i="86"/>
  <c r="AO355" i="86"/>
  <c r="AO236" i="86"/>
  <c r="AO246" i="86"/>
  <c r="AN402" i="87"/>
  <c r="AN401" i="87" s="1"/>
  <c r="AN400" i="87" s="1"/>
  <c r="AP427" i="87"/>
  <c r="AP372" i="87"/>
  <c r="AM371" i="87"/>
  <c r="AP371" i="87" s="1"/>
  <c r="AF40" i="86"/>
  <c r="AH41" i="86"/>
  <c r="AH40" i="86" s="1"/>
  <c r="AK10" i="87"/>
  <c r="AP11" i="87"/>
  <c r="AI80" i="87"/>
  <c r="AM328" i="87"/>
  <c r="AP328" i="87" s="1"/>
  <c r="AP254" i="87"/>
  <c r="AL252" i="87"/>
  <c r="AP252" i="87" s="1"/>
  <c r="AJ214" i="86"/>
  <c r="AO215" i="86"/>
  <c r="AO350" i="86"/>
  <c r="AK349" i="86"/>
  <c r="AO260" i="86"/>
  <c r="AM259" i="86"/>
  <c r="AO259" i="86" s="1"/>
  <c r="AH136" i="86"/>
  <c r="AN330" i="86"/>
  <c r="AN320" i="86" s="1"/>
  <c r="AN318" i="86" s="1"/>
  <c r="AN317" i="86" s="1"/>
  <c r="AM330" i="86"/>
  <c r="AM320" i="86" s="1"/>
  <c r="AM318" i="86" s="1"/>
  <c r="AM317" i="86" s="1"/>
  <c r="AL330" i="86"/>
  <c r="AH330" i="86"/>
  <c r="AH320" i="86" s="1"/>
  <c r="AH318" i="86" s="1"/>
  <c r="AH317" i="86" s="1"/>
  <c r="AG7" i="86"/>
  <c r="AG1" i="86" s="1"/>
  <c r="AG3" i="86" s="1"/>
  <c r="AK357" i="87"/>
  <c r="AO322" i="86"/>
  <c r="AO127" i="86"/>
  <c r="AO146" i="86"/>
  <c r="AJ145" i="86"/>
  <c r="AO145" i="86" s="1"/>
  <c r="AO225" i="86"/>
  <c r="AO304" i="87"/>
  <c r="AL392" i="87"/>
  <c r="AH16" i="86"/>
  <c r="F7" i="73"/>
  <c r="G7" i="73" s="1"/>
  <c r="G8" i="73"/>
  <c r="AF109" i="86"/>
  <c r="AJ111" i="86"/>
  <c r="AH111" i="86"/>
  <c r="AH109" i="86" s="1"/>
  <c r="AK310" i="86"/>
  <c r="AO311" i="86"/>
  <c r="AO126" i="86"/>
  <c r="AK145" i="86"/>
  <c r="AK137" i="86" s="1"/>
  <c r="AH269" i="86"/>
  <c r="AH266" i="86" s="1"/>
  <c r="AP38" i="87"/>
  <c r="AM36" i="87"/>
  <c r="AM35" i="87" s="1"/>
  <c r="AP394" i="87"/>
  <c r="AL300" i="87"/>
  <c r="AP300" i="87" s="1"/>
  <c r="AP301" i="87"/>
  <c r="AL47" i="87"/>
  <c r="AM320" i="87"/>
  <c r="AM305" i="87" s="1"/>
  <c r="AK256" i="86"/>
  <c r="AO256" i="86" s="1"/>
  <c r="AO257" i="86"/>
  <c r="AF331" i="86"/>
  <c r="AF318" i="86" s="1"/>
  <c r="AF317" i="86" s="1"/>
  <c r="AL332" i="86"/>
  <c r="AH332" i="86"/>
  <c r="AH331" i="86" s="1"/>
  <c r="AJ254" i="86"/>
  <c r="AO254" i="86" s="1"/>
  <c r="AO255" i="86"/>
  <c r="AK269" i="86"/>
  <c r="AO270" i="86"/>
  <c r="AJ204" i="86"/>
  <c r="AO204" i="86" s="1"/>
  <c r="AO205" i="86"/>
  <c r="AM392" i="87"/>
  <c r="AM388" i="87" s="1"/>
  <c r="AN288" i="87"/>
  <c r="AN287" i="87" s="1"/>
  <c r="AN265" i="87" s="1"/>
  <c r="AM288" i="87"/>
  <c r="AM287" i="87" s="1"/>
  <c r="AM265" i="87" s="1"/>
  <c r="AG287" i="87"/>
  <c r="AG265" i="87" s="1"/>
  <c r="AO288" i="87"/>
  <c r="AO287" i="87" s="1"/>
  <c r="AL288" i="87"/>
  <c r="AI288" i="87"/>
  <c r="AI287" i="87" s="1"/>
  <c r="AP415" i="87"/>
  <c r="AP43" i="87"/>
  <c r="AL320" i="87"/>
  <c r="AP320" i="87" s="1"/>
  <c r="AO219" i="86"/>
  <c r="AO327" i="86"/>
  <c r="AG431" i="87"/>
  <c r="AN392" i="87"/>
  <c r="AN388" i="87" s="1"/>
  <c r="AK101" i="86"/>
  <c r="AP41" i="87"/>
  <c r="AG28" i="87"/>
  <c r="AL31" i="87"/>
  <c r="AI31" i="87"/>
  <c r="AI28" i="87" s="1"/>
  <c r="AL241" i="87"/>
  <c r="AL228" i="87" s="1"/>
  <c r="AP247" i="87"/>
  <c r="AK249" i="86"/>
  <c r="AK248" i="86" s="1"/>
  <c r="AJ249" i="86"/>
  <c r="AH249" i="86"/>
  <c r="AH248" i="86" s="1"/>
  <c r="AF248" i="86"/>
  <c r="AO35" i="86"/>
  <c r="AL33" i="86"/>
  <c r="AL32" i="86" s="1"/>
  <c r="AH217" i="86"/>
  <c r="AK98" i="86"/>
  <c r="AO99" i="86"/>
  <c r="AL152" i="86"/>
  <c r="AL150" i="86" s="1"/>
  <c r="AI431" i="87"/>
  <c r="AP369" i="87"/>
  <c r="AO392" i="87"/>
  <c r="AO388" i="87" s="1"/>
  <c r="AP362" i="87"/>
  <c r="AP39" i="87"/>
  <c r="AL36" i="87"/>
  <c r="AL35" i="87" s="1"/>
  <c r="AL44" i="87"/>
  <c r="AP44" i="87" s="1"/>
  <c r="AP45" i="87"/>
  <c r="AM139" i="87"/>
  <c r="AN218" i="87"/>
  <c r="AN216" i="87" s="1"/>
  <c r="AN175" i="87" s="1"/>
  <c r="AM218" i="87"/>
  <c r="AM216" i="87" s="1"/>
  <c r="AM175" i="87" s="1"/>
  <c r="AM174" i="87" s="1"/>
  <c r="AL218" i="87"/>
  <c r="AL216" i="87" s="1"/>
  <c r="AK218" i="87"/>
  <c r="AI218" i="87"/>
  <c r="AO218" i="87"/>
  <c r="AO216" i="87" s="1"/>
  <c r="AO175" i="87" s="1"/>
  <c r="AG216" i="87"/>
  <c r="AI216" i="87" s="1"/>
  <c r="AN245" i="86"/>
  <c r="AN244" i="86" s="1"/>
  <c r="AN235" i="86" s="1"/>
  <c r="AM245" i="86"/>
  <c r="AM244" i="86" s="1"/>
  <c r="AM235" i="86" s="1"/>
  <c r="AL245" i="86"/>
  <c r="AL244" i="86" s="1"/>
  <c r="AL235" i="86" s="1"/>
  <c r="AK245" i="86"/>
  <c r="AH245" i="86"/>
  <c r="AH244" i="86" s="1"/>
  <c r="AF244" i="86"/>
  <c r="AF235" i="86" s="1"/>
  <c r="AF213" i="86" s="1"/>
  <c r="AF388" i="86"/>
  <c r="AH389" i="86"/>
  <c r="AH388" i="86" s="1"/>
  <c r="AP313" i="87"/>
  <c r="AO31" i="86"/>
  <c r="AL29" i="86"/>
  <c r="AO337" i="86"/>
  <c r="AM336" i="86"/>
  <c r="AO336" i="86" s="1"/>
  <c r="AO364" i="86"/>
  <c r="AL315" i="86"/>
  <c r="AO315" i="86" s="1"/>
  <c r="AH315" i="86"/>
  <c r="AH310" i="86" s="1"/>
  <c r="AH305" i="86" s="1"/>
  <c r="AO37" i="86"/>
  <c r="AK217" i="86"/>
  <c r="AO218" i="86"/>
  <c r="AO72" i="86"/>
  <c r="AG404" i="87"/>
  <c r="AG402" i="87" s="1"/>
  <c r="AG401" i="87" s="1"/>
  <c r="AG400" i="87" s="1"/>
  <c r="AI405" i="87"/>
  <c r="AI404" i="87" s="1"/>
  <c r="AI402" i="87" s="1"/>
  <c r="AI401" i="87" s="1"/>
  <c r="AI400" i="87" s="1"/>
  <c r="AG155" i="87"/>
  <c r="AI157" i="87"/>
  <c r="AO142" i="86"/>
  <c r="AJ141" i="86"/>
  <c r="AJ47" i="86"/>
  <c r="AO48" i="86"/>
  <c r="AO153" i="86"/>
  <c r="AK152" i="86"/>
  <c r="AO220" i="86"/>
  <c r="AK306" i="86"/>
  <c r="AO307" i="86"/>
  <c r="AO387" i="86"/>
  <c r="AJ379" i="86"/>
  <c r="AO379" i="86" s="1"/>
  <c r="AO75" i="86"/>
  <c r="AL217" i="86"/>
  <c r="AO71" i="86"/>
  <c r="AF128" i="86"/>
  <c r="AF126" i="86" s="1"/>
  <c r="AH126" i="86" s="1"/>
  <c r="AH118" i="86" s="1"/>
  <c r="AC126" i="86"/>
  <c r="AC118" i="86" s="1"/>
  <c r="AC8" i="86" s="1"/>
  <c r="AD402" i="87"/>
  <c r="AD401" i="87" s="1"/>
  <c r="AD400" i="87" s="1"/>
  <c r="AL389" i="87"/>
  <c r="AP390" i="87"/>
  <c r="AG144" i="87"/>
  <c r="AG140" i="87" s="1"/>
  <c r="AG139" i="87" s="1"/>
  <c r="AK145" i="87"/>
  <c r="AI145" i="87"/>
  <c r="AI144" i="87" s="1"/>
  <c r="AL267" i="87"/>
  <c r="AG266" i="87"/>
  <c r="AI266" i="87" s="1"/>
  <c r="AL266" i="87" s="1"/>
  <c r="AK267" i="87"/>
  <c r="AP267" i="87" s="1"/>
  <c r="AI267" i="87"/>
  <c r="AG73" i="87"/>
  <c r="AG72" i="87" s="1"/>
  <c r="AI74" i="87"/>
  <c r="AI73" i="87" s="1"/>
  <c r="AI72" i="87" s="1"/>
  <c r="AG304" i="87"/>
  <c r="AI265" i="87"/>
  <c r="AJ171" i="86"/>
  <c r="AO171" i="86" s="1"/>
  <c r="AO172" i="86"/>
  <c r="AN226" i="86"/>
  <c r="AN222" i="86" s="1"/>
  <c r="AM226" i="86"/>
  <c r="AM222" i="86" s="1"/>
  <c r="AL226" i="86"/>
  <c r="AL222" i="86" s="1"/>
  <c r="AK226" i="86"/>
  <c r="AH226" i="86"/>
  <c r="AH222" i="86" s="1"/>
  <c r="AO294" i="86"/>
  <c r="AN288" i="86"/>
  <c r="AN265" i="86" s="1"/>
  <c r="AF228" i="86"/>
  <c r="AH229" i="86"/>
  <c r="AH228" i="86" s="1"/>
  <c r="AO323" i="86"/>
  <c r="AO186" i="86"/>
  <c r="AF171" i="86"/>
  <c r="AM217" i="86"/>
  <c r="AO81" i="86"/>
  <c r="AM70" i="86"/>
  <c r="AO70" i="86" s="1"/>
  <c r="AM345" i="87"/>
  <c r="AL346" i="87"/>
  <c r="AP347" i="87"/>
  <c r="AG68" i="87"/>
  <c r="AI68" i="87" s="1"/>
  <c r="AM69" i="87"/>
  <c r="AI69" i="87"/>
  <c r="AI304" i="87"/>
  <c r="AG92" i="87"/>
  <c r="AG191" i="87"/>
  <c r="AG189" i="87" s="1"/>
  <c r="AG175" i="87" s="1"/>
  <c r="AL192" i="87"/>
  <c r="AL191" i="87" s="1"/>
  <c r="AL189" i="87" s="1"/>
  <c r="AK192" i="87"/>
  <c r="AI192" i="87"/>
  <c r="AI191" i="87" s="1"/>
  <c r="AI189" i="87" s="1"/>
  <c r="A61" i="96"/>
  <c r="A62" i="96" s="1"/>
  <c r="A63" i="96" s="1"/>
  <c r="A64" i="96" s="1"/>
  <c r="Z341" i="9"/>
  <c r="AF196" i="86"/>
  <c r="AF195" i="86" s="1"/>
  <c r="AF157" i="86" s="1"/>
  <c r="AN197" i="86"/>
  <c r="AN196" i="86" s="1"/>
  <c r="AN195" i="86" s="1"/>
  <c r="AM197" i="86"/>
  <c r="AM196" i="86" s="1"/>
  <c r="AM195" i="86" s="1"/>
  <c r="AL197" i="86"/>
  <c r="AL196" i="86" s="1"/>
  <c r="AL195" i="86" s="1"/>
  <c r="AK197" i="86"/>
  <c r="AK196" i="86" s="1"/>
  <c r="AJ197" i="86"/>
  <c r="AH197" i="86"/>
  <c r="AH196" i="86" s="1"/>
  <c r="AH195" i="86" s="1"/>
  <c r="AH157" i="86" s="1"/>
  <c r="AH288" i="86"/>
  <c r="AC213" i="86"/>
  <c r="AC157" i="86" s="1"/>
  <c r="AD157" i="86" s="1"/>
  <c r="AO113" i="86"/>
  <c r="AK112" i="86"/>
  <c r="AO185" i="86"/>
  <c r="AO285" i="86"/>
  <c r="AO356" i="86"/>
  <c r="AN217" i="86"/>
  <c r="AP396" i="87"/>
  <c r="AP363" i="87"/>
  <c r="AN65" i="87"/>
  <c r="AP67" i="87"/>
  <c r="AO93" i="86"/>
  <c r="AG11" i="87"/>
  <c r="AG10" i="87" s="1"/>
  <c r="AI12" i="87"/>
  <c r="AI11" i="87" s="1"/>
  <c r="H7" i="73"/>
  <c r="CP445" i="9"/>
  <c r="CE444" i="9"/>
  <c r="CE441" i="9" s="1"/>
  <c r="CE440" i="9" s="1"/>
  <c r="CE439" i="9" s="1"/>
  <c r="CH444" i="9"/>
  <c r="CH441" i="9" s="1"/>
  <c r="CH440" i="9" s="1"/>
  <c r="CH439" i="9" s="1"/>
  <c r="CK444" i="9"/>
  <c r="CK441" i="9" s="1"/>
  <c r="CK440" i="9" s="1"/>
  <c r="CK439" i="9" s="1"/>
  <c r="CO378" i="9"/>
  <c r="CN378" i="9"/>
  <c r="CN370" i="9" s="1"/>
  <c r="CN369" i="9" s="1"/>
  <c r="CS382" i="9"/>
  <c r="DD385" i="9"/>
  <c r="CB409" i="9"/>
  <c r="DJ409" i="9" s="1"/>
  <c r="DL409" i="9" s="1"/>
  <c r="BR407" i="9"/>
  <c r="BR406" i="9" s="1"/>
  <c r="BR405" i="9" s="1"/>
  <c r="BT407" i="9"/>
  <c r="BZ398" i="9"/>
  <c r="CB398" i="9" s="1"/>
  <c r="G138" i="115" s="1"/>
  <c r="BV407" i="9"/>
  <c r="BV406" i="9" s="1"/>
  <c r="BV405" i="9" s="1"/>
  <c r="BY406" i="9"/>
  <c r="BY405" i="9" s="1"/>
  <c r="BS407" i="9"/>
  <c r="F69" i="89"/>
  <c r="F67" i="89" s="1"/>
  <c r="CP398" i="9"/>
  <c r="H138" i="115" s="1"/>
  <c r="CP401" i="9"/>
  <c r="DJ401" i="9" s="1"/>
  <c r="DL401" i="9" s="1"/>
  <c r="CD378" i="9"/>
  <c r="CA378" i="9"/>
  <c r="BS411" i="9"/>
  <c r="CB416" i="9"/>
  <c r="DJ416" i="9" s="1"/>
  <c r="DL416" i="9" s="1"/>
  <c r="CX350" i="9"/>
  <c r="CX349" i="9" s="1"/>
  <c r="CX325" i="9" s="1"/>
  <c r="CI350" i="9"/>
  <c r="CI349" i="9" s="1"/>
  <c r="AL349" i="9"/>
  <c r="AN349" i="9" s="1"/>
  <c r="C38" i="94" s="1"/>
  <c r="EE530" i="9"/>
  <c r="DS530" i="9" s="1"/>
  <c r="DU530" i="9" s="1"/>
  <c r="AN350" i="9"/>
  <c r="BT411" i="9"/>
  <c r="F71" i="89"/>
  <c r="F70" i="89"/>
  <c r="BZ350" i="9"/>
  <c r="BZ349" i="9" s="1"/>
  <c r="CB349" i="9" s="1"/>
  <c r="CM350" i="9"/>
  <c r="CM349" i="9" s="1"/>
  <c r="CM325" i="9" s="1"/>
  <c r="CE350" i="9"/>
  <c r="CE349" i="9" s="1"/>
  <c r="BN411" i="9"/>
  <c r="DL374" i="9"/>
  <c r="F81" i="89"/>
  <c r="F79" i="89" s="1"/>
  <c r="L193" i="80"/>
  <c r="G193" i="80" s="1"/>
  <c r="L199" i="80"/>
  <c r="G199" i="80" s="1"/>
  <c r="L198" i="80"/>
  <c r="G198" i="80" s="1"/>
  <c r="EH491" i="9"/>
  <c r="EI491" i="9" s="1"/>
  <c r="EJ491" i="9"/>
  <c r="AU368" i="9"/>
  <c r="CP381" i="9"/>
  <c r="CU370" i="9"/>
  <c r="CU369" i="9" s="1"/>
  <c r="CU368" i="9" s="1"/>
  <c r="CP418" i="9"/>
  <c r="AL343" i="9"/>
  <c r="AL342" i="9" s="1"/>
  <c r="AN342" i="9" s="1"/>
  <c r="CI358" i="9"/>
  <c r="EE474" i="9"/>
  <c r="EG474" i="9" s="1"/>
  <c r="DX561" i="9"/>
  <c r="EA561" i="9" s="1"/>
  <c r="EE461" i="9"/>
  <c r="EG461" i="9" s="1"/>
  <c r="BD368" i="9"/>
  <c r="C17" i="79"/>
  <c r="AY368" i="9"/>
  <c r="CT370" i="9"/>
  <c r="CT369" i="9" s="1"/>
  <c r="J88" i="66"/>
  <c r="D88" i="66" s="1"/>
  <c r="F89" i="89"/>
  <c r="F86" i="89" s="1"/>
  <c r="F62" i="89"/>
  <c r="F61" i="89" s="1"/>
  <c r="I145" i="114"/>
  <c r="CI411" i="9"/>
  <c r="CI406" i="9" s="1"/>
  <c r="CI405" i="9" s="1"/>
  <c r="C14" i="79"/>
  <c r="C22" i="79" s="1"/>
  <c r="F92" i="89"/>
  <c r="F91" i="89" s="1"/>
  <c r="J26" i="66"/>
  <c r="I216" i="114"/>
  <c r="K110" i="80"/>
  <c r="G110" i="80" s="1"/>
  <c r="J19" i="65"/>
  <c r="D19" i="65" s="1"/>
  <c r="D20" i="65" s="1"/>
  <c r="DD363" i="9"/>
  <c r="J29" i="101"/>
  <c r="DJ403" i="9"/>
  <c r="DX589" i="9" s="1"/>
  <c r="J24" i="66"/>
  <c r="DY459" i="9"/>
  <c r="EA459" i="9" s="1"/>
  <c r="CA359" i="9"/>
  <c r="CB359" i="9" s="1"/>
  <c r="DX529" i="9"/>
  <c r="EA529" i="9" s="1"/>
  <c r="DG368" i="9"/>
  <c r="DL372" i="9"/>
  <c r="CH424" i="9"/>
  <c r="DD429" i="9"/>
  <c r="CE424" i="9"/>
  <c r="CK424" i="9"/>
  <c r="BS422" i="9"/>
  <c r="BS421" i="9" s="1"/>
  <c r="CY424" i="9"/>
  <c r="DI406" i="9"/>
  <c r="DI405" i="9" s="1"/>
  <c r="CP417" i="9"/>
  <c r="BM325" i="9"/>
  <c r="DY521" i="9"/>
  <c r="DS521" i="9" s="1"/>
  <c r="DS523" i="9" s="1"/>
  <c r="AI421" i="9"/>
  <c r="J34" i="84" s="1"/>
  <c r="O34" i="84" s="1"/>
  <c r="K151" i="80"/>
  <c r="CA411" i="9"/>
  <c r="CA406" i="9" s="1"/>
  <c r="CA405" i="9" s="1"/>
  <c r="CP393" i="9"/>
  <c r="CP397" i="9"/>
  <c r="BN329" i="9"/>
  <c r="CW358" i="9"/>
  <c r="BN358" i="9"/>
  <c r="DZ460" i="9"/>
  <c r="EA460" i="9" s="1"/>
  <c r="BK325" i="9"/>
  <c r="D223" i="80"/>
  <c r="F172" i="89"/>
  <c r="F171" i="89" s="1"/>
  <c r="F167" i="89" s="1"/>
  <c r="BV369" i="9"/>
  <c r="BE368" i="9"/>
  <c r="CP431" i="9"/>
  <c r="CF444" i="9"/>
  <c r="CF441" i="9" s="1"/>
  <c r="F128" i="89"/>
  <c r="F127" i="89" s="1"/>
  <c r="J28" i="66"/>
  <c r="J33" i="101"/>
  <c r="K134" i="80"/>
  <c r="BN388" i="9"/>
  <c r="EK486" i="9"/>
  <c r="EM486" i="9" s="1"/>
  <c r="L188" i="80"/>
  <c r="G188" i="80" s="1"/>
  <c r="DJ389" i="9"/>
  <c r="DL389" i="9" s="1"/>
  <c r="CJ382" i="9"/>
  <c r="CJ370" i="9" s="1"/>
  <c r="CJ369" i="9" s="1"/>
  <c r="BG368" i="9"/>
  <c r="AX368" i="9"/>
  <c r="J132" i="101"/>
  <c r="D132" i="101" s="1"/>
  <c r="K123" i="80"/>
  <c r="G122" i="80" s="1"/>
  <c r="J90" i="66"/>
  <c r="D90" i="66" s="1"/>
  <c r="AM368" i="9"/>
  <c r="CB417" i="9"/>
  <c r="AI406" i="9"/>
  <c r="DL414" i="9"/>
  <c r="BN412" i="9"/>
  <c r="CP448" i="9"/>
  <c r="CP446" i="9"/>
  <c r="AV368" i="9"/>
  <c r="K150" i="80"/>
  <c r="DD427" i="9"/>
  <c r="DD431" i="9"/>
  <c r="DD432" i="9"/>
  <c r="DD436" i="9"/>
  <c r="EP491" i="9"/>
  <c r="EQ491" i="9" s="1"/>
  <c r="DR499" i="9"/>
  <c r="DR508" i="9" s="1"/>
  <c r="EB466" i="9"/>
  <c r="ED466" i="9" s="1"/>
  <c r="EH466" i="9"/>
  <c r="EJ466" i="9" s="1"/>
  <c r="DZ490" i="9"/>
  <c r="EA490" i="9" s="1"/>
  <c r="J24" i="101"/>
  <c r="D23" i="101" s="1"/>
  <c r="BH368" i="9"/>
  <c r="DH368" i="9"/>
  <c r="CB363" i="9"/>
  <c r="CO359" i="9"/>
  <c r="CO358" i="9" s="1"/>
  <c r="CS359" i="9"/>
  <c r="DD359" i="9" s="1"/>
  <c r="BG328" i="9"/>
  <c r="BG325" i="9" s="1"/>
  <c r="AN359" i="9"/>
  <c r="C39" i="94" s="1"/>
  <c r="CP363" i="9"/>
  <c r="AN329" i="9"/>
  <c r="BJ368" i="9"/>
  <c r="BX369" i="9"/>
  <c r="DV472" i="9"/>
  <c r="DX472" i="9" s="1"/>
  <c r="DV518" i="9"/>
  <c r="EA518" i="9" s="1"/>
  <c r="AQ368" i="9"/>
  <c r="DV463" i="9"/>
  <c r="DX463" i="9" s="1"/>
  <c r="CP430" i="9"/>
  <c r="CP434" i="9"/>
  <c r="F148" i="89"/>
  <c r="F146" i="89" s="1"/>
  <c r="F141" i="89" s="1"/>
  <c r="DD433" i="9"/>
  <c r="J22" i="101"/>
  <c r="D22" i="101" s="1"/>
  <c r="DZ491" i="9"/>
  <c r="CP427" i="9"/>
  <c r="CJ444" i="9"/>
  <c r="BM369" i="9"/>
  <c r="BM368" i="9" s="1"/>
  <c r="BB368" i="9"/>
  <c r="BN7" i="9"/>
  <c r="AR368" i="9"/>
  <c r="CB345" i="9"/>
  <c r="I135" i="114"/>
  <c r="I74" i="114" s="1"/>
  <c r="CP346" i="9"/>
  <c r="CP433" i="9"/>
  <c r="BN387" i="9"/>
  <c r="BN370" i="9" s="1"/>
  <c r="F132" i="115" s="1"/>
  <c r="CW444" i="9"/>
  <c r="CW441" i="9" s="1"/>
  <c r="CW440" i="9" s="1"/>
  <c r="CW439" i="9" s="1"/>
  <c r="CW368" i="9" s="1"/>
  <c r="DI370" i="9"/>
  <c r="J132" i="115" s="1"/>
  <c r="J130" i="115" s="1"/>
  <c r="EO488" i="9"/>
  <c r="DJ364" i="9"/>
  <c r="EE590" i="9" s="1"/>
  <c r="EE598" i="9" s="1"/>
  <c r="DD430" i="9"/>
  <c r="CB376" i="9"/>
  <c r="CP387" i="9"/>
  <c r="CP429" i="9"/>
  <c r="J26" i="101"/>
  <c r="D26" i="101" s="1"/>
  <c r="BW369" i="9"/>
  <c r="BT369" i="9"/>
  <c r="EE560" i="9"/>
  <c r="EG560" i="9" s="1"/>
  <c r="BL368" i="9"/>
  <c r="BF368" i="9"/>
  <c r="EA517" i="9"/>
  <c r="J21" i="66"/>
  <c r="D21" i="66" s="1"/>
  <c r="K33" i="80"/>
  <c r="DD447" i="9"/>
  <c r="F197" i="89"/>
  <c r="F196" i="89" s="1"/>
  <c r="F195" i="89" s="1"/>
  <c r="F194" i="89" s="1"/>
  <c r="DY466" i="9"/>
  <c r="EA466" i="9" s="1"/>
  <c r="CB388" i="9"/>
  <c r="BS387" i="9"/>
  <c r="BS370" i="9" s="1"/>
  <c r="BS369" i="9" s="1"/>
  <c r="DD434" i="9"/>
  <c r="CP428" i="9"/>
  <c r="DV465" i="9"/>
  <c r="DY536" i="9"/>
  <c r="DS536" i="9" s="1"/>
  <c r="DU536" i="9" s="1"/>
  <c r="BU370" i="9"/>
  <c r="BU369" i="9" s="1"/>
  <c r="BC368" i="9"/>
  <c r="CB402" i="9"/>
  <c r="DJ402" i="9" s="1"/>
  <c r="DL402" i="9" s="1"/>
  <c r="J31" i="101"/>
  <c r="BZ382" i="9"/>
  <c r="CP376" i="9"/>
  <c r="CP390" i="9"/>
  <c r="CA382" i="9"/>
  <c r="EB491" i="9"/>
  <c r="EE491" i="9" s="1"/>
  <c r="BZ444" i="9"/>
  <c r="BZ441" i="9" s="1"/>
  <c r="BZ440" i="9" s="1"/>
  <c r="BZ439" i="9" s="1"/>
  <c r="BQ370" i="9"/>
  <c r="BQ369" i="9" s="1"/>
  <c r="EH490" i="9"/>
  <c r="CM382" i="9"/>
  <c r="CM370" i="9" s="1"/>
  <c r="CM369" i="9" s="1"/>
  <c r="ED490" i="9"/>
  <c r="EH487" i="9"/>
  <c r="EI487" i="9" s="1"/>
  <c r="EF460" i="9"/>
  <c r="EG460" i="9" s="1"/>
  <c r="AI405" i="9"/>
  <c r="J31" i="84" s="1"/>
  <c r="L31" i="84" s="1"/>
  <c r="Q31" i="84" s="1"/>
  <c r="J93" i="66"/>
  <c r="D93" i="66" s="1"/>
  <c r="DL437" i="9"/>
  <c r="CP435" i="9"/>
  <c r="DF444" i="9"/>
  <c r="DF441" i="9" s="1"/>
  <c r="J135" i="101"/>
  <c r="D135" i="101" s="1"/>
  <c r="CM444" i="9"/>
  <c r="CM441" i="9" s="1"/>
  <c r="CM440" i="9" s="1"/>
  <c r="CM439" i="9" s="1"/>
  <c r="CV424" i="9"/>
  <c r="CB412" i="9"/>
  <c r="DY537" i="9"/>
  <c r="EO489" i="9"/>
  <c r="DC368" i="9"/>
  <c r="I204" i="114"/>
  <c r="I203" i="114" s="1"/>
  <c r="AL378" i="9"/>
  <c r="AN378" i="9" s="1"/>
  <c r="BN398" i="9"/>
  <c r="F138" i="115" s="1"/>
  <c r="AT368" i="9"/>
  <c r="CZ424" i="9"/>
  <c r="CB390" i="9"/>
  <c r="BY387" i="9"/>
  <c r="EH475" i="9"/>
  <c r="EJ475" i="9" s="1"/>
  <c r="J59" i="96"/>
  <c r="D59" i="96" s="1"/>
  <c r="DD361" i="9"/>
  <c r="CP361" i="9"/>
  <c r="AL356" i="9"/>
  <c r="AN356" i="9" s="1"/>
  <c r="CP347" i="9"/>
  <c r="J7" i="95"/>
  <c r="D7" i="95" s="1"/>
  <c r="D8" i="95" s="1"/>
  <c r="B7" i="94" s="1"/>
  <c r="CP345" i="9"/>
  <c r="DT489" i="9"/>
  <c r="DT493" i="9" s="1"/>
  <c r="I165" i="114"/>
  <c r="I164" i="114" s="1"/>
  <c r="J102" i="101"/>
  <c r="D102" i="101" s="1"/>
  <c r="J82" i="66"/>
  <c r="D82" i="66" s="1"/>
  <c r="DW520" i="9"/>
  <c r="DQ520" i="9" s="1"/>
  <c r="DU520" i="9" s="1"/>
  <c r="F52" i="89"/>
  <c r="F50" i="89" s="1"/>
  <c r="EN489" i="9"/>
  <c r="D10" i="100"/>
  <c r="EA574" i="9"/>
  <c r="DS581" i="9"/>
  <c r="DU581" i="9" s="1"/>
  <c r="DX508" i="9"/>
  <c r="I15" i="114"/>
  <c r="DU515" i="9"/>
  <c r="DS464" i="9"/>
  <c r="DS468" i="9" s="1"/>
  <c r="J16" i="66"/>
  <c r="D16" i="66" s="1"/>
  <c r="EA503" i="9"/>
  <c r="EA522" i="9"/>
  <c r="EG545" i="9"/>
  <c r="EA506" i="9"/>
  <c r="DY508" i="9"/>
  <c r="DR576" i="9"/>
  <c r="DR583" i="9" s="1"/>
  <c r="F13" i="89"/>
  <c r="F6" i="89" s="1"/>
  <c r="I18" i="114"/>
  <c r="DT538" i="9"/>
  <c r="DU506" i="9"/>
  <c r="DU463" i="9"/>
  <c r="EA559" i="9"/>
  <c r="DT523" i="9"/>
  <c r="EA551" i="9"/>
  <c r="DX583" i="9"/>
  <c r="DU551" i="9"/>
  <c r="DU517" i="9"/>
  <c r="EA544" i="9"/>
  <c r="DS507" i="9"/>
  <c r="DU507" i="9" s="1"/>
  <c r="DU465" i="9"/>
  <c r="CT441" i="9"/>
  <c r="CT440" i="9" s="1"/>
  <c r="CT439" i="9" s="1"/>
  <c r="DD443" i="9"/>
  <c r="EH464" i="9"/>
  <c r="EJ464" i="9" s="1"/>
  <c r="L162" i="80"/>
  <c r="J7" i="101"/>
  <c r="J7" i="66"/>
  <c r="J65" i="66"/>
  <c r="D65" i="66" s="1"/>
  <c r="DW475" i="9"/>
  <c r="DJ356" i="9"/>
  <c r="CS444" i="9"/>
  <c r="DD446" i="9"/>
  <c r="I268" i="114"/>
  <c r="AZ441" i="9"/>
  <c r="CJ407" i="9"/>
  <c r="CJ406" i="9" s="1"/>
  <c r="CJ405" i="9" s="1"/>
  <c r="CP410" i="9"/>
  <c r="CB425" i="9"/>
  <c r="BY424" i="9"/>
  <c r="BY422" i="9" s="1"/>
  <c r="BR370" i="9"/>
  <c r="BR369" i="9" s="1"/>
  <c r="CR378" i="9"/>
  <c r="DD381" i="9"/>
  <c r="DQ502" i="9"/>
  <c r="DU502" i="9" s="1"/>
  <c r="AZ370" i="9"/>
  <c r="J27" i="66"/>
  <c r="J32" i="101"/>
  <c r="I244" i="114"/>
  <c r="AN425" i="9"/>
  <c r="AL424" i="9"/>
  <c r="AN424" i="9" s="1"/>
  <c r="I264" i="114"/>
  <c r="K52" i="80"/>
  <c r="G52" i="80" s="1"/>
  <c r="AI439" i="9"/>
  <c r="J36" i="84" s="1"/>
  <c r="AI440" i="9"/>
  <c r="I261" i="114"/>
  <c r="DA444" i="9"/>
  <c r="DA441" i="9" s="1"/>
  <c r="DA440" i="9" s="1"/>
  <c r="DA439" i="9" s="1"/>
  <c r="DA368" i="9" s="1"/>
  <c r="AP440" i="9"/>
  <c r="AZ440" i="9" s="1"/>
  <c r="AP439" i="9"/>
  <c r="AZ439" i="9" s="1"/>
  <c r="DB424" i="9"/>
  <c r="CE411" i="9"/>
  <c r="CE406" i="9" s="1"/>
  <c r="CE405" i="9" s="1"/>
  <c r="CR382" i="9"/>
  <c r="DD386" i="9"/>
  <c r="DJ386" i="9" s="1"/>
  <c r="DL386" i="9" s="1"/>
  <c r="CS370" i="9"/>
  <c r="CS369" i="9" s="1"/>
  <c r="D232" i="80"/>
  <c r="CS407" i="9"/>
  <c r="DD410" i="9"/>
  <c r="CB408" i="9"/>
  <c r="BQ407" i="9"/>
  <c r="AI340" i="9"/>
  <c r="AI325" i="9" s="1"/>
  <c r="EJ459" i="9"/>
  <c r="BP405" i="9"/>
  <c r="CP426" i="9"/>
  <c r="CO382" i="9"/>
  <c r="BN423" i="9"/>
  <c r="BI422" i="9"/>
  <c r="BX406" i="9"/>
  <c r="BX405" i="9" s="1"/>
  <c r="DD362" i="9"/>
  <c r="CB443" i="9"/>
  <c r="BT441" i="9"/>
  <c r="BT440" i="9" s="1"/>
  <c r="BT439" i="9" s="1"/>
  <c r="J17" i="101"/>
  <c r="J17" i="66"/>
  <c r="F38" i="89"/>
  <c r="F37" i="89" s="1"/>
  <c r="D237" i="80"/>
  <c r="DU472" i="9"/>
  <c r="CP344" i="9"/>
  <c r="DD448" i="9"/>
  <c r="L196" i="80"/>
  <c r="G196" i="80" s="1"/>
  <c r="CD424" i="9"/>
  <c r="CD422" i="9" s="1"/>
  <c r="CP425" i="9"/>
  <c r="CB397" i="9"/>
  <c r="AN423" i="9"/>
  <c r="DJ400" i="9"/>
  <c r="DL400" i="9" s="1"/>
  <c r="BU411" i="9"/>
  <c r="CV370" i="9"/>
  <c r="CV369" i="9" s="1"/>
  <c r="CB383" i="9"/>
  <c r="BY382" i="9"/>
  <c r="F179" i="89"/>
  <c r="F178" i="89" s="1"/>
  <c r="K132" i="80"/>
  <c r="G132" i="80" s="1"/>
  <c r="DL413" i="9"/>
  <c r="I246" i="114"/>
  <c r="DQ505" i="9"/>
  <c r="DU505" i="9" s="1"/>
  <c r="AL407" i="9"/>
  <c r="AN419" i="9"/>
  <c r="DD428" i="9"/>
  <c r="CB379" i="9"/>
  <c r="E135" i="115"/>
  <c r="EH465" i="9"/>
  <c r="CR406" i="9"/>
  <c r="DD411" i="9"/>
  <c r="J49" i="66"/>
  <c r="D49" i="66" s="1"/>
  <c r="CP383" i="9"/>
  <c r="CD382" i="9"/>
  <c r="K43" i="80"/>
  <c r="DW504" i="9"/>
  <c r="DW508" i="9" s="1"/>
  <c r="D225" i="80"/>
  <c r="AL412" i="9"/>
  <c r="DS473" i="9"/>
  <c r="DS477" i="9" s="1"/>
  <c r="EL491" i="9"/>
  <c r="I267" i="114"/>
  <c r="AS368" i="9"/>
  <c r="BK369" i="9"/>
  <c r="BK368" i="9" s="1"/>
  <c r="AL398" i="9"/>
  <c r="AN398" i="9" s="1"/>
  <c r="AN403" i="9"/>
  <c r="BN406" i="9"/>
  <c r="F142" i="115" s="1"/>
  <c r="CK382" i="9"/>
  <c r="CK370" i="9" s="1"/>
  <c r="CK369" i="9" s="1"/>
  <c r="G36" i="80"/>
  <c r="L25" i="80"/>
  <c r="H25" i="80" s="1"/>
  <c r="F9" i="81" s="1"/>
  <c r="I277" i="114"/>
  <c r="EA502" i="9"/>
  <c r="EA501" i="9"/>
  <c r="C15" i="79"/>
  <c r="B15" i="79"/>
  <c r="BN405" i="9"/>
  <c r="AN383" i="9"/>
  <c r="AL382" i="9"/>
  <c r="AN382" i="9" s="1"/>
  <c r="K44" i="80"/>
  <c r="DD426" i="9"/>
  <c r="DU501" i="9"/>
  <c r="I260" i="114"/>
  <c r="DD435" i="9"/>
  <c r="CD405" i="9"/>
  <c r="F44" i="89"/>
  <c r="F43" i="89" s="1"/>
  <c r="E142" i="115"/>
  <c r="J87" i="66"/>
  <c r="D87" i="66" s="1"/>
  <c r="J109" i="101"/>
  <c r="D109" i="101" s="1"/>
  <c r="K56" i="80"/>
  <c r="G56" i="80" s="1"/>
  <c r="CF382" i="9"/>
  <c r="CF370" i="9" s="1"/>
  <c r="CF369" i="9" s="1"/>
  <c r="CB423" i="9"/>
  <c r="D231" i="80"/>
  <c r="AL358" i="9"/>
  <c r="AN358" i="9" s="1"/>
  <c r="I226" i="114"/>
  <c r="D22" i="66"/>
  <c r="J48" i="66"/>
  <c r="D48" i="66" s="1"/>
  <c r="J65" i="101"/>
  <c r="D65" i="101" s="1"/>
  <c r="I210" i="114"/>
  <c r="I209" i="114" s="1"/>
  <c r="CP380" i="9"/>
  <c r="CB384" i="9"/>
  <c r="CG382" i="9"/>
  <c r="CG370" i="9" s="1"/>
  <c r="CG369" i="9" s="1"/>
  <c r="K34" i="80"/>
  <c r="CX407" i="9"/>
  <c r="CX406" i="9" s="1"/>
  <c r="CX405" i="9" s="1"/>
  <c r="CX368" i="9" s="1"/>
  <c r="DD419" i="9"/>
  <c r="DJ419" i="9" s="1"/>
  <c r="DD425" i="9"/>
  <c r="CS424" i="9"/>
  <c r="CS422" i="9" s="1"/>
  <c r="K62" i="80"/>
  <c r="CP447" i="9"/>
  <c r="AL387" i="9"/>
  <c r="AN387" i="9" s="1"/>
  <c r="CN424" i="9"/>
  <c r="AL444" i="9"/>
  <c r="AN444" i="9" s="1"/>
  <c r="AN445" i="9"/>
  <c r="CI382" i="9"/>
  <c r="CI370" i="9" s="1"/>
  <c r="CI369" i="9" s="1"/>
  <c r="F24" i="89"/>
  <c r="F23" i="89" s="1"/>
  <c r="I56" i="114"/>
  <c r="DF424" i="9"/>
  <c r="DF422" i="9" s="1"/>
  <c r="AZ411" i="9"/>
  <c r="AP405" i="9"/>
  <c r="J30" i="101"/>
  <c r="J25" i="66"/>
  <c r="I236" i="114"/>
  <c r="CB445" i="9"/>
  <c r="BP444" i="9"/>
  <c r="J95" i="66"/>
  <c r="D95" i="66" s="1"/>
  <c r="J137" i="101"/>
  <c r="D137" i="101" s="1"/>
  <c r="I249" i="114"/>
  <c r="L197" i="80"/>
  <c r="G197" i="80" s="1"/>
  <c r="CP384" i="9"/>
  <c r="I171" i="114"/>
  <c r="I170" i="114" s="1"/>
  <c r="CE382" i="9"/>
  <c r="CE370" i="9" s="1"/>
  <c r="CE369" i="9" s="1"/>
  <c r="J9" i="101"/>
  <c r="J9" i="66"/>
  <c r="L163" i="80"/>
  <c r="CP385" i="9"/>
  <c r="J94" i="66"/>
  <c r="D94" i="66" s="1"/>
  <c r="J136" i="101"/>
  <c r="D136" i="101" s="1"/>
  <c r="DL415" i="9"/>
  <c r="I248" i="114"/>
  <c r="I228" i="114"/>
  <c r="BW406" i="9"/>
  <c r="BW405" i="9" s="1"/>
  <c r="D224" i="80"/>
  <c r="DW460" i="9"/>
  <c r="DX460" i="9" s="1"/>
  <c r="DF325" i="9"/>
  <c r="CF411" i="9"/>
  <c r="CR439" i="9"/>
  <c r="CR387" i="9"/>
  <c r="DD387" i="9" s="1"/>
  <c r="DD390" i="9"/>
  <c r="AW368" i="9"/>
  <c r="J80" i="66"/>
  <c r="D80" i="66" s="1"/>
  <c r="J78" i="66"/>
  <c r="D78" i="66" s="1"/>
  <c r="J79" i="66"/>
  <c r="D79" i="66" s="1"/>
  <c r="CH382" i="9"/>
  <c r="CH370" i="9" s="1"/>
  <c r="CH369" i="9" s="1"/>
  <c r="P39" i="84"/>
  <c r="EE485" i="9"/>
  <c r="I262" i="114"/>
  <c r="CR421" i="9"/>
  <c r="AI370" i="9"/>
  <c r="AI369" i="9" s="1"/>
  <c r="CG424" i="9"/>
  <c r="DD391" i="9"/>
  <c r="DJ391" i="9" s="1"/>
  <c r="DL391" i="9" s="1"/>
  <c r="CB418" i="9"/>
  <c r="BZ411" i="9"/>
  <c r="BZ406" i="9" s="1"/>
  <c r="BZ405" i="9" s="1"/>
  <c r="CP408" i="9"/>
  <c r="CF407" i="9"/>
  <c r="K64" i="80"/>
  <c r="J134" i="101"/>
  <c r="D134" i="101" s="1"/>
  <c r="J92" i="66"/>
  <c r="D92" i="66" s="1"/>
  <c r="I222" i="114"/>
  <c r="J107" i="101"/>
  <c r="J86" i="66"/>
  <c r="I168" i="114"/>
  <c r="AN443" i="9"/>
  <c r="CL382" i="9"/>
  <c r="CL370" i="9" s="1"/>
  <c r="CL369" i="9" s="1"/>
  <c r="CL368" i="9" s="1"/>
  <c r="D230" i="80"/>
  <c r="DU522" i="9"/>
  <c r="CB346" i="9"/>
  <c r="L195" i="80"/>
  <c r="G195" i="80" s="1"/>
  <c r="CP436" i="9"/>
  <c r="BZ378" i="9"/>
  <c r="CB380" i="9"/>
  <c r="CJ424" i="9"/>
  <c r="CP432" i="9"/>
  <c r="K135" i="80"/>
  <c r="G135" i="80" s="1"/>
  <c r="I251" i="114"/>
  <c r="I224" i="114"/>
  <c r="K129" i="80"/>
  <c r="G129" i="80" s="1"/>
  <c r="J42" i="66"/>
  <c r="D42" i="66" s="1"/>
  <c r="J53" i="101"/>
  <c r="D53" i="101" s="1"/>
  <c r="I242" i="114"/>
  <c r="E146" i="115"/>
  <c r="CP443" i="9"/>
  <c r="EG490" i="9" s="1"/>
  <c r="E138" i="115"/>
  <c r="F163" i="89"/>
  <c r="F154" i="89" s="1"/>
  <c r="DT583" i="9"/>
  <c r="DU574" i="9"/>
  <c r="EE553" i="9"/>
  <c r="DT553" i="9"/>
  <c r="DS575" i="9"/>
  <c r="DT568" i="9"/>
  <c r="EQ485" i="9"/>
  <c r="DT508" i="9"/>
  <c r="DT598" i="9"/>
  <c r="DU545" i="9"/>
  <c r="DQ485" i="9"/>
  <c r="EI485" i="9"/>
  <c r="DP503" i="9"/>
  <c r="DP508" i="9" s="1"/>
  <c r="EG500" i="9"/>
  <c r="DU500" i="9"/>
  <c r="DR485" i="9"/>
  <c r="EA488" i="9"/>
  <c r="DU514" i="9"/>
  <c r="A103" i="66"/>
  <c r="CT325" i="9"/>
  <c r="DD340" i="9"/>
  <c r="DQ491" i="9"/>
  <c r="DW485" i="9"/>
  <c r="DP485" i="9"/>
  <c r="DQ487" i="9"/>
  <c r="DT468" i="9"/>
  <c r="DU460" i="9"/>
  <c r="DW486" i="9"/>
  <c r="EA487" i="9"/>
  <c r="EQ486" i="9"/>
  <c r="BN360" i="9"/>
  <c r="EA484" i="9"/>
  <c r="EM484" i="9"/>
  <c r="DR486" i="9"/>
  <c r="J64" i="101"/>
  <c r="D64" i="101" s="1"/>
  <c r="J35" i="96"/>
  <c r="D35" i="96" s="1"/>
  <c r="D36" i="96" s="1"/>
  <c r="EE484" i="9"/>
  <c r="EM485" i="9"/>
  <c r="CE358" i="9"/>
  <c r="DR484" i="9"/>
  <c r="DV493" i="9"/>
  <c r="DQ492" i="9"/>
  <c r="CB360" i="9"/>
  <c r="CB344" i="9"/>
  <c r="DW490" i="9"/>
  <c r="DW491" i="9"/>
  <c r="CJ340" i="9"/>
  <c r="CJ325" i="9" s="1"/>
  <c r="CP348" i="9"/>
  <c r="DW492" i="9"/>
  <c r="EA492" i="9"/>
  <c r="AN341" i="9"/>
  <c r="DQ503" i="9"/>
  <c r="EE508" i="9"/>
  <c r="EE583" i="9"/>
  <c r="BN340" i="9"/>
  <c r="BB325" i="9"/>
  <c r="CO325" i="9"/>
  <c r="CP329" i="9"/>
  <c r="CE328" i="9"/>
  <c r="CP328" i="9" s="1"/>
  <c r="DU544" i="9"/>
  <c r="DD348" i="9"/>
  <c r="EI484" i="9"/>
  <c r="DL326" i="9"/>
  <c r="DD339" i="9"/>
  <c r="CS325" i="9"/>
  <c r="EE523" i="9"/>
  <c r="DU559" i="9"/>
  <c r="AZ340" i="9"/>
  <c r="AP325" i="9"/>
  <c r="CP362" i="9"/>
  <c r="EA485" i="9"/>
  <c r="EQ484" i="9"/>
  <c r="DR489" i="9"/>
  <c r="DW484" i="9"/>
  <c r="DP484" i="9"/>
  <c r="EG515" i="9"/>
  <c r="CP339" i="9"/>
  <c r="ED460" i="9"/>
  <c r="DW488" i="9"/>
  <c r="DR488" i="9"/>
  <c r="BU328" i="9"/>
  <c r="CB329" i="9"/>
  <c r="CB347" i="9"/>
  <c r="DI339" i="9"/>
  <c r="DG325" i="9"/>
  <c r="DT477" i="9"/>
  <c r="DP487" i="9"/>
  <c r="DW487" i="9"/>
  <c r="DQ484" i="9"/>
  <c r="DU493" i="9"/>
  <c r="EG503" i="9"/>
  <c r="DR492" i="9"/>
  <c r="C37" i="94"/>
  <c r="AI368" i="9" l="1"/>
  <c r="AJ7" i="9"/>
  <c r="AI1" i="9"/>
  <c r="H135" i="115"/>
  <c r="DJ393" i="9"/>
  <c r="DL393" i="9" s="1"/>
  <c r="AM213" i="86"/>
  <c r="AM157" i="86" s="1"/>
  <c r="AG174" i="87"/>
  <c r="AC7" i="86"/>
  <c r="AD8" i="86"/>
  <c r="AD7" i="87"/>
  <c r="AE8" i="87"/>
  <c r="AJ196" i="86"/>
  <c r="AO197" i="86"/>
  <c r="AM45" i="86"/>
  <c r="AM44" i="86" s="1"/>
  <c r="AM8" i="86" s="1"/>
  <c r="AO249" i="86"/>
  <c r="AJ248" i="86"/>
  <c r="AO168" i="86"/>
  <c r="AJ166" i="86"/>
  <c r="AL9" i="86"/>
  <c r="AO20" i="86"/>
  <c r="AK16" i="86"/>
  <c r="AP412" i="87"/>
  <c r="AK402" i="87"/>
  <c r="AO217" i="86"/>
  <c r="AM216" i="86"/>
  <c r="AM214" i="86" s="1"/>
  <c r="AK305" i="86"/>
  <c r="AO306" i="86"/>
  <c r="AN174" i="87"/>
  <c r="AO87" i="86"/>
  <c r="AL85" i="86"/>
  <c r="AM264" i="86"/>
  <c r="AP20" i="87"/>
  <c r="AL19" i="87"/>
  <c r="AK276" i="86"/>
  <c r="AO277" i="86"/>
  <c r="AI10" i="87"/>
  <c r="AI9" i="87" s="1"/>
  <c r="AN48" i="87"/>
  <c r="AN47" i="87" s="1"/>
  <c r="AN8" i="87" s="1"/>
  <c r="AL136" i="86"/>
  <c r="AJ118" i="86"/>
  <c r="AO118" i="86" s="1"/>
  <c r="AO119" i="86"/>
  <c r="AK105" i="87"/>
  <c r="AP105" i="87" s="1"/>
  <c r="AP121" i="87"/>
  <c r="AF265" i="86"/>
  <c r="AF264" i="86" s="1"/>
  <c r="AG9" i="87"/>
  <c r="AK150" i="86"/>
  <c r="AK136" i="86" s="1"/>
  <c r="AO152" i="86"/>
  <c r="AH265" i="86"/>
  <c r="AH264" i="86" s="1"/>
  <c r="AL306" i="87"/>
  <c r="AP309" i="87"/>
  <c r="AP241" i="87"/>
  <c r="AO266" i="87"/>
  <c r="AO265" i="87" s="1"/>
  <c r="AO174" i="87" s="1"/>
  <c r="AO7" i="87" s="1"/>
  <c r="AK280" i="86"/>
  <c r="AO280" i="86" s="1"/>
  <c r="AO281" i="86"/>
  <c r="AL28" i="87"/>
  <c r="AP28" i="87" s="1"/>
  <c r="AP31" i="87"/>
  <c r="AM400" i="87"/>
  <c r="AL331" i="86"/>
  <c r="AO331" i="86" s="1"/>
  <c r="AO332" i="86"/>
  <c r="AJ45" i="86"/>
  <c r="AO47" i="86"/>
  <c r="AN264" i="86"/>
  <c r="AK144" i="87"/>
  <c r="AP145" i="87"/>
  <c r="AO310" i="86"/>
  <c r="AO330" i="86"/>
  <c r="AP295" i="87"/>
  <c r="AK294" i="87"/>
  <c r="AL310" i="86"/>
  <c r="AL305" i="86" s="1"/>
  <c r="AP192" i="87"/>
  <c r="AK191" i="87"/>
  <c r="AO141" i="86"/>
  <c r="AJ137" i="86"/>
  <c r="AK266" i="86"/>
  <c r="AO269" i="86"/>
  <c r="AK35" i="87"/>
  <c r="AP36" i="87"/>
  <c r="AP35" i="87" s="1"/>
  <c r="AP361" i="87"/>
  <c r="AM360" i="87"/>
  <c r="AP169" i="87"/>
  <c r="AL166" i="87"/>
  <c r="AN216" i="86"/>
  <c r="AN214" i="86" s="1"/>
  <c r="AN213" i="86" s="1"/>
  <c r="AN157" i="86" s="1"/>
  <c r="AN7" i="86" s="1"/>
  <c r="AL175" i="87"/>
  <c r="AK47" i="87"/>
  <c r="AK304" i="87"/>
  <c r="AF44" i="86"/>
  <c r="AH45" i="86"/>
  <c r="AH44" i="86" s="1"/>
  <c r="AO226" i="86"/>
  <c r="AK222" i="86"/>
  <c r="AO222" i="86" s="1"/>
  <c r="AL388" i="87"/>
  <c r="AP388" i="87" s="1"/>
  <c r="AP389" i="87"/>
  <c r="AI155" i="87"/>
  <c r="AI140" i="87" s="1"/>
  <c r="AI139" i="87" s="1"/>
  <c r="AO111" i="86"/>
  <c r="AJ109" i="86"/>
  <c r="AG91" i="87"/>
  <c r="AI91" i="87" s="1"/>
  <c r="AI92" i="87"/>
  <c r="AO245" i="86"/>
  <c r="AK244" i="86"/>
  <c r="AH360" i="86"/>
  <c r="AP55" i="87"/>
  <c r="AM48" i="87"/>
  <c r="AM47" i="87" s="1"/>
  <c r="AM8" i="87" s="1"/>
  <c r="AP65" i="87"/>
  <c r="AO98" i="86"/>
  <c r="AJ372" i="86"/>
  <c r="AO374" i="86"/>
  <c r="AO295" i="86"/>
  <c r="AK109" i="86"/>
  <c r="AK44" i="86" s="1"/>
  <c r="AO112" i="86"/>
  <c r="AK348" i="86"/>
  <c r="AO348" i="86" s="1"/>
  <c r="AO349" i="86"/>
  <c r="AP229" i="87"/>
  <c r="AK228" i="87"/>
  <c r="AP228" i="87" s="1"/>
  <c r="AM68" i="87"/>
  <c r="AP68" i="87" s="1"/>
  <c r="AP69" i="87"/>
  <c r="AG48" i="87"/>
  <c r="AL320" i="86"/>
  <c r="AF361" i="86"/>
  <c r="AF360" i="86" s="1"/>
  <c r="AL301" i="86"/>
  <c r="AO301" i="86" s="1"/>
  <c r="AO302" i="86"/>
  <c r="AH9" i="86"/>
  <c r="AH8" i="86" s="1"/>
  <c r="AH7" i="86" s="1"/>
  <c r="AL216" i="86"/>
  <c r="AL214" i="86" s="1"/>
  <c r="AL213" i="86" s="1"/>
  <c r="AL157" i="86" s="1"/>
  <c r="AH216" i="86"/>
  <c r="AP392" i="87"/>
  <c r="AK204" i="87"/>
  <c r="AP204" i="87" s="1"/>
  <c r="AP207" i="87"/>
  <c r="AF9" i="86"/>
  <c r="AF8" i="86" s="1"/>
  <c r="AF118" i="86"/>
  <c r="AP377" i="87"/>
  <c r="AN376" i="87"/>
  <c r="AP376" i="87" s="1"/>
  <c r="AL345" i="87"/>
  <c r="AP345" i="87" s="1"/>
  <c r="AP346" i="87"/>
  <c r="AO34" i="86"/>
  <c r="AJ33" i="86"/>
  <c r="U37" i="86"/>
  <c r="G23" i="80"/>
  <c r="AP195" i="87"/>
  <c r="AO175" i="86"/>
  <c r="AP218" i="87"/>
  <c r="AK216" i="87"/>
  <c r="AP216" i="87" s="1"/>
  <c r="AL287" i="87"/>
  <c r="AP287" i="87" s="1"/>
  <c r="AP288" i="87"/>
  <c r="AH163" i="86"/>
  <c r="AO29" i="86"/>
  <c r="AK209" i="86"/>
  <c r="AO209" i="86" s="1"/>
  <c r="AO210" i="86"/>
  <c r="CX456" i="9"/>
  <c r="CX458" i="9" s="1"/>
  <c r="CO370" i="9"/>
  <c r="CO369" i="9" s="1"/>
  <c r="CO368" i="9" s="1"/>
  <c r="CW456" i="9"/>
  <c r="CW458" i="9" s="1"/>
  <c r="DD349" i="9"/>
  <c r="DD350" i="9"/>
  <c r="EF465" i="9" s="1"/>
  <c r="DJ385" i="9"/>
  <c r="DL385" i="9" s="1"/>
  <c r="DD382" i="9"/>
  <c r="F140" i="115"/>
  <c r="CP378" i="9"/>
  <c r="EJ490" i="9"/>
  <c r="CD370" i="9"/>
  <c r="CD369" i="9" s="1"/>
  <c r="BT406" i="9"/>
  <c r="BT405" i="9" s="1"/>
  <c r="BT368" i="9" s="1"/>
  <c r="BV368" i="9"/>
  <c r="BS406" i="9"/>
  <c r="BS405" i="9" s="1"/>
  <c r="BS368" i="9" s="1"/>
  <c r="CA370" i="9"/>
  <c r="CA369" i="9" s="1"/>
  <c r="CA368" i="9" s="1"/>
  <c r="CB350" i="9"/>
  <c r="F60" i="89"/>
  <c r="CP350" i="9"/>
  <c r="CP349" i="9"/>
  <c r="DW580" i="9"/>
  <c r="DQ580" i="9" s="1"/>
  <c r="DU580" i="9" s="1"/>
  <c r="EE538" i="9"/>
  <c r="EG530" i="9"/>
  <c r="J104" i="101"/>
  <c r="AN343" i="9"/>
  <c r="BV343" i="9" s="1"/>
  <c r="BV342" i="9" s="1"/>
  <c r="BV340" i="9" s="1"/>
  <c r="BV325" i="9" s="1"/>
  <c r="K51" i="80"/>
  <c r="D16" i="116"/>
  <c r="J85" i="66"/>
  <c r="D85" i="66" s="1"/>
  <c r="EE466" i="9"/>
  <c r="EG466" i="9" s="1"/>
  <c r="DY566" i="9"/>
  <c r="DS566" i="9" s="1"/>
  <c r="DU566" i="9" s="1"/>
  <c r="DJ418" i="9"/>
  <c r="DL418" i="9" s="1"/>
  <c r="DJ346" i="9"/>
  <c r="DL346" i="9" s="1"/>
  <c r="DY475" i="9"/>
  <c r="EA475" i="9" s="1"/>
  <c r="J106" i="101"/>
  <c r="D106" i="101" s="1"/>
  <c r="EB486" i="9"/>
  <c r="DX489" i="9"/>
  <c r="J21" i="100"/>
  <c r="D21" i="100" s="1"/>
  <c r="D25" i="100" s="1"/>
  <c r="B7" i="99" s="1"/>
  <c r="EL490" i="9"/>
  <c r="EM491" i="9"/>
  <c r="DX516" i="9"/>
  <c r="DV461" i="9"/>
  <c r="DX461" i="9" s="1"/>
  <c r="DV474" i="9"/>
  <c r="DX474" i="9" s="1"/>
  <c r="DX486" i="9"/>
  <c r="EN488" i="9"/>
  <c r="J142" i="115"/>
  <c r="DV466" i="9"/>
  <c r="DX466" i="9" s="1"/>
  <c r="DV475" i="9"/>
  <c r="DX475" i="9" s="1"/>
  <c r="DX568" i="9"/>
  <c r="DR561" i="9"/>
  <c r="DR568" i="9" s="1"/>
  <c r="G150" i="80"/>
  <c r="DR459" i="9"/>
  <c r="DJ412" i="9"/>
  <c r="CT368" i="9"/>
  <c r="CA358" i="9"/>
  <c r="CB358" i="9" s="1"/>
  <c r="CS358" i="9"/>
  <c r="DD358" i="9" s="1"/>
  <c r="BN328" i="9"/>
  <c r="BN325" i="9" s="1"/>
  <c r="EB462" i="9"/>
  <c r="ED462" i="9" s="1"/>
  <c r="DJ448" i="9"/>
  <c r="DL448" i="9" s="1"/>
  <c r="DJ429" i="9"/>
  <c r="DL429" i="9" s="1"/>
  <c r="DJ446" i="9"/>
  <c r="DL446" i="9" s="1"/>
  <c r="DI444" i="9"/>
  <c r="L34" i="84"/>
  <c r="Q34" i="84" s="1"/>
  <c r="EG488" i="9"/>
  <c r="DP459" i="9"/>
  <c r="EE472" i="9"/>
  <c r="BR368" i="9"/>
  <c r="DR529" i="9"/>
  <c r="DU529" i="9" s="1"/>
  <c r="DJ431" i="9"/>
  <c r="DL431" i="9" s="1"/>
  <c r="DJ388" i="9"/>
  <c r="DL388" i="9" s="1"/>
  <c r="CE422" i="9"/>
  <c r="CE421" i="9" s="1"/>
  <c r="CE368" i="9" s="1"/>
  <c r="CK422" i="9"/>
  <c r="CK421" i="9" s="1"/>
  <c r="CK368" i="9" s="1"/>
  <c r="DX491" i="9"/>
  <c r="DP491" i="9" s="1"/>
  <c r="CH422" i="9"/>
  <c r="CH421" i="9" s="1"/>
  <c r="CH368" i="9" s="1"/>
  <c r="CJ422" i="9"/>
  <c r="CJ421" i="9" s="1"/>
  <c r="CN422" i="9"/>
  <c r="CN421" i="9" s="1"/>
  <c r="CN368" i="9" s="1"/>
  <c r="DB422" i="9"/>
  <c r="DB421" i="9" s="1"/>
  <c r="DB368" i="9" s="1"/>
  <c r="AL422" i="9"/>
  <c r="CG422" i="9"/>
  <c r="CG421" i="9" s="1"/>
  <c r="CG368" i="9" s="1"/>
  <c r="CI368" i="9"/>
  <c r="CY422" i="9"/>
  <c r="CY421" i="9" s="1"/>
  <c r="CY368" i="9" s="1"/>
  <c r="CZ422" i="9"/>
  <c r="CZ421" i="9" s="1"/>
  <c r="CZ368" i="9" s="1"/>
  <c r="CV422" i="9"/>
  <c r="CV421" i="9" s="1"/>
  <c r="CV368" i="9" s="1"/>
  <c r="DJ436" i="9"/>
  <c r="DL436" i="9" s="1"/>
  <c r="DJ432" i="9"/>
  <c r="DL432" i="9" s="1"/>
  <c r="DJ427" i="9"/>
  <c r="DL427" i="9" s="1"/>
  <c r="DJ430" i="9"/>
  <c r="DL430" i="9" s="1"/>
  <c r="DJ417" i="9"/>
  <c r="DL417" i="9" s="1"/>
  <c r="K138" i="115"/>
  <c r="EB563" i="9"/>
  <c r="EB568" i="9" s="1"/>
  <c r="F90" i="89"/>
  <c r="D43" i="116"/>
  <c r="DU499" i="9"/>
  <c r="CP444" i="9"/>
  <c r="CP358" i="9"/>
  <c r="CP359" i="9"/>
  <c r="DJ359" i="9" s="1"/>
  <c r="DL359" i="9" s="1"/>
  <c r="DJ363" i="9"/>
  <c r="DL363" i="9" s="1"/>
  <c r="DR460" i="9"/>
  <c r="D70" i="101"/>
  <c r="DI369" i="9"/>
  <c r="BZ370" i="9"/>
  <c r="BZ369" i="9" s="1"/>
  <c r="BZ368" i="9" s="1"/>
  <c r="DJ390" i="9"/>
  <c r="DL390" i="9" s="1"/>
  <c r="BX368" i="9"/>
  <c r="BW368" i="9"/>
  <c r="CJ441" i="9"/>
  <c r="CJ440" i="9" s="1"/>
  <c r="CJ439" i="9" s="1"/>
  <c r="CM368" i="9"/>
  <c r="DZ493" i="9"/>
  <c r="DY523" i="9"/>
  <c r="DU521" i="9"/>
  <c r="EA521" i="9"/>
  <c r="DS590" i="9"/>
  <c r="DU590" i="9" s="1"/>
  <c r="EF463" i="9"/>
  <c r="DS560" i="9"/>
  <c r="DU560" i="9" s="1"/>
  <c r="EO493" i="9"/>
  <c r="DJ345" i="9"/>
  <c r="DL345" i="9" s="1"/>
  <c r="DV523" i="9"/>
  <c r="DP518" i="9"/>
  <c r="DP523" i="9" s="1"/>
  <c r="DJ344" i="9"/>
  <c r="DL344" i="9" s="1"/>
  <c r="DY461" i="9"/>
  <c r="EA461" i="9" s="1"/>
  <c r="DW547" i="9"/>
  <c r="EA547" i="9" s="1"/>
  <c r="DJ434" i="9"/>
  <c r="DL434" i="9" s="1"/>
  <c r="CP411" i="9"/>
  <c r="CB387" i="9"/>
  <c r="DJ387" i="9" s="1"/>
  <c r="DL387" i="9" s="1"/>
  <c r="DJ376" i="9"/>
  <c r="DL376" i="9" s="1"/>
  <c r="DL364" i="9"/>
  <c r="EF472" i="9"/>
  <c r="DJ433" i="9"/>
  <c r="DL433" i="9" s="1"/>
  <c r="DY474" i="9"/>
  <c r="EA474" i="9" s="1"/>
  <c r="DJ426" i="9"/>
  <c r="DL426" i="9" s="1"/>
  <c r="DL356" i="9"/>
  <c r="EG590" i="9"/>
  <c r="DJ362" i="9"/>
  <c r="DL362" i="9" s="1"/>
  <c r="DY463" i="9"/>
  <c r="O31" i="84"/>
  <c r="EE568" i="9"/>
  <c r="EQ489" i="9"/>
  <c r="EH493" i="9"/>
  <c r="EA536" i="9"/>
  <c r="EG489" i="9"/>
  <c r="EN492" i="9"/>
  <c r="EQ492" i="9" s="1"/>
  <c r="AL441" i="9"/>
  <c r="AN441" i="9" s="1"/>
  <c r="AL440" i="9"/>
  <c r="AL439" i="9" s="1"/>
  <c r="AN439" i="9" s="1"/>
  <c r="DJ428" i="9"/>
  <c r="DL428" i="9" s="1"/>
  <c r="I241" i="114"/>
  <c r="K63" i="80"/>
  <c r="G62" i="80" s="1"/>
  <c r="J7" i="102"/>
  <c r="D7" i="102" s="1"/>
  <c r="D8" i="102" s="1"/>
  <c r="B9" i="99" s="1"/>
  <c r="K155" i="80"/>
  <c r="G155" i="80" s="1"/>
  <c r="J7" i="67"/>
  <c r="D7" i="67" s="1"/>
  <c r="D8" i="67" s="1"/>
  <c r="B9" i="64" s="1"/>
  <c r="F153" i="89"/>
  <c r="K32" i="80"/>
  <c r="G32" i="80" s="1"/>
  <c r="I169" i="114"/>
  <c r="J20" i="101"/>
  <c r="J20" i="66"/>
  <c r="DJ447" i="9"/>
  <c r="DL447" i="9" s="1"/>
  <c r="DJ398" i="9"/>
  <c r="DL398" i="9" s="1"/>
  <c r="DJ384" i="9"/>
  <c r="DL384" i="9" s="1"/>
  <c r="DJ361" i="9"/>
  <c r="DL361" i="9" s="1"/>
  <c r="EP490" i="9"/>
  <c r="DY467" i="9"/>
  <c r="EA467" i="9" s="1"/>
  <c r="EB492" i="9"/>
  <c r="EE492" i="9" s="1"/>
  <c r="DJ435" i="9"/>
  <c r="DL435" i="9" s="1"/>
  <c r="EH467" i="9"/>
  <c r="EJ467" i="9" s="1"/>
  <c r="DY582" i="9"/>
  <c r="DS582" i="9" s="1"/>
  <c r="DU582" i="9" s="1"/>
  <c r="J16" i="101"/>
  <c r="D16" i="101" s="1"/>
  <c r="EB490" i="9"/>
  <c r="EH473" i="9"/>
  <c r="D50" i="66"/>
  <c r="I29" i="114"/>
  <c r="I6" i="114" s="1"/>
  <c r="DW489" i="9"/>
  <c r="DW493" i="9" s="1"/>
  <c r="DW495" i="9" s="1"/>
  <c r="EC472" i="9"/>
  <c r="J41" i="66"/>
  <c r="D41" i="66" s="1"/>
  <c r="D43" i="66" s="1"/>
  <c r="J47" i="101"/>
  <c r="D47" i="101" s="1"/>
  <c r="D56" i="101" s="1"/>
  <c r="EB465" i="9"/>
  <c r="EA520" i="9"/>
  <c r="D18" i="116"/>
  <c r="D222" i="80"/>
  <c r="D269" i="80" s="1"/>
  <c r="B21" i="79" s="1"/>
  <c r="J18" i="66"/>
  <c r="D17" i="66" s="1"/>
  <c r="J18" i="101"/>
  <c r="D17" i="101" s="1"/>
  <c r="DU576" i="9"/>
  <c r="G43" i="80"/>
  <c r="DW579" i="9"/>
  <c r="DQ579" i="9" s="1"/>
  <c r="DU579" i="9" s="1"/>
  <c r="DU464" i="9"/>
  <c r="DU468" i="9" s="1"/>
  <c r="G33" i="80"/>
  <c r="F12" i="81" s="1"/>
  <c r="J68" i="66"/>
  <c r="D68" i="66" s="1"/>
  <c r="DS479" i="9"/>
  <c r="DS508" i="9"/>
  <c r="DR491" i="9"/>
  <c r="DU473" i="9"/>
  <c r="DU477" i="9" s="1"/>
  <c r="D19" i="116"/>
  <c r="DQ475" i="9"/>
  <c r="I163" i="114"/>
  <c r="I162" i="114" s="1"/>
  <c r="J96" i="66"/>
  <c r="D96" i="66" s="1"/>
  <c r="J138" i="101"/>
  <c r="D138" i="101" s="1"/>
  <c r="K136" i="80"/>
  <c r="G136" i="80" s="1"/>
  <c r="I255" i="114"/>
  <c r="CS441" i="9"/>
  <c r="DD444" i="9"/>
  <c r="EA537" i="9"/>
  <c r="DS537" i="9"/>
  <c r="DY538" i="9"/>
  <c r="J76" i="66"/>
  <c r="D76" i="66" s="1"/>
  <c r="J96" i="101"/>
  <c r="D96" i="101" s="1"/>
  <c r="BP369" i="9"/>
  <c r="I245" i="114"/>
  <c r="DJ397" i="9"/>
  <c r="DL397" i="9" s="1"/>
  <c r="EC486" i="9"/>
  <c r="DX531" i="9"/>
  <c r="F36" i="89"/>
  <c r="EC490" i="9"/>
  <c r="DJ443" i="9"/>
  <c r="DL443" i="9" s="1"/>
  <c r="J89" i="66"/>
  <c r="D89" i="66" s="1"/>
  <c r="J111" i="101"/>
  <c r="D111" i="101" s="1"/>
  <c r="I201" i="114"/>
  <c r="I200" i="114" s="1"/>
  <c r="AZ369" i="9"/>
  <c r="E132" i="115"/>
  <c r="DW565" i="9"/>
  <c r="EK490" i="9"/>
  <c r="EE465" i="9"/>
  <c r="K127" i="80"/>
  <c r="G127" i="80" s="1"/>
  <c r="J133" i="101"/>
  <c r="D133" i="101" s="1"/>
  <c r="J91" i="66"/>
  <c r="D91" i="66" s="1"/>
  <c r="I221" i="114"/>
  <c r="I220" i="114" s="1"/>
  <c r="J97" i="66"/>
  <c r="D97" i="66" s="1"/>
  <c r="L192" i="80"/>
  <c r="G192" i="80" s="1"/>
  <c r="I276" i="114"/>
  <c r="I275" i="114" s="1"/>
  <c r="E140" i="115"/>
  <c r="J78" i="101"/>
  <c r="D78" i="101" s="1"/>
  <c r="J58" i="66"/>
  <c r="D58" i="66" s="1"/>
  <c r="CR405" i="9"/>
  <c r="BY370" i="9"/>
  <c r="BY369" i="9" s="1"/>
  <c r="CB382" i="9"/>
  <c r="EK488" i="9"/>
  <c r="DJ381" i="9"/>
  <c r="DL381" i="9" s="1"/>
  <c r="EC463" i="9"/>
  <c r="DJ383" i="9"/>
  <c r="DL383" i="9" s="1"/>
  <c r="CP424" i="9"/>
  <c r="CR370" i="9"/>
  <c r="CR369" i="9" s="1"/>
  <c r="DD378" i="9"/>
  <c r="K38" i="80"/>
  <c r="J67" i="66"/>
  <c r="D67" i="66" s="1"/>
  <c r="J87" i="101"/>
  <c r="D87" i="101" s="1"/>
  <c r="DR589" i="9"/>
  <c r="EA589" i="9"/>
  <c r="D236" i="80"/>
  <c r="AZ405" i="9"/>
  <c r="AP368" i="9"/>
  <c r="AZ7" i="9" s="1"/>
  <c r="J19" i="101"/>
  <c r="J19" i="66"/>
  <c r="I146" i="114"/>
  <c r="BN369" i="9"/>
  <c r="F130" i="115"/>
  <c r="DJ379" i="9"/>
  <c r="DL379" i="9" s="1"/>
  <c r="EC489" i="9"/>
  <c r="CB378" i="9"/>
  <c r="L194" i="80"/>
  <c r="AL370" i="9"/>
  <c r="BP421" i="9"/>
  <c r="DW562" i="9"/>
  <c r="EE462" i="9"/>
  <c r="EL487" i="9"/>
  <c r="E150" i="115"/>
  <c r="O36" i="84"/>
  <c r="L36" i="84"/>
  <c r="Q36" i="84" s="1"/>
  <c r="DL419" i="9"/>
  <c r="BQ406" i="9"/>
  <c r="CB407" i="9"/>
  <c r="BY421" i="9"/>
  <c r="CB424" i="9"/>
  <c r="DW577" i="9"/>
  <c r="EH462" i="9"/>
  <c r="EP487" i="9"/>
  <c r="K126" i="80"/>
  <c r="DL403" i="9"/>
  <c r="I237" i="114"/>
  <c r="DQ504" i="9"/>
  <c r="DU504" i="9" s="1"/>
  <c r="EA504" i="9"/>
  <c r="EA508" i="9" s="1"/>
  <c r="EA510" i="9" s="1"/>
  <c r="AN407" i="9"/>
  <c r="DJ408" i="9"/>
  <c r="DL408" i="9" s="1"/>
  <c r="DJ425" i="9"/>
  <c r="DL425" i="9" s="1"/>
  <c r="CF440" i="9"/>
  <c r="EK489" i="9"/>
  <c r="I195" i="114" a="1"/>
  <c r="I195" i="114" s="1"/>
  <c r="I194" i="114" s="1"/>
  <c r="I189" i="114" s="1"/>
  <c r="DJ410" i="9"/>
  <c r="DL410" i="9" s="1"/>
  <c r="DI424" i="9"/>
  <c r="E144" i="115"/>
  <c r="N10" i="26"/>
  <c r="I233" i="114"/>
  <c r="EB474" i="9"/>
  <c r="ED474" i="9" s="1"/>
  <c r="EB461" i="9"/>
  <c r="EG486" i="9"/>
  <c r="DX546" i="9"/>
  <c r="F78" i="89"/>
  <c r="DW532" i="9"/>
  <c r="DY462" i="9"/>
  <c r="ED487" i="9"/>
  <c r="I225" i="114"/>
  <c r="J83" i="66"/>
  <c r="J103" i="101"/>
  <c r="I144" i="114"/>
  <c r="CF406" i="9"/>
  <c r="CP407" i="9"/>
  <c r="BI421" i="9"/>
  <c r="BN422" i="9"/>
  <c r="F146" i="115" s="1"/>
  <c r="CS406" i="9"/>
  <c r="CS405" i="9" s="1"/>
  <c r="DD407" i="9"/>
  <c r="DJ380" i="9"/>
  <c r="DY489" i="9"/>
  <c r="DJ423" i="9"/>
  <c r="DL423" i="9" s="1"/>
  <c r="J85" i="101"/>
  <c r="D85" i="101" s="1"/>
  <c r="EG508" i="9"/>
  <c r="EG510" i="9" s="1"/>
  <c r="N9" i="26"/>
  <c r="F29" i="89"/>
  <c r="BP441" i="9"/>
  <c r="CB444" i="9"/>
  <c r="D243" i="80"/>
  <c r="I231" i="114"/>
  <c r="I230" i="114" s="1"/>
  <c r="DF440" i="9"/>
  <c r="DI441" i="9"/>
  <c r="AN412" i="9"/>
  <c r="AL411" i="9"/>
  <c r="AN411" i="9" s="1"/>
  <c r="K45" i="80"/>
  <c r="G45" i="80" s="1"/>
  <c r="J81" i="66"/>
  <c r="D81" i="66" s="1"/>
  <c r="J101" i="101"/>
  <c r="D101" i="101" s="1"/>
  <c r="J29" i="66"/>
  <c r="D24" i="66" s="1"/>
  <c r="J34" i="101"/>
  <c r="D29" i="101" s="1"/>
  <c r="G162" i="80"/>
  <c r="G207" i="80" s="1"/>
  <c r="DQ460" i="9"/>
  <c r="DJ445" i="9"/>
  <c r="DL445" i="9" s="1"/>
  <c r="EC488" i="9"/>
  <c r="DD424" i="9"/>
  <c r="BU406" i="9"/>
  <c r="BU405" i="9" s="1"/>
  <c r="BU368" i="9" s="1"/>
  <c r="CB411" i="9"/>
  <c r="J69" i="66"/>
  <c r="D69" i="66" s="1"/>
  <c r="J89" i="101"/>
  <c r="D89" i="101" s="1"/>
  <c r="I257" i="114"/>
  <c r="I256" i="114" s="1"/>
  <c r="I274" i="114"/>
  <c r="I273" i="114" s="1"/>
  <c r="J23" i="84"/>
  <c r="CP382" i="9"/>
  <c r="DU575" i="9"/>
  <c r="DS485" i="9"/>
  <c r="A104" i="66"/>
  <c r="DI325" i="9"/>
  <c r="EI473" i="9"/>
  <c r="EC578" i="9"/>
  <c r="EI465" i="9"/>
  <c r="DZ472" i="9"/>
  <c r="EB533" i="9"/>
  <c r="DZ463" i="9"/>
  <c r="DJ347" i="9"/>
  <c r="BZ343" i="9"/>
  <c r="BZ342" i="9" s="1"/>
  <c r="BZ340" i="9" s="1"/>
  <c r="BZ325" i="9" s="1"/>
  <c r="BR343" i="9"/>
  <c r="DJ329" i="9"/>
  <c r="J27" i="101"/>
  <c r="D27" i="101" s="1"/>
  <c r="J9" i="96"/>
  <c r="D9" i="96" s="1"/>
  <c r="D11" i="96" s="1"/>
  <c r="EB548" i="9"/>
  <c r="AL340" i="9"/>
  <c r="CB328" i="9"/>
  <c r="BU325" i="9"/>
  <c r="J131" i="101"/>
  <c r="D131" i="101" s="1"/>
  <c r="J60" i="96"/>
  <c r="D60" i="96" s="1"/>
  <c r="D65" i="96" s="1"/>
  <c r="DL341" i="9"/>
  <c r="DD325" i="9"/>
  <c r="DT479" i="9"/>
  <c r="CE325" i="9"/>
  <c r="G6" i="94"/>
  <c r="C51" i="94"/>
  <c r="DJ348" i="9"/>
  <c r="DL348" i="9" s="1"/>
  <c r="DU503" i="9"/>
  <c r="DS484" i="9"/>
  <c r="AZ325" i="9"/>
  <c r="DJ339" i="9"/>
  <c r="DL339" i="9" s="1"/>
  <c r="DJ360" i="9"/>
  <c r="DL360" i="9" s="1"/>
  <c r="DW465" i="9"/>
  <c r="EC518" i="9"/>
  <c r="DW473" i="9"/>
  <c r="F152" i="115" l="1"/>
  <c r="AP48" i="87"/>
  <c r="AK273" i="86"/>
  <c r="AO273" i="86" s="1"/>
  <c r="AO276" i="86"/>
  <c r="AO248" i="86"/>
  <c r="AJ235" i="86"/>
  <c r="AP47" i="87"/>
  <c r="AP19" i="87"/>
  <c r="AL10" i="87"/>
  <c r="AP10" i="87" s="1"/>
  <c r="AL305" i="87"/>
  <c r="AP306" i="87"/>
  <c r="AK195" i="86"/>
  <c r="AK235" i="86"/>
  <c r="AO244" i="86"/>
  <c r="AL174" i="87"/>
  <c r="AK140" i="87"/>
  <c r="AP144" i="87"/>
  <c r="AM7" i="86"/>
  <c r="U211" i="86"/>
  <c r="U258" i="87"/>
  <c r="G24" i="80"/>
  <c r="AO85" i="86"/>
  <c r="AL45" i="86"/>
  <c r="AL44" i="86" s="1"/>
  <c r="AL318" i="86"/>
  <c r="AO320" i="86"/>
  <c r="AP166" i="87"/>
  <c r="AL139" i="87"/>
  <c r="AL8" i="87" s="1"/>
  <c r="AO196" i="86"/>
  <c r="AJ195" i="86"/>
  <c r="AO195" i="86" s="1"/>
  <c r="AJ32" i="86"/>
  <c r="AJ9" i="86" s="1"/>
  <c r="AO33" i="86"/>
  <c r="AO32" i="86" s="1"/>
  <c r="AI48" i="87"/>
  <c r="AI47" i="87" s="1"/>
  <c r="AI8" i="87" s="1"/>
  <c r="AI7" i="87" s="1"/>
  <c r="AG47" i="87"/>
  <c r="AO45" i="86"/>
  <c r="AJ44" i="86"/>
  <c r="AO44" i="86" s="1"/>
  <c r="AG8" i="87"/>
  <c r="AG7" i="87" s="1"/>
  <c r="AG1" i="87" s="1"/>
  <c r="AN358" i="87"/>
  <c r="AN357" i="87" s="1"/>
  <c r="AN304" i="87" s="1"/>
  <c r="AN7" i="87" s="1"/>
  <c r="AM358" i="87"/>
  <c r="AP360" i="87"/>
  <c r="AO109" i="86"/>
  <c r="AO305" i="86"/>
  <c r="AK265" i="86"/>
  <c r="AO266" i="86"/>
  <c r="AL265" i="86"/>
  <c r="AK216" i="86"/>
  <c r="AE7" i="87"/>
  <c r="AD1" i="87"/>
  <c r="AD3" i="87" s="1"/>
  <c r="AJ136" i="86"/>
  <c r="AO136" i="86" s="1"/>
  <c r="AO137" i="86"/>
  <c r="AO150" i="86"/>
  <c r="AK401" i="87"/>
  <c r="AK400" i="87" s="1"/>
  <c r="AP400" i="87" s="1"/>
  <c r="AP402" i="87"/>
  <c r="AP401" i="87" s="1"/>
  <c r="AF7" i="86"/>
  <c r="AF1" i="86" s="1"/>
  <c r="AD7" i="86"/>
  <c r="AC1" i="86"/>
  <c r="AC3" i="86" s="1"/>
  <c r="AP191" i="87"/>
  <c r="AK189" i="87"/>
  <c r="AO16" i="86"/>
  <c r="AK9" i="86"/>
  <c r="AK8" i="86" s="1"/>
  <c r="AO372" i="86"/>
  <c r="AJ362" i="86"/>
  <c r="AP266" i="87"/>
  <c r="AL8" i="86"/>
  <c r="AP294" i="87"/>
  <c r="AK265" i="87"/>
  <c r="AL265" i="87"/>
  <c r="AJ165" i="86"/>
  <c r="AO166" i="86"/>
  <c r="CI343" i="9"/>
  <c r="CI342" i="9" s="1"/>
  <c r="CI340" i="9" s="1"/>
  <c r="CI325" i="9" s="1"/>
  <c r="CF343" i="9"/>
  <c r="EC563" i="9"/>
  <c r="EG563" i="9" s="1"/>
  <c r="EG568" i="9" s="1"/>
  <c r="EF473" i="9"/>
  <c r="EF477" i="9" s="1"/>
  <c r="DD370" i="9"/>
  <c r="I132" i="115" s="1"/>
  <c r="I130" i="115" s="1"/>
  <c r="BX456" i="9"/>
  <c r="BX458" i="9" s="1"/>
  <c r="D52" i="116"/>
  <c r="AZ368" i="9"/>
  <c r="AZ456" i="9"/>
  <c r="AZ458" i="9" s="1"/>
  <c r="CP370" i="9"/>
  <c r="H132" i="115" s="1"/>
  <c r="H130" i="115" s="1"/>
  <c r="DJ349" i="9"/>
  <c r="DL349" i="9" s="1"/>
  <c r="DJ350" i="9"/>
  <c r="DL350" i="9" s="1"/>
  <c r="J140" i="115"/>
  <c r="I167" i="114"/>
  <c r="I166" i="114" s="1"/>
  <c r="J84" i="66"/>
  <c r="D83" i="66" s="1"/>
  <c r="EA580" i="9"/>
  <c r="EJ488" i="9"/>
  <c r="EM488" i="9" s="1"/>
  <c r="EE463" i="9"/>
  <c r="EG463" i="9" s="1"/>
  <c r="DV563" i="9"/>
  <c r="EA563" i="9" s="1"/>
  <c r="D17" i="116"/>
  <c r="E18" i="116" s="1"/>
  <c r="DJ328" i="9"/>
  <c r="DL328" i="9" s="1"/>
  <c r="BT456" i="9"/>
  <c r="BT458" i="9" s="1"/>
  <c r="EF488" i="9"/>
  <c r="EI488" i="9" s="1"/>
  <c r="DV578" i="9"/>
  <c r="DV583" i="9" s="1"/>
  <c r="EA566" i="9"/>
  <c r="EM490" i="9"/>
  <c r="DC456" i="9"/>
  <c r="DC458" i="9" s="1"/>
  <c r="DR490" i="9"/>
  <c r="EH472" i="9"/>
  <c r="EH477" i="9" s="1"/>
  <c r="EH463" i="9"/>
  <c r="EJ463" i="9" s="1"/>
  <c r="EF492" i="9"/>
  <c r="EI492" i="9" s="1"/>
  <c r="D40" i="116"/>
  <c r="EA486" i="9"/>
  <c r="DP486" i="9"/>
  <c r="DX523" i="9"/>
  <c r="EA516" i="9"/>
  <c r="DR516" i="9"/>
  <c r="DU561" i="9"/>
  <c r="DP466" i="9"/>
  <c r="D31" i="116"/>
  <c r="CP441" i="9"/>
  <c r="DJ358" i="9"/>
  <c r="DL358" i="9" s="1"/>
  <c r="AN440" i="9"/>
  <c r="N16" i="26" s="1"/>
  <c r="CM456" i="9"/>
  <c r="CM458" i="9" s="1"/>
  <c r="DR466" i="9"/>
  <c r="DY596" i="9"/>
  <c r="DS596" i="9" s="1"/>
  <c r="DU596" i="9" s="1"/>
  <c r="EA491" i="9"/>
  <c r="D42" i="116"/>
  <c r="DX493" i="9"/>
  <c r="D39" i="116"/>
  <c r="CJ368" i="9"/>
  <c r="CY456" i="9"/>
  <c r="CY458" i="9" s="1"/>
  <c r="CH456" i="9"/>
  <c r="CH458" i="9" s="1"/>
  <c r="DB456" i="9"/>
  <c r="DB458" i="9" s="1"/>
  <c r="EJ492" i="9"/>
  <c r="EM492" i="9" s="1"/>
  <c r="D27" i="116"/>
  <c r="DJ411" i="9"/>
  <c r="DL411" i="9" s="1"/>
  <c r="EB467" i="9"/>
  <c r="ED467" i="9" s="1"/>
  <c r="EF490" i="9"/>
  <c r="EI490" i="9" s="1"/>
  <c r="DW550" i="9"/>
  <c r="DQ550" i="9" s="1"/>
  <c r="DU550" i="9" s="1"/>
  <c r="EB472" i="9"/>
  <c r="ED472" i="9" s="1"/>
  <c r="EB463" i="9"/>
  <c r="ED463" i="9" s="1"/>
  <c r="DV548" i="9"/>
  <c r="EA548" i="9" s="1"/>
  <c r="D57" i="116"/>
  <c r="DY472" i="9"/>
  <c r="EA472" i="9" s="1"/>
  <c r="EB488" i="9"/>
  <c r="EE488" i="9" s="1"/>
  <c r="DV533" i="9"/>
  <c r="EA533" i="9" s="1"/>
  <c r="CI456" i="9"/>
  <c r="CI458" i="9" s="1"/>
  <c r="DY464" i="9"/>
  <c r="EA464" i="9" s="1"/>
  <c r="I272" i="114"/>
  <c r="I271" i="114" s="1"/>
  <c r="DH456" i="9"/>
  <c r="DH458" i="9" s="1"/>
  <c r="I240" i="114"/>
  <c r="I143" i="114"/>
  <c r="DQ547" i="9"/>
  <c r="DU547" i="9" s="1"/>
  <c r="DJ382" i="9"/>
  <c r="DL382" i="9" s="1"/>
  <c r="CR368" i="9"/>
  <c r="DD7" i="9" s="1"/>
  <c r="DW535" i="9"/>
  <c r="DQ535" i="9" s="1"/>
  <c r="DU535" i="9" s="1"/>
  <c r="I208" i="114"/>
  <c r="DY465" i="9"/>
  <c r="DP465" i="9" s="1"/>
  <c r="I174" i="114"/>
  <c r="I173" i="114" s="1"/>
  <c r="D19" i="66"/>
  <c r="D19" i="101"/>
  <c r="DS491" i="9"/>
  <c r="EQ490" i="9"/>
  <c r="EA582" i="9"/>
  <c r="DS583" i="9"/>
  <c r="D103" i="101"/>
  <c r="DY583" i="9"/>
  <c r="DJ424" i="9"/>
  <c r="DL424" i="9" s="1"/>
  <c r="AL406" i="9"/>
  <c r="AN406" i="9" s="1"/>
  <c r="D49" i="116"/>
  <c r="C21" i="79"/>
  <c r="CG456" i="9"/>
  <c r="CG458" i="9" s="1"/>
  <c r="E19" i="116"/>
  <c r="I216" i="80"/>
  <c r="CV456" i="9"/>
  <c r="CV458" i="9" s="1"/>
  <c r="EB489" i="9"/>
  <c r="EE489" i="9" s="1"/>
  <c r="DW534" i="9"/>
  <c r="EA534" i="9" s="1"/>
  <c r="DY473" i="9"/>
  <c r="CO456" i="9"/>
  <c r="CO458" i="9" s="1"/>
  <c r="EA579" i="9"/>
  <c r="D50" i="116"/>
  <c r="DU479" i="9"/>
  <c r="DQ488" i="9"/>
  <c r="EG465" i="9"/>
  <c r="DQ490" i="9"/>
  <c r="EE490" i="9"/>
  <c r="K131" i="80"/>
  <c r="G131" i="80" s="1"/>
  <c r="DL412" i="9"/>
  <c r="CS440" i="9"/>
  <c r="DD441" i="9"/>
  <c r="AJ368" i="9"/>
  <c r="J22" i="84"/>
  <c r="C5" i="6"/>
  <c r="E5" i="6" s="1"/>
  <c r="K50" i="80"/>
  <c r="G50" i="80" s="1"/>
  <c r="EF489" i="9"/>
  <c r="EI489" i="9" s="1"/>
  <c r="P9" i="26"/>
  <c r="L25" i="84" s="1"/>
  <c r="Q25" i="84" s="1"/>
  <c r="J25" i="84"/>
  <c r="O25" i="84" s="1"/>
  <c r="DF439" i="9"/>
  <c r="DI439" i="9" s="1"/>
  <c r="DI440" i="9"/>
  <c r="J150" i="115" s="1"/>
  <c r="J148" i="115" s="1"/>
  <c r="B8" i="94"/>
  <c r="G5" i="94" s="1"/>
  <c r="G7" i="94" s="1"/>
  <c r="DJ407" i="9"/>
  <c r="DL407" i="9" s="1"/>
  <c r="ED461" i="9"/>
  <c r="O23" i="84"/>
  <c r="L23" i="84"/>
  <c r="Q23" i="84" s="1"/>
  <c r="C18" i="79"/>
  <c r="B18" i="79"/>
  <c r="I215" i="80"/>
  <c r="EJ489" i="9"/>
  <c r="EM489" i="9" s="1"/>
  <c r="DW564" i="9"/>
  <c r="EE473" i="9"/>
  <c r="EE464" i="9"/>
  <c r="EG464" i="9" s="1"/>
  <c r="BQ405" i="9"/>
  <c r="CB406" i="9"/>
  <c r="I254" i="114"/>
  <c r="I253" i="114" s="1"/>
  <c r="EP493" i="9"/>
  <c r="EQ487" i="9"/>
  <c r="DW583" i="9"/>
  <c r="DQ577" i="9"/>
  <c r="DU577" i="9" s="1"/>
  <c r="EA577" i="9"/>
  <c r="G194" i="80"/>
  <c r="F23" i="81"/>
  <c r="DX538" i="9"/>
  <c r="EA531" i="9"/>
  <c r="DR531" i="9"/>
  <c r="EJ462" i="9"/>
  <c r="EE486" i="9"/>
  <c r="EC493" i="9"/>
  <c r="DQ486" i="9"/>
  <c r="CS421" i="9"/>
  <c r="DD421" i="9" s="1"/>
  <c r="DD422" i="9"/>
  <c r="I146" i="115" s="1"/>
  <c r="I144" i="115" s="1"/>
  <c r="DJ444" i="9"/>
  <c r="DL444" i="9" s="1"/>
  <c r="BP440" i="9"/>
  <c r="CB441" i="9"/>
  <c r="EK493" i="9"/>
  <c r="DW592" i="9"/>
  <c r="DR462" i="9"/>
  <c r="P10" i="26"/>
  <c r="L26" i="84" s="1"/>
  <c r="Q26" i="84" s="1"/>
  <c r="J26" i="84"/>
  <c r="O26" i="84" s="1"/>
  <c r="EB473" i="9"/>
  <c r="DW549" i="9"/>
  <c r="EB464" i="9"/>
  <c r="ED464" i="9" s="1"/>
  <c r="DR474" i="9"/>
  <c r="DR461" i="9"/>
  <c r="DX591" i="9"/>
  <c r="I55" i="114"/>
  <c r="I5" i="114" s="1"/>
  <c r="DP462" i="9"/>
  <c r="EA462" i="9"/>
  <c r="K42" i="80"/>
  <c r="G42" i="80" s="1"/>
  <c r="F14" i="81" s="1"/>
  <c r="DW519" i="9"/>
  <c r="DV473" i="9"/>
  <c r="DX473" i="9" s="1"/>
  <c r="DX477" i="9" s="1"/>
  <c r="DV464" i="9"/>
  <c r="DQ532" i="9"/>
  <c r="DU532" i="9" s="1"/>
  <c r="EA532" i="9"/>
  <c r="EG472" i="9"/>
  <c r="F27" i="89"/>
  <c r="F26" i="89"/>
  <c r="F5" i="89" s="1"/>
  <c r="F4" i="89" s="1"/>
  <c r="F3" i="89" s="1"/>
  <c r="K61" i="80"/>
  <c r="G59" i="80" s="1"/>
  <c r="F16" i="81" s="1"/>
  <c r="BY368" i="9"/>
  <c r="AL421" i="9"/>
  <c r="AN421" i="9" s="1"/>
  <c r="AN422" i="9"/>
  <c r="DU508" i="9"/>
  <c r="DU510" i="9" s="1"/>
  <c r="DP461" i="9"/>
  <c r="CF439" i="9"/>
  <c r="CP439" i="9" s="1"/>
  <c r="CP440" i="9"/>
  <c r="H150" i="115" s="1"/>
  <c r="H148" i="115" s="1"/>
  <c r="E148" i="115"/>
  <c r="DD405" i="9"/>
  <c r="DR487" i="9"/>
  <c r="ED493" i="9"/>
  <c r="EE487" i="9"/>
  <c r="D53" i="116"/>
  <c r="DA456" i="9"/>
  <c r="DA458" i="9" s="1"/>
  <c r="DP474" i="9"/>
  <c r="AN370" i="9"/>
  <c r="AL369" i="9"/>
  <c r="DU589" i="9"/>
  <c r="G135" i="115"/>
  <c r="K135" i="115" s="1"/>
  <c r="CP369" i="9"/>
  <c r="CB422" i="9"/>
  <c r="G146" i="115" s="1"/>
  <c r="G144" i="115" s="1"/>
  <c r="DD406" i="9"/>
  <c r="I142" i="115" s="1"/>
  <c r="DQ489" i="9"/>
  <c r="DY493" i="9"/>
  <c r="EA489" i="9"/>
  <c r="CF405" i="9"/>
  <c r="CP406" i="9"/>
  <c r="H142" i="115" s="1"/>
  <c r="CB421" i="9"/>
  <c r="DS538" i="9"/>
  <c r="DU537" i="9"/>
  <c r="EE467" i="9"/>
  <c r="EG467" i="9" s="1"/>
  <c r="EE475" i="9"/>
  <c r="EG475" i="9" s="1"/>
  <c r="DF421" i="9"/>
  <c r="DI422" i="9"/>
  <c r="J146" i="115" s="1"/>
  <c r="J144" i="115" s="1"/>
  <c r="EL493" i="9"/>
  <c r="EM487" i="9"/>
  <c r="DQ565" i="9"/>
  <c r="DU565" i="9" s="1"/>
  <c r="EA565" i="9"/>
  <c r="DY567" i="9"/>
  <c r="EQ488" i="9"/>
  <c r="EN493" i="9"/>
  <c r="DR546" i="9"/>
  <c r="EA546" i="9"/>
  <c r="DX553" i="9"/>
  <c r="EG462" i="9"/>
  <c r="CB370" i="9"/>
  <c r="DJ378" i="9"/>
  <c r="DL378" i="9" s="1"/>
  <c r="CP422" i="9"/>
  <c r="H146" i="115" s="1"/>
  <c r="H144" i="115" s="1"/>
  <c r="CD421" i="9"/>
  <c r="E130" i="115"/>
  <c r="DY552" i="9"/>
  <c r="EB475" i="9"/>
  <c r="DQ508" i="9"/>
  <c r="BI368" i="9"/>
  <c r="BN421" i="9"/>
  <c r="EG493" i="9"/>
  <c r="EI486" i="9"/>
  <c r="J77" i="101"/>
  <c r="D77" i="101" s="1"/>
  <c r="J57" i="66"/>
  <c r="D57" i="66" s="1"/>
  <c r="EA562" i="9"/>
  <c r="DQ562" i="9"/>
  <c r="DU562" i="9" s="1"/>
  <c r="A7" i="67"/>
  <c r="EC523" i="9"/>
  <c r="DQ518" i="9"/>
  <c r="EG518" i="9"/>
  <c r="EG523" i="9" s="1"/>
  <c r="DX465" i="9"/>
  <c r="DW468" i="9"/>
  <c r="DL329" i="9"/>
  <c r="EF468" i="9"/>
  <c r="BR342" i="9"/>
  <c r="CB343" i="9"/>
  <c r="DW477" i="9"/>
  <c r="CF342" i="9"/>
  <c r="EB553" i="9"/>
  <c r="AN340" i="9"/>
  <c r="AL325" i="9"/>
  <c r="AN325" i="9" s="1"/>
  <c r="EB593" i="9"/>
  <c r="DL347" i="9"/>
  <c r="EA463" i="9"/>
  <c r="DQ463" i="9"/>
  <c r="EB538" i="9"/>
  <c r="DQ472" i="9"/>
  <c r="EJ465" i="9"/>
  <c r="EI468" i="9"/>
  <c r="EC583" i="9"/>
  <c r="DQ578" i="9"/>
  <c r="EG578" i="9"/>
  <c r="EG583" i="9" s="1"/>
  <c r="EJ473" i="9"/>
  <c r="EI477" i="9"/>
  <c r="EG473" i="9" l="1"/>
  <c r="AF3" i="86"/>
  <c r="AH3" i="86" s="1"/>
  <c r="AH1" i="86"/>
  <c r="AJ8" i="86"/>
  <c r="AO9" i="86"/>
  <c r="AL304" i="87"/>
  <c r="AP305" i="87"/>
  <c r="AG3" i="87"/>
  <c r="AI3" i="87" s="1"/>
  <c r="AI1" i="87"/>
  <c r="AO165" i="86"/>
  <c r="AJ158" i="86"/>
  <c r="AK139" i="87"/>
  <c r="AP140" i="87"/>
  <c r="AL7" i="87"/>
  <c r="AK175" i="87"/>
  <c r="AP189" i="87"/>
  <c r="AP265" i="87"/>
  <c r="AM357" i="87"/>
  <c r="AP358" i="87"/>
  <c r="AO216" i="86"/>
  <c r="AK214" i="86"/>
  <c r="AO214" i="86" s="1"/>
  <c r="AJ213" i="86"/>
  <c r="AO235" i="86"/>
  <c r="AL317" i="86"/>
  <c r="AO317" i="86" s="1"/>
  <c r="AO318" i="86"/>
  <c r="AO362" i="86"/>
  <c r="AO361" i="86" s="1"/>
  <c r="AJ361" i="86"/>
  <c r="AJ360" i="86" s="1"/>
  <c r="AO360" i="86" s="1"/>
  <c r="AK264" i="86"/>
  <c r="AO265" i="86"/>
  <c r="U351" i="86"/>
  <c r="U391" i="87"/>
  <c r="G25" i="80"/>
  <c r="CP343" i="9"/>
  <c r="EC473" i="9" s="1"/>
  <c r="DQ563" i="9"/>
  <c r="DD369" i="9"/>
  <c r="EC568" i="9"/>
  <c r="CJ456" i="9"/>
  <c r="CJ458" i="9" s="1"/>
  <c r="AI3" i="9"/>
  <c r="I140" i="115"/>
  <c r="H140" i="115"/>
  <c r="H129" i="115" s="1"/>
  <c r="E17" i="116"/>
  <c r="CR456" i="9"/>
  <c r="CR458" i="9" s="1"/>
  <c r="DP563" i="9"/>
  <c r="DP568" i="9" s="1"/>
  <c r="DV568" i="9"/>
  <c r="DP578" i="9"/>
  <c r="DP583" i="9" s="1"/>
  <c r="EA578" i="9"/>
  <c r="EA583" i="9" s="1"/>
  <c r="EA585" i="9" s="1"/>
  <c r="D55" i="116"/>
  <c r="EJ472" i="9"/>
  <c r="EJ477" i="9" s="1"/>
  <c r="CL456" i="9"/>
  <c r="CL458" i="9" s="1"/>
  <c r="EH468" i="9"/>
  <c r="EH479" i="9" s="1"/>
  <c r="I142" i="114"/>
  <c r="I141" i="114" s="1"/>
  <c r="I4" i="114" s="1"/>
  <c r="DR523" i="9"/>
  <c r="DU516" i="9"/>
  <c r="D36" i="116"/>
  <c r="CN456" i="9"/>
  <c r="CN458" i="9" s="1"/>
  <c r="CK456" i="9"/>
  <c r="CK458" i="9" s="1"/>
  <c r="CA456" i="9"/>
  <c r="CA458" i="9" s="1"/>
  <c r="EA493" i="9"/>
  <c r="DR475" i="9"/>
  <c r="D54" i="116"/>
  <c r="D51" i="116"/>
  <c r="E52" i="116" s="1"/>
  <c r="EA596" i="9"/>
  <c r="BW456" i="9"/>
  <c r="BW458" i="9" s="1"/>
  <c r="DP492" i="9"/>
  <c r="DS492" i="9" s="1"/>
  <c r="DY477" i="9"/>
  <c r="EA550" i="9"/>
  <c r="DP533" i="9"/>
  <c r="DP538" i="9" s="1"/>
  <c r="DV553" i="9"/>
  <c r="DG456" i="9"/>
  <c r="DG458" i="9" s="1"/>
  <c r="DP463" i="9"/>
  <c r="DR463" i="9"/>
  <c r="DR472" i="9"/>
  <c r="DP490" i="9"/>
  <c r="DS490" i="9" s="1"/>
  <c r="DP472" i="9"/>
  <c r="DP548" i="9"/>
  <c r="DP553" i="9" s="1"/>
  <c r="DV538" i="9"/>
  <c r="DP488" i="9"/>
  <c r="DS488" i="9" s="1"/>
  <c r="D41" i="116"/>
  <c r="E42" i="116" s="1"/>
  <c r="DV593" i="9"/>
  <c r="EA593" i="9" s="1"/>
  <c r="D37" i="116"/>
  <c r="D58" i="116"/>
  <c r="E58" i="116" s="1"/>
  <c r="D24" i="116"/>
  <c r="DY468" i="9"/>
  <c r="D28" i="116"/>
  <c r="E28" i="116" s="1"/>
  <c r="EA535" i="9"/>
  <c r="EA538" i="9" s="1"/>
  <c r="DW595" i="9"/>
  <c r="DQ595" i="9" s="1"/>
  <c r="DU595" i="9" s="1"/>
  <c r="AL405" i="9"/>
  <c r="AN405" i="9" s="1"/>
  <c r="I239" i="114" s="1"/>
  <c r="I207" i="114" s="1"/>
  <c r="E50" i="116"/>
  <c r="CZ456" i="9"/>
  <c r="CZ458" i="9" s="1"/>
  <c r="D35" i="116"/>
  <c r="DY597" i="9"/>
  <c r="DS597" i="9" s="1"/>
  <c r="D48" i="116"/>
  <c r="E49" i="116" s="1"/>
  <c r="I217" i="80"/>
  <c r="EB493" i="9"/>
  <c r="DQ534" i="9"/>
  <c r="DU534" i="9" s="1"/>
  <c r="DW538" i="9"/>
  <c r="E53" i="116"/>
  <c r="EG477" i="9"/>
  <c r="EJ468" i="9"/>
  <c r="EG468" i="9"/>
  <c r="EI493" i="9"/>
  <c r="EB477" i="9"/>
  <c r="EE493" i="9"/>
  <c r="CB405" i="9"/>
  <c r="BQ368" i="9"/>
  <c r="DQ549" i="9"/>
  <c r="DU549" i="9" s="1"/>
  <c r="EA549" i="9"/>
  <c r="DW553" i="9"/>
  <c r="EA592" i="9"/>
  <c r="DQ592" i="9"/>
  <c r="DU592" i="9" s="1"/>
  <c r="BU456" i="9"/>
  <c r="BU458" i="9" s="1"/>
  <c r="D25" i="116"/>
  <c r="CS439" i="9"/>
  <c r="DD439" i="9" s="1"/>
  <c r="DD440" i="9"/>
  <c r="I150" i="115" s="1"/>
  <c r="I148" i="115" s="1"/>
  <c r="DQ493" i="9"/>
  <c r="DS486" i="9"/>
  <c r="CP421" i="9"/>
  <c r="CD368" i="9"/>
  <c r="O22" i="84"/>
  <c r="L22" i="84"/>
  <c r="Q22" i="84" s="1"/>
  <c r="N8" i="26"/>
  <c r="DX464" i="9"/>
  <c r="DX468" i="9" s="1"/>
  <c r="DX479" i="9" s="1"/>
  <c r="DV468" i="9"/>
  <c r="DP464" i="9"/>
  <c r="EF493" i="9"/>
  <c r="D23" i="116"/>
  <c r="BS456" i="9"/>
  <c r="BS458" i="9" s="1"/>
  <c r="DV477" i="9"/>
  <c r="DP473" i="9"/>
  <c r="D15" i="116"/>
  <c r="BN368" i="9"/>
  <c r="DQ519" i="9"/>
  <c r="DU519" i="9" s="1"/>
  <c r="EA519" i="9"/>
  <c r="EA523" i="9" s="1"/>
  <c r="DW523" i="9"/>
  <c r="BR456" i="9"/>
  <c r="BR458" i="9" s="1"/>
  <c r="D22" i="116"/>
  <c r="DR553" i="9"/>
  <c r="DU546" i="9"/>
  <c r="EM493" i="9"/>
  <c r="CU456" i="9"/>
  <c r="CU458" i="9" s="1"/>
  <c r="D47" i="116"/>
  <c r="DJ441" i="9"/>
  <c r="DL441" i="9" s="1"/>
  <c r="G142" i="115"/>
  <c r="DJ406" i="9"/>
  <c r="DL406" i="9" s="1"/>
  <c r="EE468" i="9"/>
  <c r="N14" i="26"/>
  <c r="EE477" i="9"/>
  <c r="DJ422" i="9"/>
  <c r="DL422" i="9" s="1"/>
  <c r="CB440" i="9"/>
  <c r="BP439" i="9"/>
  <c r="DP489" i="9"/>
  <c r="F144" i="115"/>
  <c r="F129" i="115" s="1"/>
  <c r="K146" i="115"/>
  <c r="K144" i="115" s="1"/>
  <c r="N12" i="26"/>
  <c r="EJ493" i="9"/>
  <c r="EQ493" i="9"/>
  <c r="EQ495" i="9" s="1"/>
  <c r="ED475" i="9"/>
  <c r="DP475" i="9"/>
  <c r="DS487" i="9"/>
  <c r="DR493" i="9"/>
  <c r="BZ456" i="9"/>
  <c r="BZ458" i="9" s="1"/>
  <c r="D30" i="116"/>
  <c r="DR538" i="9"/>
  <c r="DU531" i="9"/>
  <c r="CB369" i="9"/>
  <c r="G132" i="115"/>
  <c r="DJ370" i="9"/>
  <c r="DL370" i="9" s="1"/>
  <c r="EA552" i="9"/>
  <c r="DS552" i="9"/>
  <c r="DY553" i="9"/>
  <c r="N15" i="26"/>
  <c r="P15" i="26" s="1"/>
  <c r="J37" i="84"/>
  <c r="O37" i="84" s="1"/>
  <c r="P16" i="26"/>
  <c r="L37" i="84" s="1"/>
  <c r="Q37" i="84" s="1"/>
  <c r="D46" i="116"/>
  <c r="CT456" i="9"/>
  <c r="CT458" i="9" s="1"/>
  <c r="EA564" i="9"/>
  <c r="DQ564" i="9"/>
  <c r="DU564" i="9" s="1"/>
  <c r="DR591" i="9"/>
  <c r="EA591" i="9"/>
  <c r="DX598" i="9"/>
  <c r="DW568" i="9"/>
  <c r="D29" i="116"/>
  <c r="BY456" i="9"/>
  <c r="BY458" i="9" s="1"/>
  <c r="EB468" i="9"/>
  <c r="DS567" i="9"/>
  <c r="EA567" i="9"/>
  <c r="DY568" i="9"/>
  <c r="AN369" i="9"/>
  <c r="DR464" i="9"/>
  <c r="DW594" i="9"/>
  <c r="E43" i="116"/>
  <c r="E129" i="115"/>
  <c r="E128" i="115"/>
  <c r="CP405" i="9"/>
  <c r="CF368" i="9"/>
  <c r="K39" i="80"/>
  <c r="G38" i="80" s="1"/>
  <c r="F13" i="81" s="1"/>
  <c r="J12" i="101"/>
  <c r="D7" i="101" s="1"/>
  <c r="D36" i="101" s="1"/>
  <c r="B8" i="99" s="1"/>
  <c r="G5" i="99" s="1"/>
  <c r="G7" i="99" s="1"/>
  <c r="J12" i="66"/>
  <c r="D7" i="66" s="1"/>
  <c r="D30" i="66" s="1"/>
  <c r="F31" i="66" s="1"/>
  <c r="J129" i="115"/>
  <c r="DP467" i="9"/>
  <c r="DI421" i="9"/>
  <c r="DF368" i="9"/>
  <c r="DR467" i="9"/>
  <c r="E40" i="116"/>
  <c r="EI479" i="9"/>
  <c r="CF340" i="9"/>
  <c r="CP342" i="9"/>
  <c r="EC548" i="9"/>
  <c r="EB598" i="9"/>
  <c r="EC533" i="9"/>
  <c r="DZ465" i="9"/>
  <c r="DZ473" i="9"/>
  <c r="BR340" i="9"/>
  <c r="CB342" i="9"/>
  <c r="EG585" i="9"/>
  <c r="EF479" i="9"/>
  <c r="DQ583" i="9"/>
  <c r="DW479" i="9"/>
  <c r="EG525" i="9"/>
  <c r="DU518" i="9"/>
  <c r="EG570" i="9"/>
  <c r="DJ369" i="9" l="1"/>
  <c r="DL369" i="9" s="1"/>
  <c r="DJ343" i="9"/>
  <c r="DL343" i="9" s="1"/>
  <c r="EC465" i="9"/>
  <c r="DQ465" i="9" s="1"/>
  <c r="DQ468" i="9" s="1"/>
  <c r="AP357" i="87"/>
  <c r="AM304" i="87"/>
  <c r="AM7" i="87" s="1"/>
  <c r="U354" i="86"/>
  <c r="U394" i="87"/>
  <c r="F31" i="80"/>
  <c r="AP175" i="87"/>
  <c r="AK174" i="87"/>
  <c r="AP174" i="87" s="1"/>
  <c r="AP139" i="87"/>
  <c r="AK8" i="87"/>
  <c r="AJ157" i="86"/>
  <c r="AO158" i="86"/>
  <c r="AP304" i="87"/>
  <c r="B9" i="7"/>
  <c r="E152" i="115"/>
  <c r="AL264" i="86"/>
  <c r="AL7" i="86" s="1"/>
  <c r="AJ7" i="86"/>
  <c r="AO7" i="86" s="1"/>
  <c r="AO8" i="86"/>
  <c r="AO213" i="86"/>
  <c r="AK213" i="86"/>
  <c r="AK157" i="86" s="1"/>
  <c r="AK7" i="86" s="1"/>
  <c r="D38" i="116"/>
  <c r="E39" i="116" s="1"/>
  <c r="CP7" i="9"/>
  <c r="DI368" i="9"/>
  <c r="DI7" i="9"/>
  <c r="I129" i="115"/>
  <c r="F128" i="115"/>
  <c r="D44" i="116"/>
  <c r="E44" i="116" s="1"/>
  <c r="DU563" i="9"/>
  <c r="E55" i="116"/>
  <c r="DU578" i="9"/>
  <c r="DU583" i="9" s="1"/>
  <c r="DU585" i="9" s="1"/>
  <c r="E36" i="116"/>
  <c r="E37" i="116"/>
  <c r="DY479" i="9"/>
  <c r="E54" i="116"/>
  <c r="EA495" i="9"/>
  <c r="E51" i="116"/>
  <c r="EE495" i="9"/>
  <c r="EA540" i="9"/>
  <c r="E41" i="116"/>
  <c r="DP493" i="9"/>
  <c r="DP593" i="9"/>
  <c r="DP598" i="9" s="1"/>
  <c r="DV598" i="9"/>
  <c r="E59" i="116"/>
  <c r="E25" i="116"/>
  <c r="E24" i="116"/>
  <c r="CS368" i="9"/>
  <c r="DJ421" i="9"/>
  <c r="DL421" i="9" s="1"/>
  <c r="E29" i="116"/>
  <c r="AL368" i="9"/>
  <c r="DW598" i="9"/>
  <c r="DJ405" i="9"/>
  <c r="DL405" i="9" s="1"/>
  <c r="EA595" i="9"/>
  <c r="DY598" i="9"/>
  <c r="EA597" i="9"/>
  <c r="E47" i="116"/>
  <c r="DU523" i="9"/>
  <c r="DU525" i="9" s="1"/>
  <c r="EG479" i="9"/>
  <c r="EJ479" i="9"/>
  <c r="DP477" i="9"/>
  <c r="DQ523" i="9"/>
  <c r="EA553" i="9"/>
  <c r="EA555" i="9" s="1"/>
  <c r="BN456" i="9"/>
  <c r="BN458" i="9" s="1"/>
  <c r="EI495" i="9"/>
  <c r="EB479" i="9"/>
  <c r="E48" i="116"/>
  <c r="DP468" i="9"/>
  <c r="DS489" i="9"/>
  <c r="DS493" i="9" s="1"/>
  <c r="EA568" i="9"/>
  <c r="EA570" i="9" s="1"/>
  <c r="E23" i="116"/>
  <c r="DS568" i="9"/>
  <c r="DU567" i="9"/>
  <c r="G140" i="115"/>
  <c r="K142" i="115"/>
  <c r="K140" i="115" s="1"/>
  <c r="CB439" i="9"/>
  <c r="DJ439" i="9" s="1"/>
  <c r="DL439" i="9" s="1"/>
  <c r="BP368" i="9"/>
  <c r="CB7" i="9" s="1"/>
  <c r="G150" i="115"/>
  <c r="DJ440" i="9"/>
  <c r="DL440" i="9" s="1"/>
  <c r="D33" i="116"/>
  <c r="CE456" i="9"/>
  <c r="CE458" i="9" s="1"/>
  <c r="E30" i="116"/>
  <c r="E31" i="116"/>
  <c r="D26" i="116"/>
  <c r="C20" i="116" s="1"/>
  <c r="BV456" i="9"/>
  <c r="BV458" i="9" s="1"/>
  <c r="B29" i="79"/>
  <c r="EM495" i="9"/>
  <c r="DV479" i="9"/>
  <c r="J35" i="84"/>
  <c r="O35" i="84" s="1"/>
  <c r="P14" i="26"/>
  <c r="L35" i="84" s="1"/>
  <c r="N13" i="26"/>
  <c r="P13" i="26" s="1"/>
  <c r="EA594" i="9"/>
  <c r="DQ594" i="9"/>
  <c r="DU594" i="9" s="1"/>
  <c r="DU552" i="9"/>
  <c r="DS553" i="9"/>
  <c r="DQ568" i="9"/>
  <c r="J128" i="115"/>
  <c r="CP368" i="9"/>
  <c r="DU591" i="9"/>
  <c r="DR598" i="9"/>
  <c r="G130" i="115"/>
  <c r="K132" i="115"/>
  <c r="K130" i="115" s="1"/>
  <c r="EE479" i="9"/>
  <c r="F15" i="116"/>
  <c r="F16" i="116" s="1"/>
  <c r="F17" i="116" s="1"/>
  <c r="F18" i="116" s="1"/>
  <c r="F19" i="116" s="1"/>
  <c r="E15" i="116"/>
  <c r="E16" i="116"/>
  <c r="BQ456" i="9"/>
  <c r="BQ458" i="9" s="1"/>
  <c r="D21" i="116"/>
  <c r="E22" i="116" s="1"/>
  <c r="P12" i="26"/>
  <c r="L32" i="84" s="1"/>
  <c r="J32" i="84"/>
  <c r="O32" i="84" s="1"/>
  <c r="N11" i="26"/>
  <c r="P11" i="26" s="1"/>
  <c r="DU597" i="9"/>
  <c r="DS598" i="9"/>
  <c r="EA525" i="9"/>
  <c r="J24" i="84"/>
  <c r="O24" i="84" s="1"/>
  <c r="P8" i="26"/>
  <c r="L24" i="84" s="1"/>
  <c r="N7" i="26"/>
  <c r="DQ548" i="9"/>
  <c r="EC553" i="9"/>
  <c r="EG548" i="9"/>
  <c r="EG553" i="9" s="1"/>
  <c r="CF325" i="9"/>
  <c r="CP340" i="9"/>
  <c r="CP325" i="9" s="1"/>
  <c r="DJ342" i="9"/>
  <c r="DL342" i="9" s="1"/>
  <c r="BR325" i="9"/>
  <c r="CB340" i="9"/>
  <c r="EA473" i="9"/>
  <c r="EA477" i="9" s="1"/>
  <c r="DZ477" i="9"/>
  <c r="DQ473" i="9"/>
  <c r="DQ477" i="9" s="1"/>
  <c r="DQ533" i="9"/>
  <c r="EC538" i="9"/>
  <c r="EG533" i="9"/>
  <c r="EG538" i="9" s="1"/>
  <c r="DR465" i="9"/>
  <c r="DR468" i="9" s="1"/>
  <c r="EC593" i="9"/>
  <c r="DR473" i="9"/>
  <c r="DR477" i="9" s="1"/>
  <c r="ED473" i="9"/>
  <c r="ED477" i="9" s="1"/>
  <c r="EC477" i="9"/>
  <c r="EA465" i="9"/>
  <c r="EA468" i="9" s="1"/>
  <c r="DZ468" i="9"/>
  <c r="DJ7" i="9" l="1"/>
  <c r="EC468" i="9"/>
  <c r="EC479" i="9" s="1"/>
  <c r="ED465" i="9"/>
  <c r="ED468" i="9" s="1"/>
  <c r="ED479" i="9" s="1"/>
  <c r="C7" i="8"/>
  <c r="B25" i="7"/>
  <c r="B27" i="7" s="1"/>
  <c r="B11" i="7"/>
  <c r="AO264" i="86"/>
  <c r="AO157" i="86"/>
  <c r="AP8" i="87"/>
  <c r="AK7" i="87"/>
  <c r="AP7" i="87" s="1"/>
  <c r="G9" i="7"/>
  <c r="G25" i="7" s="1"/>
  <c r="G27" i="7" s="1"/>
  <c r="J152" i="115"/>
  <c r="U15" i="86"/>
  <c r="F32" i="80"/>
  <c r="C9" i="7"/>
  <c r="C25" i="7" s="1"/>
  <c r="C27" i="7" s="1"/>
  <c r="E38" i="116"/>
  <c r="B28" i="79"/>
  <c r="AL1" i="9"/>
  <c r="DD368" i="9"/>
  <c r="DU568" i="9"/>
  <c r="DU570" i="9" s="1"/>
  <c r="AN368" i="9"/>
  <c r="EA598" i="9"/>
  <c r="EA600" i="9" s="1"/>
  <c r="I128" i="115"/>
  <c r="DZ479" i="9"/>
  <c r="DP479" i="9"/>
  <c r="D32" i="116"/>
  <c r="E33" i="116" s="1"/>
  <c r="CP456" i="9"/>
  <c r="CP458" i="9" s="1"/>
  <c r="CD456" i="9"/>
  <c r="CD458" i="9" s="1"/>
  <c r="C6" i="6"/>
  <c r="O39" i="84"/>
  <c r="CB368" i="9"/>
  <c r="D56" i="116"/>
  <c r="DI456" i="9"/>
  <c r="DI458" i="9" s="1"/>
  <c r="DF456" i="9"/>
  <c r="DF458" i="9" s="1"/>
  <c r="Q32" i="84"/>
  <c r="P7" i="26"/>
  <c r="N6" i="26"/>
  <c r="P6" i="26" s="1"/>
  <c r="EG540" i="9"/>
  <c r="C29" i="79"/>
  <c r="Q24" i="84"/>
  <c r="Q35" i="84"/>
  <c r="E26" i="116"/>
  <c r="E27" i="116"/>
  <c r="D34" i="116"/>
  <c r="CF456" i="9"/>
  <c r="CF458" i="9" s="1"/>
  <c r="G148" i="115"/>
  <c r="G129" i="115" s="1"/>
  <c r="K150" i="115"/>
  <c r="K148" i="115" s="1"/>
  <c r="K129" i="115" s="1"/>
  <c r="EG555" i="9"/>
  <c r="EA479" i="9"/>
  <c r="DR479" i="9"/>
  <c r="DQ469" i="9"/>
  <c r="DQ479" i="9"/>
  <c r="DQ593" i="9"/>
  <c r="EC598" i="9"/>
  <c r="EG593" i="9"/>
  <c r="EG598" i="9" s="1"/>
  <c r="EG600" i="9" s="1"/>
  <c r="DQ538" i="9"/>
  <c r="DU533" i="9"/>
  <c r="DU538" i="9" s="1"/>
  <c r="DU540" i="9" s="1"/>
  <c r="CB325" i="9"/>
  <c r="DJ325" i="9" s="1"/>
  <c r="DL325" i="9" s="1"/>
  <c r="DJ340" i="9"/>
  <c r="DL340" i="9" s="1"/>
  <c r="DQ553" i="9"/>
  <c r="DU548" i="9"/>
  <c r="DU553" i="9" s="1"/>
  <c r="DU555" i="9" s="1"/>
  <c r="D7" i="8" l="1"/>
  <c r="D11" i="8" s="1"/>
  <c r="F9" i="7"/>
  <c r="G7" i="8" s="1"/>
  <c r="G11" i="8" s="1"/>
  <c r="I152" i="115"/>
  <c r="H7" i="8"/>
  <c r="H11" i="8" s="1"/>
  <c r="G11" i="7"/>
  <c r="U19" i="86"/>
  <c r="F33" i="80"/>
  <c r="C11" i="7"/>
  <c r="C8" i="8"/>
  <c r="C11" i="8"/>
  <c r="C12" i="8" s="1"/>
  <c r="DJ368" i="9"/>
  <c r="DL368" i="9" s="1"/>
  <c r="DD456" i="9"/>
  <c r="DD458" i="9" s="1"/>
  <c r="AN1" i="9"/>
  <c r="AL3" i="9"/>
  <c r="AN3" i="9" s="1"/>
  <c r="C28" i="79"/>
  <c r="DL7" i="9"/>
  <c r="CS456" i="9"/>
  <c r="CS458" i="9" s="1"/>
  <c r="D45" i="116"/>
  <c r="E45" i="116" s="1"/>
  <c r="E56" i="116"/>
  <c r="E57" i="116"/>
  <c r="BP456" i="9"/>
  <c r="BP458" i="9" s="1"/>
  <c r="D20" i="116"/>
  <c r="E34" i="116"/>
  <c r="E35" i="116"/>
  <c r="E6" i="6"/>
  <c r="G128" i="115"/>
  <c r="E32" i="116"/>
  <c r="C25" i="116"/>
  <c r="H128" i="115"/>
  <c r="DQ598" i="9"/>
  <c r="DU593" i="9"/>
  <c r="DU598" i="9" s="1"/>
  <c r="DU600" i="9" s="1"/>
  <c r="F11" i="7" l="1"/>
  <c r="F25" i="7"/>
  <c r="F27" i="7" s="1"/>
  <c r="K128" i="115"/>
  <c r="B128" i="115" s="1"/>
  <c r="D12" i="8"/>
  <c r="D8" i="8"/>
  <c r="E9" i="7"/>
  <c r="E11" i="7" s="1"/>
  <c r="H152" i="115"/>
  <c r="D9" i="7"/>
  <c r="D25" i="7" s="1"/>
  <c r="D27" i="7" s="1"/>
  <c r="G152" i="115"/>
  <c r="U21" i="86"/>
  <c r="F36" i="80"/>
  <c r="E46" i="116"/>
  <c r="F5" i="6"/>
  <c r="F4" i="6"/>
  <c r="B26" i="79"/>
  <c r="B30" i="79" s="1"/>
  <c r="Q39" i="84"/>
  <c r="M25" i="84"/>
  <c r="M31" i="84"/>
  <c r="M26" i="84"/>
  <c r="M34" i="84"/>
  <c r="M36" i="84"/>
  <c r="M37" i="84"/>
  <c r="M23" i="84"/>
  <c r="M32" i="84"/>
  <c r="M35" i="84"/>
  <c r="M24" i="84"/>
  <c r="CB456" i="9"/>
  <c r="CB458" i="9" s="1"/>
  <c r="DJ456" i="9"/>
  <c r="DJ458" i="9" s="1"/>
  <c r="E20" i="116"/>
  <c r="D64" i="116"/>
  <c r="C15" i="116"/>
  <c r="J51" i="116" s="1"/>
  <c r="F20" i="116"/>
  <c r="F21" i="116" s="1"/>
  <c r="F22" i="116" s="1"/>
  <c r="F23" i="116" s="1"/>
  <c r="F24" i="116" s="1"/>
  <c r="F25" i="116" s="1"/>
  <c r="F26" i="116" s="1"/>
  <c r="F27" i="116" s="1"/>
  <c r="F28" i="116" s="1"/>
  <c r="F29" i="116" s="1"/>
  <c r="F30" i="116" s="1"/>
  <c r="F31" i="116" s="1"/>
  <c r="F32" i="116" s="1"/>
  <c r="F33" i="116" s="1"/>
  <c r="F34" i="116" s="1"/>
  <c r="F35" i="116" s="1"/>
  <c r="F36" i="116" s="1"/>
  <c r="F37" i="116" s="1"/>
  <c r="F38" i="116" s="1"/>
  <c r="F39" i="116" s="1"/>
  <c r="F40" i="116" s="1"/>
  <c r="F41" i="116" s="1"/>
  <c r="F42" i="116" s="1"/>
  <c r="F43" i="116" s="1"/>
  <c r="F44" i="116" s="1"/>
  <c r="F45" i="116" s="1"/>
  <c r="F46" i="116" s="1"/>
  <c r="F47" i="116" s="1"/>
  <c r="F48" i="116" s="1"/>
  <c r="F49" i="116" s="1"/>
  <c r="F50" i="116" s="1"/>
  <c r="F51" i="116" s="1"/>
  <c r="F52" i="116" s="1"/>
  <c r="F53" i="116" s="1"/>
  <c r="F54" i="116" s="1"/>
  <c r="F55" i="116" s="1"/>
  <c r="F56" i="116" s="1"/>
  <c r="F57" i="116" s="1"/>
  <c r="F58" i="116" s="1"/>
  <c r="F59" i="116" s="1"/>
  <c r="F60" i="116" s="1"/>
  <c r="F61" i="116" s="1"/>
  <c r="F62" i="116" s="1"/>
  <c r="F63" i="116" s="1"/>
  <c r="E21" i="116"/>
  <c r="E25" i="7" l="1"/>
  <c r="E27" i="7" s="1"/>
  <c r="F7" i="8"/>
  <c r="F11" i="8" s="1"/>
  <c r="D11" i="7"/>
  <c r="E7" i="8"/>
  <c r="E8" i="8" s="1"/>
  <c r="H9" i="7"/>
  <c r="H11" i="7" s="1"/>
  <c r="E12" i="7" s="1"/>
  <c r="K152" i="115"/>
  <c r="U30" i="86"/>
  <c r="F38" i="80"/>
  <c r="U31" i="87"/>
  <c r="J59" i="116"/>
  <c r="J30" i="116"/>
  <c r="J33" i="116"/>
  <c r="J40" i="116"/>
  <c r="J52" i="116"/>
  <c r="J32" i="116"/>
  <c r="J57" i="116"/>
  <c r="J39" i="116"/>
  <c r="J29" i="116"/>
  <c r="J28" i="116"/>
  <c r="J35" i="116"/>
  <c r="J43" i="116"/>
  <c r="J60" i="116"/>
  <c r="D66" i="116"/>
  <c r="J36" i="116"/>
  <c r="J27" i="116"/>
  <c r="J31" i="116"/>
  <c r="J38" i="116"/>
  <c r="J50" i="116"/>
  <c r="F6" i="6"/>
  <c r="J37" i="116"/>
  <c r="J63" i="116"/>
  <c r="J64" i="116" s="1"/>
  <c r="J58" i="116"/>
  <c r="J41" i="116"/>
  <c r="J24" i="116"/>
  <c r="J61" i="116"/>
  <c r="J22" i="116"/>
  <c r="J48" i="116"/>
  <c r="J19" i="116"/>
  <c r="I15" i="116"/>
  <c r="I16" i="116" s="1"/>
  <c r="I17" i="116" s="1"/>
  <c r="I18" i="116" s="1"/>
  <c r="I19" i="116" s="1"/>
  <c r="I20" i="116" s="1"/>
  <c r="I21" i="116" s="1"/>
  <c r="I22" i="116" s="1"/>
  <c r="I23" i="116" s="1"/>
  <c r="I24" i="116" s="1"/>
  <c r="I25" i="116" s="1"/>
  <c r="I26" i="116" s="1"/>
  <c r="I27" i="116" s="1"/>
  <c r="I28" i="116" s="1"/>
  <c r="I29" i="116" s="1"/>
  <c r="I30" i="116" s="1"/>
  <c r="I31" i="116" s="1"/>
  <c r="I32" i="116" s="1"/>
  <c r="I33" i="116" s="1"/>
  <c r="I34" i="116" s="1"/>
  <c r="I35" i="116" s="1"/>
  <c r="I36" i="116" s="1"/>
  <c r="I37" i="116" s="1"/>
  <c r="I38" i="116" s="1"/>
  <c r="I39" i="116" s="1"/>
  <c r="I40" i="116" s="1"/>
  <c r="I41" i="116" s="1"/>
  <c r="I42" i="116" s="1"/>
  <c r="I43" i="116" s="1"/>
  <c r="I44" i="116" s="1"/>
  <c r="I45" i="116" s="1"/>
  <c r="I46" i="116" s="1"/>
  <c r="I47" i="116" s="1"/>
  <c r="I48" i="116" s="1"/>
  <c r="I49" i="116" s="1"/>
  <c r="I50" i="116" s="1"/>
  <c r="I51" i="116" s="1"/>
  <c r="I52" i="116" s="1"/>
  <c r="I53" i="116" s="1"/>
  <c r="I54" i="116" s="1"/>
  <c r="I55" i="116" s="1"/>
  <c r="I56" i="116" s="1"/>
  <c r="I57" i="116" s="1"/>
  <c r="I58" i="116" s="1"/>
  <c r="I59" i="116" s="1"/>
  <c r="I60" i="116" s="1"/>
  <c r="I61" i="116" s="1"/>
  <c r="I62" i="116" s="1"/>
  <c r="I63" i="116" s="1"/>
  <c r="G15" i="116"/>
  <c r="G16" i="116" s="1"/>
  <c r="G17" i="116" s="1"/>
  <c r="G18" i="116" s="1"/>
  <c r="G19" i="116" s="1"/>
  <c r="G20" i="116" s="1"/>
  <c r="G21" i="116" s="1"/>
  <c r="G22" i="116" s="1"/>
  <c r="G23" i="116" s="1"/>
  <c r="G24" i="116" s="1"/>
  <c r="G25" i="116" s="1"/>
  <c r="G26" i="116" s="1"/>
  <c r="G27" i="116" s="1"/>
  <c r="G28" i="116" s="1"/>
  <c r="G29" i="116" s="1"/>
  <c r="G30" i="116" s="1"/>
  <c r="G31" i="116" s="1"/>
  <c r="G32" i="116" s="1"/>
  <c r="G33" i="116" s="1"/>
  <c r="G34" i="116" s="1"/>
  <c r="G35" i="116" s="1"/>
  <c r="G36" i="116" s="1"/>
  <c r="G37" i="116" s="1"/>
  <c r="G38" i="116" s="1"/>
  <c r="G39" i="116" s="1"/>
  <c r="G40" i="116" s="1"/>
  <c r="G41" i="116" s="1"/>
  <c r="G42" i="116" s="1"/>
  <c r="G43" i="116" s="1"/>
  <c r="G44" i="116" s="1"/>
  <c r="G45" i="116" s="1"/>
  <c r="G46" i="116" s="1"/>
  <c r="G47" i="116" s="1"/>
  <c r="G48" i="116" s="1"/>
  <c r="G49" i="116" s="1"/>
  <c r="G50" i="116" s="1"/>
  <c r="G51" i="116" s="1"/>
  <c r="G52" i="116" s="1"/>
  <c r="G53" i="116" s="1"/>
  <c r="G54" i="116" s="1"/>
  <c r="G55" i="116" s="1"/>
  <c r="G56" i="116" s="1"/>
  <c r="G57" i="116" s="1"/>
  <c r="G58" i="116" s="1"/>
  <c r="G59" i="116" s="1"/>
  <c r="G60" i="116" s="1"/>
  <c r="G61" i="116" s="1"/>
  <c r="G62" i="116" s="1"/>
  <c r="G63" i="116" s="1"/>
  <c r="G64" i="116" s="1"/>
  <c r="C64" i="116"/>
  <c r="J16" i="116"/>
  <c r="J18" i="116"/>
  <c r="J15" i="116"/>
  <c r="J17" i="116"/>
  <c r="J21" i="116"/>
  <c r="J62" i="116"/>
  <c r="J49" i="116"/>
  <c r="J45" i="116"/>
  <c r="J46" i="116"/>
  <c r="J44" i="116"/>
  <c r="J53" i="116"/>
  <c r="J26" i="116"/>
  <c r="C26" i="79"/>
  <c r="C30" i="79" s="1"/>
  <c r="J55" i="116"/>
  <c r="J42" i="116"/>
  <c r="J56" i="116"/>
  <c r="J34" i="116"/>
  <c r="J54" i="116"/>
  <c r="J20" i="116"/>
  <c r="N17" i="26"/>
  <c r="J47" i="116"/>
  <c r="J25" i="116"/>
  <c r="J23" i="116"/>
  <c r="F8" i="8" l="1"/>
  <c r="G8" i="8" s="1"/>
  <c r="H8" i="8" s="1"/>
  <c r="H25" i="7"/>
  <c r="H27" i="7" s="1"/>
  <c r="I25" i="7" s="1"/>
  <c r="E11" i="8"/>
  <c r="E12" i="8" s="1"/>
  <c r="F12" i="8" s="1"/>
  <c r="G12" i="8" s="1"/>
  <c r="H12" i="8" s="1"/>
  <c r="U33" i="86"/>
  <c r="F41" i="80"/>
  <c r="I9" i="7"/>
  <c r="P4" i="26"/>
  <c r="P17" i="26" s="1"/>
  <c r="D12" i="7"/>
  <c r="B12" i="7"/>
  <c r="H12" i="7"/>
  <c r="I11" i="7"/>
  <c r="I10" i="7"/>
  <c r="F12" i="7"/>
  <c r="G12" i="7"/>
  <c r="C12" i="7"/>
  <c r="U42" i="86" l="1"/>
  <c r="U43" i="87"/>
  <c r="F42" i="80"/>
  <c r="I27" i="7"/>
  <c r="H28" i="7"/>
  <c r="I26" i="7"/>
  <c r="C28" i="7"/>
  <c r="F28" i="7"/>
  <c r="B28" i="7"/>
  <c r="G28" i="7"/>
  <c r="D28" i="7"/>
  <c r="E28" i="7"/>
  <c r="U93" i="86" l="1"/>
  <c r="F43" i="80"/>
  <c r="Q6" i="26"/>
  <c r="Q14" i="26"/>
  <c r="Q9" i="26"/>
  <c r="Q13" i="26"/>
  <c r="Q10" i="26"/>
  <c r="Q8" i="26"/>
  <c r="Q11" i="26"/>
  <c r="Q16" i="26"/>
  <c r="Q7" i="26"/>
  <c r="Q12" i="26"/>
  <c r="Q15" i="26"/>
  <c r="Q4" i="26"/>
  <c r="Q17" i="26" s="1"/>
  <c r="U99" i="86" l="1"/>
  <c r="F45" i="80"/>
  <c r="U104" i="86" l="1"/>
  <c r="F50" i="80"/>
  <c r="U110" i="86" l="1"/>
  <c r="F52" i="80"/>
  <c r="U113" i="86" l="1"/>
  <c r="F53" i="80"/>
  <c r="U114" i="86" l="1"/>
  <c r="F54" i="80"/>
  <c r="U116" i="86" l="1"/>
  <c r="F55" i="80"/>
  <c r="U127" i="86" l="1"/>
  <c r="F56" i="80"/>
  <c r="F59" i="80" l="1"/>
  <c r="U142" i="86"/>
  <c r="U146" i="86" l="1"/>
  <c r="F62" i="80"/>
  <c r="U151" i="86" l="1"/>
  <c r="U168" i="87"/>
  <c r="F65" i="80"/>
  <c r="U161" i="86" l="1"/>
  <c r="F68" i="80"/>
  <c r="U167" i="86" l="1"/>
  <c r="U172" i="86"/>
  <c r="F76" i="80"/>
  <c r="U196" i="87"/>
  <c r="U192" i="87"/>
  <c r="U178" i="86" l="1"/>
  <c r="U207" i="87"/>
  <c r="F82" i="80"/>
  <c r="U186" i="86" l="1"/>
  <c r="F89" i="80"/>
  <c r="U218" i="87"/>
  <c r="U197" i="86" l="1"/>
  <c r="F92" i="80"/>
  <c r="U231" i="87"/>
  <c r="U205" i="86" l="1"/>
  <c r="U242" i="87"/>
  <c r="F93" i="80"/>
  <c r="U215" i="86" l="1"/>
  <c r="F94" i="80"/>
  <c r="U267" i="87"/>
  <c r="U223" i="86" l="1"/>
  <c r="U218" i="86"/>
  <c r="F102" i="80"/>
  <c r="U245" i="86" l="1"/>
  <c r="F103" i="80"/>
  <c r="U247" i="86" l="1"/>
  <c r="F104" i="80"/>
  <c r="U249" i="86" l="1"/>
  <c r="F105" i="80"/>
  <c r="U253" i="86" l="1"/>
  <c r="F106" i="80"/>
  <c r="U288" i="87"/>
  <c r="U255" i="86" l="1"/>
  <c r="F107" i="80"/>
  <c r="U295" i="87"/>
  <c r="U257" i="86" l="1"/>
  <c r="U301" i="87"/>
  <c r="F109" i="80"/>
  <c r="U321" i="87" l="1"/>
  <c r="U281" i="86"/>
  <c r="F110" i="80"/>
  <c r="U282" i="86" l="1"/>
  <c r="U322" i="87"/>
  <c r="F116" i="80"/>
  <c r="U289" i="86" l="1"/>
  <c r="U329" i="87"/>
  <c r="F122" i="80"/>
  <c r="U296" i="86" l="1"/>
  <c r="U336" i="87"/>
  <c r="F127" i="80"/>
  <c r="U302" i="86" l="1"/>
  <c r="U342" i="87"/>
  <c r="F129" i="80"/>
  <c r="U307" i="86" l="1"/>
  <c r="U347" i="87"/>
  <c r="F131" i="80"/>
  <c r="U311" i="86" l="1"/>
  <c r="U351" i="87"/>
  <c r="F132" i="80"/>
  <c r="U312" i="86" l="1"/>
  <c r="U352" i="87"/>
  <c r="F133" i="80"/>
  <c r="U313" i="86" l="1"/>
  <c r="F135" i="80"/>
  <c r="U353" i="87"/>
  <c r="U315" i="86" l="1"/>
  <c r="F136" i="80"/>
  <c r="U355" i="87"/>
  <c r="U319" i="86" l="1"/>
  <c r="F137" i="80"/>
  <c r="U359" i="87"/>
  <c r="U321" i="86" l="1"/>
  <c r="U329" i="86"/>
  <c r="U332" i="86"/>
  <c r="U372" i="87"/>
  <c r="U361" i="87"/>
  <c r="U369" i="87"/>
  <c r="F145" i="80"/>
  <c r="U334" i="86" l="1"/>
  <c r="U326" i="86"/>
  <c r="U366" i="87"/>
  <c r="U374" i="87"/>
  <c r="F150" i="80"/>
  <c r="U395" i="87" l="1"/>
  <c r="U355" i="86"/>
  <c r="F153" i="80"/>
  <c r="U414" i="87" l="1"/>
  <c r="U374" i="86"/>
  <c r="F155" i="80"/>
  <c r="U389" i="86" l="1"/>
  <c r="U430" i="87"/>
  <c r="F156" i="80"/>
  <c r="U392" i="86" l="1"/>
  <c r="U433" i="87"/>
  <c r="F162" i="80"/>
  <c r="U25" i="86" l="1"/>
  <c r="U12" i="86"/>
  <c r="F164" i="80"/>
  <c r="U13" i="86" l="1"/>
  <c r="U26" i="86"/>
  <c r="F166" i="80"/>
  <c r="U27" i="86" l="1"/>
  <c r="U14" i="86"/>
  <c r="F168" i="80"/>
  <c r="U95" i="86" l="1"/>
  <c r="F169" i="80"/>
  <c r="U96" i="86" l="1"/>
  <c r="F170" i="80"/>
  <c r="U97" i="86" l="1"/>
  <c r="F171" i="80"/>
  <c r="U115" i="86" l="1"/>
  <c r="F172" i="80"/>
  <c r="F173" i="80" l="1"/>
  <c r="U129" i="86"/>
  <c r="U130" i="86" l="1"/>
  <c r="F174" i="80"/>
  <c r="U131" i="86" l="1"/>
  <c r="F175" i="80"/>
  <c r="U132" i="86" l="1"/>
  <c r="F176" i="80"/>
  <c r="U164" i="86" l="1"/>
  <c r="F177" i="80"/>
  <c r="U176" i="86" l="1"/>
  <c r="F178" i="80"/>
  <c r="U184" i="86" l="1"/>
  <c r="F179" i="80"/>
  <c r="U214" i="87"/>
  <c r="U210" i="86" l="1"/>
  <c r="U254" i="87"/>
  <c r="F180" i="80"/>
  <c r="U229" i="86" l="1"/>
  <c r="F181" i="80"/>
  <c r="U230" i="86" l="1"/>
  <c r="F182" i="80"/>
  <c r="U231" i="86" l="1"/>
  <c r="F183" i="80"/>
  <c r="U232" i="86" l="1"/>
  <c r="F184" i="80"/>
  <c r="U233" i="86" l="1"/>
  <c r="F185" i="80"/>
  <c r="U237" i="86" l="1"/>
  <c r="U281" i="87"/>
  <c r="F186" i="80"/>
  <c r="U238" i="86" l="1"/>
  <c r="U282" i="87"/>
  <c r="F187" i="80"/>
  <c r="U270" i="86" l="1"/>
  <c r="U310" i="87"/>
  <c r="F188" i="80"/>
  <c r="U271" i="86" l="1"/>
  <c r="U311" i="87"/>
  <c r="F189" i="80"/>
  <c r="U277" i="86" l="1"/>
  <c r="U317" i="87"/>
  <c r="F190" i="80"/>
  <c r="U278" i="86" l="1"/>
  <c r="U318" i="87"/>
  <c r="F191" i="80"/>
  <c r="U350" i="86" l="1"/>
  <c r="F192" i="80"/>
  <c r="U390" i="87"/>
  <c r="U353" i="86" l="1"/>
  <c r="U393" i="87"/>
  <c r="F193" i="80"/>
  <c r="U365" i="86" l="1"/>
  <c r="U405" i="87"/>
  <c r="F194" i="80"/>
  <c r="U406" i="87" l="1"/>
  <c r="U366" i="86"/>
  <c r="F195" i="80"/>
  <c r="U367" i="86" l="1"/>
  <c r="U407" i="87"/>
  <c r="F196" i="80"/>
  <c r="U368" i="86" l="1"/>
  <c r="U408" i="87"/>
  <c r="F197" i="80"/>
  <c r="U369" i="86" l="1"/>
  <c r="U409" i="87"/>
  <c r="F198" i="80"/>
  <c r="U370" i="86" l="1"/>
  <c r="U410" i="87"/>
  <c r="F199" i="80"/>
  <c r="U371" i="86" l="1"/>
  <c r="U411" i="87"/>
  <c r="F200" i="80"/>
  <c r="U380" i="86" l="1"/>
  <c r="U420" i="87"/>
  <c r="F201" i="80"/>
  <c r="U381" i="86" l="1"/>
  <c r="U421" i="87"/>
  <c r="F202" i="80"/>
  <c r="U382" i="86" l="1"/>
  <c r="F203" i="80"/>
  <c r="U422" i="87"/>
  <c r="U423" i="87" l="1"/>
  <c r="U383" i="86"/>
  <c r="F204" i="80"/>
  <c r="U384" i="86" l="1"/>
  <c r="U424" i="87"/>
  <c r="F205" i="80"/>
  <c r="U385" i="86" l="1"/>
  <c r="U425" i="87"/>
  <c r="F206" i="80"/>
  <c r="U386" i="86" l="1"/>
  <c r="U426"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Carlos Perez S.</author>
  </authors>
  <commentList>
    <comment ref="D5" authorId="0" shapeId="0" xr:uid="{00000000-0006-0000-0000-000001000000}">
      <text>
        <r>
          <rPr>
            <b/>
            <sz val="9"/>
            <color indexed="81"/>
            <rFont val="Tahoma"/>
            <family val="2"/>
          </rPr>
          <t>Incluye 3 Subcomponentes de Gestion:
1) Equipo gestión UCP
2) Auditorias Externas
3) Evaluación del programa</t>
        </r>
      </text>
    </comment>
    <comment ref="P5" authorId="0" shapeId="0" xr:uid="{00000000-0006-0000-0000-000002000000}">
      <text>
        <r>
          <rPr>
            <b/>
            <sz val="9"/>
            <color indexed="81"/>
            <rFont val="Tahoma"/>
            <family val="2"/>
          </rPr>
          <t>Incluye 3 Subcomponentes de Gestion:
1) Equipo gestión UCP
2) Auditorias Externas
3) Evaluación del programa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tc={218ED5E2-6675-47F6-9BBF-FAC9F07C129E}</author>
    <author>tc={28CC1FE7-D1CF-4F0A-AD87-20F3F476F10A}</author>
    <author>tc={20028EC8-AE83-4252-B6A1-951A30B43943}</author>
    <author>Graciela von Bargen</author>
    <author>Oscar Diaz</author>
  </authors>
  <commentList>
    <comment ref="D11" authorId="0" shapeId="0" xr:uid="{00000000-0006-0000-3600-00000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Asistencia técnica a la implementación a corto plazo de la interoperabilidad entre el presupuesto, proyectos de inversión, procesos de contratación y contratos a partir de los mecanismos actuales, incluyendo construcción o mejora de servicios web y ajustes a los sistemas actuales</t>
      </text>
    </comment>
    <comment ref="D28" authorId="1" shapeId="0" xr:uid="{00000000-0006-0000-3600-000002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Mejoras al PTF incluyendo temas de usabilidad, navegación, accesibilidad para personas con discapacidad y autoservicio en los reportes.
 Comenzaran con la realización de un proyectos piloto orientado a los ciudadanos, mejorando la usabilidad e incluyendo mecanismos de participación ciudadana.</t>
      </text>
    </comment>
    <comment ref="D35" authorId="2" shapeId="0" xr:uid="{00000000-0006-0000-3600-00000300000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Mejoras al tablero de control gerencial sobre la gestión fiscal y financiera del MH Incluye: mejorar la coordinación con las fuentes, la calidad de la información, ampliando el alcance con gobiernos locales y entidades. ¿cómo va la ejecución vs. inversión, compras, tesorería? | descriptivo - prospectivo. Preguntas de eficiencia en el gasto y cumplimiento de los objetivos en el plan de desarrollo. "
</t>
      </text>
    </comment>
    <comment ref="F50" authorId="3" shapeId="0" xr:uid="{00000000-0006-0000-3600-000004000000}">
      <text>
        <r>
          <rPr>
            <sz val="11"/>
            <color theme="1"/>
            <rFont val="Calibri"/>
            <family val="2"/>
            <scheme val="minor"/>
          </rPr>
          <t>Paquetes de trabajo: El trabajo definido en el nivel más bajo de la estructura de desglose del trabajo (EDT) para el cual se puede estimar y gestionar el costo y la duración</t>
        </r>
      </text>
    </comment>
    <comment ref="AD176" authorId="4" shapeId="0" xr:uid="{00000000-0006-0000-3600-000005000000}">
      <text>
        <r>
          <rPr>
            <b/>
            <sz val="9"/>
            <color rgb="FF000000"/>
            <rFont val="Tahoma"/>
            <family val="2"/>
          </rPr>
          <t>Oscar Diaz:</t>
        </r>
        <r>
          <rPr>
            <sz val="9"/>
            <color rgb="FF000000"/>
            <rFont val="Tahoma"/>
            <family val="2"/>
          </rPr>
          <t xml:space="preserve">
</t>
        </r>
        <r>
          <rPr>
            <sz val="9"/>
            <color rgb="FF000000"/>
            <rFont val="Tahoma"/>
            <family val="2"/>
          </rPr>
          <t>Este monto originalmente era USD 545,000</t>
        </r>
      </text>
    </comment>
    <comment ref="AG176" authorId="4" shapeId="0" xr:uid="{00000000-0006-0000-3600-000006000000}">
      <text>
        <r>
          <rPr>
            <b/>
            <sz val="9"/>
            <color rgb="FF000000"/>
            <rFont val="Tahoma"/>
            <family val="2"/>
          </rPr>
          <t>Oscar Diaz:</t>
        </r>
        <r>
          <rPr>
            <sz val="9"/>
            <color rgb="FF000000"/>
            <rFont val="Tahoma"/>
            <family val="2"/>
          </rPr>
          <t xml:space="preserve">
</t>
        </r>
        <r>
          <rPr>
            <sz val="9"/>
            <color rgb="FF000000"/>
            <rFont val="Tahoma"/>
            <family val="2"/>
          </rPr>
          <t>Este monto originalmente era USD 545,000</t>
        </r>
      </text>
    </comment>
    <comment ref="AH176" authorId="4" shapeId="0" xr:uid="{00000000-0006-0000-3600-000007000000}">
      <text>
        <r>
          <rPr>
            <b/>
            <sz val="9"/>
            <color rgb="FF000000"/>
            <rFont val="Tahoma"/>
            <family val="2"/>
          </rPr>
          <t>Oscar Diaz:</t>
        </r>
        <r>
          <rPr>
            <sz val="9"/>
            <color rgb="FF000000"/>
            <rFont val="Tahoma"/>
            <family val="2"/>
          </rPr>
          <t xml:space="preserve">
</t>
        </r>
        <r>
          <rPr>
            <sz val="9"/>
            <color rgb="FF000000"/>
            <rFont val="Tahoma"/>
            <family val="2"/>
          </rPr>
          <t>Este monto originalmente era USD 545,000</t>
        </r>
      </text>
    </comment>
    <comment ref="AI176" authorId="4" shapeId="0" xr:uid="{00000000-0006-0000-3600-000008000000}">
      <text>
        <r>
          <rPr>
            <b/>
            <sz val="9"/>
            <color rgb="FF000000"/>
            <rFont val="Tahoma"/>
            <family val="2"/>
          </rPr>
          <t>Oscar Diaz:</t>
        </r>
        <r>
          <rPr>
            <sz val="9"/>
            <color rgb="FF000000"/>
            <rFont val="Tahoma"/>
            <family val="2"/>
          </rPr>
          <t xml:space="preserve">
</t>
        </r>
        <r>
          <rPr>
            <sz val="9"/>
            <color rgb="FF000000"/>
            <rFont val="Tahoma"/>
            <family val="2"/>
          </rPr>
          <t>Este monto originalmente era USD 545,000</t>
        </r>
      </text>
    </comment>
    <comment ref="D178" authorId="4" shapeId="0" xr:uid="{00000000-0006-0000-3600-000009000000}">
      <text>
        <r>
          <rPr>
            <b/>
            <sz val="9"/>
            <color rgb="FF000000"/>
            <rFont val="Tahoma"/>
            <family val="2"/>
          </rPr>
          <t>Oscar Diaz:</t>
        </r>
        <r>
          <rPr>
            <sz val="9"/>
            <color rgb="FF000000"/>
            <rFont val="Tahoma"/>
            <family val="2"/>
          </rPr>
          <t xml:space="preserve">
</t>
        </r>
        <r>
          <rPr>
            <sz val="9"/>
            <color rgb="FF000000"/>
            <rFont val="Tahoma"/>
            <family val="2"/>
          </rPr>
          <t>Es importante que la identificación de brechas se refiera a: (i) las competencias de la CGR establecidas en el marco legal,  y (ii) los estándares o mejores prácticas internacionales; ambas referencias deben estar en armonía. Por lo mencionado, aqui se incluyó lo que ahora aparece eiminado en color rojo (anterior 2.1.1.3)</t>
        </r>
      </text>
    </comment>
    <comment ref="D179" authorId="4" shapeId="0" xr:uid="{00000000-0006-0000-3600-00000A000000}">
      <text>
        <r>
          <rPr>
            <b/>
            <sz val="9"/>
            <color rgb="FF000000"/>
            <rFont val="Tahoma"/>
            <family val="2"/>
          </rPr>
          <t>Oscar Diaz:</t>
        </r>
        <r>
          <rPr>
            <sz val="9"/>
            <color rgb="FF000000"/>
            <rFont val="Tahoma"/>
            <family val="2"/>
          </rPr>
          <t xml:space="preserve">
</t>
        </r>
        <r>
          <rPr>
            <sz val="9"/>
            <color rgb="FF000000"/>
            <rFont val="Tahoma"/>
            <family val="2"/>
          </rPr>
          <t xml:space="preserve">El 2.1.1.2:
</t>
        </r>
        <r>
          <rPr>
            <sz val="9"/>
            <color rgb="FF000000"/>
            <rFont val="Tahoma"/>
            <family val="2"/>
          </rPr>
          <t xml:space="preserve">- se abrió en tres especialistas en normativa, organizacional y tecnológico, y se ajustaron los montos,
</t>
        </r>
        <r>
          <rPr>
            <sz val="9"/>
            <color rgb="FF000000"/>
            <rFont val="Tahoma"/>
            <family val="2"/>
          </rPr>
          <t xml:space="preserve">- la unidad de medida o tipo de contratación se cambió de Global a Consultor/mes,
</t>
        </r>
        <r>
          <rPr>
            <sz val="9"/>
            <color rgb="FF000000"/>
            <rFont val="Tahoma"/>
            <family val="2"/>
          </rPr>
          <t xml:space="preserve">- cambiaron los montos, lo que impacta en el total del 2.1.1 que pasó de 545,000 a 452,000
</t>
        </r>
      </text>
    </comment>
    <comment ref="AD182" authorId="4" shapeId="0" xr:uid="{00000000-0006-0000-3600-00000B000000}">
      <text>
        <r>
          <rPr>
            <b/>
            <sz val="9"/>
            <color indexed="81"/>
            <rFont val="Tahoma"/>
            <family val="2"/>
          </rPr>
          <t>Oscar Diaz:</t>
        </r>
        <r>
          <rPr>
            <sz val="9"/>
            <color indexed="81"/>
            <rFont val="Tahoma"/>
            <family val="2"/>
          </rPr>
          <t xml:space="preserve">
Se estimaron 9 meses, entendiendo que el Consultor coordinador tiene que iniciar antes que el resto de los consultores consultores (2.1.1.1.1. a 2.1.1.1.3) para planificar y preparar el terreno de actividades, levantar otra información no vinculada a los consultores, supervisar el trabajo, consolidar los informes y acompañar el inicio de la consultorpia a cargo del "Diseño del nuevo modelo de negocios de la CGR (normativos, organizacionales y tecnológicos), la cual insumirá los productos de los consultores especializados.</t>
        </r>
      </text>
    </comment>
    <comment ref="D186" authorId="4" shapeId="0" xr:uid="{00000000-0006-0000-3600-00000C000000}">
      <text>
        <r>
          <rPr>
            <b/>
            <sz val="9"/>
            <color rgb="FF000000"/>
            <rFont val="Tahoma"/>
            <family val="2"/>
          </rPr>
          <t>Oscar Diaz:</t>
        </r>
        <r>
          <rPr>
            <sz val="9"/>
            <color rgb="FF000000"/>
            <rFont val="Tahoma"/>
            <family val="2"/>
          </rPr>
          <t xml:space="preserve">
</t>
        </r>
        <r>
          <rPr>
            <sz val="9"/>
            <color rgb="FF000000"/>
            <rFont val="Tahoma"/>
            <family val="2"/>
          </rPr>
          <t>Se acordó llevar a cabo esta actividad como la 2.1.1.4 a través de consultorías individuales</t>
        </r>
      </text>
    </comment>
    <comment ref="D188" authorId="4" shapeId="0" xr:uid="{00000000-0006-0000-3600-00000D000000}">
      <text>
        <r>
          <rPr>
            <b/>
            <sz val="9"/>
            <color rgb="FF000000"/>
            <rFont val="Tahoma"/>
            <family val="2"/>
          </rPr>
          <t>Oscar Diaz:</t>
        </r>
        <r>
          <rPr>
            <sz val="9"/>
            <color rgb="FF000000"/>
            <rFont val="Tahoma"/>
            <family val="2"/>
          </rPr>
          <t xml:space="preserve">
</t>
        </r>
        <r>
          <rPr>
            <sz val="9"/>
            <color rgb="FF000000"/>
            <rFont val="Tahoma"/>
            <family val="2"/>
          </rPr>
          <t>Se concluyó que es necesario un consultor PM para toda la vida del Programa.</t>
        </r>
      </text>
    </comment>
    <comment ref="Y188" authorId="4" shapeId="0" xr:uid="{00000000-0006-0000-3600-00000E000000}">
      <text>
        <r>
          <rPr>
            <b/>
            <sz val="9"/>
            <color indexed="81"/>
            <rFont val="Tahoma"/>
            <family val="2"/>
          </rPr>
          <t>Oscar Diaz:</t>
        </r>
        <r>
          <rPr>
            <sz val="9"/>
            <color indexed="81"/>
            <rFont val="Tahoma"/>
            <family val="2"/>
          </rPr>
          <t xml:space="preserve">
Se pasó de Global a Consultor/mes</t>
        </r>
      </text>
    </comment>
    <comment ref="AD189" authorId="4" shapeId="0" xr:uid="{00000000-0006-0000-3600-00000F000000}">
      <text>
        <r>
          <rPr>
            <b/>
            <sz val="9"/>
            <color indexed="81"/>
            <rFont val="Tahoma"/>
            <family val="2"/>
          </rPr>
          <t>Oscar Diaz:</t>
        </r>
        <r>
          <rPr>
            <sz val="9"/>
            <color indexed="81"/>
            <rFont val="Tahoma"/>
            <family val="2"/>
          </rPr>
          <t xml:space="preserve">
Este monto originalmente era USD 840,000</t>
        </r>
      </text>
    </comment>
    <comment ref="AG189" authorId="4" shapeId="0" xr:uid="{00000000-0006-0000-3600-000010000000}">
      <text>
        <r>
          <rPr>
            <b/>
            <sz val="9"/>
            <color indexed="81"/>
            <rFont val="Tahoma"/>
            <family val="2"/>
          </rPr>
          <t>Oscar Diaz:</t>
        </r>
        <r>
          <rPr>
            <sz val="9"/>
            <color indexed="81"/>
            <rFont val="Tahoma"/>
            <family val="2"/>
          </rPr>
          <t xml:space="preserve">
Este monto originalmente era USD 840,000</t>
        </r>
      </text>
    </comment>
    <comment ref="AH189" authorId="4" shapeId="0" xr:uid="{00000000-0006-0000-3600-000011000000}">
      <text>
        <r>
          <rPr>
            <b/>
            <sz val="9"/>
            <color indexed="81"/>
            <rFont val="Tahoma"/>
            <family val="2"/>
          </rPr>
          <t>Oscar Diaz:</t>
        </r>
        <r>
          <rPr>
            <sz val="9"/>
            <color indexed="81"/>
            <rFont val="Tahoma"/>
            <family val="2"/>
          </rPr>
          <t xml:space="preserve">
Este monto originalmente era USD 840,000</t>
        </r>
      </text>
    </comment>
    <comment ref="AI189" authorId="4" shapeId="0" xr:uid="{00000000-0006-0000-3600-000012000000}">
      <text>
        <r>
          <rPr>
            <b/>
            <sz val="9"/>
            <color indexed="81"/>
            <rFont val="Tahoma"/>
            <family val="2"/>
          </rPr>
          <t>Oscar Diaz:</t>
        </r>
        <r>
          <rPr>
            <sz val="9"/>
            <color indexed="81"/>
            <rFont val="Tahoma"/>
            <family val="2"/>
          </rPr>
          <t xml:space="preserve">
Este monto originalmente era USD 840,000</t>
        </r>
      </text>
    </comment>
    <comment ref="AD191" authorId="4" shapeId="0" xr:uid="{00000000-0006-0000-3600-000013000000}">
      <text>
        <r>
          <rPr>
            <b/>
            <sz val="9"/>
            <color rgb="FF000000"/>
            <rFont val="Tahoma"/>
            <family val="2"/>
          </rPr>
          <t>Oscar Diaz:</t>
        </r>
        <r>
          <rPr>
            <sz val="9"/>
            <color rgb="FF000000"/>
            <rFont val="Tahoma"/>
            <family val="2"/>
          </rPr>
          <t xml:space="preserve">
</t>
        </r>
        <r>
          <rPr>
            <sz val="9"/>
            <color rgb="FF000000"/>
            <rFont val="Tahoma"/>
            <family val="2"/>
          </rPr>
          <t>Este monto originalmente era USD 500,000</t>
        </r>
      </text>
    </comment>
    <comment ref="AC192" authorId="4" shapeId="0" xr:uid="{00000000-0006-0000-3600-000014000000}">
      <text>
        <r>
          <rPr>
            <b/>
            <sz val="9"/>
            <color indexed="81"/>
            <rFont val="Tahoma"/>
            <family val="2"/>
          </rPr>
          <t>Oscar Diaz:</t>
        </r>
        <r>
          <rPr>
            <sz val="9"/>
            <color indexed="81"/>
            <rFont val="Tahoma"/>
            <family val="2"/>
          </rPr>
          <t xml:space="preserve">
Anteriormente por cada una de las 4 subactividades de 2.1.2.1 se asginaban USD 125,000 totalizando USD 500,000, con la eliminación de 2.1.2.1.4 se prevén USD 375,000 a una sola firma consultora.</t>
        </r>
      </text>
    </comment>
    <comment ref="AD195" authorId="4" shapeId="0" xr:uid="{00000000-0006-0000-3600-000015000000}">
      <text>
        <r>
          <rPr>
            <b/>
            <sz val="9"/>
            <color indexed="81"/>
            <rFont val="Tahoma"/>
            <family val="2"/>
          </rPr>
          <t>Oscar Diaz:</t>
        </r>
        <r>
          <rPr>
            <sz val="9"/>
            <color indexed="81"/>
            <rFont val="Tahoma"/>
            <family val="2"/>
          </rPr>
          <t xml:space="preserve">
Este monto originalmente era USD 280,000.
Además, cada subactividad estaba prevista para que sea realizada por firmas diferentes.</t>
        </r>
      </text>
    </comment>
    <comment ref="Y196" authorId="4" shapeId="0" xr:uid="{00000000-0006-0000-3600-000016000000}">
      <text>
        <r>
          <rPr>
            <b/>
            <sz val="9"/>
            <color indexed="81"/>
            <rFont val="Tahoma"/>
            <family val="2"/>
          </rPr>
          <t>Oscar Diaz:</t>
        </r>
        <r>
          <rPr>
            <sz val="9"/>
            <color indexed="81"/>
            <rFont val="Tahoma"/>
            <family val="2"/>
          </rPr>
          <t xml:space="preserve">
Para la gestión de costos y adquisiciones se fusionaron 2.1.2.2.1 y 2.1.2.2.2, totalizando USD 140,000.
 </t>
        </r>
      </text>
    </comment>
    <comment ref="D204" authorId="4" shapeId="0" xr:uid="{00000000-0006-0000-3600-000017000000}">
      <text>
        <r>
          <rPr>
            <b/>
            <sz val="9"/>
            <color rgb="FF000000"/>
            <rFont val="Tahoma"/>
            <family val="2"/>
          </rPr>
          <t>Oscar Diaz:</t>
        </r>
        <r>
          <rPr>
            <sz val="9"/>
            <color rgb="FF000000"/>
            <rFont val="Tahoma"/>
            <family val="2"/>
          </rPr>
          <t xml:space="preserve">
</t>
        </r>
        <r>
          <rPr>
            <sz val="9"/>
            <color rgb="FF000000"/>
            <rFont val="Tahoma"/>
            <family val="2"/>
          </rPr>
          <t xml:space="preserve">Se reemplazó "Unidades de Control Interno" por "Unidades a cargo del control "ex ante" y "ex post" </t>
        </r>
      </text>
    </comment>
    <comment ref="AD204" authorId="4" shapeId="0" xr:uid="{00000000-0006-0000-3600-000018000000}">
      <text>
        <r>
          <rPr>
            <b/>
            <sz val="9"/>
            <color indexed="81"/>
            <rFont val="Tahoma"/>
            <family val="2"/>
          </rPr>
          <t>Oscar Diaz:</t>
        </r>
        <r>
          <rPr>
            <sz val="9"/>
            <color indexed="81"/>
            <rFont val="Tahoma"/>
            <family val="2"/>
          </rPr>
          <t xml:space="preserve">
Al monto original de USD 560,000 se le agregó USD24.000 por "Desarrollo de instrumentos metodológicos para monitoreo y evaluación de la transformación digital" (2.1.3.8).
Luego se disminuyó el presupuesto original de USD 500,000 a USD386,000 (2.1.3.1 a 2.1.3.7) a cargo de una Firma Privada.</t>
        </r>
      </text>
    </comment>
    <comment ref="AG204" authorId="4" shapeId="0" xr:uid="{00000000-0006-0000-3600-000019000000}">
      <text>
        <r>
          <rPr>
            <b/>
            <sz val="9"/>
            <color indexed="81"/>
            <rFont val="Tahoma"/>
            <family val="2"/>
          </rPr>
          <t>Oscar Diaz:</t>
        </r>
        <r>
          <rPr>
            <sz val="9"/>
            <color indexed="81"/>
            <rFont val="Tahoma"/>
            <family val="2"/>
          </rPr>
          <t xml:space="preserve">
Al monto original de USD 560,000 se le agregó USD24.000 por "Desarrollo de instrumentos metodológicos para monitoreo y evaluación de la transformación digital" (2.1.3.8).
Luego se disminuyó el presupuesto original de USD 500,000 a USD386,000 (2.1.3.1 a 2.1.3.7) a cargo de una Firma Privada.</t>
        </r>
      </text>
    </comment>
    <comment ref="AH204" authorId="4" shapeId="0" xr:uid="{00000000-0006-0000-3600-00001A000000}">
      <text>
        <r>
          <rPr>
            <b/>
            <sz val="9"/>
            <color indexed="81"/>
            <rFont val="Tahoma"/>
            <family val="2"/>
          </rPr>
          <t>Oscar Diaz:</t>
        </r>
        <r>
          <rPr>
            <sz val="9"/>
            <color indexed="81"/>
            <rFont val="Tahoma"/>
            <family val="2"/>
          </rPr>
          <t xml:space="preserve">
Al monto original de USD 560,000 se le agregó USD24.000 por "Desarrollo de instrumentos metodológicos para monitoreo y evaluación de la transformación digital" (2.1.3.8).
Luego se disminuyó el presupuesto original de USD 500,000 a USD386,000 (2.1.3.1 a 2.1.3.7) a cargo de una Firma Privada.</t>
        </r>
      </text>
    </comment>
    <comment ref="AI204" authorId="4" shapeId="0" xr:uid="{00000000-0006-0000-3600-00001B000000}">
      <text>
        <r>
          <rPr>
            <b/>
            <sz val="9"/>
            <color indexed="81"/>
            <rFont val="Tahoma"/>
            <family val="2"/>
          </rPr>
          <t>Oscar Diaz:</t>
        </r>
        <r>
          <rPr>
            <sz val="9"/>
            <color indexed="81"/>
            <rFont val="Tahoma"/>
            <family val="2"/>
          </rPr>
          <t xml:space="preserve">
Al monto original de USD 560,000 se le agregó USD24.000 por "Desarrollo de instrumentos metodológicos para monitoreo y evaluación de la transformación digital" (2.1.3.8).
Luego se disminuyó el presupuesto original de USD 500,000 a USD386,000 (2.1.3.1 a 2.1.3.7) a cargo de una Firma Privada.</t>
        </r>
      </text>
    </comment>
    <comment ref="D208" authorId="4" shapeId="0" xr:uid="{00000000-0006-0000-3600-00001C000000}">
      <text>
        <r>
          <rPr>
            <b/>
            <sz val="9"/>
            <color rgb="FF000000"/>
            <rFont val="Tahoma"/>
            <family val="2"/>
          </rPr>
          <t>Oscar Diaz:</t>
        </r>
        <r>
          <rPr>
            <sz val="9"/>
            <color rgb="FF000000"/>
            <rFont val="Tahoma"/>
            <family val="2"/>
          </rPr>
          <t xml:space="preserve">
</t>
        </r>
        <r>
          <rPr>
            <sz val="9"/>
            <color rgb="FF000000"/>
            <rFont val="Tahoma"/>
            <family val="2"/>
          </rPr>
          <t xml:space="preserve">Se agregó esta sub actividad por considerarla importante para los objetivos del componente 2 que es incrementar el % de implementación de recomendaciones de auditoría.
</t>
        </r>
      </text>
    </comment>
    <comment ref="D209" authorId="4" shapeId="0" xr:uid="{00000000-0006-0000-3600-00001D000000}">
      <text>
        <r>
          <rPr>
            <b/>
            <sz val="9"/>
            <color rgb="FF000000"/>
            <rFont val="Tahoma"/>
            <family val="2"/>
          </rPr>
          <t>Oscar Diaz:</t>
        </r>
        <r>
          <rPr>
            <sz val="9"/>
            <color rgb="FF000000"/>
            <rFont val="Tahoma"/>
            <family val="2"/>
          </rPr>
          <t xml:space="preserve">
</t>
        </r>
        <r>
          <rPr>
            <sz val="9"/>
            <color rgb="FF000000"/>
            <rFont val="Tahoma"/>
            <family val="2"/>
          </rPr>
          <t xml:space="preserve">Tanto en 2.1.3 como en las subactividades 2.1.3.2 a 2.1.3.5 se reemplazó "Unidades de Control Interno" por "Unidades a cargo de la función "ex ante" y las Unidades a cargo de la función de "ex post"", ante posibles cambios de denominación de las Unidades.
</t>
        </r>
        <r>
          <rPr>
            <sz val="9"/>
            <color rgb="FF000000"/>
            <rFont val="Tahoma"/>
            <family val="2"/>
          </rPr>
          <t>En 2.1.3.4 y 2.1.3.5 se complementó con ", incluyendo manuales de funciones y procedimientos".</t>
        </r>
      </text>
    </comment>
    <comment ref="D215" authorId="4" shapeId="0" xr:uid="{00000000-0006-0000-3600-00001E000000}">
      <text>
        <r>
          <rPr>
            <b/>
            <sz val="9"/>
            <color indexed="81"/>
            <rFont val="Tahoma"/>
            <family val="2"/>
          </rPr>
          <t>Oscar Diaz:</t>
        </r>
        <r>
          <rPr>
            <sz val="9"/>
            <color indexed="81"/>
            <rFont val="Tahoma"/>
            <family val="2"/>
          </rPr>
          <t xml:space="preserve">
Se incluyó esta subactividad por tratarse de un proceso de garantía de la calidad, establecido por las mismas normas de la CGR y los estándares internacionales en materia de auditoría interna.</t>
        </r>
      </text>
    </comment>
    <comment ref="AD216" authorId="4" shapeId="0" xr:uid="{00000000-0006-0000-3600-00001F000000}">
      <text>
        <r>
          <rPr>
            <b/>
            <sz val="9"/>
            <color indexed="81"/>
            <rFont val="Tahoma"/>
            <family val="2"/>
          </rPr>
          <t>Oscar Diaz:</t>
        </r>
        <r>
          <rPr>
            <sz val="9"/>
            <color indexed="81"/>
            <rFont val="Tahoma"/>
            <family val="2"/>
          </rPr>
          <t xml:space="preserve">
Este monto originalmente era USD 400,000.</t>
        </r>
      </text>
    </comment>
    <comment ref="D222" authorId="4" shapeId="0" xr:uid="{00000000-0006-0000-3600-000020000000}">
      <text>
        <r>
          <rPr>
            <b/>
            <sz val="9"/>
            <color rgb="FF000000"/>
            <rFont val="Tahoma"/>
            <family val="2"/>
          </rPr>
          <t>Oscar Diaz:</t>
        </r>
        <r>
          <rPr>
            <sz val="9"/>
            <color rgb="FF000000"/>
            <rFont val="Tahoma"/>
            <family val="2"/>
          </rPr>
          <t xml:space="preserve">
</t>
        </r>
        <r>
          <rPr>
            <sz val="9"/>
            <color rgb="FF000000"/>
            <rFont val="Tahoma"/>
            <family val="2"/>
          </rPr>
          <t>Se reemplazó "…(CGR y UCI)…" por "Unidades a cargo de la función "ex ante" y "ex post"".</t>
        </r>
      </text>
    </comment>
    <comment ref="AD229" authorId="4" shapeId="0" xr:uid="{00000000-0006-0000-3600-000021000000}">
      <text>
        <r>
          <rPr>
            <b/>
            <sz val="9"/>
            <color indexed="81"/>
            <rFont val="Tahoma"/>
            <family val="2"/>
          </rPr>
          <t>Oscar Diaz:</t>
        </r>
        <r>
          <rPr>
            <sz val="9"/>
            <color indexed="81"/>
            <rFont val="Tahoma"/>
            <family val="2"/>
          </rPr>
          <t xml:space="preserve">
Este monto originalmente era USD 200,000.</t>
        </r>
      </text>
    </comment>
    <comment ref="D233" authorId="4" shapeId="0" xr:uid="{00000000-0006-0000-3600-000022000000}">
      <text>
        <r>
          <rPr>
            <b/>
            <sz val="9"/>
            <color indexed="81"/>
            <rFont val="Tahoma"/>
            <family val="2"/>
          </rPr>
          <t>Oscar Diaz:</t>
        </r>
        <r>
          <rPr>
            <sz val="9"/>
            <color indexed="81"/>
            <rFont val="Tahoma"/>
            <family val="2"/>
          </rPr>
          <t xml:space="preserve">
Se incluyó el término "retener"</t>
        </r>
      </text>
    </comment>
    <comment ref="AD241" authorId="4" shapeId="0" xr:uid="{00000000-0006-0000-3600-000023000000}">
      <text>
        <r>
          <rPr>
            <b/>
            <sz val="9"/>
            <color indexed="81"/>
            <rFont val="Tahoma"/>
            <family val="2"/>
          </rPr>
          <t>Oscar Diaz:</t>
        </r>
        <r>
          <rPr>
            <sz val="9"/>
            <color indexed="81"/>
            <rFont val="Tahoma"/>
            <family val="2"/>
          </rPr>
          <t xml:space="preserve">
Este monto originalmente era USD 400,000.</t>
        </r>
      </text>
    </comment>
    <comment ref="AG241" authorId="4" shapeId="0" xr:uid="{00000000-0006-0000-3600-000024000000}">
      <text>
        <r>
          <rPr>
            <b/>
            <sz val="9"/>
            <color indexed="81"/>
            <rFont val="Tahoma"/>
            <family val="2"/>
          </rPr>
          <t>Oscar Diaz:</t>
        </r>
        <r>
          <rPr>
            <sz val="9"/>
            <color indexed="81"/>
            <rFont val="Tahoma"/>
            <family val="2"/>
          </rPr>
          <t xml:space="preserve">
Este monto originalmente era USD 400,000.</t>
        </r>
      </text>
    </comment>
    <comment ref="AH241" authorId="4" shapeId="0" xr:uid="{00000000-0006-0000-3600-000025000000}">
      <text>
        <r>
          <rPr>
            <b/>
            <sz val="9"/>
            <color indexed="81"/>
            <rFont val="Tahoma"/>
            <family val="2"/>
          </rPr>
          <t>Oscar Diaz:</t>
        </r>
        <r>
          <rPr>
            <sz val="9"/>
            <color indexed="81"/>
            <rFont val="Tahoma"/>
            <family val="2"/>
          </rPr>
          <t xml:space="preserve">
Este monto originalmente era USD 400,000.</t>
        </r>
      </text>
    </comment>
    <comment ref="D243" authorId="4" shapeId="0" xr:uid="{00000000-0006-0000-3600-000026000000}">
      <text>
        <r>
          <rPr>
            <b/>
            <sz val="9"/>
            <color indexed="81"/>
            <rFont val="Tahoma"/>
            <family val="2"/>
          </rPr>
          <t>Oscar Diaz:</t>
        </r>
        <r>
          <rPr>
            <sz val="9"/>
            <color indexed="81"/>
            <rFont val="Tahoma"/>
            <family val="2"/>
          </rPr>
          <t xml:space="preserve">
En esta y en las siguientes subactividades se realizó una separación entre COSO y CIA y se agregó COBIT 19</t>
        </r>
      </text>
    </comment>
    <comment ref="D251" authorId="4" shapeId="0" xr:uid="{00000000-0006-0000-3600-000027000000}">
      <text>
        <r>
          <rPr>
            <b/>
            <sz val="9"/>
            <color indexed="81"/>
            <rFont val="Tahoma"/>
            <family val="2"/>
          </rPr>
          <t>Oscar Diaz:</t>
        </r>
        <r>
          <rPr>
            <sz val="9"/>
            <color indexed="81"/>
            <rFont val="Tahoma"/>
            <family val="2"/>
          </rPr>
          <t xml:space="preserve">
Para dejar la actividad felxible ante la aparición de nuevos estándares, se eliminó "NORTIC A7"</t>
        </r>
      </text>
    </comment>
    <comment ref="D254" authorId="4" shapeId="0" xr:uid="{00000000-0006-0000-3600-000028000000}">
      <text>
        <r>
          <rPr>
            <b/>
            <sz val="9"/>
            <color rgb="FF000000"/>
            <rFont val="Tahoma"/>
            <family val="2"/>
          </rPr>
          <t>Oscar Diaz:</t>
        </r>
        <r>
          <rPr>
            <sz val="9"/>
            <color rgb="FF000000"/>
            <rFont val="Tahoma"/>
            <family val="2"/>
          </rPr>
          <t xml:space="preserve">
</t>
        </r>
        <r>
          <rPr>
            <sz val="9"/>
            <color rgb="FF000000"/>
            <rFont val="Tahoma"/>
            <family val="2"/>
          </rPr>
          <t>Se incorporaron los términos "notmativa y apoyar" y se incluyó "cambio climático" y "…más transferencia de conocimientos"</t>
        </r>
      </text>
    </comment>
    <comment ref="Z254" authorId="4" shapeId="0" xr:uid="{00000000-0006-0000-3600-000029000000}">
      <text>
        <r>
          <rPr>
            <b/>
            <sz val="9"/>
            <color indexed="81"/>
            <rFont val="Tahoma"/>
            <family val="2"/>
          </rPr>
          <t>Oscar Diaz:</t>
        </r>
        <r>
          <rPr>
            <sz val="9"/>
            <color indexed="81"/>
            <rFont val="Tahoma"/>
            <family val="2"/>
          </rPr>
          <t xml:space="preserve">
Se aunmentó a 4 los consulores
</t>
        </r>
      </text>
    </comment>
    <comment ref="D258" authorId="4" shapeId="0" xr:uid="{00000000-0006-0000-3600-00002A000000}">
      <text>
        <r>
          <rPr>
            <b/>
            <sz val="9"/>
            <color rgb="FF000000"/>
            <rFont val="Tahoma"/>
            <family val="2"/>
          </rPr>
          <t>Oscar Diaz:</t>
        </r>
        <r>
          <rPr>
            <sz val="9"/>
            <color rgb="FF000000"/>
            <rFont val="Tahoma"/>
            <family val="2"/>
          </rPr>
          <t xml:space="preserve">
</t>
        </r>
        <r>
          <rPr>
            <sz val="9"/>
            <color rgb="FF000000"/>
            <rFont val="Tahoma"/>
            <family val="2"/>
          </rPr>
          <t>Se incorporaron los términos "…más transferencia de conocimientos"</t>
        </r>
      </text>
    </comment>
    <comment ref="D259" authorId="4" shapeId="0" xr:uid="{00000000-0006-0000-3600-00002B000000}">
      <text>
        <r>
          <rPr>
            <b/>
            <sz val="9"/>
            <color rgb="FF000000"/>
            <rFont val="Tahoma"/>
            <family val="2"/>
          </rPr>
          <t>Oscar Diaz:</t>
        </r>
        <r>
          <rPr>
            <sz val="9"/>
            <color rgb="FF000000"/>
            <rFont val="Tahoma"/>
            <family val="2"/>
          </rPr>
          <t xml:space="preserve">
</t>
        </r>
        <r>
          <rPr>
            <sz val="9"/>
            <color rgb="FF000000"/>
            <rFont val="Tahoma"/>
            <family val="2"/>
          </rPr>
          <t>Debido a la importancia que reviste el CI institucional y a qué la CGR es el órgano rector en la materia (incluye normar y evaluar) se decidió llevar adelante la revisión, rediseño e implementación del control interno en la misma CGR.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Graciela von Bargen</author>
  </authors>
  <commentList>
    <comment ref="F48" authorId="0" shapeId="0" xr:uid="{00000000-0006-0000-3700-000001000000}">
      <text>
        <r>
          <rPr>
            <sz val="11"/>
            <color theme="1"/>
            <rFont val="Calibri"/>
            <family val="2"/>
            <scheme val="minor"/>
          </rPr>
          <t>Paquetes de trabajo: El trabajo definido en el nivel más bajo de la estructura de desglose del trabajo (EDT) para el cual se puede estimar y gestionar el costo y la duración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Marcos Antonio Urbaez Polanco</author>
  </authors>
  <commentList>
    <comment ref="B11" authorId="0" shapeId="0" xr:uid="{00000000-0006-0000-0400-000001000000}">
      <text>
        <r>
          <rPr>
            <b/>
            <sz val="9"/>
            <color indexed="81"/>
            <rFont val="Tahoma"/>
            <family val="2"/>
          </rPr>
          <t>Marcos Antonio Urbaez Polanco:</t>
        </r>
        <r>
          <rPr>
            <sz val="9"/>
            <color indexed="81"/>
            <rFont val="Tahoma"/>
            <family val="2"/>
          </rPr>
          <t xml:space="preserve">
(anterior) Porcentaje de contratos nuevos financiados por el ejecutivo con certificado de apropiación presupuestaria asociado a través de servicio web</t>
        </r>
      </text>
    </comment>
    <comment ref="B14" authorId="0" shapeId="0" xr:uid="{00000000-0006-0000-0400-000002000000}">
      <text>
        <r>
          <rPr>
            <b/>
            <sz val="9"/>
            <color indexed="81"/>
            <rFont val="Tahoma"/>
            <family val="2"/>
          </rPr>
          <t>Marcos Antonio Urbaez Polanco:</t>
        </r>
        <r>
          <rPr>
            <sz val="9"/>
            <color indexed="81"/>
            <rFont val="Tahoma"/>
            <family val="2"/>
          </rPr>
          <t xml:space="preserve">
anterior:Porcentaje de proyectos activos de inversión pública que permiten el monitoreo en función del avance físico de sus componentes.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tc={DCC71A3A-CE73-481D-90AF-2CF4FEA9C8D6}</author>
  </authors>
  <commentList>
    <comment ref="B71" authorId="0" shapeId="0" xr:uid="{00000000-0006-0000-0500-00000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Eddy Gomera (DGIP):
Fueron eliminadas las dos filas siguientes correspondientes a los Hitos 7 y 8, por estar repetidos.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tc={B97C94E7-A79D-498A-9CB5-FF260254A42F}</author>
  </authors>
  <commentList>
    <comment ref="H132" authorId="0" shapeId="0" xr:uid="{00000000-0006-0000-0C00-00000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Esta es la línea 1.2.2.5.1, ha sido movida al paquete de trabajo 1.2.2.4 con un presupuesto de 30,000 dólares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Graciela von Bargen</author>
    <author>Marcos Antonio Urbaez Polanco</author>
    <author>tc={E489CE40-F279-40EE-9941-10C1A66EFB61}</author>
    <author>tc={B2178F10-6504-479D-9435-0D67141F3143}</author>
    <author>tc={4809DA21-E099-45EE-B9F0-0CA79E789C1B}</author>
    <author>Oscar Diaz</author>
  </authors>
  <commentList>
    <comment ref="J76" authorId="0" shapeId="0" xr:uid="{00000000-0006-0000-1000-000001000000}">
      <text>
        <r>
          <rPr>
            <sz val="11"/>
            <color theme="1"/>
            <rFont val="Calibri"/>
            <family val="2"/>
            <scheme val="minor"/>
          </rPr>
          <t>Paquetes de trabajo: El trabajo definido en el nivel más bajo de la estructura de desglose del trabajo (EDT) para el cual se puede estimar y gestionar el costo y la duración</t>
        </r>
      </text>
    </comment>
    <comment ref="H98" authorId="1" shapeId="0" xr:uid="{00000000-0006-0000-1000-000002000000}">
      <text>
        <r>
          <rPr>
            <b/>
            <sz val="9"/>
            <color indexed="81"/>
            <rFont val="Tahoma"/>
            <family val="2"/>
          </rPr>
          <t>Marcos Antonio Urbaez Polanco:</t>
        </r>
        <r>
          <rPr>
            <sz val="9"/>
            <color indexed="81"/>
            <rFont val="Tahoma"/>
            <family val="2"/>
          </rPr>
          <t xml:space="preserve">
NOMBRE ANTERIOR:
Realizar ajustes mínimos al sistema actual del sistema de información actual de contrataciones públicas 
JUSTIFICACION:
La descripción de la actividad original limita el alcance de la consultoría requerida. </t>
        </r>
      </text>
    </comment>
    <comment ref="AF113" authorId="1" shapeId="0" xr:uid="{00000000-0006-0000-1000-000003000000}">
      <text>
        <r>
          <rPr>
            <b/>
            <sz val="9"/>
            <color indexed="81"/>
            <rFont val="Tahoma"/>
            <family val="2"/>
          </rPr>
          <t xml:space="preserve">Marcos Antonio Urbaez Polanco
se considero en la planiifcacion inicial 48 meses pero se pasa del tiempo del proyecto 
</t>
        </r>
      </text>
    </comment>
    <comment ref="W132" authorId="2" shapeId="0" xr:uid="{00000000-0006-0000-1000-000004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VALIDAR TIPO DE CONTRATACION</t>
      </text>
    </comment>
    <comment ref="H133" authorId="3" shapeId="0" xr:uid="{00000000-0006-0000-1000-000005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Esta es la línea 1.2.2.5.1, ha sido movida al paquete de trabajo 1.2.2.4 con un presupuesto de 30,000 dólares</t>
      </text>
    </comment>
    <comment ref="H150" authorId="4" shapeId="0" xr:uid="{00000000-0006-0000-1000-00000600000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Son 10 perfiles </t>
      </text>
    </comment>
    <comment ref="AI217" authorId="5" shapeId="0" xr:uid="{00000000-0006-0000-1000-000007000000}">
      <text>
        <r>
          <rPr>
            <b/>
            <sz val="9"/>
            <color rgb="FF000000"/>
            <rFont val="Tahoma"/>
            <family val="2"/>
          </rPr>
          <t>Oscar Diaz:</t>
        </r>
        <r>
          <rPr>
            <sz val="9"/>
            <color rgb="FF000000"/>
            <rFont val="Tahoma"/>
            <family val="2"/>
          </rPr>
          <t xml:space="preserve">
</t>
        </r>
        <r>
          <rPr>
            <sz val="9"/>
            <color rgb="FF000000"/>
            <rFont val="Tahoma"/>
            <family val="2"/>
          </rPr>
          <t>Este monto originalmente era USD 545,000</t>
        </r>
      </text>
    </comment>
    <comment ref="AI223" authorId="5" shapeId="0" xr:uid="{00000000-0006-0000-1000-000008000000}">
      <text>
        <r>
          <rPr>
            <b/>
            <sz val="9"/>
            <color indexed="81"/>
            <rFont val="Tahoma"/>
            <family val="2"/>
          </rPr>
          <t>Oscar Diaz:</t>
        </r>
        <r>
          <rPr>
            <sz val="9"/>
            <color indexed="81"/>
            <rFont val="Tahoma"/>
            <family val="2"/>
          </rPr>
          <t xml:space="preserve">
Se estimaron 9 meses, entendiendo que el Consultor coordinador tiene que iniciar antes que el resto de los consultores consultores (2.1.1.1.1. a 2.1.1.1.3) para planificar y preparar el terreno de actividades, levantar otra información no vinculada a los consultores, supervisar el trabajo, consolidar los informes y acompañar el inicio de la consultorpia a cargo del "Diseño del nuevo modelo de negocios de la CGR (normativos, organizacionales y tecnológicos), la cual insumirá los productos de los consultores especializados.</t>
        </r>
      </text>
    </comment>
    <comment ref="AD229" authorId="5" shapeId="0" xr:uid="{00000000-0006-0000-1000-000009000000}">
      <text>
        <r>
          <rPr>
            <b/>
            <sz val="9"/>
            <color indexed="81"/>
            <rFont val="Tahoma"/>
            <family val="2"/>
          </rPr>
          <t>Oscar Diaz:</t>
        </r>
        <r>
          <rPr>
            <sz val="9"/>
            <color indexed="81"/>
            <rFont val="Tahoma"/>
            <family val="2"/>
          </rPr>
          <t xml:space="preserve">
Se pasó de Global a Consultor/mes</t>
        </r>
      </text>
    </comment>
    <comment ref="AI230" authorId="5" shapeId="0" xr:uid="{00000000-0006-0000-1000-00000A000000}">
      <text>
        <r>
          <rPr>
            <b/>
            <sz val="9"/>
            <color indexed="81"/>
            <rFont val="Tahoma"/>
            <family val="2"/>
          </rPr>
          <t>Oscar Diaz:</t>
        </r>
        <r>
          <rPr>
            <sz val="9"/>
            <color indexed="81"/>
            <rFont val="Tahoma"/>
            <family val="2"/>
          </rPr>
          <t xml:space="preserve">
Al monto original de USD 560,000 se le agregó USD24.000 por "Desarrollo de instrumentos metodológicos para monitoreo y evaluación de la transformación digital" (2.1.3.8).
Luego se disminuyó el presupuesto original de USD 500,000 a USD386,000 (2.1.3.1 a 2.1.3.7) a cargo de una Firma Privada.</t>
        </r>
      </text>
    </comment>
    <comment ref="AI278" authorId="5" shapeId="0" xr:uid="{00000000-0006-0000-1000-00000B000000}">
      <text>
        <r>
          <rPr>
            <b/>
            <sz val="9"/>
            <color indexed="81"/>
            <rFont val="Tahoma"/>
            <family val="2"/>
          </rPr>
          <t>Oscar Diaz:</t>
        </r>
        <r>
          <rPr>
            <sz val="9"/>
            <color indexed="81"/>
            <rFont val="Tahoma"/>
            <family val="2"/>
          </rPr>
          <t xml:space="preserve">
Este monto originalmente era USD 200,000.</t>
        </r>
      </text>
    </comment>
    <comment ref="AI291" authorId="5" shapeId="0" xr:uid="{00000000-0006-0000-1000-00000C000000}">
      <text>
        <r>
          <rPr>
            <b/>
            <sz val="9"/>
            <color indexed="81"/>
            <rFont val="Tahoma"/>
            <family val="2"/>
          </rPr>
          <t>Oscar Diaz:</t>
        </r>
        <r>
          <rPr>
            <sz val="9"/>
            <color indexed="81"/>
            <rFont val="Tahoma"/>
            <family val="2"/>
          </rPr>
          <t xml:space="preserve">
Este monto originalmente era USD 400,000.</t>
        </r>
      </text>
    </comment>
    <comment ref="AE311" authorId="5" shapeId="0" xr:uid="{00000000-0006-0000-1000-00000D000000}">
      <text>
        <r>
          <rPr>
            <b/>
            <sz val="9"/>
            <color indexed="81"/>
            <rFont val="Tahoma"/>
            <family val="2"/>
          </rPr>
          <t>Oscar Diaz:</t>
        </r>
        <r>
          <rPr>
            <sz val="9"/>
            <color indexed="81"/>
            <rFont val="Tahoma"/>
            <family val="2"/>
          </rPr>
          <t xml:space="preserve">
Se aunmentó a 4 los consulores
</t>
        </r>
      </text>
    </comment>
    <comment ref="AA375" authorId="1" shapeId="0" xr:uid="{00000000-0006-0000-1000-00000E000000}">
      <text>
        <r>
          <rPr>
            <b/>
            <sz val="9"/>
            <color indexed="81"/>
            <rFont val="Tahoma"/>
            <family val="2"/>
          </rPr>
          <t>Marcos Antonio Urbaez Polanco:</t>
        </r>
        <r>
          <rPr>
            <sz val="9"/>
            <color indexed="81"/>
            <rFont val="Tahoma"/>
            <family val="2"/>
          </rPr>
          <t xml:space="preserve">
pasa de 6 a 8 meses </t>
        </r>
      </text>
    </comment>
    <comment ref="AH402" authorId="1" shapeId="0" xr:uid="{00000000-0006-0000-1000-00000F000000}">
      <text>
        <r>
          <rPr>
            <b/>
            <sz val="9"/>
            <color indexed="81"/>
            <rFont val="Tahoma"/>
            <family val="2"/>
          </rPr>
          <t>Marcos Antonio Urbaez Polanco:</t>
        </r>
        <r>
          <rPr>
            <sz val="9"/>
            <color indexed="81"/>
            <rFont val="Tahoma"/>
            <family val="2"/>
          </rPr>
          <t xml:space="preserve">
se le resta 12k y se le suman a 3cv48</t>
        </r>
      </text>
    </comment>
    <comment ref="AI402" authorId="1" shapeId="0" xr:uid="{00000000-0006-0000-1000-000010000000}">
      <text>
        <r>
          <rPr>
            <b/>
            <sz val="9"/>
            <color indexed="81"/>
            <rFont val="Tahoma"/>
            <family val="2"/>
          </rPr>
          <t>Marcos Antonio Urbaez Polanco:</t>
        </r>
        <r>
          <rPr>
            <sz val="9"/>
            <color indexed="81"/>
            <rFont val="Tahoma"/>
            <family val="2"/>
          </rPr>
          <t xml:space="preserve">
SE SACA DE LOS 4,235,000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tc={9DE480A8-30CD-4F99-B17D-A3FA8CC84F50}</author>
    <author>tc={5BC01845-CBCF-4A85-AD7A-A152F2A4D151}</author>
  </authors>
  <commentList>
    <comment ref="F43" authorId="0" shapeId="0" xr:uid="{00000000-0006-0000-1300-00000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En el componente 1 Estrategia de Gestión del Cambio se agregaban como paquetes de trabajo a los productos</t>
      </text>
    </comment>
    <comment ref="F72" authorId="1" shapeId="0" xr:uid="{00000000-0006-0000-1300-000002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Se puede llevar presupuesto del subc 3.2 al 3.1?</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Marcos Antonio Urbaez Polanco</author>
    <author>tc={EC03BEC2-C2EF-4B9F-9E84-8219F96BC172}</author>
    <author>tc={7EC31494-FE33-4F4F-A08B-CCA2EAD51D1E}</author>
    <author>tc={6F83BF54-BFCC-4F85-A475-6F764EDF09F3}</author>
    <author>tc={E17E5D3E-D080-4B42-9353-F0D425C316C8}</author>
    <author>tc={F7A559F2-1F78-46B8-A889-6657A47BD780}</author>
    <author>tc={72E7DEFA-259B-4010-B4F1-07DB5B0D18E7}</author>
    <author>tc={C2989C83-4A61-4C75-8437-E066B570152A}</author>
    <author>tc={D0364F8B-BFED-4FDA-BC26-CD96F4EE716E}</author>
    <author>tc={DE487A6F-514C-40EF-996B-14D244E1422B}</author>
  </authors>
  <commentList>
    <comment ref="I10" authorId="0" shapeId="0" xr:uid="{00000000-0006-0000-1800-000001000000}">
      <text>
        <r>
          <rPr>
            <b/>
            <sz val="9"/>
            <color indexed="81"/>
            <rFont val="Tahoma"/>
            <family val="2"/>
          </rPr>
          <t>Marcos Antonio Urbaez Polanco:
RESTAR AL MONTO 1.1.1.1.1 Y 1.1.1.1.2</t>
        </r>
      </text>
    </comment>
    <comment ref="I12" authorId="0" shapeId="0" xr:uid="{00000000-0006-0000-1800-000002000000}">
      <text>
        <r>
          <rPr>
            <sz val="11"/>
            <color theme="1"/>
            <rFont val="Calibri"/>
            <family val="2"/>
            <scheme val="minor"/>
          </rPr>
          <t xml:space="preserve">Marcos Antonio Urbaez Polanco:
Monto Usado 120k (lo demás agregado en segunda proceso de planificación) </t>
        </r>
      </text>
    </comment>
    <comment ref="G13" authorId="0" shapeId="0" xr:uid="{00000000-0006-0000-1800-000003000000}">
      <text>
        <r>
          <rPr>
            <b/>
            <sz val="9"/>
            <color indexed="81"/>
            <rFont val="Tahoma"/>
            <family val="2"/>
          </rPr>
          <t>Marcos Antonio Urbaez Polanco:
Los requsitos los pasaria elJOSE NIñO</t>
        </r>
      </text>
    </comment>
    <comment ref="E20" authorId="0" shapeId="0" xr:uid="{00000000-0006-0000-1800-000004000000}">
      <text>
        <r>
          <rPr>
            <b/>
            <sz val="9"/>
            <color indexed="81"/>
            <rFont val="Tahoma"/>
            <family val="2"/>
          </rPr>
          <t>Marcos Antonio Urbaez Polanco:</t>
        </r>
        <r>
          <rPr>
            <sz val="9"/>
            <color indexed="81"/>
            <rFont val="Tahoma"/>
            <family val="2"/>
          </rPr>
          <t xml:space="preserve">
ANTES ERA 3CV
</t>
        </r>
      </text>
    </comment>
    <comment ref="G29" authorId="0" shapeId="0" xr:uid="{00000000-0006-0000-1800-000005000000}">
      <text>
        <r>
          <rPr>
            <b/>
            <sz val="9"/>
            <color indexed="81"/>
            <rFont val="Tahoma"/>
            <family val="2"/>
          </rPr>
          <t>Marcos Antonio Urbaez Polanco:</t>
        </r>
        <r>
          <rPr>
            <sz val="9"/>
            <color indexed="81"/>
            <rFont val="Tahoma"/>
            <family val="2"/>
          </rPr>
          <t xml:space="preserve">
9-nov-23 original
</t>
        </r>
      </text>
    </comment>
    <comment ref="H34" authorId="0" shapeId="0" xr:uid="{00000000-0006-0000-1800-000006000000}">
      <text>
        <r>
          <rPr>
            <b/>
            <sz val="9"/>
            <color indexed="81"/>
            <rFont val="Tahoma"/>
            <family val="2"/>
          </rPr>
          <t>Marcos Antonio Urbaez Polanco:</t>
        </r>
        <r>
          <rPr>
            <sz val="9"/>
            <color indexed="81"/>
            <rFont val="Tahoma"/>
            <family val="2"/>
          </rPr>
          <t xml:space="preserve">
ESA CONTRATACION TIENE QUE ESTAR EN 08 ENERO 2025</t>
        </r>
      </text>
    </comment>
    <comment ref="D36" authorId="1" shapeId="0" xr:uid="{00000000-0006-0000-1800-00000700000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Equipo de MEPYD
</t>
      </text>
    </comment>
    <comment ref="E38" authorId="0" shapeId="0" xr:uid="{00000000-0006-0000-1800-000008000000}">
      <text>
        <r>
          <rPr>
            <b/>
            <sz val="9"/>
            <color rgb="FF000000"/>
            <rFont val="Tahoma"/>
            <family val="2"/>
          </rPr>
          <t>Marcos Antonio Urbaez Polanco:</t>
        </r>
        <r>
          <rPr>
            <sz val="9"/>
            <color rgb="FF000000"/>
            <rFont val="Tahoma"/>
            <family val="2"/>
          </rPr>
          <t xml:space="preserve">
</t>
        </r>
        <r>
          <rPr>
            <sz val="9"/>
            <color rgb="FF000000"/>
            <rFont val="Tahoma"/>
            <family val="2"/>
          </rPr>
          <t>CAMBIAR A MODALIDAD ACUERDO MARCO SD</t>
        </r>
      </text>
    </comment>
    <comment ref="G38" authorId="0" shapeId="0" xr:uid="{00000000-0006-0000-1800-000009000000}">
      <text>
        <r>
          <rPr>
            <b/>
            <sz val="9"/>
            <color rgb="FF000000"/>
            <rFont val="Tahoma"/>
            <family val="2"/>
          </rPr>
          <t>Marcos Antonio Urbaez Polanco:</t>
        </r>
        <r>
          <rPr>
            <sz val="9"/>
            <color rgb="FF000000"/>
            <rFont val="Tahoma"/>
            <family val="2"/>
          </rPr>
          <t xml:space="preserve">
</t>
        </r>
        <r>
          <rPr>
            <sz val="9"/>
            <color rgb="FF000000"/>
            <rFont val="Tahoma"/>
            <family val="2"/>
          </rPr>
          <t xml:space="preserve">FECHA PLAN ORIGINAL 05-SEP-23
</t>
        </r>
      </text>
    </comment>
    <comment ref="G40" authorId="0" shapeId="0" xr:uid="{00000000-0006-0000-1800-00000A000000}">
      <text>
        <r>
          <rPr>
            <b/>
            <sz val="9"/>
            <color rgb="FF000000"/>
            <rFont val="Tahoma"/>
            <family val="2"/>
          </rPr>
          <t>Marcos Antonio Urbaez Polanco:</t>
        </r>
        <r>
          <rPr>
            <sz val="9"/>
            <color rgb="FF000000"/>
            <rFont val="Tahoma"/>
            <family val="2"/>
          </rPr>
          <t xml:space="preserve">
</t>
        </r>
        <r>
          <rPr>
            <sz val="9"/>
            <color rgb="FF000000"/>
            <rFont val="Tahoma"/>
            <family val="2"/>
          </rPr>
          <t>FECHA ANTERIOR 1 SEP</t>
        </r>
      </text>
    </comment>
    <comment ref="G41" authorId="0" shapeId="0" xr:uid="{00000000-0006-0000-1800-00000B000000}">
      <text>
        <r>
          <rPr>
            <b/>
            <sz val="9"/>
            <color rgb="FF000000"/>
            <rFont val="Tahoma"/>
            <family val="2"/>
          </rPr>
          <t>Marcos Antonio Urbaez Polanco:</t>
        </r>
        <r>
          <rPr>
            <sz val="9"/>
            <color rgb="FF000000"/>
            <rFont val="Tahoma"/>
            <family val="2"/>
          </rPr>
          <t xml:space="preserve">
</t>
        </r>
        <r>
          <rPr>
            <sz val="9"/>
            <color rgb="FF000000"/>
            <rFont val="Tahoma"/>
            <family val="2"/>
          </rPr>
          <t>FECHA ANTERIOR 1 SEP</t>
        </r>
      </text>
    </comment>
    <comment ref="C43" authorId="2" shapeId="0" xr:uid="{00000000-0006-0000-1800-00000C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Producto 19 apunta a un Indicador</t>
      </text>
    </comment>
    <comment ref="D43" authorId="3" shapeId="0" xr:uid="{00000000-0006-0000-1800-00000D00000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ID PA 37 tiene alta prioridad
Respuesta:
    Enero 2025 ( ver con Marcos)
</t>
      </text>
    </comment>
    <comment ref="D47" authorId="4" shapeId="0" xr:uid="{00000000-0006-0000-1800-00000E00000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Debe de estar listo para este viernes
Respuesta:
    Ya se encuentra en revisión por el área de adquisiciones 
</t>
      </text>
    </comment>
    <comment ref="G58" authorId="0" shapeId="0" xr:uid="{00000000-0006-0000-1800-00000F000000}">
      <text>
        <r>
          <rPr>
            <b/>
            <sz val="9"/>
            <color indexed="81"/>
            <rFont val="Tahoma"/>
            <family val="2"/>
          </rPr>
          <t>Marcos Antonio Urbaez Polanco:</t>
        </r>
        <r>
          <rPr>
            <sz val="9"/>
            <color indexed="81"/>
            <rFont val="Tahoma"/>
            <family val="2"/>
          </rPr>
          <t xml:space="preserve">
25-ago-23 original
</t>
        </r>
      </text>
    </comment>
    <comment ref="G60" authorId="0" shapeId="0" xr:uid="{00000000-0006-0000-1800-000010000000}">
      <text>
        <r>
          <rPr>
            <b/>
            <sz val="9"/>
            <color indexed="81"/>
            <rFont val="Tahoma"/>
            <family val="2"/>
          </rPr>
          <t>Marcos Antonio Urbaez Polanco:</t>
        </r>
        <r>
          <rPr>
            <sz val="9"/>
            <color indexed="81"/>
            <rFont val="Tahoma"/>
            <family val="2"/>
          </rPr>
          <t xml:space="preserve">
25-ago-23 original
</t>
        </r>
      </text>
    </comment>
    <comment ref="D61" authorId="0" shapeId="0" xr:uid="{00000000-0006-0000-1800-000011000000}">
      <text>
        <r>
          <rPr>
            <b/>
            <sz val="9"/>
            <color rgb="FF000000"/>
            <rFont val="Tahoma"/>
            <family val="2"/>
          </rPr>
          <t>Marcos Antonio Urbaez Polanco:</t>
        </r>
        <r>
          <rPr>
            <sz val="9"/>
            <color rgb="FF000000"/>
            <rFont val="Tahoma"/>
            <family val="2"/>
          </rPr>
          <t xml:space="preserve">
</t>
        </r>
        <r>
          <rPr>
            <sz val="9"/>
            <color rgb="FF000000"/>
            <rFont val="Tahoma"/>
            <family val="2"/>
          </rPr>
          <t xml:space="preserve">WALDO 
</t>
        </r>
      </text>
    </comment>
    <comment ref="D62" authorId="5" shapeId="0" xr:uid="{00000000-0006-0000-1800-000012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Equipo Waldo</t>
      </text>
    </comment>
    <comment ref="D63" authorId="6" shapeId="0" xr:uid="{00000000-0006-0000-1800-000013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Equipo Waldo</t>
      </text>
    </comment>
    <comment ref="D64" authorId="7" shapeId="0" xr:uid="{00000000-0006-0000-1800-000014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Equipo Waldo</t>
      </text>
    </comment>
    <comment ref="D65" authorId="8" shapeId="0" xr:uid="{00000000-0006-0000-1800-000015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Equipo Waldo</t>
      </text>
    </comment>
    <comment ref="D66" authorId="9" shapeId="0" xr:uid="{00000000-0006-0000-1800-000016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Equipo Waldo</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tc={4D5E30D0-DA6F-40F8-A02A-37345960C7F4}</author>
    <author>tc={A5AD4871-E16A-4371-B2EC-EFF2C55E47F0}</author>
    <author>tc={FDE09759-3ECD-4469-B742-861D5DE771D0}</author>
    <author>Oscar Diaz</author>
  </authors>
  <commentList>
    <comment ref="D11" authorId="0" shapeId="0" xr:uid="{00000000-0006-0000-1B00-00000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Asistencia técnica a la implementación a corto plazo de la interoperabilidad entre el presupuesto, proyectos de inversión, procesos de contratación y contratos a partir de los mecanismos actuales, incluyendo construcción o mejora de servicios web y ajustes a los sistemas actuales</t>
      </text>
    </comment>
    <comment ref="D33" authorId="1" shapeId="0" xr:uid="{00000000-0006-0000-1B00-000002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Mejoras al PTF incluyendo temas de usabilidad, navegación, accesibilidad para personas con discapacidad y autoservicio en los reportes.
 Comenzaran con la realización de un proyectos piloto orientado a los ciudadanos, mejorando la usabilidad e incluyendo mecanismos de participación ciudadana.</t>
      </text>
    </comment>
    <comment ref="D41" authorId="2" shapeId="0" xr:uid="{00000000-0006-0000-1B00-00000300000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Mejoras al tablero de control gerencial sobre la gestión fiscal y financiera del MH Incluye: mejorar la coordinación con las fuentes, la calidad de la información, ampliando el alcance con gobiernos locales y entidades. ¿cómo va la ejecución vs. inversión, compras, tesorería? | descriptivo - prospectivo. Preguntas de eficiencia en el gasto y cumplimiento de los objetivos en el plan de desarrollo. "
</t>
      </text>
    </comment>
    <comment ref="D193" authorId="3" shapeId="0" xr:uid="{00000000-0006-0000-1B00-000004000000}">
      <text>
        <r>
          <rPr>
            <b/>
            <sz val="9"/>
            <color rgb="FF000000"/>
            <rFont val="Tahoma"/>
            <family val="2"/>
          </rPr>
          <t>Oscar Diaz:</t>
        </r>
        <r>
          <rPr>
            <sz val="9"/>
            <color rgb="FF000000"/>
            <rFont val="Tahoma"/>
            <family val="2"/>
          </rPr>
          <t xml:space="preserve">
</t>
        </r>
        <r>
          <rPr>
            <sz val="9"/>
            <color rgb="FF000000"/>
            <rFont val="Tahoma"/>
            <family val="2"/>
          </rPr>
          <t>Es importante que la identificación de brechas se refiera a: (i) las competencias de la CGR establecidas en el marco legal,  y (ii) los estándares o mejores prácticas internacionales; ambas referencias deben estar en armonía. Por lo mencionado, aqui se incluyó lo que ahora aparece eiminado en color rojo (anterior 2.1.1.3)</t>
        </r>
      </text>
    </comment>
    <comment ref="D194" authorId="3" shapeId="0" xr:uid="{00000000-0006-0000-1B00-000005000000}">
      <text>
        <r>
          <rPr>
            <b/>
            <sz val="9"/>
            <color rgb="FF000000"/>
            <rFont val="Tahoma"/>
            <family val="2"/>
          </rPr>
          <t>Oscar Diaz:</t>
        </r>
        <r>
          <rPr>
            <sz val="9"/>
            <color rgb="FF000000"/>
            <rFont val="Tahoma"/>
            <family val="2"/>
          </rPr>
          <t xml:space="preserve">
</t>
        </r>
        <r>
          <rPr>
            <sz val="9"/>
            <color rgb="FF000000"/>
            <rFont val="Tahoma"/>
            <family val="2"/>
          </rPr>
          <t xml:space="preserve">El 2.1.1.2:
</t>
        </r>
        <r>
          <rPr>
            <sz val="9"/>
            <color rgb="FF000000"/>
            <rFont val="Tahoma"/>
            <family val="2"/>
          </rPr>
          <t xml:space="preserve">- se abrió en tres especialistas en normativa, organizacional y tecnológico, y se ajustaron los montos,
</t>
        </r>
        <r>
          <rPr>
            <sz val="9"/>
            <color rgb="FF000000"/>
            <rFont val="Tahoma"/>
            <family val="2"/>
          </rPr>
          <t xml:space="preserve">- la unidad de medida o tipo de contratación se cambió de Global a Consultor/mes,
</t>
        </r>
        <r>
          <rPr>
            <sz val="9"/>
            <color rgb="FF000000"/>
            <rFont val="Tahoma"/>
            <family val="2"/>
          </rPr>
          <t xml:space="preserve">- cambiaron los montos, lo que impacta en el total del 2.1.1 que pasó de 545,000 a 452,000
</t>
        </r>
      </text>
    </comment>
    <comment ref="D201" authorId="3" shapeId="0" xr:uid="{00000000-0006-0000-1B00-000006000000}">
      <text>
        <r>
          <rPr>
            <b/>
            <sz val="9"/>
            <color rgb="FF000000"/>
            <rFont val="Tahoma"/>
            <family val="2"/>
          </rPr>
          <t>Oscar Diaz:</t>
        </r>
        <r>
          <rPr>
            <sz val="9"/>
            <color rgb="FF000000"/>
            <rFont val="Tahoma"/>
            <family val="2"/>
          </rPr>
          <t xml:space="preserve">
</t>
        </r>
        <r>
          <rPr>
            <sz val="9"/>
            <color rgb="FF000000"/>
            <rFont val="Tahoma"/>
            <family val="2"/>
          </rPr>
          <t>Se acordó llevar a cabo esta actividad como la 2.1.1.4 a través de consultorías individuales</t>
        </r>
      </text>
    </comment>
    <comment ref="D203" authorId="3" shapeId="0" xr:uid="{00000000-0006-0000-1B00-000007000000}">
      <text>
        <r>
          <rPr>
            <b/>
            <sz val="9"/>
            <color rgb="FF000000"/>
            <rFont val="Tahoma"/>
            <family val="2"/>
          </rPr>
          <t>Oscar Diaz:</t>
        </r>
        <r>
          <rPr>
            <sz val="9"/>
            <color rgb="FF000000"/>
            <rFont val="Tahoma"/>
            <family val="2"/>
          </rPr>
          <t xml:space="preserve">
</t>
        </r>
        <r>
          <rPr>
            <sz val="9"/>
            <color rgb="FF000000"/>
            <rFont val="Tahoma"/>
            <family val="2"/>
          </rPr>
          <t>Se concluyó que es necesario un consultor PM para toda la vida del Programa.</t>
        </r>
      </text>
    </comment>
    <comment ref="D222" authorId="3" shapeId="0" xr:uid="{00000000-0006-0000-1B00-000008000000}">
      <text>
        <r>
          <rPr>
            <b/>
            <sz val="9"/>
            <color rgb="FF000000"/>
            <rFont val="Tahoma"/>
            <family val="2"/>
          </rPr>
          <t>Oscar Diaz:</t>
        </r>
        <r>
          <rPr>
            <sz val="9"/>
            <color rgb="FF000000"/>
            <rFont val="Tahoma"/>
            <family val="2"/>
          </rPr>
          <t xml:space="preserve">
</t>
        </r>
        <r>
          <rPr>
            <sz val="9"/>
            <color rgb="FF000000"/>
            <rFont val="Tahoma"/>
            <family val="2"/>
          </rPr>
          <t xml:space="preserve">Se reemplazó "Unidades de Control Interno" por "Unidades a cargo del control "ex ante" y "ex post" </t>
        </r>
      </text>
    </comment>
    <comment ref="D226" authorId="3" shapeId="0" xr:uid="{00000000-0006-0000-1B00-000009000000}">
      <text>
        <r>
          <rPr>
            <b/>
            <sz val="9"/>
            <color rgb="FF000000"/>
            <rFont val="Tahoma"/>
            <family val="2"/>
          </rPr>
          <t>Oscar Diaz:</t>
        </r>
        <r>
          <rPr>
            <sz val="9"/>
            <color rgb="FF000000"/>
            <rFont val="Tahoma"/>
            <family val="2"/>
          </rPr>
          <t xml:space="preserve">
</t>
        </r>
        <r>
          <rPr>
            <sz val="9"/>
            <color rgb="FF000000"/>
            <rFont val="Tahoma"/>
            <family val="2"/>
          </rPr>
          <t xml:space="preserve">Se agregó esta sub actividad por considerarla importante para los objetivos del componente 2 que es incrementar el % de implementación de recomendaciones de auditoría.
</t>
        </r>
      </text>
    </comment>
    <comment ref="D227" authorId="3" shapeId="0" xr:uid="{00000000-0006-0000-1B00-00000A000000}">
      <text>
        <r>
          <rPr>
            <b/>
            <sz val="9"/>
            <color rgb="FF000000"/>
            <rFont val="Tahoma"/>
            <family val="2"/>
          </rPr>
          <t>Oscar Diaz:</t>
        </r>
        <r>
          <rPr>
            <sz val="9"/>
            <color rgb="FF000000"/>
            <rFont val="Tahoma"/>
            <family val="2"/>
          </rPr>
          <t xml:space="preserve">
</t>
        </r>
        <r>
          <rPr>
            <sz val="9"/>
            <color rgb="FF000000"/>
            <rFont val="Tahoma"/>
            <family val="2"/>
          </rPr>
          <t xml:space="preserve">Tanto en 2.1.3 como en las subactividades 2.1.3.2 a 2.1.3.5 se reemplazó "Unidades de Control Interno" por "Unidades a cargo de la función "ex ante" y las Unidades a cargo de la función de "ex post"", ante posibles cambios de denominación de las Unidades.
</t>
        </r>
        <r>
          <rPr>
            <sz val="9"/>
            <color rgb="FF000000"/>
            <rFont val="Tahoma"/>
            <family val="2"/>
          </rPr>
          <t>En 2.1.3.4 y 2.1.3.5 se complementó con ", incluyendo manuales de funciones y procedimientos".</t>
        </r>
      </text>
    </comment>
    <comment ref="D233" authorId="3" shapeId="0" xr:uid="{00000000-0006-0000-1B00-00000B000000}">
      <text>
        <r>
          <rPr>
            <b/>
            <sz val="9"/>
            <color indexed="81"/>
            <rFont val="Tahoma"/>
            <family val="2"/>
          </rPr>
          <t>Oscar Diaz:</t>
        </r>
        <r>
          <rPr>
            <sz val="9"/>
            <color indexed="81"/>
            <rFont val="Tahoma"/>
            <family val="2"/>
          </rPr>
          <t xml:space="preserve">
Se incluyó esta subactividad por tratarse de un proceso de garantía de la calidad, establecido por las mismas normas de la CGR y los estándares internacionales en materia de auditoría interna.</t>
        </r>
      </text>
    </comment>
    <comment ref="D240" authorId="3" shapeId="0" xr:uid="{00000000-0006-0000-1B00-00000C000000}">
      <text>
        <r>
          <rPr>
            <b/>
            <sz val="9"/>
            <color rgb="FF000000"/>
            <rFont val="Tahoma"/>
            <family val="2"/>
          </rPr>
          <t>Oscar Diaz:</t>
        </r>
        <r>
          <rPr>
            <sz val="9"/>
            <color rgb="FF000000"/>
            <rFont val="Tahoma"/>
            <family val="2"/>
          </rPr>
          <t xml:space="preserve">
</t>
        </r>
        <r>
          <rPr>
            <sz val="9"/>
            <color rgb="FF000000"/>
            <rFont val="Tahoma"/>
            <family val="2"/>
          </rPr>
          <t>Se reemplazó "…(CGR y UCI)…" por "Unidades a cargo de la función "ex ante" y "ex post"".</t>
        </r>
      </text>
    </comment>
    <comment ref="D251" authorId="3" shapeId="0" xr:uid="{00000000-0006-0000-1B00-00000D000000}">
      <text>
        <r>
          <rPr>
            <b/>
            <sz val="9"/>
            <color indexed="81"/>
            <rFont val="Tahoma"/>
            <family val="2"/>
          </rPr>
          <t>Oscar Diaz:</t>
        </r>
        <r>
          <rPr>
            <sz val="9"/>
            <color indexed="81"/>
            <rFont val="Tahoma"/>
            <family val="2"/>
          </rPr>
          <t xml:space="preserve">
Se incluyó el término "retener"</t>
        </r>
      </text>
    </comment>
    <comment ref="D260" authorId="3" shapeId="0" xr:uid="{00000000-0006-0000-1B00-00000E000000}">
      <text>
        <r>
          <rPr>
            <b/>
            <sz val="9"/>
            <color indexed="81"/>
            <rFont val="Tahoma"/>
            <family val="2"/>
          </rPr>
          <t>Oscar Diaz:</t>
        </r>
        <r>
          <rPr>
            <sz val="9"/>
            <color indexed="81"/>
            <rFont val="Tahoma"/>
            <family val="2"/>
          </rPr>
          <t xml:space="preserve">
En esta y en las siguientes subactividades se realizó una separación entre COSO y CIA y se agregó COBIT 19</t>
        </r>
      </text>
    </comment>
    <comment ref="D271" authorId="3" shapeId="0" xr:uid="{00000000-0006-0000-1B00-00000F000000}">
      <text>
        <r>
          <rPr>
            <b/>
            <sz val="9"/>
            <color indexed="81"/>
            <rFont val="Tahoma"/>
            <family val="2"/>
          </rPr>
          <t>Oscar Diaz:</t>
        </r>
        <r>
          <rPr>
            <sz val="9"/>
            <color indexed="81"/>
            <rFont val="Tahoma"/>
            <family val="2"/>
          </rPr>
          <t xml:space="preserve">
Para dejar la actividad felxible ante la aparición de nuevos estándares, se eliminó "NORTIC A7"</t>
        </r>
      </text>
    </comment>
    <comment ref="D279" authorId="3" shapeId="0" xr:uid="{00000000-0006-0000-1B00-000010000000}">
      <text>
        <r>
          <rPr>
            <b/>
            <sz val="9"/>
            <color rgb="FF000000"/>
            <rFont val="Tahoma"/>
            <family val="2"/>
          </rPr>
          <t>Oscar Diaz:</t>
        </r>
        <r>
          <rPr>
            <sz val="9"/>
            <color rgb="FF000000"/>
            <rFont val="Tahoma"/>
            <family val="2"/>
          </rPr>
          <t xml:space="preserve">
</t>
        </r>
        <r>
          <rPr>
            <sz val="9"/>
            <color rgb="FF000000"/>
            <rFont val="Tahoma"/>
            <family val="2"/>
          </rPr>
          <t>Se incorporaron los términos "notmativa y apoyar" y se incluyó "cambio climático" y "…más transferencia de conocimientos"</t>
        </r>
      </text>
    </comment>
    <comment ref="D283" authorId="3" shapeId="0" xr:uid="{00000000-0006-0000-1B00-000011000000}">
      <text>
        <r>
          <rPr>
            <b/>
            <sz val="9"/>
            <color rgb="FF000000"/>
            <rFont val="Tahoma"/>
            <family val="2"/>
          </rPr>
          <t>Oscar Diaz:</t>
        </r>
        <r>
          <rPr>
            <sz val="9"/>
            <color rgb="FF000000"/>
            <rFont val="Tahoma"/>
            <family val="2"/>
          </rPr>
          <t xml:space="preserve">
</t>
        </r>
        <r>
          <rPr>
            <sz val="9"/>
            <color rgb="FF000000"/>
            <rFont val="Tahoma"/>
            <family val="2"/>
          </rPr>
          <t>Se incorporaron los términos "…más transferencia de conocimientos"</t>
        </r>
      </text>
    </comment>
    <comment ref="D284" authorId="3" shapeId="0" xr:uid="{00000000-0006-0000-1B00-000012000000}">
      <text>
        <r>
          <rPr>
            <b/>
            <sz val="9"/>
            <color rgb="FF000000"/>
            <rFont val="Tahoma"/>
            <family val="2"/>
          </rPr>
          <t>Oscar Diaz:</t>
        </r>
        <r>
          <rPr>
            <sz val="9"/>
            <color rgb="FF000000"/>
            <rFont val="Tahoma"/>
            <family val="2"/>
          </rPr>
          <t xml:space="preserve">
</t>
        </r>
        <r>
          <rPr>
            <sz val="9"/>
            <color rgb="FF000000"/>
            <rFont val="Tahoma"/>
            <family val="2"/>
          </rPr>
          <t>Debido a la importancia que reviste el CI institucional y a qué la CGR es el órgano rector en la materia (incluye normar y evaluar) se decidió llevar adelante la revisión, rediseño e implementación del control interno en la misma CGR.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tc={0629A688-F87E-411D-978A-483670C719D6}</author>
    <author>tc={7843964B-6C2A-4682-8D5D-4D69508B2A51}</author>
  </authors>
  <commentList>
    <comment ref="L115" authorId="0" shapeId="0" xr:uid="{00000000-0006-0000-3500-00000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Validar el total en conversación con CGR</t>
      </text>
    </comment>
    <comment ref="L159" authorId="1" shapeId="0" xr:uid="{00000000-0006-0000-3500-000002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Validar el total en conversación con CGR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<sst xmlns="http://schemas.openxmlformats.org/spreadsheetml/2006/main" count="19844" uniqueCount="3959">
  <si>
    <t>Plan Original</t>
  </si>
  <si>
    <t>Revision productos Enero 2024</t>
  </si>
  <si>
    <t>ProTransparencia</t>
  </si>
  <si>
    <t>DR-L1150</t>
  </si>
  <si>
    <t>MH</t>
  </si>
  <si>
    <t>CGR</t>
  </si>
  <si>
    <t>Componentes</t>
  </si>
  <si>
    <t>Subcomponentes</t>
  </si>
  <si>
    <t>Productos</t>
  </si>
  <si>
    <t>Proc Adquisiciones</t>
  </si>
  <si>
    <t>C1</t>
  </si>
  <si>
    <t>Subcomponente 1.1 Transparencia en finanzas públicas</t>
  </si>
  <si>
    <t>Producto 1: Procesos de interoperabilidad en MH, MEPyD, DGCP y CGRD, utilizando lineamientos OGTIC, implementados</t>
  </si>
  <si>
    <t>Producto 2: Mejoras al portal de transparencia fiscal</t>
  </si>
  <si>
    <t>Producto 3: Tablero de control y funcionalidades analíticas mejorado</t>
  </si>
  <si>
    <t>Producto 4: Estrategia de gestión del cambio y comunicaciones desarrollada</t>
  </si>
  <si>
    <r>
      <rPr>
        <strike/>
        <sz val="11"/>
        <color rgb="FFFF0000"/>
        <rFont val="Calibri"/>
        <family val="2"/>
        <scheme val="minor"/>
      </rPr>
      <t>Producto 4</t>
    </r>
    <r>
      <rPr>
        <sz val="11"/>
        <color rgb="FFFF0000"/>
        <rFont val="Calibri"/>
        <family val="2"/>
        <scheme val="minor"/>
      </rPr>
      <t>: Incluido en Producto 1</t>
    </r>
  </si>
  <si>
    <t>Producto 5: SIGEF ajustado a la programación del presupuesto plurianual</t>
  </si>
  <si>
    <r>
      <rPr>
        <strike/>
        <sz val="11"/>
        <color rgb="FFFF0000"/>
        <rFont val="Calibri"/>
        <family val="2"/>
        <scheme val="minor"/>
      </rPr>
      <t>Producto 5</t>
    </r>
    <r>
      <rPr>
        <sz val="11"/>
        <color rgb="FFFF0000"/>
        <rFont val="Calibri"/>
        <family val="2"/>
        <scheme val="minor"/>
      </rPr>
      <t>: Incluido en Producto 1</t>
    </r>
  </si>
  <si>
    <t>Subcomponente 1.2 Eficiencia en las contrataciones públicas</t>
  </si>
  <si>
    <t>Producto 6: Modernización del Sistema de Contrataciones Públicas con accesibilidad para personas con discapacidad desarrollada</t>
  </si>
  <si>
    <t>Producto 7: Ajustes al sistema de información actual de contrataciones públicas realizados</t>
  </si>
  <si>
    <r>
      <rPr>
        <strike/>
        <sz val="11"/>
        <color rgb="FFFF0000"/>
        <rFont val="Calibri"/>
        <family val="2"/>
        <scheme val="minor"/>
      </rPr>
      <t>Producto 7</t>
    </r>
    <r>
      <rPr>
        <sz val="11"/>
        <color rgb="FFFF0000"/>
        <rFont val="Calibri"/>
        <family val="2"/>
        <scheme val="minor"/>
      </rPr>
      <t>: Incluido en producto 6</t>
    </r>
  </si>
  <si>
    <t>Producto 8: Sistema de detección de irregularidades y alertas tempranas diseñado e implementado</t>
  </si>
  <si>
    <t>Producto 7: Sistema de detección de irregularidades y alertas tempranas diseñado e implementado</t>
  </si>
  <si>
    <t>Producto 9: Profesionalización y Carrera Especial del SNCCP Implementada</t>
  </si>
  <si>
    <t>Producto 8: Profesionalización y Carrera Especial del SNCCP Implementada</t>
  </si>
  <si>
    <t>Producto 10: Estrategia de compra pública sostenible, diseñada e implementada</t>
  </si>
  <si>
    <t>Producto 9: Estrategia de compra pública sostenible, diseñada e implementada</t>
  </si>
  <si>
    <t>Subcomponente 1.3 Mejora en la eficiencia de la gestión de las inversiones públicas</t>
  </si>
  <si>
    <t>Producto 11: Sistema de información actual de inversión pública ajustado para interoperar con los sistemas electrónicos de la DGCP, el MH y la CGRD</t>
  </si>
  <si>
    <t>Producto 12: Sistema de Monitoreo, Seguimiento &amp; Evaluación, diseñado e implementado</t>
  </si>
  <si>
    <t>Producto 13: Infraestructura y servicios de TI para la construcción e implementación del sistema de monitoreo, seguimiento y evaluación de inversión pública y para los ajustes al actual sistema de información de inversión pública, implementados</t>
  </si>
  <si>
    <r>
      <rPr>
        <strike/>
        <sz val="11"/>
        <color rgb="FFFF0000"/>
        <rFont val="Calibri"/>
        <family val="2"/>
        <scheme val="minor"/>
      </rPr>
      <t>Producto 13</t>
    </r>
    <r>
      <rPr>
        <sz val="11"/>
        <color rgb="FFFF0000"/>
        <rFont val="Calibri"/>
        <family val="2"/>
        <scheme val="minor"/>
      </rPr>
      <t>: Incluido en Producto 12</t>
    </r>
  </si>
  <si>
    <t>Subcomponente 1.4 Integridad Financiera</t>
  </si>
  <si>
    <t xml:space="preserve">Producto 14: Régimen de Beneficiarios Finales de personas y estructuras jurídicas diseñado </t>
  </si>
  <si>
    <t>Producto 15: Estrategia de Gestión del Cambio y comunicaciones para el Registro de Beneficiarios Finales diseñada e implementada</t>
  </si>
  <si>
    <r>
      <rPr>
        <strike/>
        <sz val="11"/>
        <color rgb="FFFF0000"/>
        <rFont val="Calibri"/>
        <family val="2"/>
        <scheme val="minor"/>
      </rPr>
      <t>Producto 15</t>
    </r>
    <r>
      <rPr>
        <sz val="11"/>
        <color rgb="FFFF0000"/>
        <rFont val="Calibri"/>
        <family val="2"/>
        <scheme val="minor"/>
      </rPr>
      <t>: Incluido en Producto 14</t>
    </r>
  </si>
  <si>
    <t>C3</t>
  </si>
  <si>
    <t>Subcomponente 3.1. Innovación pública para la Integridad y prevención de la corrupción</t>
  </si>
  <si>
    <t>Subcomponente 3.1. Innovación pública para la Transparencia e Integridad</t>
  </si>
  <si>
    <t>Producto 29: Sistema Nacional de Integridad Implementado</t>
  </si>
  <si>
    <r>
      <t xml:space="preserve">Producto 29: Sistema Nacional de </t>
    </r>
    <r>
      <rPr>
        <b/>
        <sz val="11"/>
        <color theme="1"/>
        <rFont val="Calibri"/>
        <family val="2"/>
        <scheme val="minor"/>
      </rPr>
      <t>Transparencia e</t>
    </r>
    <r>
      <rPr>
        <sz val="11"/>
        <color theme="1"/>
        <rFont val="Calibri"/>
        <family val="2"/>
        <scheme val="minor"/>
      </rPr>
      <t xml:space="preserve"> Integridad Implementado</t>
    </r>
  </si>
  <si>
    <t>Producto 30: Fortalecimiento del marco regulatorio en materia de integridad</t>
  </si>
  <si>
    <t>Producto 31: Plataforma de Seguimiento y Evaluación de componentes de integridad desarrollado</t>
  </si>
  <si>
    <r>
      <rPr>
        <strike/>
        <sz val="11"/>
        <color rgb="FFFF0000"/>
        <rFont val="Calibri"/>
        <family val="2"/>
        <scheme val="minor"/>
      </rPr>
      <t>Producto 31</t>
    </r>
    <r>
      <rPr>
        <sz val="11"/>
        <color rgb="FFFF0000"/>
        <rFont val="Calibri"/>
        <family val="2"/>
        <scheme val="minor"/>
      </rPr>
      <t>: Incluido en Producto 29</t>
    </r>
  </si>
  <si>
    <t>Producto 32: Programa de cumplimiento e integridad para el sector privado desarrollado</t>
  </si>
  <si>
    <t>Producto 33: Sistema para el seguimiento de compromisos internacionales, desarrollado</t>
  </si>
  <si>
    <r>
      <rPr>
        <strike/>
        <sz val="11"/>
        <color rgb="FFFF0000"/>
        <rFont val="Calibri"/>
        <family val="2"/>
        <scheme val="minor"/>
      </rPr>
      <t>Producto 33</t>
    </r>
    <r>
      <rPr>
        <sz val="11"/>
        <color rgb="FFFF0000"/>
        <rFont val="Calibri"/>
        <family val="2"/>
        <scheme val="minor"/>
      </rPr>
      <t>: Incluido en Producto 29</t>
    </r>
  </si>
  <si>
    <t>Subcomponente 3.2. Participación, control social y gestión de denuncias de corrupción administrativa</t>
  </si>
  <si>
    <t>Subcomponente 3.2. Gestión de denuncias de corrupción administrativa</t>
  </si>
  <si>
    <t>Producto 34: Metodología para realizar investigaciones, seguimiento y respuesta a las denuncias ciudadanas desarrollada</t>
  </si>
  <si>
    <t>Producto 35: Plataforma tecnológica de participación ciudadana con enfoque de género y diversidad, implementado</t>
  </si>
  <si>
    <r>
      <rPr>
        <strike/>
        <sz val="11"/>
        <color rgb="FFFF0000"/>
        <rFont val="Calibri"/>
        <family val="2"/>
        <scheme val="minor"/>
      </rPr>
      <t>Producto 35</t>
    </r>
    <r>
      <rPr>
        <sz val="11"/>
        <color rgb="FFFF0000"/>
        <rFont val="Calibri"/>
        <family val="2"/>
        <scheme val="minor"/>
      </rPr>
      <t>: Incluido en Producto 29</t>
    </r>
  </si>
  <si>
    <t xml:space="preserve">Subcomponente 3.3. Innovación para la transparencia y el acceso a la información </t>
  </si>
  <si>
    <r>
      <rPr>
        <b/>
        <strike/>
        <sz val="11"/>
        <color rgb="FFFF0000"/>
        <rFont val="Calibri"/>
        <family val="2"/>
        <scheme val="minor"/>
      </rPr>
      <t>Subcomponente 3.3</t>
    </r>
    <r>
      <rPr>
        <b/>
        <sz val="11"/>
        <color rgb="FFFF0000"/>
        <rFont val="Calibri"/>
        <family val="2"/>
        <scheme val="minor"/>
      </rPr>
      <t>.Incluido en 3.1</t>
    </r>
  </si>
  <si>
    <t>Producto 36: Plataforma tecnológica Nacional de Transparencia diseñado e implementado</t>
  </si>
  <si>
    <r>
      <rPr>
        <strike/>
        <sz val="11"/>
        <color rgb="FFFF0000"/>
        <rFont val="Calibri"/>
        <family val="2"/>
        <scheme val="minor"/>
      </rPr>
      <t>Producto 36</t>
    </r>
    <r>
      <rPr>
        <sz val="11"/>
        <color rgb="FFFF0000"/>
        <rFont val="Calibri"/>
        <family val="2"/>
        <scheme val="minor"/>
      </rPr>
      <t>: Incluido en Producto 29</t>
    </r>
  </si>
  <si>
    <t>Subcomponente 3.4. Comunicación y capacitación para la transparencia y la integridad</t>
  </si>
  <si>
    <t>Subcomponente 3.3. Comunicación y capacitación para la transparencia y la integridad</t>
  </si>
  <si>
    <t>Producto 37: Programa de comunicación, desarrollado</t>
  </si>
  <si>
    <r>
      <t>Producto 37: Programa de gestión del cambio</t>
    </r>
    <r>
      <rPr>
        <strike/>
        <sz val="11"/>
        <color rgb="FF0070C0"/>
        <rFont val="Calibri"/>
        <family val="2"/>
        <scheme val="minor"/>
      </rPr>
      <t xml:space="preserve"> comunicación</t>
    </r>
    <r>
      <rPr>
        <sz val="11"/>
        <color rgb="FF0070C0"/>
        <rFont val="Calibri"/>
        <family val="2"/>
        <scheme val="minor"/>
      </rPr>
      <t>, desarrollado</t>
    </r>
  </si>
  <si>
    <t>Producto 38: Programa de capacitación, desarrollado</t>
  </si>
  <si>
    <r>
      <rPr>
        <strike/>
        <sz val="11"/>
        <color rgb="FFFF0000"/>
        <rFont val="Calibri"/>
        <family val="2"/>
        <scheme val="minor"/>
      </rPr>
      <t>Producto 38</t>
    </r>
    <r>
      <rPr>
        <sz val="11"/>
        <color rgb="FFFF0000"/>
        <rFont val="Calibri"/>
        <family val="2"/>
        <scheme val="minor"/>
      </rPr>
      <t>: Incluido en Producto 37</t>
    </r>
  </si>
  <si>
    <t>DR-L1150 - Programa de Apoyo a la Agenda de Transparencia e Integridad en República Dominicana</t>
  </si>
  <si>
    <t>Instrumentos de Gestión del Programa</t>
  </si>
  <si>
    <t>Índice</t>
  </si>
  <si>
    <t>Ref.</t>
  </si>
  <si>
    <t>Nombre de la Hoja</t>
  </si>
  <si>
    <t>Nombre del Informe</t>
  </si>
  <si>
    <t>Descripción complementaria</t>
  </si>
  <si>
    <t>Quick Wins</t>
  </si>
  <si>
    <t>Prior 18m</t>
  </si>
  <si>
    <t>Actividades priorizadas primeros 18 meses</t>
  </si>
  <si>
    <t>1_MR</t>
  </si>
  <si>
    <t>Matriz de Resultados del Programa</t>
  </si>
  <si>
    <t>2_EDT</t>
  </si>
  <si>
    <t xml:space="preserve">Estructura de Descomposición de Entregables del Programa </t>
  </si>
  <si>
    <t>Hasta nivel de productos</t>
  </si>
  <si>
    <t>3_EE</t>
  </si>
  <si>
    <t>Propuesta para el Esquema de Ejecución del Programa</t>
  </si>
  <si>
    <t>4.1_CC C</t>
  </si>
  <si>
    <t>Cuadro de Costos del Proyecto a Nivel de Componentes (USD)</t>
  </si>
  <si>
    <t>4.2_CC P</t>
  </si>
  <si>
    <t>Cuadro de Costos del Proyecto a Nivel de Productos (USD)</t>
  </si>
  <si>
    <t>5_Info_PMR</t>
  </si>
  <si>
    <t>Información de avance para el PMR</t>
  </si>
  <si>
    <t>GC_CC P</t>
  </si>
  <si>
    <t>Gestión del Cambio del Cuadro de Costos a Nivel de Productos</t>
  </si>
  <si>
    <t>GC_Estruc. Prod.</t>
  </si>
  <si>
    <t>Gestión del Cambio de la Estructura de Productos</t>
  </si>
  <si>
    <t>6.2_PD</t>
  </si>
  <si>
    <t>Programación de Desembolsos (USD)</t>
  </si>
  <si>
    <t>Programación con criterio de año calendario y no año de Programa</t>
  </si>
  <si>
    <t>7_Curva S</t>
  </si>
  <si>
    <t>Curva S de uso de recursos</t>
  </si>
  <si>
    <t>8_MP</t>
  </si>
  <si>
    <t>Matriz de Planificación del Programa / Proyecto</t>
  </si>
  <si>
    <t>Integra la Gestión de Alcance, de Tiempo, de Adquisiciones, Presupuesto Global de Inversión detallado hasta nivel de Recursos (insumos) y Plan Financiero Multianual para cada Fuente de Financiamiento. Esta hoja de calculo es el la tabla principal a partir de la cual se encuentran vinculadas las demas hojas de cálculo</t>
  </si>
  <si>
    <t>PA_Inicial</t>
  </si>
  <si>
    <t>9_Resumen del PA - MH</t>
  </si>
  <si>
    <t>Resumen de los montos del PA según Categoría - para el MH</t>
  </si>
  <si>
    <t>9.1_PA_OB&amp;S - MH</t>
  </si>
  <si>
    <t>Plan de Adquisiciones - Obras, Bienes y Servicios de No Consultoría - para el MH</t>
  </si>
  <si>
    <t>9.2_PA_SC - MH</t>
  </si>
  <si>
    <t>Plan de Adquisiciones - Servicios de Consultoría - para el MH</t>
  </si>
  <si>
    <t>9.3_PA_Aud. - MH</t>
  </si>
  <si>
    <t>Plan de Adquisiciones - Auditorías - para el MH</t>
  </si>
  <si>
    <t>9.4_PA_SN - MH</t>
  </si>
  <si>
    <t>Plan de Adquisiciones - Sistema Nacional - para el MH</t>
  </si>
  <si>
    <t>10_Resumen del PA - CGR</t>
  </si>
  <si>
    <t>10.1_PA_OB&amp;S - CGR</t>
  </si>
  <si>
    <t>10.2_PA_SC - CGR</t>
  </si>
  <si>
    <t>10.3_PA_Aud. - CGR</t>
  </si>
  <si>
    <t>10.4_PA_SN - CGR</t>
  </si>
  <si>
    <t>Tiempos adq</t>
  </si>
  <si>
    <t>Tiempos de adquisiciones promedio</t>
  </si>
  <si>
    <t>CÁLCULOS AUXILIARES</t>
  </si>
  <si>
    <t>CA1_ET</t>
  </si>
  <si>
    <r>
      <t>Estimaciones de Tiempos para los procesos de adquisiciones</t>
    </r>
    <r>
      <rPr>
        <sz val="11"/>
        <color rgb="FFFF0000"/>
        <rFont val="Calibri"/>
        <family val="2"/>
        <scheme val="minor"/>
      </rPr>
      <t xml:space="preserve"> (en proceso de desarrollo)</t>
    </r>
  </si>
  <si>
    <t>CA2_U</t>
  </si>
  <si>
    <t>Umbrales de los métodos de adquisición bajo políticas del BID</t>
  </si>
  <si>
    <t>CA3_AT</t>
  </si>
  <si>
    <t>Estimación de Costos del Contrato de Asistencia Técnica</t>
  </si>
  <si>
    <t>CA3.1_AT2</t>
  </si>
  <si>
    <t>Estimación de Costos del Contrato de Asistencia Técnica c/edición</t>
  </si>
  <si>
    <t>CA4_AAI</t>
  </si>
  <si>
    <t>Presupuesto de Actividades de Alto Impacto</t>
  </si>
  <si>
    <t>CA5_C2</t>
  </si>
  <si>
    <t>Información Base para el Componente 2</t>
  </si>
  <si>
    <t>IG_Metas</t>
  </si>
  <si>
    <t>Indice de Gestión de las Metas del Contratista</t>
  </si>
  <si>
    <t>Notas1_Mesp</t>
  </si>
  <si>
    <t>Notas _ Misión Especial</t>
  </si>
  <si>
    <t>Notas2_FP</t>
  </si>
  <si>
    <t>Notas_Forma de Pago</t>
  </si>
  <si>
    <t>Matriz de Resultados</t>
  </si>
  <si>
    <t>Nombre del Programa</t>
  </si>
  <si>
    <t>Programa de Apoyo a la Agenda de Transparencia e Integridad en República Dominicana</t>
  </si>
  <si>
    <t>Objetivo del Programa</t>
  </si>
  <si>
    <t>Fortalecer la transparencia, la rendición de cuentas y la integridad en la gestión de los recursos públicos</t>
  </si>
  <si>
    <t>Objetivos específicos del proyecto</t>
  </si>
  <si>
    <t>(i) consolidar la transparencia y trazabilidad en la gestión de recursos
(ii) fortalecer la función de control interno
(iii) fomentar el acceso a la información, participación ciudadana, y la integridad en la administración pública y en el sector privado</t>
  </si>
  <si>
    <t>Resultados Esperados</t>
  </si>
  <si>
    <t>Indicadores</t>
  </si>
  <si>
    <t xml:space="preserve">Unidad de medida </t>
  </si>
  <si>
    <t>Valor de Línea de base</t>
  </si>
  <si>
    <t>Año Línea de Base</t>
  </si>
  <si>
    <t>Intermedios</t>
  </si>
  <si>
    <t>Meta</t>
  </si>
  <si>
    <t>Medio de verificación</t>
  </si>
  <si>
    <t>Comentarios</t>
  </si>
  <si>
    <t xml:space="preserve">Valor </t>
  </si>
  <si>
    <t>Año</t>
  </si>
  <si>
    <t>Objetivo 1: Consolidar la transparencia y trazabilidad en la gestión de recursos</t>
  </si>
  <si>
    <t>Indicador 1. Porcentaje de contratos nuevos financiados por el ejecutivo con certificado de apropiación presupuestaria asociado a través de servicio web.</t>
  </si>
  <si>
    <t>%</t>
  </si>
  <si>
    <t>-</t>
  </si>
  <si>
    <t>Datos del Portal Transaccional de la DGCP</t>
  </si>
  <si>
    <t>DIGES</t>
  </si>
  <si>
    <t>Indicador 2. Porcentaje de procesos de contratación que usan métodos de selección no competitivos.</t>
  </si>
  <si>
    <t>La línea de base se refiere al % de procesos contractuales (no al valor de las contrataciones).
El promedio se mantuvo en 2018 (53%) y 2019 (60,3%) por lo que no corresponde a un efecto exclusivo por la pandemia.</t>
  </si>
  <si>
    <t>DGCP, Carlos Romero</t>
  </si>
  <si>
    <t>Indicador 3. Porcentaje de valor contratado de las contrataciones que son adjudicadas a MIPYMES lideradas por mujeres.</t>
  </si>
  <si>
    <t>Indicador pro-género. Se refiere al valor monetario de contrataciones otorgadas a MIPYMES lideradas por mujeres entre el valor total de las contrataciones adjudicadas en un año.</t>
  </si>
  <si>
    <t>Indicador 4. Porcentaje de proyectos activos de inversión pública que permiten el monitoreo en función del avance físico de sus componentes.</t>
  </si>
  <si>
    <t xml:space="preserve">Datos del sistema de seguimiento, monitoreo y evaluación del SNIP. </t>
  </si>
  <si>
    <t>El sistema actual no permite monitorear la ejecución física de los proyectos a nivel de componente, obra o actividad. El nuevo sistema va a posibilitar que el monitoreo se realice también a estos niveles.</t>
  </si>
  <si>
    <t>Subcomponente 1.3</t>
  </si>
  <si>
    <t>Objetivo 2: Fortalecer la función de control interno</t>
  </si>
  <si>
    <t>Indicador 5. Porcentaje de recomendaciones de los hallazgos de las Auditorías Internas, implementadas.</t>
  </si>
  <si>
    <t xml:space="preserve"> - Informes de auditoría preparados por las UAI
 - Informes semestrales de avance del programa aprobados por el Banco</t>
  </si>
  <si>
    <t xml:space="preserve">Se refieren al promedio de las recomendaciones hechas por las UAI a las entidades controladas hechas entre 2022 y 2025 que se encuentran implementadas en 2026. </t>
  </si>
  <si>
    <t>Objetivo 3: Fomentar el acceso a la información, participación ciudadana, y la integridad en la administración pública y en el sector privado</t>
  </si>
  <si>
    <t>Indicador 6. Porcentaje de brechas entre solicitudes de acceso a la información recibidas y solicitudes resueltas en el tiempo previsto en la Ley No.200-04.</t>
  </si>
  <si>
    <t xml:space="preserve"> - Informes de la DIGEIG
 - Informes de avances del programa aprobados por el Banco</t>
  </si>
  <si>
    <t>La norma establece que se cuenta con 15 días para dar respuesta a la información, salvo que la información no sea pública. Existen casos específicos con plazos diferenciales.</t>
  </si>
  <si>
    <t xml:space="preserve">Indicador 7. Cantidad de días promedio en el tratamiento de las denuncias, desde la apertura hasta que se emite un informe de parte de la DIGEIG. </t>
  </si>
  <si>
    <t>Días</t>
  </si>
  <si>
    <t>Indicador 8. Cantidad de meses en la actualización de bases de datos abiertos por parte del Ministerio de la Mujer.</t>
  </si>
  <si>
    <t>Meses</t>
  </si>
  <si>
    <t>Indicador pro-género.</t>
  </si>
  <si>
    <t>Indicador 9. Porcentaje de instituciones retrasadas en la actualización de bases de datos abiertos que alimentan el portal de datos abiertos.</t>
  </si>
  <si>
    <t>La línea de base corresponde a 36 instituciones de un total de 210, mientras que la meta seria 10 instituciones.</t>
  </si>
  <si>
    <t>Producto</t>
  </si>
  <si>
    <t>Unidad de Medida</t>
  </si>
  <si>
    <t>Línea de Base</t>
  </si>
  <si>
    <t>Año 1*
2023</t>
  </si>
  <si>
    <t>Año 2
2024</t>
  </si>
  <si>
    <t>Año 3
2025</t>
  </si>
  <si>
    <t>Año 4
2026</t>
  </si>
  <si>
    <t>Año 5
2027</t>
  </si>
  <si>
    <t>Año 6*
2028</t>
  </si>
  <si>
    <t>Final del Proyecto</t>
  </si>
  <si>
    <t>Medios de Verificación</t>
  </si>
  <si>
    <t>Producto 1: Procesos de interoperabilidad en MH, MEPyD, DGCP y CGRD, utilizando lineamientos OGTIC, implementados.</t>
  </si>
  <si>
    <t>Informe</t>
  </si>
  <si>
    <t xml:space="preserve"> - Informe tecnico que compruebe el avances en la definición, desarrollo e implementación de los procesos de interoperabilidad</t>
  </si>
  <si>
    <t>Incluye la implementación y despliegue de la arquitectura de procesos, sistemas de información, datos, ciberseguridad, tecnología y gestión del cambio, entre el sistema presupuestal con los sistemas de inversión pública, de contrataciones públicas y contraloría general. Se debe desarrollar conforme a los lineamientos establecidos por la OGTIC.</t>
  </si>
  <si>
    <t>Hito 1: Arquitectura, hoja de ruta y arquitecturas de transición de los procesos, sistemas, datos y tecnología de interoperabilidad diseñada</t>
  </si>
  <si>
    <t>Diseño</t>
  </si>
  <si>
    <t>Portal mejorado</t>
  </si>
  <si>
    <t xml:space="preserve"> - Informes de consultorías contratadas 
 - Reportes del sistema</t>
  </si>
  <si>
    <t>Indicador pro-diversidad.</t>
  </si>
  <si>
    <t>Hito 1: Pilotos de transparencia en gobiernos locales y de accesibilidad para discapacitados</t>
  </si>
  <si>
    <t>Piloto</t>
  </si>
  <si>
    <t xml:space="preserve"> - Reporte del Piloto</t>
  </si>
  <si>
    <t>Tablero</t>
  </si>
  <si>
    <t>Hito 1: Arquitectura de analítica realizada</t>
  </si>
  <si>
    <t xml:space="preserve"> - Diseño y maqueta de la herramienta</t>
  </si>
  <si>
    <t>Hito 2: Algoritmos de analítica implementados</t>
  </si>
  <si>
    <t>Algoritmo</t>
  </si>
  <si>
    <t xml:space="preserve">  - Reportes del sistema</t>
  </si>
  <si>
    <t>Número</t>
  </si>
  <si>
    <t xml:space="preserve"> - Documento de diseño de la estrategia
 - Informes de consultorias</t>
  </si>
  <si>
    <t>Hito 1: Plan de Implementación elaborado</t>
  </si>
  <si>
    <t>Plan</t>
  </si>
  <si>
    <t xml:space="preserve"> - Documento de diseño de la estrategia</t>
  </si>
  <si>
    <t>Hito 2: Actividades de Gestión del Cambio, Comunicaciones y despliegue implementadas</t>
  </si>
  <si>
    <t>Actividades</t>
  </si>
  <si>
    <t xml:space="preserve"> - Informes de ejecución de actividades</t>
  </si>
  <si>
    <t>La cantidad de actividades se definirá con el Plan de Implementación. La propuesta de meta se calculó de acuerdo a la generación de capacidades en negocio, técnica, comunicaciones e implementación.</t>
  </si>
  <si>
    <t xml:space="preserve"> - Informe tecnico que compruebe el avances en la definición, desarrollo e implementación sobre la adaptación del SIGEF actual</t>
  </si>
  <si>
    <t>Indicador pro-diversidad.
Incluye: i) Marco legal y regulatorio, ii) Procesos y flujos de información, iii) Sistemas de información, iv) Capacidades de los Recursos Humanos, v) Servicios de tecnología, vi) Ciberseguridad. Accesibilidad para personas con discapacidad implica usabilidad para poblaciones invidentes, con discapacidad auditiva (Estándar Web Content Accessibility Guidelines WCAG2 y ADA). Prever que en su diseño debe incluir el requerimiento de las alertas tempranas.</t>
  </si>
  <si>
    <t>Hito 1: Sistema de Contrataciones Públicas diseñado</t>
  </si>
  <si>
    <t xml:space="preserve"> - Documento con diseño del sistema</t>
  </si>
  <si>
    <t>Hito 2: Sistema de Contratacion Públicas desarrollado</t>
  </si>
  <si>
    <t>Hito 3: Sistema de Contrataciones Públicas implemantado</t>
  </si>
  <si>
    <t>Este indicador debe medir: (i) la actualización de la infraestructura para el fortalecimiento del sistema electrónico de contratación pública actual y (ii) el desarrollo e implementación de las funcionalidades críticas. 
La planificación prevé avances durante el 2024, 2025 hasta que el producto físico se complete en 2026.</t>
  </si>
  <si>
    <t>Hito 1: Intraestructura tecnologica adquirida y actualizada</t>
  </si>
  <si>
    <t>Hito 2: Sistema de Contratación Públicas actual mejorado</t>
  </si>
  <si>
    <t>Hito 3: Sistema de compras eficientes desarrollado</t>
  </si>
  <si>
    <t>Hito 4: Sistema de compras eficientes Implementado</t>
  </si>
  <si>
    <t xml:space="preserve">Indicador pro-género.
Incluye alerta de género para identificar unidades de compras con menor adjudicación de contratos a empresas de mujeres.
Sistema fortalecido contempla la i) Identificación de alertas tempranas, ii) Dimensionamiento y complemento al sistema actual, iii) Evidencias.
Nota: </t>
  </si>
  <si>
    <t xml:space="preserve"> - Informes de consultorías contratadas</t>
  </si>
  <si>
    <t>El programa se entiende como implementado cuando la primera cohorte se ha certificado.</t>
  </si>
  <si>
    <t>Hito 1: Carrera Especial de Contratación Pública diseñada</t>
  </si>
  <si>
    <t>Hito 2: Certificaciones en el SNCP Implementadas</t>
  </si>
  <si>
    <t>Hito 3: Accesibilidad Campus Virtual</t>
  </si>
  <si>
    <t>Hito 4: Estudio de grabación Campus Virtual</t>
  </si>
  <si>
    <t xml:space="preserve"> - Informes de consultorías contratadas
 - Documento de diseño de la estrategia
 - Informes de ejecución de la estrategia</t>
  </si>
  <si>
    <t>Indicador pro-género.
Los criterios sostenibles incluyen: económico, social (género y diversidad) y ambiental (verde)</t>
  </si>
  <si>
    <t>Hito 1: Elaboración de los términos de referencia para la contratación del diseño de la estrategia nacional de compra pública sostenible.</t>
  </si>
  <si>
    <t>Normas, procesos, operación, indicadores, desarrollo, tecnología, capacitación, implementación, soporte, licencias.
Este producto debe ser contemplado como un sub sistema o un módulo incluido en el SNIP.</t>
  </si>
  <si>
    <t>Producto 13: Infraestructura y servicios de TI para la construcción e implementación del sistema de monitoreo, seguimiento y evaluación de inversión pública y para los ajustes al actual sistema de información de inversión pública, implementados.</t>
  </si>
  <si>
    <t>- Informe elaboración documentación para la licitación y sus anexos.
- Informe proceso de licitación y sus anexos.
- Informe de adjudicación y sus anexos.
- Informe de implementación y sus anexos.</t>
  </si>
  <si>
    <t>El sistema de monitoreo, seguimiento y evaluación de inversión pública debe ser contemplado como un sub sistema o un módulo incluido en el SNIP.
Las actividades de este producto inician a partir de la entrega del dimensionamiento de infraestructura y especificaciones técnicas por parte de la firma contratada en el hito 4 del producto 12.</t>
  </si>
  <si>
    <t>Sistema</t>
  </si>
  <si>
    <t xml:space="preserve"> - Informes de consultorías contratadas </t>
  </si>
  <si>
    <t>El registro será diseñado conforme a las nuevas exigencias de los estándares internacionales en esta materia (Recomendación 24 de los estándares del GAFI)</t>
  </si>
  <si>
    <t>Hito 1: Modelo de Gestión del Sistema de régimen de beneficiarios finales diseñado</t>
  </si>
  <si>
    <t>Modelo</t>
  </si>
  <si>
    <t xml:space="preserve"> - Documento con diseño del régimen, incluyendo autoridades responsables de su aplicación </t>
  </si>
  <si>
    <t>Hito 2: Piloto del Sistema informático de RBF desarrollado</t>
  </si>
  <si>
    <t xml:space="preserve"> - Informes de ejecución del piloto</t>
  </si>
  <si>
    <t>Etapa</t>
  </si>
  <si>
    <t xml:space="preserve"> - Informes de consultorías contratadas
 - Informes de ejecución de la estrategia</t>
  </si>
  <si>
    <t>Etapa 1 implica identicar la estrategia, los destinatarios, la metodología a utilizarse y el inicio de la implementación por un año
Etapa 2 implica la producción del material y la organización y realización de talleres de capacitación y actividades de sensibilización hasta la implementación del Registro</t>
  </si>
  <si>
    <t>Componente 2: Fortalecimiento del Sistema de Control Interno</t>
  </si>
  <si>
    <t>Subcomponente 2.1 Modelo de Gestión y estructura orgánica de la CGR  modernizados</t>
  </si>
  <si>
    <t>Producto 16: Modelo de gestión de la CGRD diseñado</t>
  </si>
  <si>
    <t>Producto 17: Modelo de control ex ante diseñado</t>
  </si>
  <si>
    <t>Producto 18: Proyecto de reorganización de funciones, cargos, y dotación necesaria de la CGRD y de las Unidades a cargo del control "ex ante" y "ex post", realizadas.</t>
  </si>
  <si>
    <t>Proyecto</t>
  </si>
  <si>
    <t xml:space="preserve"> - Informes de consultorías contratadas
 - Manuales elaborados</t>
  </si>
  <si>
    <t>Producto 19: Estrategia de gestión integral del cambio de control interno y transformación digital desarrollada</t>
  </si>
  <si>
    <t>Etapas</t>
  </si>
  <si>
    <t>Etapa 1 implica…
Etapa 2 implica…
Etapa 3 implica…
Etapa 4 implica…</t>
  </si>
  <si>
    <t>Subcomponente 2.2 Desarrollo de competencias para el control interno</t>
  </si>
  <si>
    <t>Producto 20: Nuevo Modelo de Gestión del Talento Humano diseñado</t>
  </si>
  <si>
    <t>Cierre de brechas realizado - Tercer etapa</t>
  </si>
  <si>
    <t xml:space="preserve">Hito 1: Brechas de competencias según modelo de talento humano dimensionadas. </t>
  </si>
  <si>
    <t>Diagnóstico</t>
  </si>
  <si>
    <t xml:space="preserve"> - Informe de análisis de brechas</t>
  </si>
  <si>
    <t>Cierre de brechas realizado - Primera etapa</t>
  </si>
  <si>
    <t>Producto 21: Auditores certificados con base en estándares nacionales e internacionales</t>
  </si>
  <si>
    <t>Personas</t>
  </si>
  <si>
    <t xml:space="preserve">Implica 15 colaboradores certificados en COSO ERM y 15 colaboradores certificados en CIA y la certificación nacional de la CGR </t>
  </si>
  <si>
    <t>Producto 22: Proyecto de actualización de normativas en control interno, elaboradas</t>
  </si>
  <si>
    <t>Etapa 1 incluye la elaboración y actualización de las normas
Etapa 2 implica capacitación en las normativas a las instituciones auditadas</t>
  </si>
  <si>
    <t>Producto 23: Control interno bajo estándares nacionales e internacionales implementado en la CGR</t>
  </si>
  <si>
    <t>Subcomponente 2.3 Tecnologías digitales orientadas a la transparencia y control del buen uso de los recursos públicos</t>
  </si>
  <si>
    <t>Producto 24: Generacion de Capacidades de TI Implementadas</t>
  </si>
  <si>
    <t>Etapa 1 implica…
Etapa 2 implica…</t>
  </si>
  <si>
    <t>Producto 25: Arquitectura Empresarial realizada, incluyendo la construcción e implementación de componentes de software.</t>
  </si>
  <si>
    <t>Producto 26: Tableros y herramientas de analítica implementados, incluyendo modelos de analítica descriptiva y predictiva, orientados a la toma de decisiones estratégicas y al apoyo operativo de la misionalidad de la CGR</t>
  </si>
  <si>
    <t>Producto 27: Fortalecimiento de la infraestructura, servicios de TI y de los controles de ciberseguridad, implementados</t>
  </si>
  <si>
    <t>Informes</t>
  </si>
  <si>
    <t>Producto 28: Sistema de información para la gestión integral de riesgos en los procesos de control interno, diseñado e implementado.</t>
  </si>
  <si>
    <t>Numero</t>
  </si>
  <si>
    <t>Hito 1: Hoja de Ruta con escenarios para el diseño e implementación del Sistema Nacional de Integridad diseñado</t>
  </si>
  <si>
    <t>Hoja de Ruta</t>
  </si>
  <si>
    <t>Marco Jurídico</t>
  </si>
  <si>
    <t xml:space="preserve">Fortalecimiento implica la elaboración de los documentos del Marco Jurídico
Este Marco Juridico incluye, pero no se limita a, ley anticorrupción, ley antisoborno, ley de protección al denunciante,  </t>
  </si>
  <si>
    <t>Plataforma</t>
  </si>
  <si>
    <t>Se debe desarrollar en coordinación con los Consejos de Ética Pública</t>
  </si>
  <si>
    <t xml:space="preserve"> - Plan de Acción acordado y construido con el sector privado</t>
  </si>
  <si>
    <t>Etapa 1: Plataforma Web y caja de herramientas
Etapa 2: Registro de datos de las empresas</t>
  </si>
  <si>
    <t>Mecanismos de Seguimiento de las Convenciones Internacionales contra la Corrupción de la Organización de Estados Americanos y de Naciones Unidas, así como compromisos ante la Alianza para el Gobierno Abierto (AGA) y la Comunidad de Estados Latinoamericanos y de Caribe (CELAC), entre otros.</t>
  </si>
  <si>
    <t>Etapa 1 implica reingeniería del procedimiento de investigación de denuncias
Etapa 2 implica elaboración de los documentos estandarizados para cada uno de los tipos de denuncias</t>
  </si>
  <si>
    <t>Para todo el ciclo del presupuesto y  contrataciones, incluyendo mecanismos para reforzar la equidad de género y diversidad</t>
  </si>
  <si>
    <t>Hito 1: Herramienta para la participación ciudadana y el control social desarrollado</t>
  </si>
  <si>
    <t xml:space="preserve"> - Documento de diseño de herramienta</t>
  </si>
  <si>
    <t>Incluye la incorporación de  funcionalidades para garantizar el acceso para personas con discapacidad (Estándar Web Content Accessibility Guidelines WCAG2 y ADA). La mejora implica la Centralización de los portales de Datos Abiertos, de Gobierno Abierto, de la DIGEIG y de Solicitud de Acceso a la Información Pública. Se tendrán en consideración aspectos de la protección de datos personales</t>
  </si>
  <si>
    <t>Hito 1: Módulos implementados</t>
  </si>
  <si>
    <t xml:space="preserve"> - Informes de ejecución de módulos</t>
  </si>
  <si>
    <t>Hito 1. Diagnostico e implementacion de la estrategia de comunicacion DIGEIG</t>
  </si>
  <si>
    <t>a. Realización del diagnóstico interno y externo
b. Identificacion de stakeholders
c. Diseño e implementacion de la estrategia
d. Desarrollo de Mensajes Claves
e. Plan de Acción de la Estrategia</t>
  </si>
  <si>
    <t>Hito 2. Producción de piezas de comunicación asociadas a los productos del programa</t>
  </si>
  <si>
    <t>Audiovisuales</t>
  </si>
  <si>
    <t xml:space="preserve"> - Artes y contenidos</t>
  </si>
  <si>
    <t>Entrega de contenido multimedia</t>
  </si>
  <si>
    <t>Hito 3. Implementación de la estrategia</t>
  </si>
  <si>
    <t>Evento</t>
  </si>
  <si>
    <t xml:space="preserve"> - Invitación
 - Nota de prensa
 - Listados de asistentes</t>
  </si>
  <si>
    <t>Montaje de eventos y actividades de socialización para dar a conocer el avance, resultados e impactos que se logran del programa en su conjunto</t>
  </si>
  <si>
    <t>Notas</t>
  </si>
  <si>
    <t>1. Se refiere al  método de selección no competitivo: “compras por debajo el umbral”.</t>
  </si>
  <si>
    <t>Siguientes pasos para actualización de Instrumentos de Gestión y generación de Info para el PMR</t>
  </si>
  <si>
    <t>#</t>
  </si>
  <si>
    <t>Instrumentos</t>
  </si>
  <si>
    <t>Insumos pendientes</t>
  </si>
  <si>
    <t>Fecha de los insumos pendientes</t>
  </si>
  <si>
    <t>Actividades a cargo de la 
UCP-MH / UEP-CGR</t>
  </si>
  <si>
    <t xml:space="preserve">Plazos para las actividades </t>
  </si>
  <si>
    <t>Plazos para version final de instrumentos (GrvB)</t>
  </si>
  <si>
    <t>Subcomponentes 1.2 (DGCP) y 1.3 (MEPyD)
Componente 3 (DIGEIG)</t>
  </si>
  <si>
    <t xml:space="preserve"> - Revisión general de indicadores de resultados, Linea de Base, Meta y Medio de Verificación
 - Revisión Gral de indicadores de productos, metas, linea de base y medios de verificación</t>
  </si>
  <si>
    <t>Matriz de Planificación</t>
  </si>
  <si>
    <t>Subcomponentes 1.2 (DGCP) y 1.3 (MEPyD)
Componente 3 (DIGEIG)
reconfirmación de CGR
Administración Auditoria y Evaluación</t>
  </si>
  <si>
    <r>
      <t xml:space="preserve">En línea permanente version en actualización
</t>
    </r>
    <r>
      <rPr>
        <sz val="11"/>
        <color rgb="FFFF0000"/>
        <rFont val="Calibri"/>
        <family val="2"/>
        <scheme val="minor"/>
      </rPr>
      <t>24/08/23</t>
    </r>
  </si>
  <si>
    <t>Plan de Adquisiciones (Convergencia)</t>
  </si>
  <si>
    <t>Cargar en el PA las fechas según PEP - coordinar con Carlos</t>
  </si>
  <si>
    <r>
      <t xml:space="preserve">11/8/2023  </t>
    </r>
    <r>
      <rPr>
        <i/>
        <sz val="8"/>
        <color theme="1"/>
        <rFont val="Calibri"/>
        <family val="2"/>
        <scheme val="minor"/>
      </rPr>
      <t>(versión preliminar - sin fechas)</t>
    </r>
    <r>
      <rPr>
        <sz val="11"/>
        <color theme="1"/>
        <rFont val="Calibri"/>
        <family val="2"/>
        <scheme val="minor"/>
      </rPr>
      <t xml:space="preserve">
</t>
    </r>
    <r>
      <rPr>
        <sz val="11"/>
        <color rgb="FFFF0000"/>
        <rFont val="Calibri"/>
        <family val="2"/>
        <scheme val="minor"/>
      </rPr>
      <t xml:space="preserve">23/08/23 </t>
    </r>
    <r>
      <rPr>
        <i/>
        <sz val="8"/>
        <color theme="1"/>
        <rFont val="Calibri"/>
        <family val="2"/>
        <scheme val="minor"/>
      </rPr>
      <t>(con fechas)</t>
    </r>
  </si>
  <si>
    <t>Plan de Ejecución del Proyecto (PEP)</t>
  </si>
  <si>
    <t>Plan Financiero Multianual</t>
  </si>
  <si>
    <t>La semana del 21 coordinar una sesión para transferencia de conocimientos (PEP/PF)</t>
  </si>
  <si>
    <t>Programación de Desembolsos</t>
  </si>
  <si>
    <t>Plan Operativo Anual</t>
  </si>
  <si>
    <t>Info para el PMR</t>
  </si>
  <si>
    <t>Acompaña el proceso de preparación</t>
  </si>
  <si>
    <t>Anexo de AM</t>
  </si>
  <si>
    <t>Prioridades</t>
  </si>
  <si>
    <t>Plazo GrvB (versiones preliminares)</t>
  </si>
  <si>
    <t>Sí</t>
  </si>
  <si>
    <t>(2) Identificación de Quick Wins</t>
  </si>
  <si>
    <r>
      <t xml:space="preserve">3/8/2023
9/8/2023 </t>
    </r>
    <r>
      <rPr>
        <i/>
        <sz val="8"/>
        <color theme="1"/>
        <rFont val="Calibri"/>
        <family val="2"/>
        <scheme val="minor"/>
      </rPr>
      <t>(versión final)</t>
    </r>
  </si>
  <si>
    <t>Juan Carlos - revisar, validar y ajustar que queda y que no</t>
  </si>
  <si>
    <t>(1) Actividades prioritarias 18 primeros meses de ejecución</t>
  </si>
  <si>
    <t>(3) PA inicial de los 18 meses</t>
  </si>
  <si>
    <t>4/8/2023
9/8/2023 (versión final)</t>
  </si>
  <si>
    <t>Tabla de Gestion del Cambio del Cuadro de Costos a nivel de Productos</t>
  </si>
  <si>
    <t>Tabla de Gestion del Cambio de los indicadores de Productos</t>
  </si>
  <si>
    <t>Matriz de Resultados versión ajustada</t>
  </si>
  <si>
    <t>Matriz de Planificación versión ajustada</t>
  </si>
  <si>
    <t>Mejoramiento de EDT</t>
  </si>
  <si>
    <t xml:space="preserve">Taller de actualización de Gestión de Riesgos del Programa </t>
  </si>
  <si>
    <t>Definir responsable y fechas</t>
  </si>
  <si>
    <t>Indicador 1. Porcentaje de instituciones que ejecutan en SIGEF y utilizan servicios web para actualizar sus informaciones del presupuesto nacional vigente relacionadas a la inversión pública.</t>
  </si>
  <si>
    <t>Indicador 4. Porcentaje de proyectos admitidos en el Sistema Nacional de Inversión Pública (SNIP) que forman parte de la nueva metodologia.</t>
  </si>
  <si>
    <r>
      <t xml:space="preserve">Se refieren al promedio de las recomendacione </t>
    </r>
    <r>
      <rPr>
        <sz val="8"/>
        <color rgb="FFFF0000"/>
        <rFont val="Calibri"/>
        <family val="2"/>
        <scheme val="minor"/>
      </rPr>
      <t xml:space="preserve">contenidas en las auditorias internas </t>
    </r>
    <r>
      <rPr>
        <sz val="8"/>
        <color theme="1"/>
        <rFont val="Calibri"/>
        <family val="2"/>
        <scheme val="minor"/>
      </rPr>
      <t xml:space="preserve">a las entidades controladas hechas entre 2022 y 2025 que se encuentran implementadas en 2026. </t>
    </r>
  </si>
  <si>
    <t xml:space="preserve">Año 1*
2023
Marzo </t>
  </si>
  <si>
    <t>Informe 1 (año 4): Informe avance desarrollo del Tablero de Control con funcionalidades analiticas
Informe 2 (año 5): Informe implementacion tablero de control.
Informe 3 (año 5): Informe portal de transparencia fiscal mejorado.</t>
  </si>
  <si>
    <t>Producto 3: Estrategia de gestión del cambio y comunicaciones desarrollada</t>
  </si>
  <si>
    <t xml:space="preserve">Informe </t>
  </si>
  <si>
    <r>
      <t xml:space="preserve">Indicador pro-diversidad.
Incluye: i) Marco legal y regulatorio, ii) Procesos y flujos de información, iii) Sistemas de información, iv) Capacidades de los Recursos Humanos, v) Servicios de tecnología, vi) Ciberseguridad. Accesibilidad para personas con discapacidad implica usabilidad para poblaciones invidentes, con discapacidad auditiva (Estándar Web Content Accessibility Guidelines WCAG2 y ADA). Prever que en su diseño debe incluir el requerimiento de las alertas tempranas.
</t>
    </r>
    <r>
      <rPr>
        <b/>
        <sz val="8"/>
        <color rgb="FFC00000"/>
        <rFont val="Calibri"/>
        <family val="2"/>
        <scheme val="minor"/>
      </rPr>
      <t>Año 4</t>
    </r>
    <r>
      <rPr>
        <sz val="8"/>
        <color rgb="FFC00000"/>
        <rFont val="Calibri"/>
        <family val="2"/>
        <scheme val="minor"/>
      </rPr>
      <t>. 
 -Informe I contiene  ajustes al sistema actual realizado
 -Informe II contiene Sistema de detección de irregularidades y alertas tempranas desarrollado
Año 5.Informe III contiene Sistema de Modernizacion disenado
Año 6.Informe IV contiene actividades de implementacion del sistema de modernizacion</t>
    </r>
  </si>
  <si>
    <t>Producto 5: Profesionalización y Carrera Especial del SNCCP Implementada</t>
  </si>
  <si>
    <t>El programa se entiende como implementado cuando la primera cohorte se ha certificado.
Año 3. Informe I  Diseño de programas avanzados de formación del comprador público y estrategia de certificación
Año 4. Informe II, contiene Aula Virtual/Campus Virtual diseñada
Año 5. Informe III, contiene reporte de certificaciones del primer cohorte</t>
  </si>
  <si>
    <t>Producto 6: Estrategia de compra pública sostenible, diseñada e implementada</t>
  </si>
  <si>
    <t>1
Diseño de la Estrategia
/ primeras actividades implementadas</t>
  </si>
  <si>
    <t>1
actividades implementadas</t>
  </si>
  <si>
    <t xml:space="preserve"> - Informes de consultorías contratadas
 - Documento de diseño de la estrategia
 - Informes de ejecución de la estrategia
/ Informe I</t>
  </si>
  <si>
    <r>
      <t xml:space="preserve">Indicador pro-género.
Los criterios sostenibles incluyen: económico, social (género y diversidad) y ambiental (verde)
</t>
    </r>
    <r>
      <rPr>
        <sz val="8"/>
        <color rgb="FFC00000"/>
        <rFont val="Calibri"/>
        <family val="2"/>
        <scheme val="minor"/>
      </rPr>
      <t>Año 4. Informe I. Contiene la Estrategia diseñada y primeras actividades implementadas
Año 5.Informe II contiene detalle de actividades de implementación de la estrategia</t>
    </r>
  </si>
  <si>
    <t xml:space="preserve">Producto 7: Sistema de información actual de inversión pública ajustado para interoperar con los sistemas electrónicos de la DGCP, el MH y la CGRD. Incluye el Sistema de Monitoreo, Seguimiento &amp; Evaluación </t>
  </si>
  <si>
    <t>Informe elaboración documentación para la licitación y sus anexos.
- Informe proceso de licitación y sus anexos.
- Informe de adjudicación y sus anexos.
- Informe de implementación y sus anexos.</t>
  </si>
  <si>
    <t>Informe 1 (año 3): diseño del sistema de monitoreo y evaluacion.
Infore 2 (año 4): Informe de avance de implementacion del SM&amp;E
Informe 3 (año 5): Informe de avance de implementacion del SM&amp;E
Informe 4 (año 6): Informe de implementacion del SM&amp;E
Informe 5 (año 6): Informe de infraestructura y servicio TIC implementado para migracion del SNIP</t>
  </si>
  <si>
    <t>Infrme 1 (año 3): Informe propuesta marco legal y tributario del RBF
Informe 2 (año 4): Informe propuesta a CONCLAFIT
Informe 3 (año 4): Informe estrategia diseñada  de gestion del cambio del RBF
Informe 4 (año 5): Informe sobre implementacion de mejoras al sistema tecnologico del RBF</t>
  </si>
  <si>
    <t>Año 1* 6/09/
2023</t>
  </si>
  <si>
    <t xml:space="preserve">Año 6* 5/9/2028
</t>
  </si>
  <si>
    <t xml:space="preserve">Informes </t>
  </si>
  <si>
    <t>3 diagnóstico
1 consolidación (2024)
Consultoria nvo modelo In</t>
  </si>
  <si>
    <t>Incluye rediseño de la estructura organizacional, manuales y dotación de RRHH. 2025: Informe de Nvo Modelo 2026. Estructura Organizacional, Funcional y Manuales de Funciones y Cargos</t>
  </si>
  <si>
    <t xml:space="preserve">3 diagnósitco
1 consolidación (fin de año 12)
TDR disponible para Modelo de Gestión
TDR para Rediseño de la Firma Organizacional </t>
  </si>
  <si>
    <t xml:space="preserve"> CI Nvo. Modelo de gestión 
1 Firma para rediseño organizacional</t>
  </si>
  <si>
    <t>2026.  Modelo de Gestión de Riesgos 
2027. Transformación de procesos misionales</t>
  </si>
  <si>
    <t xml:space="preserve"> -Gestión de Riesgos - Firma Contratada
 -Consultor TDR  Procesos Misionales</t>
  </si>
  <si>
    <t xml:space="preserve">  - Firma Contratada Procesos Misionales </t>
  </si>
  <si>
    <t xml:space="preserve">Etapa 1 implica…
Etapa 2 implica…
Etapa 3 implica…
</t>
  </si>
  <si>
    <t xml:space="preserve"> - Firma Estr. Gestión Cambio contratada</t>
  </si>
  <si>
    <t xml:space="preserve"> - Consultor TDR
 -Inicio de proceso Firma</t>
  </si>
  <si>
    <t xml:space="preserve"> -1er Sem. Contratación de  firma </t>
  </si>
  <si>
    <t xml:space="preserve">Cierre de brechas realizado - Tercer etapa
2026. Brechas de competencias según modelo de talento humano dimensionadas. </t>
  </si>
  <si>
    <r>
      <t xml:space="preserve">Implica 31 </t>
    </r>
    <r>
      <rPr>
        <strike/>
        <sz val="8"/>
        <rFont val="Calibri"/>
        <family val="2"/>
        <scheme val="minor"/>
      </rPr>
      <t xml:space="preserve"> colaboradores certificados en COSO ERM y 15 colaboradores certificados en CIA y la certificación nacional de la CGR </t>
    </r>
    <r>
      <rPr>
        <sz val="8"/>
        <rFont val="Calibri"/>
        <family val="2"/>
        <scheme val="minor"/>
      </rPr>
      <t xml:space="preserve">
2024. 15 certificados
2025. 10 certificados
2026. 6 certificados</t>
    </r>
  </si>
  <si>
    <t xml:space="preserve"> - Instituto de Auditores (SD) contratado marzo</t>
  </si>
  <si>
    <t xml:space="preserve"> - Consultoría Firma proceso</t>
  </si>
  <si>
    <t xml:space="preserve"> - Firma contratada</t>
  </si>
  <si>
    <t xml:space="preserve">2026. Incluye normativas de control interno </t>
  </si>
  <si>
    <t xml:space="preserve"> - Consultoría TDR y de acompañamiento
 - Consultoria Integral AE/FS contratada
 - Firma del convenio marco contratado</t>
  </si>
  <si>
    <t>Año 1*
2023 (09/03/23)</t>
  </si>
  <si>
    <t>Año 6*
2028
(08/03/28)</t>
  </si>
  <si>
    <t>Año 3. Estudio de situación y propuesta de planes de accion
Año 3.  Informe del diseño de plataforma del Sistema Nacional de Integridad.
Año 4. Informe de avance en el desarrollo de la plataforma del Sistema Nacional de Integridad.
Año 5. Informe de implementacion de la plataforma.</t>
  </si>
  <si>
    <t>Fortalecimiento implica la elaboración de los documentos del Marco Jurídico
Este Marco Juridico incluye, pero no se limita a, ley anticorrupción, ley antisoborno, ley de protección al denunciante.</t>
  </si>
  <si>
    <t>Etapa 1: Plataforma Web y caja de herramientas
Etapa 2: Registro de datos de las empresas</t>
  </si>
  <si>
    <t>Informe 1 (año 3): Informe diagnóstico barreras de acceso y participacion ciudadana
Informe 2 (año 4): Informe diagnostico proceso de investigacion y seguimiento de denuncias
Informe 3 (año 5): Informe implementacion plataforma tecnologica de participacion ciudadana con enfoque de genero / diversidad</t>
  </si>
  <si>
    <t>Incluye la incorporación de  funcionalidades para garantizar el acceso para personas con discapacidad (Estándar Web Content Accessibility Guidelines WCAG2 y ADA). La mejora implica la Centralización de los portales de Datos Abiertos, de Gobierno Abierto, de la DIGEIG y de Solicitud de Acceso a la Información Pública. Se tendrán en consideración aspectos de la protección de datos personales.
Informe 1 (año 5): Informe diseño plataforma tecnologica unificada
Informe 2 (año 6): Informe implementacion plataforma tecnologica</t>
  </si>
  <si>
    <t>Informes anuales de ejecucion</t>
  </si>
  <si>
    <t>Indicador 1. Porcentaje de contratos nuevos financiados por el ejecutivo con certificado de apropiación presupuestaria asociado a través de servicio web</t>
  </si>
  <si>
    <t>Hito 1 - Visualización de la trazabilidad de los recursos públicos en MapaInversiones implementada.</t>
  </si>
  <si>
    <t xml:space="preserve"> Informes de consultoría contratada y sus anexos.</t>
  </si>
  <si>
    <t>Los informes a presentar deben estar asociados al ciclo de vida del desarrollo e implementación de aplicaciones tecnológica hasta la implementación y transferencia del conocimiento, para:
1) Construir vistas y ETL para cargar las informaciones a MapaInversiones; 
2) Construir visualizaciones en MapaInversiones; y
3) Construir los servicios web necesarios para la carga y visualización de las informaciones.</t>
  </si>
  <si>
    <t>Hito 2 - Tablero analítico que facilite la planificación de los proyectos implementado.</t>
  </si>
  <si>
    <t xml:space="preserve">Los informes a presentar deben estar asociados al ciclo de vida del desarrollo e implementación de aplicaciones tecnológica hasta la implementación y transferencia del conocimiento, para la construcción del tablero analítico Identificando las preguntas del negocio, analizar los datos, mejorar la calidad de datos, construir modelos, implementar visualizaciones, incluir visualizaciones en los portales del MEPyD y MapaInversiones. </t>
  </si>
  <si>
    <t>Hito 3 - Servicios web para informar el comportamiento financiero de proyectos y programación construidos e implementados.</t>
  </si>
  <si>
    <t xml:space="preserve">Los informes a presentar deben estar asociados al ciclo de vida del desarrollo e implementación de aplicaciones tecnológica hasta la implementación y transferencia del conocimiento, para la construcción e implementación de servicios web. </t>
  </si>
  <si>
    <t>Hito 4: Arquitectura, hoja de ruta y arquitecturas de transición de los procesos, sistemas, datos y tecnología de interoperabilidad diseñada</t>
  </si>
  <si>
    <r>
      <rPr>
        <sz val="8"/>
        <color rgb="FFC00000"/>
        <rFont val="Calibri"/>
        <family val="2"/>
        <scheme val="minor"/>
      </rPr>
      <t xml:space="preserve"> -Dimensionamiento de necesidades / estrategia de implementación (capacity plan)
 </t>
    </r>
    <r>
      <rPr>
        <b/>
        <sz val="8"/>
        <color rgb="FFC00000"/>
        <rFont val="Calibri"/>
        <family val="2"/>
        <scheme val="minor"/>
      </rPr>
      <t>Ruta Crítica</t>
    </r>
    <r>
      <rPr>
        <sz val="8"/>
        <rFont val="Calibri"/>
        <family val="2"/>
        <scheme val="minor"/>
      </rPr>
      <t xml:space="preserve">
 -TDR y contratación  desarrolladores / </t>
    </r>
    <r>
      <rPr>
        <sz val="8"/>
        <color rgb="FFC00000"/>
        <rFont val="Calibri"/>
        <family val="2"/>
        <scheme val="minor"/>
      </rPr>
      <t>julio 24 contratados</t>
    </r>
    <r>
      <rPr>
        <sz val="8"/>
        <rFont val="Calibri"/>
        <family val="2"/>
        <scheme val="minor"/>
      </rPr>
      <t xml:space="preserve">
 -LPI Infraestructura </t>
    </r>
    <r>
      <rPr>
        <i/>
        <sz val="8"/>
        <rFont val="Calibri"/>
        <family val="2"/>
        <scheme val="minor"/>
      </rPr>
      <t>(proceso de contratación publicado) 
 -Contratación Consultoría TDR/SP Arquitectura Nvo. Sistema de Compra</t>
    </r>
    <r>
      <rPr>
        <sz val="8"/>
        <rFont val="Calibri"/>
        <family val="2"/>
        <scheme val="minor"/>
      </rPr>
      <t xml:space="preserve">
</t>
    </r>
  </si>
  <si>
    <t>Hito 2: Sistema de Contratacion Públicas actial mejorado</t>
  </si>
  <si>
    <t>TDR y contratacion para diseno de la carrera</t>
  </si>
  <si>
    <t xml:space="preserve">TDR - avance proceso con Expresión de Interes </t>
  </si>
  <si>
    <t>Contratación 1er semestre</t>
  </si>
  <si>
    <t>Hito 1 - Consultores Especialistas en inversión pública y arquitectura empresarial para la elaboración de los TdR y documentos de licitación para la  contratación de una firma especialista en el Ciclo de Vida de Proyectos de Inversión Pública, arquitectura e implementación de software y gestión del cambio, para la implementación de las mejoras al SNIP y del nuevo sistema de Seguimiento, Monitoreo y Evaluación de los PIP contratados.</t>
  </si>
  <si>
    <t>Etapa 1</t>
  </si>
  <si>
    <t>- TdR Elaborado
- Propuesta de selección de firma</t>
  </si>
  <si>
    <t>1) Las operaciones de los consultores contratados  debe iniciar el 1 de diciembre 2023.
2) Los TdR deben contener la definición de alcance, perfil de la empresa, esquema de remuneración, acuerdos del nivel de servicios,  y esquema de penalización (multa).</t>
  </si>
  <si>
    <t>Hito 2 - Firma especialista contratada.</t>
  </si>
  <si>
    <t>Etapa 2</t>
  </si>
  <si>
    <t>SBCC Adjudicado</t>
  </si>
  <si>
    <t>Las operaciones de la firma adjudicada debe iniciar a más tardar el 1 de septiembre 2024.</t>
  </si>
  <si>
    <r>
      <t xml:space="preserve">Hito 3-  Ficha de Proyectos con los ajustes necesarios para la interoperabilidad entre los sistemas electrónicos de la DGCP, el MH y la CGRD implementados.
</t>
    </r>
    <r>
      <rPr>
        <i/>
        <strike/>
        <sz val="8"/>
        <color rgb="FF7030A0"/>
        <rFont val="Calibri"/>
        <family val="2"/>
        <scheme val="minor"/>
      </rPr>
      <t>(</t>
    </r>
    <r>
      <rPr>
        <b/>
        <i/>
        <strike/>
        <sz val="8"/>
        <color rgb="FF7030A0"/>
        <rFont val="Calibri"/>
        <family val="2"/>
        <scheme val="minor"/>
      </rPr>
      <t>AJUSTES AL SNIP</t>
    </r>
    <r>
      <rPr>
        <i/>
        <strike/>
        <sz val="8"/>
        <color rgb="FF7030A0"/>
        <rFont val="Calibri"/>
        <family val="2"/>
        <scheme val="minor"/>
      </rPr>
      <t>)</t>
    </r>
  </si>
  <si>
    <t>- Informes de consultoría contratada y sus anexos.
-  Informe con Programas de capacitación y Listados de Asistencia.</t>
  </si>
  <si>
    <r>
      <rPr>
        <b/>
        <strike/>
        <sz val="8"/>
        <color rgb="FF000000"/>
        <rFont val="Calibri"/>
        <family val="2"/>
        <scheme val="minor"/>
      </rPr>
      <t xml:space="preserve">Hito correspondiente a la Firma consultora adjudicada  aplicando arquitectura empresarial.
</t>
    </r>
    <r>
      <rPr>
        <strike/>
        <sz val="8"/>
        <color rgb="FF000000"/>
        <rFont val="Calibri"/>
        <family val="2"/>
        <scheme val="minor"/>
      </rPr>
      <t xml:space="preserve">Debe contemplar:
1. Diseño de la arquitectura de los elementos del SNIP a ajustar.
2. Desarrollo, prueba e implementación de los ajustes.
3. Transferencia del conocimiento tecnológico al personal de la DGIP.
</t>
    </r>
    <r>
      <rPr>
        <b/>
        <strike/>
        <sz val="8"/>
        <color rgb="FF7030A0"/>
        <rFont val="Calibri"/>
        <family val="2"/>
        <scheme val="minor"/>
      </rPr>
      <t>(Estos ajustes al SNIP se refieren a la adecuación para los temas de interoperabilidad)</t>
    </r>
  </si>
  <si>
    <r>
      <t xml:space="preserve">Hito 4 - Interoperabilidad que aseguren la trazabilidad del gasto público implementados.
</t>
    </r>
    <r>
      <rPr>
        <i/>
        <strike/>
        <sz val="8"/>
        <color rgb="FF7030A0"/>
        <rFont val="Calibri"/>
        <family val="2"/>
        <scheme val="minor"/>
      </rPr>
      <t>(</t>
    </r>
    <r>
      <rPr>
        <b/>
        <i/>
        <strike/>
        <sz val="8"/>
        <color rgb="FF7030A0"/>
        <rFont val="Calibri"/>
        <family val="2"/>
        <scheme val="minor"/>
      </rPr>
      <t>SERVICIOS WEB</t>
    </r>
    <r>
      <rPr>
        <i/>
        <strike/>
        <sz val="8"/>
        <color rgb="FF7030A0"/>
        <rFont val="Calibri"/>
        <family val="2"/>
        <scheme val="minor"/>
      </rPr>
      <t>)</t>
    </r>
  </si>
  <si>
    <t>Informes de consultoría contratada y sus anexos incluyendo Transferencia del Conocimiento.</t>
  </si>
  <si>
    <r>
      <rPr>
        <b/>
        <strike/>
        <sz val="8"/>
        <color rgb="FF000000"/>
        <rFont val="Calibri"/>
        <family val="2"/>
        <scheme val="minor"/>
      </rPr>
      <t xml:space="preserve">Hito correspondiente a la Firma consultora adjudicada aplicando arquitectura empresarial.
</t>
    </r>
    <r>
      <rPr>
        <strike/>
        <sz val="8"/>
        <color rgb="FF000000"/>
        <rFont val="Calibri"/>
        <family val="2"/>
        <scheme val="minor"/>
      </rPr>
      <t xml:space="preserve">Debe contemplar:
1. Diseño de la arquitectura de los servicios y tecnologías a utilizar.
2. Desarrollo, prueba e implementación de los servicios.
3. Transferencia del conocimiento tecnológico al personal de la DGIP.
</t>
    </r>
    <r>
      <rPr>
        <b/>
        <strike/>
        <sz val="8"/>
        <color rgb="FF7030A0"/>
        <rFont val="Calibri"/>
        <family val="2"/>
        <scheme val="minor"/>
      </rPr>
      <t>(Esto se refiere a la construcción de los servicios para los temas de interoperabilidad)</t>
    </r>
  </si>
  <si>
    <t>Producto 8: Sistema de Monitoreo, Seguimiento &amp; Evaluación, diseñado e implementado.</t>
  </si>
  <si>
    <r>
      <rPr>
        <b/>
        <strike/>
        <u/>
        <sz val="8"/>
        <rFont val="Calibri"/>
        <family val="2"/>
        <scheme val="minor"/>
      </rPr>
      <t>Producto</t>
    </r>
    <r>
      <rPr>
        <b/>
        <strike/>
        <sz val="8"/>
        <rFont val="Calibri"/>
        <family val="2"/>
        <scheme val="minor"/>
      </rPr>
      <t xml:space="preserve"> completo correspondiente a la Firma consultora adjudicada aplicando arquitectura empresarial.</t>
    </r>
    <r>
      <rPr>
        <strike/>
        <sz val="8"/>
        <rFont val="Calibri"/>
        <family val="2"/>
        <scheme val="minor"/>
      </rPr>
      <t xml:space="preserve">
Normas, procesos, operación, indicadores, desarrollo, tecnología, capacitación, implementación, soporte, licencias.
Este producto debe ser contemplado como un sub sistema o un módulo incluido en el SNIP.</t>
    </r>
  </si>
  <si>
    <t>Hito 1: Modelo de Sistema de SM&amp;E Seleccionado.</t>
  </si>
  <si>
    <t xml:space="preserve"> - Informe de consultoría contratada con la selección del modelo de SM&amp;E y sus anexos.
</t>
  </si>
  <si>
    <r>
      <rPr>
        <b/>
        <strike/>
        <sz val="8"/>
        <rFont val="Calibri"/>
        <family val="2"/>
        <scheme val="minor"/>
      </rPr>
      <t xml:space="preserve">Hito correspondiente a </t>
    </r>
    <r>
      <rPr>
        <b/>
        <strike/>
        <u/>
        <sz val="8"/>
        <rFont val="Calibri"/>
        <family val="2"/>
        <scheme val="minor"/>
      </rPr>
      <t>consultor individual</t>
    </r>
    <r>
      <rPr>
        <b/>
        <strike/>
        <sz val="8"/>
        <rFont val="Calibri"/>
        <family val="2"/>
        <scheme val="minor"/>
      </rPr>
      <t>.</t>
    </r>
    <r>
      <rPr>
        <strike/>
        <sz val="8"/>
        <rFont val="Calibri"/>
        <family val="2"/>
        <scheme val="minor"/>
      </rPr>
      <t xml:space="preserve">
Implica la evaluación y propuesta de mejor alternativa.</t>
    </r>
  </si>
  <si>
    <t>Hito 2: Conceptualización del Sistema de SM&amp;E diseñado e implementado.</t>
  </si>
  <si>
    <t xml:space="preserve"> - Informes de consultoría contratada y sus anexos.
- Informes de Programas de capacitación y Listados de Asistencia.</t>
  </si>
  <si>
    <r>
      <rPr>
        <b/>
        <strike/>
        <sz val="8"/>
        <rFont val="Calibri"/>
        <family val="2"/>
        <scheme val="minor"/>
      </rPr>
      <t>Hito correspondiente a la Firma consultora adjudicada aplicando arquitectura empresarial.</t>
    </r>
    <r>
      <rPr>
        <strike/>
        <sz val="8"/>
        <rFont val="Calibri"/>
        <family val="2"/>
        <scheme val="minor"/>
      </rPr>
      <t xml:space="preserve">
Implica el diseño del sistema de monitoreo y seguimiento, que incluye:
1. Revisión y actualización de la Guia para la formulación de proyectos, 
2. Elaboración de la guia para la ejecución y el seguimiento de los proyectos, 
3. Revisión y actualización de las normas técnicas,
4. Tecnologías a utilizar, 
5. Elaboración propuesta Resolución para la implementación del sistema de monitoreo, 
6. Elaboración Programa de Capacitaciones,
7. Capacitación al equipo de MEPYD sobre los instrumentos del SNIP, 
8. Socialización de las resoluciones para las normas y guias, a las instituciones ejecutoras.
9. Capacitación  a los analistas contrapartes de las instituciones ejecutoras,  de los instrumentos del SNIP.</t>
    </r>
  </si>
  <si>
    <t>Hito 3: Ficha de Proyectos con los ajustes necesarios para la implementación del nuevo modelo de Monitoreo, Seguimiento &amp; Evaluación implementados.</t>
  </si>
  <si>
    <r>
      <rPr>
        <b/>
        <strike/>
        <sz val="8"/>
        <color rgb="FF000000"/>
        <rFont val="Calibri"/>
        <family val="2"/>
        <scheme val="minor"/>
      </rPr>
      <t xml:space="preserve">Hito correspondiente a la Firma consultora adjudicada aplicando arquitectura empresarial.
</t>
    </r>
    <r>
      <rPr>
        <strike/>
        <sz val="8"/>
        <color rgb="FF000000"/>
        <rFont val="Calibri"/>
        <family val="2"/>
        <scheme val="minor"/>
      </rPr>
      <t xml:space="preserve">Implica:
1. Diseño de la arquitectura de la nueva Ficha de Proyecto ajustada;
2. Desarrollo e implementación de la nueva Ficha de Proyectos ajustada;
3. Capacitación al equipo de MEPyD y las instituciones ejecutoras.
4. Transferencia del conocimiento al personal de la DGIP.
</t>
    </r>
    <r>
      <rPr>
        <b/>
        <strike/>
        <sz val="8"/>
        <color rgb="FF7030A0"/>
        <rFont val="Calibri"/>
        <family val="2"/>
        <scheme val="minor"/>
      </rPr>
      <t>(Estos ajustes se refieren a la adecuación de la Ficha de Proyectos vinculados al nuevo sistema de MS&amp;E)</t>
    </r>
  </si>
  <si>
    <t>Hito 4: Arquitectura tecnológica del sistema de Monitoreo, Seguimiento &amp; Evaluación, incluyendo los servicios de interoperabilidad identificados para la trazabilidad del gasto público diseñada.</t>
  </si>
  <si>
    <t xml:space="preserve"> - Informe de consultoría contratada y sus anexos.</t>
  </si>
  <si>
    <r>
      <t xml:space="preserve">Hito correspondiente a la Firma consultora adjudicada aplicando arquitectura empresarial.
</t>
    </r>
    <r>
      <rPr>
        <strike/>
        <sz val="8"/>
        <rFont val="Calibri"/>
        <family val="2"/>
        <scheme val="minor"/>
      </rPr>
      <t>Debe incluir:
- todos los dominios, 
- paquetes de trabajo, 
- dimensionamiento de infraestructura y especificaciones técnicas,
- arquitecturas de transición, 
- hoja de ruta, 
- arquitectura de software, 
- ontología del negocio, 
- capacity planning, y 
- propuesta de estructura organizacional.</t>
    </r>
  </si>
  <si>
    <t>Hito 5: Sistema de Monitoreo, Seguimiento &amp; Evaluación de los PIP, incluyendo los servicios de interoperabilidad identificados para la trazabilidad del gasto público desarrollado, probado e implementado.</t>
  </si>
  <si>
    <t xml:space="preserve"> - Informes de consultoría contratada y sus anexos, incluyendo documentos fuentes, resultados de las pruebas y aceptación de la implementación por parte del MEPyD .</t>
  </si>
  <si>
    <r>
      <t xml:space="preserve">Hito correspondiente a la Firma consultora adjudicada aplicando arquitectura empresarial.
</t>
    </r>
    <r>
      <rPr>
        <strike/>
        <sz val="8"/>
        <rFont val="Calibri"/>
        <family val="2"/>
        <scheme val="minor"/>
      </rPr>
      <t>Se debe incluir en este hito: 
- Transferencia del conocimiento y capacidades tecnológica.</t>
    </r>
  </si>
  <si>
    <t>Hito 6: Equipo de MEPyD e instituciones ejecutoras capacitadas en el nuevo SM&amp;E.</t>
  </si>
  <si>
    <t>- Informes de Programas de capacitación y Listados de Asistencia.</t>
  </si>
  <si>
    <r>
      <t xml:space="preserve">Hito correspondiente a la Firma consultora adjudicada aplicando arquitectura empresarial.
</t>
    </r>
    <r>
      <rPr>
        <strike/>
        <sz val="8"/>
        <color rgb="FF7030A0"/>
        <rFont val="Calibri"/>
        <family val="2"/>
        <scheme val="minor"/>
      </rPr>
      <t>Este hito y todo el producto debe concluir antes de cerrar el 1er. Semestre del 2027.</t>
    </r>
  </si>
  <si>
    <t>Producto 9: Infraestructura y servicios de TI para la construcción e implementación del sistema de monitoreo, seguimiento y evaluación de inversión pública y para los ajustes al actual sistema de información de inversión pública, implementados.</t>
  </si>
  <si>
    <r>
      <t xml:space="preserve">El sistema de monitoreo, seguimiento y evaluación de inversión pública debe ser contemplado como un sub sistema o un módulo incluido en el SNIP.
</t>
    </r>
    <r>
      <rPr>
        <b/>
        <strike/>
        <sz val="8"/>
        <rFont val="Calibri"/>
        <family val="2"/>
        <scheme val="minor"/>
      </rPr>
      <t>Las actividades de este producto inician a partir de la entrega del dimensionamiento de infraestructura y especificaciones técnicas por parte de la firma contratada en el hito 4 del producto 12.</t>
    </r>
  </si>
  <si>
    <t>Hito 1. Dimensionamiento de la infraestructura y servicios TIC necesarios para soportar la migración del SNIP ajustado e implementación del nuevo sistema de Monitoreo, Seguimiento &amp; Evaluación diseñados.</t>
  </si>
  <si>
    <t xml:space="preserve"> - Informe de consultoría contratada y sus anexos, incluyendo documentos del diseño, dimensionamiento y EETT de la infraestructura y servicios TIC.</t>
  </si>
  <si>
    <t>Hito correspondiente a la Firma consultora adjudicada aplicando arquitectura empresarial.</t>
  </si>
  <si>
    <t>Hito 2. TdR y documentos de licitación para la  contratación de una firma suplidora de herramientas para la construcción de infraestructuras y servicios TIC necesarios para soportar el SNIP ajustado y el nuevo sistema de Monitoreo, Seguimiento &amp; Evaluación elaborados.</t>
  </si>
  <si>
    <r>
      <rPr>
        <strike/>
        <sz val="8"/>
        <color rgb="FF000000"/>
        <rFont val="Calibri"/>
        <family val="2"/>
        <scheme val="minor"/>
      </rPr>
      <t xml:space="preserve"> - Informe de consultoría contratada </t>
    </r>
    <r>
      <rPr>
        <strike/>
        <sz val="8"/>
        <color rgb="FF7030A0"/>
        <rFont val="Calibri"/>
        <family val="2"/>
        <scheme val="minor"/>
      </rPr>
      <t xml:space="preserve">con el acuerdo marco </t>
    </r>
    <r>
      <rPr>
        <strike/>
        <sz val="8"/>
        <color rgb="FF000000"/>
        <rFont val="Calibri"/>
        <family val="2"/>
        <scheme val="minor"/>
      </rPr>
      <t>y sus anexos.</t>
    </r>
  </si>
  <si>
    <t>TdR y documentos de licitación deberán ser elaborados y entregados por el consultor especialista en arquitectura de infraestructura tecnológica adquirido por el acuerdo marco.</t>
  </si>
  <si>
    <t>Hito 3. Adquisición de la Infraestructura y servicios TIC licitados e implementados.</t>
  </si>
  <si>
    <t>Hito correspondiente a consultor especialista en arquitectura de infraestructura tecnológica adquirido por el acuerdo marco.</t>
  </si>
  <si>
    <t>Hito 4. SNIP ajustado y nuevo sistema de Monitoreo, Seguimiento &amp; Evaluación  y servicios TIC migrado a la nueva infraestructura implementada.</t>
  </si>
  <si>
    <t xml:space="preserve"> - Informe de consultorías contratadas y sus anexos, incluyendo documentaciones del proceso de migración del SNIP ajustado, del nuevo sistema de Monitoreo, Seguimiento &amp; Evaluación en la Infraestructura Implementada y servicios TIC.</t>
  </si>
  <si>
    <r>
      <t xml:space="preserve">Debe incluir transferencia del conocimiento al personal de la DGIP.
</t>
    </r>
    <r>
      <rPr>
        <b/>
        <strike/>
        <sz val="8"/>
        <color rgb="FF7030A0"/>
        <rFont val="Calibri"/>
        <family val="2"/>
        <scheme val="minor"/>
      </rPr>
      <t>Este hito y todo el producto debe concluir antes de cerrar el 1er. Semestre del 2027.</t>
    </r>
  </si>
  <si>
    <t xml:space="preserve"> - definir alcance y estrategia
1</t>
  </si>
  <si>
    <t>El registro será diseñado conforme a las nuevas exigencias de los estándares internacionales en esta materia (Recomendación 24 de los estándares del GAFI)
Año 2, xx
Año 3, xx
Año 4, xx
Año 5, xx</t>
  </si>
  <si>
    <t>Etapa 1 implica identicar la estrategia, los destinatarios, la metodología a utilizarse y el inicio de la implementación por un año
Etapa 2 implica la producción del material y la organización y realización de talleres de capacitación y actividades de sensibilización hasta la implementación del Registro</t>
  </si>
  <si>
    <r>
      <t xml:space="preserve"> -Estudio de situación y Plan de Acción. Definir y acordar estrategia y TDR  - </t>
    </r>
    <r>
      <rPr>
        <b/>
        <sz val="8"/>
        <color rgb="FFC00000"/>
        <rFont val="Calibri"/>
        <family val="2"/>
        <scheme val="minor"/>
      </rPr>
      <t>Ruta crítica</t>
    </r>
  </si>
  <si>
    <t>Año 2. Estudio de situación y plan de acción (hoja de ruta)
Año 5.  Plataforma de seguimiento y evaluación de componentes de integridad y sistema para el seguimiento de compromisos internacionales.</t>
  </si>
  <si>
    <t xml:space="preserve"> -TDR para contratación (Coord.3)</t>
  </si>
  <si>
    <t xml:space="preserve"> -TDR para PM / Contratar diseñar el modelo
 - SP Desarrollador de Sistema (Firma nva)</t>
  </si>
  <si>
    <t xml:space="preserve"> -TDR para diagnóstico, modelo, metodología. Consultoria contratada
 -TDR / SP Desarrollador de Software. Firma en proceso de conratación</t>
  </si>
  <si>
    <r>
      <rPr>
        <sz val="8"/>
        <color rgb="FFC00000"/>
        <rFont val="Calibri"/>
        <family val="2"/>
        <scheme val="minor"/>
      </rPr>
      <t>Firma contratada Desarrollador de Software</t>
    </r>
    <r>
      <rPr>
        <sz val="8"/>
        <color theme="1"/>
        <rFont val="Calibri"/>
        <family val="2"/>
        <scheme val="minor"/>
      </rPr>
      <t xml:space="preserve">
1</t>
    </r>
  </si>
  <si>
    <t>Etapa 1 implica reingeniería del procedimiento de investigación de denuncias
Etapa 2 implica elaboración de los documentos estandarizados para cada uno de los tipos de denuncias</t>
  </si>
  <si>
    <t xml:space="preserve">  -TDR / SP Desarrollador de Software. Firma en proceso de conratación</t>
  </si>
  <si>
    <t>Firma contratada Desarrollador de Software 1</t>
  </si>
  <si>
    <t xml:space="preserve"> - elabora TDR definición de estrategia de GC</t>
  </si>
  <si>
    <t xml:space="preserve"> - Estrategia de GC elaborada 
- Agencia publicitaria contratada
 - Capacitadores contratados </t>
  </si>
  <si>
    <t>2. Estructura de Desglose del Trabajo (EDT) del Programa</t>
  </si>
  <si>
    <t>3. ESQUEMA DE EJECUCIÓN DEL PROGRAMA / PROYECTO</t>
  </si>
  <si>
    <t xml:space="preserve">4.1 Cuadro de Costos a Nivel de Componentes en USD </t>
  </si>
  <si>
    <t>Programa  de Apoyo a la Agenda de Transparencia e Integridad en República Dominicana DR-L1150</t>
  </si>
  <si>
    <t>EDT</t>
  </si>
  <si>
    <t>Ministerio de Hacienda</t>
  </si>
  <si>
    <t>Contraloría General de la República</t>
  </si>
  <si>
    <t>Total</t>
  </si>
  <si>
    <t>TOTAL</t>
  </si>
  <si>
    <r>
      <t>4.2 Cuadro de Costos a Nivel de Productos</t>
    </r>
    <r>
      <rPr>
        <b/>
        <i/>
        <sz val="10"/>
        <color rgb="FFFF0000"/>
        <rFont val="Calibri"/>
        <family val="2"/>
        <scheme val="minor"/>
      </rPr>
      <t xml:space="preserve"> </t>
    </r>
    <r>
      <rPr>
        <b/>
        <sz val="10"/>
        <rFont val="Calibri"/>
        <family val="2"/>
        <scheme val="minor"/>
      </rPr>
      <t>2024</t>
    </r>
  </si>
  <si>
    <t xml:space="preserve">Contraloría General de la República </t>
  </si>
  <si>
    <t>Planificación etapa de diseño</t>
  </si>
  <si>
    <t>Planificación actualizada 2024</t>
  </si>
  <si>
    <t>Justificación de los Cambios</t>
  </si>
  <si>
    <t>1</t>
  </si>
  <si>
    <t xml:space="preserve">Componente 1: Transparencia y trazabilidad en la gestión de recursos </t>
  </si>
  <si>
    <t>1.1</t>
  </si>
  <si>
    <t>1.1.1.1</t>
  </si>
  <si>
    <t>Asistencia técnica para la implementación de la interoperabilidad en MH, MEPyD, DGCP y CGRD a partir de los mecanismos actuales, realizada.</t>
  </si>
  <si>
    <t>1.1.1</t>
  </si>
  <si>
    <t xml:space="preserve">Producto 1: Procesos de interoperabilidad en MH, MEPyD, DGCP y CGRD, utilizando lineamientos OGTIC, implementados </t>
  </si>
  <si>
    <t>1.1.2</t>
  </si>
  <si>
    <t>1.1.3</t>
  </si>
  <si>
    <t>1.1.4</t>
  </si>
  <si>
    <t>1.1.5</t>
  </si>
  <si>
    <t>1.2</t>
  </si>
  <si>
    <t>1.2.1</t>
  </si>
  <si>
    <t>1.2.2</t>
  </si>
  <si>
    <t>1.2.3</t>
  </si>
  <si>
    <t>1.2.4</t>
  </si>
  <si>
    <t>1.2.5</t>
  </si>
  <si>
    <t>1.3</t>
  </si>
  <si>
    <t>1.3.1</t>
  </si>
  <si>
    <t>1.3.2</t>
  </si>
  <si>
    <t>1.3.3</t>
  </si>
  <si>
    <t>1.4</t>
  </si>
  <si>
    <t>1.4.1</t>
  </si>
  <si>
    <t>1.4.2</t>
  </si>
  <si>
    <t>2</t>
  </si>
  <si>
    <t>2.1</t>
  </si>
  <si>
    <t>2.1.1</t>
  </si>
  <si>
    <t>Producto 15: Modelo de gestión de la CGRD diseñado.</t>
  </si>
  <si>
    <t>2.1.2</t>
  </si>
  <si>
    <t>Producto 16: Modelo de control ex ante diseñado.</t>
  </si>
  <si>
    <t>2.1.3</t>
  </si>
  <si>
    <t>Producto 17: Estrategias de reorganización de funciones, cargos, y dotación necesaria de la CGRD y de las Unidades de Control Interno realizadas.</t>
  </si>
  <si>
    <t xml:space="preserve"> Se reemplazó "Unidades de Control Interno" por "Unidades a cargo del control "ex ante" y "ex post"  </t>
  </si>
  <si>
    <t>2.1.4</t>
  </si>
  <si>
    <t>Producto 18: Estrategia de gestión integral del cambio de control interno y transformación digital desarrollada.</t>
  </si>
  <si>
    <t>2.2</t>
  </si>
  <si>
    <t>2.2.1</t>
  </si>
  <si>
    <t>Producto 19: Brechas de competencias según modelo de talento humano dimensionadas.</t>
  </si>
  <si>
    <t xml:space="preserve"> Cambió nombre del producto </t>
  </si>
  <si>
    <t>2.2.2</t>
  </si>
  <si>
    <t>Producto 20: Auditores certificados con base en estándares nacionales e internacionales.</t>
  </si>
  <si>
    <t>2.2.3</t>
  </si>
  <si>
    <t>Producto 21: Programa de asistencia técnica de la CGRD a las instituciones auditadas, implementada.</t>
  </si>
  <si>
    <t xml:space="preserve"> Se agregó este producto </t>
  </si>
  <si>
    <t>2.3</t>
  </si>
  <si>
    <t>2.3.1</t>
  </si>
  <si>
    <t>Producto 22: Módulos funcionales para la transformación digital del modelo de control implementados.</t>
  </si>
  <si>
    <t xml:space="preserve"> Cambió el nombre y actividades del producto </t>
  </si>
  <si>
    <t>2.3.2</t>
  </si>
  <si>
    <t>Producto 23: Controles de Ciberseguridad implementados.</t>
  </si>
  <si>
    <t>2.3.3</t>
  </si>
  <si>
    <t>Producto 24: Modelo de interoperabilidad que integre los sistemas del MH, el MEPYD, la DGCP y la CGR implementado.</t>
  </si>
  <si>
    <t>2.3.4</t>
  </si>
  <si>
    <t>Producto 25: Sistema de información para la gestión integral de riesgos en los procesos de control interno, diseñado e implementado.</t>
  </si>
  <si>
    <t>2.3.5</t>
  </si>
  <si>
    <t>Producto 26: Algoritmos analíticos para el control interno desarrollados.</t>
  </si>
  <si>
    <t xml:space="preserve"> Se eliminó </t>
  </si>
  <si>
    <t>2.3.6</t>
  </si>
  <si>
    <t>Producto 27: Sistema de análisis de información, desarrollado.</t>
  </si>
  <si>
    <t>3</t>
  </si>
  <si>
    <t xml:space="preserve">Componente 3: Fortalecimiento del acceso a la información, participación ciudadana e integridad en la administración pública y sector privado </t>
  </si>
  <si>
    <t>3.1</t>
  </si>
  <si>
    <t>3.1.1</t>
  </si>
  <si>
    <t>Producto 28: Anteproyecto de ley en materia de integridad y conflictos de intereses elaborado.</t>
  </si>
  <si>
    <t>Producto nuevo                                                                                                                                               Unificación de los productos 29, 31 y 33</t>
  </si>
  <si>
    <t>3.1.2</t>
  </si>
  <si>
    <t xml:space="preserve">Unificación de los productos 28 y 30 </t>
  </si>
  <si>
    <t>3.1.3</t>
  </si>
  <si>
    <t>3.1.4</t>
  </si>
  <si>
    <t>Antes producto 32</t>
  </si>
  <si>
    <t>3.1.5</t>
  </si>
  <si>
    <t>3.1.6</t>
  </si>
  <si>
    <t>3.2</t>
  </si>
  <si>
    <t>3.2.1</t>
  </si>
  <si>
    <t>Unificación de los productos 34 y 35</t>
  </si>
  <si>
    <t>3.2.2</t>
  </si>
  <si>
    <t>3.3</t>
  </si>
  <si>
    <t>3.3.1</t>
  </si>
  <si>
    <t>3.4</t>
  </si>
  <si>
    <t>3.4.1</t>
  </si>
  <si>
    <t>Unificación de los productos 37 y 38</t>
  </si>
  <si>
    <t>3.4.2</t>
  </si>
  <si>
    <t>4</t>
  </si>
  <si>
    <t>Gestión, Auditoría y Evaluación</t>
  </si>
  <si>
    <t>4.1</t>
  </si>
  <si>
    <t>Gestión del Programa</t>
  </si>
  <si>
    <t>4.2</t>
  </si>
  <si>
    <t xml:space="preserve">Auditoria del Programa </t>
  </si>
  <si>
    <t>4.3</t>
  </si>
  <si>
    <t>Evaluación del Programa y análsis económico ex-pots</t>
  </si>
  <si>
    <r>
      <t>4.2 Cuadro de Costos a Nivel de Productos</t>
    </r>
    <r>
      <rPr>
        <b/>
        <i/>
        <sz val="10"/>
        <rFont val="Calibri"/>
        <family val="2"/>
        <scheme val="minor"/>
      </rPr>
      <t xml:space="preserve"> - </t>
    </r>
    <r>
      <rPr>
        <b/>
        <sz val="10"/>
        <rFont val="Calibri"/>
        <family val="2"/>
        <scheme val="minor"/>
      </rPr>
      <t>Planificación Original</t>
    </r>
  </si>
  <si>
    <t>Planificación actualizada 2023</t>
  </si>
  <si>
    <t>Diferencia</t>
  </si>
  <si>
    <t>Producto 1. Asistencia técnica para la implementación de la interoperabilidad en MH, MEPyD, DGCP y CGRD a partir de los mecanismos actuales, realizada.</t>
  </si>
  <si>
    <t>Producto 2: Procesos de interoperabilidad en MH, MEPyD, DGCP y CGRD, utilizando lineamientos OGTIC, implementados.</t>
  </si>
  <si>
    <t>Producto 3: Mejoras al portal de transparencia fiscal</t>
  </si>
  <si>
    <t>Producto 4: Tablero de control y funcionalidades analíticas</t>
  </si>
  <si>
    <t>Producto 5: Estrategia de gestión del cambio y comunicaciones desarrollada</t>
  </si>
  <si>
    <t>Producto 8: Sistema de deteccion de irregularidades y alertas tempranas diseñado e implementado</t>
  </si>
  <si>
    <t>Producto 9: Modelo de Gestión de Recursos Humanos de contrataciones públicas diseñado</t>
  </si>
  <si>
    <t>Producto 10: Estrategia de comunicación y capacitación para la incorporación de criterios sostenibles en las contrataciones públicas diseñado e implementado</t>
  </si>
  <si>
    <t>Producto 11: Sistema de monitoreo, seguimiento y evaluación (SM&amp;E) de inversión pública diseñado e implementado</t>
  </si>
  <si>
    <t>Producto 12: Sistema de información actual de inversión pública ajustado para interoperar con los sistemas electrónicos de la DGCP, el MH y la CGRD</t>
  </si>
  <si>
    <t>Producto 13: Régimen de Beneficiarios Finales de personas y estructuras jurídicas diseñado e implementado</t>
  </si>
  <si>
    <t>Producto 14: Estrategia de Gestión del Cambio y comunicaciones para el Registro de Beneficiarios Finales diseñada e implementada</t>
  </si>
  <si>
    <t>Producto 29: Anteproyecto de ley en materia de protección de denunciantes de actos de corrupción adminitrativa elaborado.</t>
  </si>
  <si>
    <t>Producto 30: Sistema para gestionar conflictos de interés, diseñado e implementado.</t>
  </si>
  <si>
    <t>Producto 31: Metodología para identificar y gestionar riesgos sistémicos de corrupción desarrollada.</t>
  </si>
  <si>
    <t>Producto 32: Programas de cumplimiento e integridad para el sector privado desarrollados.</t>
  </si>
  <si>
    <t>Producto 33: Sistema para el seguimiento de compromisos internacionales, desarrollado.</t>
  </si>
  <si>
    <t>Producto 34: Metodología para realizar investigaciones, seguimiento y respuesta a las denuncias ciudadanas desarrollada.</t>
  </si>
  <si>
    <t>Producto 35: Sistema de participación ciudadana con enfoque de género y diversidad, implementado.</t>
  </si>
  <si>
    <t>Producto 36: Portal de transparencia (con accesibilidad para personas con discapacidad) diseñado e implementado.</t>
  </si>
  <si>
    <t>Cuadro de adquisiciones y costos a Nivel de Productos -  Planificación 2024</t>
  </si>
  <si>
    <t>Cuadro de adquisiciones y costos a Nivel de Productos - 2da Planificación 2024</t>
  </si>
  <si>
    <t>Componente/ Producto/ Actividad</t>
  </si>
  <si>
    <t>Monto</t>
  </si>
  <si>
    <t>ID PA</t>
  </si>
  <si>
    <t xml:space="preserve">Modalidad </t>
  </si>
  <si>
    <t xml:space="preserve">Justificación del cambio </t>
  </si>
  <si>
    <t xml:space="preserve">Notas </t>
  </si>
  <si>
    <t xml:space="preserve">Producto 1: Procesos de interoperabilidad en MH, MEPyD, DGCP y CGRD, implementados. Incluye SIGEF ajustado al presupuesto plurianual </t>
  </si>
  <si>
    <t>1.1.1.1.1</t>
  </si>
  <si>
    <t>Contratación de Especialistas Senior para la gestión técnica de ciberseguridad</t>
  </si>
  <si>
    <t>1.1.1.1.2</t>
  </si>
  <si>
    <t xml:space="preserve">Contratación de Especialistas Senior para la gestión técnica de arquitectura empresarial </t>
  </si>
  <si>
    <t>1.1.1.1.3</t>
  </si>
  <si>
    <t>Contratación de Especialistas para la gestión técnica de la arquitectura de interoperabilidad</t>
  </si>
  <si>
    <t>1.1.1.1.4</t>
  </si>
  <si>
    <t>Construcción de servicios web y ajustes prioritarios a sistemas</t>
  </si>
  <si>
    <t>1.1.1.2</t>
  </si>
  <si>
    <t>Contratación de consultoría técnica especializada para definir criterios técnicos comunes para la ejecución de los contratos de los programas DR-L1150 y DR-L1117, para asegurar su alineación</t>
  </si>
  <si>
    <t>1.1.1.3</t>
  </si>
  <si>
    <t>Contratación de asistencia técnica especializada para elaboración de insumos para los TDR, hoja de ruta para el despliegue de los recursos del acuerdo marco y documentos de licitación para la contratación de la firma encargada del desarrollo la arquitectura e implementación de la interoperabilidad. Debe incluir la definición de alcance, perfil de la empresa, esquema de fijación de precio (fijo o variable), esquema de remuneración, acuerdos del nivel de servicios y esquema de penalización (multa)</t>
  </si>
  <si>
    <t>1.1.1.4</t>
  </si>
  <si>
    <t>Construir la arquitectura, hoja de ruta y arquitecturas de transición de los procesos, sistemas, datos y tecnología de interoperabilidad de acuerdo al marco de trabajo acordado en la misión</t>
  </si>
  <si>
    <t>1.1.1.5</t>
  </si>
  <si>
    <t>Procesos priorizados según el diseño de la arquitectura, implementados</t>
  </si>
  <si>
    <t>1.1.1.5.1</t>
  </si>
  <si>
    <t>Nodos xroad diseñados e implementados</t>
  </si>
  <si>
    <t>64 65 66</t>
  </si>
  <si>
    <t>1.1.1.5.2</t>
  </si>
  <si>
    <t>Servicios de CiberSeguridad implementados</t>
  </si>
  <si>
    <t>1.1.1.5.3</t>
  </si>
  <si>
    <t>Construcción de servicios web y ajustes a sistemas de información no contemplados en otros componentes o programas.</t>
  </si>
  <si>
    <t>1.1.1.5.3.1</t>
  </si>
  <si>
    <t>1.1.1.5.3.2</t>
  </si>
  <si>
    <t>Contratación de Analista de Sistemas</t>
  </si>
  <si>
    <t>1.1.1.5.3.3</t>
  </si>
  <si>
    <t>Contratación de Desarrolladores de Aplicaciones</t>
  </si>
  <si>
    <t>1.1.1.5.3.4</t>
  </si>
  <si>
    <t>Contratación de Cientifico de Datos</t>
  </si>
  <si>
    <t>1.1.1.5.3.5</t>
  </si>
  <si>
    <t>Contratación de Analista de Datos</t>
  </si>
  <si>
    <t>1.1.1.6</t>
  </si>
  <si>
    <t>Equipo técnico contratado</t>
  </si>
  <si>
    <t>1.1.1.6.1</t>
  </si>
  <si>
    <t>1.1.1.6.2</t>
  </si>
  <si>
    <t>1.1.1.6.3</t>
  </si>
  <si>
    <t>Contratación de Especialistas Senior para la gestión técnica de la arquitectura de interoperabilidad</t>
  </si>
  <si>
    <t>1.1.1.7</t>
  </si>
  <si>
    <t>SIGEF ajustado a la programación del presupuesto plurianual</t>
  </si>
  <si>
    <t>1.1.1.7.1</t>
  </si>
  <si>
    <t>Consultoría para la actualización del modelo funcional del presupuesto plurianual orientado a resultado con modalidad dinámica (PPORMD) para asegurar la interoperabilidad entre los componentes del SIAFE</t>
  </si>
  <si>
    <t>62 a</t>
  </si>
  <si>
    <t>1.1.1.7.3</t>
  </si>
  <si>
    <t xml:space="preserve">Encargados de Procesos </t>
  </si>
  <si>
    <t>62b</t>
  </si>
  <si>
    <t>1.1.1.7.4</t>
  </si>
  <si>
    <t>Analistas de Procesos de Negocio</t>
  </si>
  <si>
    <t>62c</t>
  </si>
  <si>
    <t>1.1.1.7.5</t>
  </si>
  <si>
    <t>Coordinador Técnico</t>
  </si>
  <si>
    <t>62d</t>
  </si>
  <si>
    <t>1.1.1.7.6</t>
  </si>
  <si>
    <t>Analista de Sistemas de Información</t>
  </si>
  <si>
    <t>62e</t>
  </si>
  <si>
    <t>1.1.1.7.7</t>
  </si>
  <si>
    <t>Consultor Modelo Funcional</t>
  </si>
  <si>
    <t>62f</t>
  </si>
  <si>
    <t>1.1.1.7.8</t>
  </si>
  <si>
    <t>Modificaciones al SIGEF relacionadas con funcionalidades necesarias para la interoperabilidad en el marco de la trazabilidad de los recursos públicos.</t>
  </si>
  <si>
    <t>Producto 2: Portal de transparencia fiscal y Tablero de control con funcionalidades analíticas, desarrollados</t>
  </si>
  <si>
    <t>1.1.2.1</t>
  </si>
  <si>
    <t>Portal de transparencia fiscal mejorado</t>
  </si>
  <si>
    <t>1.1.2.1.1</t>
  </si>
  <si>
    <t>Canal de comunicación abierto.
Implementación mejora en Usabilidad,  mejora en la accesibilidad para población con condiciones especiales y mejorar la visualización de la trazabilidad de los recursos públicos, incluyendo Gobierno Locales.</t>
  </si>
  <si>
    <t>1.1.2.1.2</t>
  </si>
  <si>
    <t>Consultoría individual para elaboración de TdR de firma consultora especializada para desarrollo de Herramienta de visualización de Datos</t>
  </si>
  <si>
    <t>1.1.2.1.3</t>
  </si>
  <si>
    <t>Consultoría para el Diseño y construccióm de Mejoras en la visualización de la información y la participación ciudadana con enfoque de género, territorial y diversidad, e implementación en Usabilidad, integración de tableros de analítica, mejora en la accesibilidad para población con condiciones especiales y mejorar la visualización de la trazabilidad de los recursos públicos.  Aplicando estragias para la conceptualización del Presupuesto Plurianual a la ciudadanía y áreas afines.</t>
  </si>
  <si>
    <t>67</t>
  </si>
  <si>
    <t>1.1.2.1.4</t>
  </si>
  <si>
    <t>Contratación de asistencia técnica especializada para elaboración de TDR y documentos de licitación para la contratación de la firma encargada del diseño e implementación de la estrategia para la divulgación del nuevo Portal de Transparencia Fiscal (PTF). Debe incluir la definición de alcance, perfil de la empresa, esquema de remuneración, acuerdos del nivel de servicios y esquema de penalización (multa)</t>
  </si>
  <si>
    <t>68</t>
  </si>
  <si>
    <t>1.1.2.1.5</t>
  </si>
  <si>
    <t>Contratación de firma consultora para la divulgación y promoción del Portal de Transparencia Fiscal (PTF)</t>
  </si>
  <si>
    <t>69</t>
  </si>
  <si>
    <t>1.1.2.1.6</t>
  </si>
  <si>
    <t>Piloto para inclusión de información de gobiernos locales</t>
  </si>
  <si>
    <t>1.1.2.1.7</t>
  </si>
  <si>
    <t>Piloto para inclusión de información de empresas públicas</t>
  </si>
  <si>
    <t>1.1.2.2</t>
  </si>
  <si>
    <t>Tablero de control y funcionalidades analíticas desarrollado</t>
  </si>
  <si>
    <t>1.1.2.2.1.1</t>
  </si>
  <si>
    <t>Diseño del tablero de control</t>
  </si>
  <si>
    <t>1.1.2.2.1.2</t>
  </si>
  <si>
    <t>Implementación de algoritmos</t>
  </si>
  <si>
    <t>1.1.2.2.1.3</t>
  </si>
  <si>
    <t>Construcción, pruebas e implementación del tablero de control</t>
  </si>
  <si>
    <t>1.1.2.2.1.4</t>
  </si>
  <si>
    <t>1.1.3.1</t>
  </si>
  <si>
    <t>Contratación de asistencia técnica especializada para elaboración de TDR y documentos de licitación para la contratación de la firma encargada del diseño e implementación de la estrategia. Debe incluir la definición de alcance, perfil de la empresa, esquema de remuneración, acuerdos del nivel de servicios y esquema de penalización (multa)</t>
  </si>
  <si>
    <t>1.1.3.2</t>
  </si>
  <si>
    <t>Contratación de firma consultora para la gestión del cambio</t>
  </si>
  <si>
    <t>`</t>
  </si>
  <si>
    <t>Producto 4: Modernización del Sistema de Contrataciones Públicas con accesibilidad para personas con discapacidad desarrollada. Incluye ajustes al sistema de información acutal de contrataciones y Sistema de detección de irregularidades y alertas tempranas</t>
  </si>
  <si>
    <t>1.2.1.1</t>
  </si>
  <si>
    <t>Nuevo sistema de compras públicas electrónicas, diseñado</t>
  </si>
  <si>
    <t>1.2.1.1.1</t>
  </si>
  <si>
    <t>Contratación de un consultor individual para la elaboración de TDR y SP para la contratación de la definición de la arquitectura empresarial del nuevo sistema de compras públicas y el desarrollo de la Oficina de Gestión de Proyectos de TI de la DGCP</t>
  </si>
  <si>
    <t>Consultor Individual (3CV)</t>
  </si>
  <si>
    <t>1.2.1.1.2</t>
  </si>
  <si>
    <t>Contratación de un firma de consultoría para la definición de la arquitectura empresarial del nuevo sistema de compras públicas electrónicas y el desarrollo de la Oficina de Gestión de Proyectos de TI de la DGCP.</t>
  </si>
  <si>
    <t>Firma (SBCC)</t>
  </si>
  <si>
    <t>1.2.1.2</t>
  </si>
  <si>
    <t>Equipo Técnico/ Oficina de gestión de proyectos, adquirido</t>
  </si>
  <si>
    <t>1.2.1.2.1</t>
  </si>
  <si>
    <t>Adquisición y configuración de una herramienta de planeación y gestión de proyectos.</t>
  </si>
  <si>
    <t>Sin programar</t>
  </si>
  <si>
    <t>1.2.1.2.2</t>
  </si>
  <si>
    <t>Equipo técnico para la Oficina de Gestión de Proyectos (PMO) encargada de administrar los proyectos de TI del nuevo sistema y especialista Técnico.</t>
  </si>
  <si>
    <t>Firma (SBCC) - contenida en 1.2.1.1.2</t>
  </si>
  <si>
    <t>1.2.1.3</t>
  </si>
  <si>
    <t>Sistema de contrataciones públicas electrónicas con Acceso Universal en todos sus módulos, implementado</t>
  </si>
  <si>
    <t>1.2.1.3.1</t>
  </si>
  <si>
    <t>Adquisición y/o construcción e implementación del Sistema de contrataciones públicas electrónicas con Acceso Universal en todos sus módulos</t>
  </si>
  <si>
    <t>1.2.1.3.2</t>
  </si>
  <si>
    <t>Adquisicion y configuración de un software para la gestión del expediente electrónico del sistema de compras públicas electrónicas</t>
  </si>
  <si>
    <t>1.2.1.3.3</t>
  </si>
  <si>
    <t>Adquisición y/o construcción e implementación de funcionalidades para la realización de compras sostenibles (dimensiones social, económica y ambiental)</t>
  </si>
  <si>
    <t>1.2.1.3.4</t>
  </si>
  <si>
    <t>Construcción de los componentes de software para automatizar las compras por debajo del umbral y compras menores  (Fase 1)</t>
  </si>
  <si>
    <t>1.2.1.4</t>
  </si>
  <si>
    <t>Infraestructura tecnológica y de ciberseguridad, DRP y Servicios de TI, adquiridos e implementados</t>
  </si>
  <si>
    <t>1.2.1.4.1</t>
  </si>
  <si>
    <t>Adquisión de Infraestructura tecnológica,  de ciberseguridad, DRP y servicios de TI.</t>
  </si>
  <si>
    <t>1.2.1.4.2</t>
  </si>
  <si>
    <t>Diseño e implementación del plan de continuidad de negocio y el plan de recuperación ante desastres para la operación del nuevo sistema.</t>
  </si>
  <si>
    <t>1.2.1.4.3</t>
  </si>
  <si>
    <t>Diagnóstico de seguridad informática del sistema mediante análisis de vulnerabilidades y ethical hacking.</t>
  </si>
  <si>
    <t>1.2.1.4.4</t>
  </si>
  <si>
    <t>Diseño e implementación del sistema de gestión de seguridad de la información (SGSI)</t>
  </si>
  <si>
    <t>1.2.1.5</t>
  </si>
  <si>
    <t>Administración, operación y soporte del sistema, realizado</t>
  </si>
  <si>
    <t>1.2.1.5.1</t>
  </si>
  <si>
    <t>Diseño e implementación del modelo de gestión para la administración, operación y soporte del nuevo sistema y caraterización de procesos (ITIL).</t>
  </si>
  <si>
    <t>1.2.1.5.2</t>
  </si>
  <si>
    <t>Adquisición y configuración de un software para el centro de contacto para gestionar las interacciones multicanal con los usuarios del sistema.</t>
  </si>
  <si>
    <t>1.2.1.6</t>
  </si>
  <si>
    <t>Despliegue y transición al nuevo sistema, realizado</t>
  </si>
  <si>
    <t>1.2.1.6.1</t>
  </si>
  <si>
    <t>Diseño de las estrategias de despliegue y de gestión del cambio para la modernización del sistema de compras públicas electrónicas</t>
  </si>
  <si>
    <t>1.2.1.6.2</t>
  </si>
  <si>
    <t>Despliegue de la plataforma e implementacion de la estrategia de gestion del cambio (incluye el personal de gestión del cambio)</t>
  </si>
  <si>
    <t>1.2.1.7</t>
  </si>
  <si>
    <t>Ajustes mínimos al sistema de información actual de contrataciones públicas realizados</t>
  </si>
  <si>
    <t>1.2.1.7.1.1</t>
  </si>
  <si>
    <t>Contratación de 2 desarrolladores senior</t>
  </si>
  <si>
    <t>3CV</t>
  </si>
  <si>
    <t>1.2.1.7.1</t>
  </si>
  <si>
    <t>Realizar ajustes a mejoras identificadas de acuerdo a (diagnóstico evolutivo) al sistema de información actual de contrataciones públicas de la DGCP.</t>
  </si>
  <si>
    <t>1.2.1.7.1.2</t>
  </si>
  <si>
    <t>Contratación de 2 desarrolladores junior</t>
  </si>
  <si>
    <t>1.2.1.7.1.3</t>
  </si>
  <si>
    <t>Contratación de 1 Experto Sistema Actual</t>
  </si>
  <si>
    <t>1.2.1.7.1.4</t>
  </si>
  <si>
    <t>Contratación de 1 Especialista Sr. en desarrollo</t>
  </si>
  <si>
    <t>1.2.1.7.2</t>
  </si>
  <si>
    <t xml:space="preserve">Fortalecimiento de la infraestructura del sistema de información actual de contrataciones públicas </t>
  </si>
  <si>
    <t>LPI</t>
  </si>
  <si>
    <t>18 A</t>
  </si>
  <si>
    <t>1.2.1.7.1.5</t>
  </si>
  <si>
    <t>Contratación de 1 Especialista Quality Assurance(QA).</t>
  </si>
  <si>
    <t>18 B</t>
  </si>
  <si>
    <t>1.2.1.7.1.6</t>
  </si>
  <si>
    <t>Contratacion de 1 Especialista en Infraestructura</t>
  </si>
  <si>
    <t>18 C</t>
  </si>
  <si>
    <t>1.2.1.7.3</t>
  </si>
  <si>
    <t>Servicio de Colocation + Energía + Acceso de DATA CENTER</t>
  </si>
  <si>
    <t>1A</t>
  </si>
  <si>
    <t>CD / CP</t>
  </si>
  <si>
    <t>1.2.1.8</t>
  </si>
  <si>
    <t>Sistema de detección de irregularidades y alertas tempranas diseñado e implementado</t>
  </si>
  <si>
    <t>1.2.1.8.1</t>
  </si>
  <si>
    <t>Estrategia de analítica de datos para la compra pública en República Dominicana, elaborada</t>
  </si>
  <si>
    <t>1.2.1.8.1.1</t>
  </si>
  <si>
    <t>Contratación de un consultor individual para la elaboración de la estrategia de analítica de datos para la compra pública en República Dominicana</t>
  </si>
  <si>
    <t>1.2.1.8.2</t>
  </si>
  <si>
    <t>Tablero de precios, mejorado y adoptado</t>
  </si>
  <si>
    <t>1.2.1.8.2.1</t>
  </si>
  <si>
    <t>Mejoramiento del tablero de precios de bienes adquiridos mediante compra pública</t>
  </si>
  <si>
    <t>1.2.1.8.2.2</t>
  </si>
  <si>
    <t>Contratación de 1 desarrollador</t>
  </si>
  <si>
    <t>1.2.1.8.2.3</t>
  </si>
  <si>
    <t>Contratación de 3 científicos de datos</t>
  </si>
  <si>
    <t>1.2.1.8.2.4</t>
  </si>
  <si>
    <t>Adquisición de equipos tecnológicos</t>
  </si>
  <si>
    <t>CP</t>
  </si>
  <si>
    <t>1.2.1.8.2.5</t>
  </si>
  <si>
    <t>Gestión del cambio para lograr la apropiación del tablero de precios por parte de los actores del sistema de compras públicas</t>
  </si>
  <si>
    <t>1.2.1.8.3</t>
  </si>
  <si>
    <t>Sistema de alertas, mejorado y adoptado</t>
  </si>
  <si>
    <t>1.2.1.8.3.1</t>
  </si>
  <si>
    <t>Mejoramiento del sistema de alertas tempranas</t>
  </si>
  <si>
    <t>1.2.2.1</t>
  </si>
  <si>
    <t>Carrera Especial en Contratación pública</t>
  </si>
  <si>
    <t>1.2.2.1.1</t>
  </si>
  <si>
    <t>Contratación de un consultoría para realizar estudio sobre la creación de la carrera especial en contratación pública del SNCCP</t>
  </si>
  <si>
    <t>1.2.2.2</t>
  </si>
  <si>
    <t>Diseño de programas avanzados de formación del comprador público y estrategia de certificación</t>
  </si>
  <si>
    <t>1.2.2.2.1</t>
  </si>
  <si>
    <t>Programa de Certificación</t>
  </si>
  <si>
    <t>1.2.2.2.2</t>
  </si>
  <si>
    <t>Ampliar oferta académica en las universidades y centros de estudios</t>
  </si>
  <si>
    <t>1.2.2.2.3</t>
  </si>
  <si>
    <t>Establecer 3 niveles de certificación</t>
  </si>
  <si>
    <t>1.2.2.2.4</t>
  </si>
  <si>
    <t>Establecer certificaciones especiales (Manejo del Portal, Compras Sostenibles, Adquisición de Servicios, etc.)</t>
  </si>
  <si>
    <t>1.2.2.3</t>
  </si>
  <si>
    <t>Diagnóstico de las Unidades Operativas de Compras y Contrataciones</t>
  </si>
  <si>
    <t>1.2.2.3.1</t>
  </si>
  <si>
    <t>Impulso de la estrategia a implementar partiendo del primer diagnóstico de las unidades de compra 2023</t>
  </si>
  <si>
    <t>1.2.2.4</t>
  </si>
  <si>
    <t>Aula Virtual/Campus Virtual</t>
  </si>
  <si>
    <t>1.2.2.4.1</t>
  </si>
  <si>
    <t>Optimizar el Campus Virtual para que personas en condición de discapacidad puedan acceder al mismo (Accesibilidad del Campus Virtual)</t>
  </si>
  <si>
    <t>Adquisición de Bibliografía Virtual para el Centro de Estudios y el Campus Virtual</t>
  </si>
  <si>
    <t>1.2.2.5</t>
  </si>
  <si>
    <t>Centro de Estudios de Investigación en las Contrataciones Públicas</t>
  </si>
  <si>
    <t>1.2.3.1</t>
  </si>
  <si>
    <t>Estrategia y plan de implementación de compra pública sostenible, diseñada.</t>
  </si>
  <si>
    <t>1.2.3.1.3</t>
  </si>
  <si>
    <t>Contratación de una firma de consultoría para el diseño de una estrategia nacional de compra pública sostenible y su plan de implementación.</t>
  </si>
  <si>
    <t>SCC</t>
  </si>
  <si>
    <t>1.2.3.2</t>
  </si>
  <si>
    <t>Estrategia de compra pública sostenible, implementada.</t>
  </si>
  <si>
    <t>1.2.3.2.1</t>
  </si>
  <si>
    <t>Implementación de la estrategia de compra pública sostenible (incluye diversidad, gènero y/o cambio climático)</t>
  </si>
  <si>
    <t>1.3.1.1</t>
  </si>
  <si>
    <t>Contratación firma especialista en el Ciclo de Vida de Proyectos de Inversión Pública, arquitectura e implementación de software y gestión del cambio, para la implementación de las mejoras al SNIP y del nuevo sistema de Seguimiento, Monitoreo y Evaluación de los PIP.</t>
  </si>
  <si>
    <t>1.3.1.1.1</t>
  </si>
  <si>
    <t>Contratación de un especialista en Inversión Pública para asistir en la elaboración de los TdR y documentos de licitación para la  contratación de una firma especialista.  Debe incluir la definición de alcance, perfil de la empresa, esquema de remuneración, acuerdos del nivel de servicios y esquema de penalización (multa).</t>
  </si>
  <si>
    <t>24a</t>
  </si>
  <si>
    <t>1.3.1.1.2</t>
  </si>
  <si>
    <t>Contratación de especialista en arquitectura empresarial para la elaboración de los TdR y documentos de licitación para la  contratación de una firma especialista.  Debe incluir la definición de alcance, perfil de la empresa, esquema de remuneración, acuerdos del nivel de servicios y esquema de penalización (multa).</t>
  </si>
  <si>
    <t>24b</t>
  </si>
  <si>
    <t>1.3.1.1.3</t>
  </si>
  <si>
    <t>Contratación de la firma especialista.</t>
  </si>
  <si>
    <t>SBCC</t>
  </si>
  <si>
    <t>1.3.1.3</t>
  </si>
  <si>
    <t xml:space="preserve">Especialistas contratados </t>
  </si>
  <si>
    <t>Acuerdo Marco 2</t>
  </si>
  <si>
    <t>1.3.1.3.1</t>
  </si>
  <si>
    <t>Especialista en inversión pública</t>
  </si>
  <si>
    <t>26A</t>
  </si>
  <si>
    <t>1.3.1.3.2</t>
  </si>
  <si>
    <t>Especialista en arquitectura empresarial</t>
  </si>
  <si>
    <t>1.3.1.3.3</t>
  </si>
  <si>
    <t>Especialista en arquitectura de infraestructura tecnológica</t>
  </si>
  <si>
    <t>1.3.1.3.4</t>
  </si>
  <si>
    <t>Especialista en arquitectura de software</t>
  </si>
  <si>
    <t>1.3.1.3.5</t>
  </si>
  <si>
    <t>Consultores para levantamiento de requerimientos y apoyo en la implementación del sistema en las entidades</t>
  </si>
  <si>
    <t>1.3.1.3.6</t>
  </si>
  <si>
    <t xml:space="preserve">Especialista en pruebas de software (Testing) </t>
  </si>
  <si>
    <t>1.3.1.3.7</t>
  </si>
  <si>
    <t>Especialista en bases de datos</t>
  </si>
  <si>
    <t>1.3.1.4</t>
  </si>
  <si>
    <t>Sistema de Monitoreo, Seguimiento &amp; Evaluación, diseñado e implementado</t>
  </si>
  <si>
    <t>1.3.1.4.1</t>
  </si>
  <si>
    <t xml:space="preserve">Contratación de asistencia técnica especializada inicial para levantamiento de información y definición de la estrategia de desarrollo y dimensionamiento de actividades clave </t>
  </si>
  <si>
    <t>No aplica</t>
  </si>
  <si>
    <t>1.3.1.4.2</t>
  </si>
  <si>
    <t>Selección modelo para el Sistema de SM&amp;E.</t>
  </si>
  <si>
    <t>1.3.1.4.2.1</t>
  </si>
  <si>
    <t>Contratación de un especialista en Inversión Pública para el estudio, evaluación y selección del modelo a ser usado en la implementación del Sistema de Monitoreo, Seguimiento &amp; Evaluación de Proyectos de Inversión Pública a partir de los modelos presentados en la conclusión de la consultoría "Diagnóstico y Análisis de Alterntivas para la Creación de un Nuevo Sistema de Monitoreo, Seguimiento y Evaluación de los Proyectos de Inversión Pública en la República Dominicana".</t>
  </si>
  <si>
    <t>1.3.1.4.3</t>
  </si>
  <si>
    <t>1.3.1.4.3.1</t>
  </si>
  <si>
    <t>1.3.1.4.3.2</t>
  </si>
  <si>
    <t>1.3.1.4.3.3</t>
  </si>
  <si>
    <t>1.3.1.5</t>
  </si>
  <si>
    <t>Infraestructura y servicios de TI para la construcción e implementación del sistema de monitoreo, seguimiento y evaluación de inversión pública y para los ajustes al actual sistema de información de inversión pública, implementados</t>
  </si>
  <si>
    <t>1.3.1.5.1</t>
  </si>
  <si>
    <t>Adquisición e implementación de la Infraestructura y servicios TIC necesarios para la migración del SNIP ajustado y el nuevo sistema de Monitoreo, Seguimiento &amp; Evaluación.</t>
  </si>
  <si>
    <t>Producto 8: Régimen de Beneficiarios Finales de personas y estructuras jurídicas diseñado e implementado. Incluye la Estrategia de Gestión del Cambio y comunicaciones</t>
  </si>
  <si>
    <t>1.4.1.1</t>
  </si>
  <si>
    <t>Diagnóstico de brechas regulatorias, legales e institucionales sobre políticas de beneficiarios finales, realizado</t>
  </si>
  <si>
    <t>1.4.1.1.1</t>
  </si>
  <si>
    <t>Diagnóstico del marco legal, regulatorio, institucional y tecnológico del registro de beneficiarios finales</t>
  </si>
  <si>
    <t>1.4.1.1.2</t>
  </si>
  <si>
    <t>Plan de acción basado en el diagnóstico realizado, con reformas y medidas sugeridas a implementar a corto, mediano y largo plazo</t>
  </si>
  <si>
    <t>1.4.1.2</t>
  </si>
  <si>
    <t>Propuesta de marco legal y regulatorio de beneficiarios finales de personas y estructuras jurídicas, diseñada</t>
  </si>
  <si>
    <t>1.4.1.2.2</t>
  </si>
  <si>
    <t>Propuesta de revisión y fortalecimiento del marco legal ALA/CFT y tributario con referencia al sistema de beneficiarios finales:</t>
  </si>
  <si>
    <t>1.4.1.2.2.1</t>
  </si>
  <si>
    <t>Propuesta de revisión y estandarización de la definición de beneficiarios finales</t>
  </si>
  <si>
    <t>1.4.1.2.2.2</t>
  </si>
  <si>
    <t>Evaluación de viabilidad de la modificación del umbral cuantitativo existente para la identificación de beneficiarios finales</t>
  </si>
  <si>
    <t>1.4.1.2.2.3</t>
  </si>
  <si>
    <t>Propuesta de revisión del proceso de colección y verificación de la información de beneficiarios finales</t>
  </si>
  <si>
    <t>1.4.1.2.2.4</t>
  </si>
  <si>
    <t>Evaluación de la viabilidad de acceso al registro de beneficiarios finales por parte de más actores/usuarios con diferentes niveles de autorización</t>
  </si>
  <si>
    <t>1.4.1.2.3</t>
  </si>
  <si>
    <t>Propuesta de revisión de los aspectos de protección de datos personales con referencia al registro de beneficiarios finales:</t>
  </si>
  <si>
    <t>1.4.1.2.3.1</t>
  </si>
  <si>
    <t>Propuesta de revisión de las modalidad de identificación, registro y acceso a la información</t>
  </si>
  <si>
    <t>1.4.1.2.3.2</t>
  </si>
  <si>
    <t>Definición de conjuntos de datos por tipo de usuario, canal de intercambio y/o procesador de datos</t>
  </si>
  <si>
    <t>1.4.1.2.3.3</t>
  </si>
  <si>
    <t>Evaluación de viabilidad de acceso público al registro de beneficiarios finales</t>
  </si>
  <si>
    <t>1.4.1.2.4</t>
  </si>
  <si>
    <t>Definicion del modelo del registro de beneficiarios y acuerdos entre las tres instituciones UAF - DGII - MH</t>
  </si>
  <si>
    <t>1.4.1.3</t>
  </si>
  <si>
    <t>Diseño, desarrollo e implementación del sistema tecnológico del registro de beneficiarios finales en base a tres pilares</t>
  </si>
  <si>
    <t>1.4.1.3.1</t>
  </si>
  <si>
    <t>Contratación de consultor encargado de la Elaboración de los TdR y borrador de la Solicitud de Propuesta</t>
  </si>
  <si>
    <t>84a</t>
  </si>
  <si>
    <t>1.4.1.3.2</t>
  </si>
  <si>
    <t>Diseño y revisión de la arquitectura TI y canales de interoperabilidad y de acceso de los diferentes usuarios</t>
  </si>
  <si>
    <t>84b</t>
  </si>
  <si>
    <t>1.4.1.3.3</t>
  </si>
  <si>
    <t>Diseño, desarrollo y implementación de medidas de seguridad informática (SI) y evaluación de vulnerabilidades y prueba de penetración (VA/PT)</t>
  </si>
  <si>
    <t>1.4.1.3.4</t>
  </si>
  <si>
    <t>Diseño, desarrollo e implementación de servicios de analítica avanzada</t>
  </si>
  <si>
    <t>1.4.1.3.3.1</t>
  </si>
  <si>
    <t>Revisión y análisis de datos existentes del sistema de beneficiarios finales para la evaluación de riesgos de personas y estructuras jurídicas</t>
  </si>
  <si>
    <t>1.4.1.3.3.2</t>
  </si>
  <si>
    <t>Recopilación de requisitos de analítica avanzada de los usuarios finales</t>
  </si>
  <si>
    <t>1.4.1.3.3.3</t>
  </si>
  <si>
    <t>Diseño de funciones de analítica avanzada sobre la base de los requisitos recogidos</t>
  </si>
  <si>
    <t>1.4.1.4</t>
  </si>
  <si>
    <t>Infraestructura Tecnológica</t>
  </si>
  <si>
    <t>1.4.1.4.1</t>
  </si>
  <si>
    <t>Adquisición de bienes para el desarrollo de la infraestructura tecnológica</t>
  </si>
  <si>
    <t>1.4.1.5</t>
  </si>
  <si>
    <t>Estrategia de Gestión del Cambio y comunicaciones para el Registro de Beneficiarios Finales diseñada e implementada</t>
  </si>
  <si>
    <t>1.4.1.5.1</t>
  </si>
  <si>
    <t>Consultor encargado para la elaboración de TdR para firma encargada del diseño e implementación de la Estrategia de Gestion del Cambio</t>
  </si>
  <si>
    <t>1.4.1.5.2</t>
  </si>
  <si>
    <t>Estrategia de Gestión del Cambio, comunicaciones y despliegue del Registro, diseñada</t>
  </si>
  <si>
    <t>1.4.1.5.3</t>
  </si>
  <si>
    <t>Estrategia implementada</t>
  </si>
  <si>
    <t>1.4.1.5.3.1</t>
  </si>
  <si>
    <t>Capacitaciones/sensibilización dirigidas a actores del sector público responsables de la implementación de la política de beneficiarios finales</t>
  </si>
  <si>
    <t>1.4.1.5.3.2</t>
  </si>
  <si>
    <t>Capacitaciones/sensibilización dirigidas a sujetos obligados, financieros y no financiero, del sector privado</t>
  </si>
  <si>
    <t>Producto 16: Sistema Nacional Integrado de Transparencia e Integridad Implementado. Incluye Plataforma de seguimiento y evaluación de componentes de integridad y sistema para el seguimiento de compromisos internacionales</t>
  </si>
  <si>
    <t>3.1.1.1</t>
  </si>
  <si>
    <t>Estudio de situación actual sobre la implementación de estandares OCDE en materia de integridad pública y hoja de ruta con recomendaciones</t>
  </si>
  <si>
    <t>SD o competitivo: Selección Directa (Firma consultora / OCDE a definir)</t>
  </si>
  <si>
    <t>3.1.1.2</t>
  </si>
  <si>
    <t>Plan de acción en base al estudio y las recomendaciones de la OCDE por sector, talleres de seguimiento</t>
  </si>
  <si>
    <t>3.1.1.3</t>
  </si>
  <si>
    <t>Asistencia técnica para la definición de estándares, procedimientos, herramientas, resoluciones que apoyen la implementación del plan de acción</t>
  </si>
  <si>
    <t>3.1.1.4</t>
  </si>
  <si>
    <t>Asistencia técnica a la coordinación de actividades en el marco del producto</t>
  </si>
  <si>
    <t>3.1.1.5</t>
  </si>
  <si>
    <t>Desarrollo de contenido comunicacional para visualizar y difundir las actividades en materia de integridad</t>
  </si>
  <si>
    <t>3.1.1.6</t>
  </si>
  <si>
    <t>Saldo para redondeo</t>
  </si>
  <si>
    <t>3.1.1.7</t>
  </si>
  <si>
    <t>Plataforma de Seguimiento y Evaluación de componentes de integridad desarrollado</t>
  </si>
  <si>
    <t>3.1.1.7.1</t>
  </si>
  <si>
    <t>Diseño de plataforma en base al diagnóstico del producto 29
 -Definición de los procesos y estructura organizacional necesaria con base en las recomendaciones del producto 29
 -Definición de la arquitectura
 -Construcción de la plataforma
 -Experiencia de usuario
 -Manuales de usuario</t>
  </si>
  <si>
    <t>3.1.1.7.2</t>
  </si>
  <si>
    <t>Plan de implementación y capacitación a usuarios de funcionamiento de la plataforma</t>
  </si>
  <si>
    <t>3.1.1.8</t>
  </si>
  <si>
    <t>Sistema para el seguimiento de compromisos internacionales, desarrollado</t>
  </si>
  <si>
    <t>3.1.1.8.1</t>
  </si>
  <si>
    <t>- Consultoría para el seguimiento y levantamiento de información sobre compromisos asumidos por el país, ante organismos e iniciativas internacionales de gobierno abierto, y de prevención y control de corrupción, el desarrollo de contenidos para la plataforma interna y el tablero de control externo y definición del modelo de gobernanza, de recolección de datos, responsables y mecanismos articulación entre entidades.</t>
  </si>
  <si>
    <t>3.1.1.8.2</t>
  </si>
  <si>
    <t>Elaboración de TdR, borrador de SP y anexos técnicos para el diseño y desarrollo a la plataforma</t>
  </si>
  <si>
    <t>3.1.1.8.3</t>
  </si>
  <si>
    <t>Diseño, desarrollo e implementación de una plataforma con funciones de seguimiento interno entre los responsables de la administración pública y de rendición de cuentas</t>
  </si>
  <si>
    <t>3.1.1.8.4</t>
  </si>
  <si>
    <t>Producto 17: Marco regulatorio en materia de integridad, fortalecido. Incluye protección a denunciantes y normativas sobre conflictos de interes</t>
  </si>
  <si>
    <t>3.1.2.1</t>
  </si>
  <si>
    <t>Asistencia en la conceptualización, elaboración y priorización del marco regulatorio necesario con base a las recomendaciones de la OCDE del producto 16</t>
  </si>
  <si>
    <t>Producto 18: Programa de cumplimiento e integridad para el sector privado desarrollado</t>
  </si>
  <si>
    <t>3.1.3.2</t>
  </si>
  <si>
    <t>Project Manager. Proceso de consulta del programa con el sector empresarial. Talleres de co-construcción iterativo.
- Diagnostico de dimensionamiento, alcance del programa y sus componentes, formularios</t>
  </si>
  <si>
    <t>3CV: Comparación de calificaciones de al menos 3 candidatos (Terna Consultorías Individuos)</t>
  </si>
  <si>
    <t>3.1.3.3</t>
  </si>
  <si>
    <t>Talleres y actividades de co-construcción</t>
  </si>
  <si>
    <t>3.1.3.4</t>
  </si>
  <si>
    <t>Desarrollo tecnológico de la plataforma de forma iterativa en etapas contemplando una inicial de ganancia temprana, difusión y educación</t>
  </si>
  <si>
    <t>3.1.3.5</t>
  </si>
  <si>
    <t>Difusión y comunicación de la plataforma y el programa</t>
  </si>
  <si>
    <t>Producto 19: Sistema para realizar investigaciones, seguimiento y respuesta a las denuncias ciudadanas desarrollado. Incluye metodologías y plataforma tecnológica de participación ciudadana y seguimiento de denuncias con enfoque de género y diversidad.</t>
  </si>
  <si>
    <t>3.2.1.1</t>
  </si>
  <si>
    <t>Metodológía para realizar investigaciones, seguimiento y respuesta a las denuncias ciudadanas desarrollada. Incluye metodologías y plataforma tecnológica de participación ciudadana y seguimiento de denuncias con enfoque de género y diversidad.</t>
  </si>
  <si>
    <t>3.2.1.1.1</t>
  </si>
  <si>
    <t>Consultoría para diagnóstico inicial, alcance y estandarización de procesos de investigación de denuncias y su seguimiento. 
Metodología estandarizada del proceso de investigación de denuncias. Incluye ajustes al esquema de gobernanza, organización y funciones para implementación</t>
  </si>
  <si>
    <t>SCC: Selección Basada en las Calificaciones de los Consultores (Firma consultora)</t>
  </si>
  <si>
    <t>3.2.1.1.2</t>
  </si>
  <si>
    <t>Talleres con abogados procedimentalistas</t>
  </si>
  <si>
    <t>3.2.1.3</t>
  </si>
  <si>
    <t>Apoyo en diseño, desarrollo, implementación y capacitación del sistema de forma iterativa</t>
  </si>
  <si>
    <t>3.2.1.2</t>
  </si>
  <si>
    <t>Plataforma tecnológica de participación ciudadana con enfoque de género y diversidad, implementado</t>
  </si>
  <si>
    <t>3.2.2.1.1</t>
  </si>
  <si>
    <t>Elaboración de TdR con CT y Dirección de Transparencia y Gobierno Abierto</t>
  </si>
  <si>
    <t>3.2.2.1.2</t>
  </si>
  <si>
    <t>Consultor 1: Contratación de consultor para el desarrollo de un diagnóstico de barreras y desafíos para la participación ciudadana y control social</t>
  </si>
  <si>
    <t>3.2.2.1.3</t>
  </si>
  <si>
    <t>Consultor 2: Contratación de consultor para el diseño de una estrategia para ampliar la participación ciudadana garantizando el acceso de mujeres y grupos diversos</t>
  </si>
  <si>
    <t>3.2.2.1.4</t>
  </si>
  <si>
    <t>Consultor 3: Contratación de consultor para el desarrollo de un diagnóstico, alcance, diseño de herramientas informáticas para mejorar la participación ciudadana en políticas y control social</t>
  </si>
  <si>
    <t>3.2.2.3</t>
  </si>
  <si>
    <t>Construcción de herramientas informáticas para mejorar la participación ciudadana en políticas y control social</t>
  </si>
  <si>
    <t>3.2.2.4</t>
  </si>
  <si>
    <t>Estrategia de comunicación y capacitación para la participación ciudadana y el control social diseñada</t>
  </si>
  <si>
    <t>Producto 20: Plataforma tecnológica Nacional de Transparencia diseñado e implementado</t>
  </si>
  <si>
    <t>3.3.1.1</t>
  </si>
  <si>
    <t>Diagnóstico del dimensionamiento del Sistema Nacional de Transparencia (normas, procesos, reglas de negocio, alcance)</t>
  </si>
  <si>
    <t>3.3.1.2</t>
  </si>
  <si>
    <t>Diseño e implementación del Sistema Nacional de Transparencia</t>
  </si>
  <si>
    <t>3.3.1.2.1</t>
  </si>
  <si>
    <t>Ejercicio de arquitectura empresarial del sistema de transparencia, incluyendo mecanismos de recolección de información para el Sistema Nacional de Transparencia</t>
  </si>
  <si>
    <t>3.3.1.2.2</t>
  </si>
  <si>
    <t>Definición del gobierno de datos y metadatos permitiendo la desagregación por variables de género y diversidad</t>
  </si>
  <si>
    <t>3.3.1.2.3</t>
  </si>
  <si>
    <t>Diseño e implementación de los procesos, gestión del cambio y estructura organizacional necesaria (RRHH, Decretos, manuales de procedimientos) y plan de implementación. El Sistema Nacional de Transparencia integra los sub-portales de Transparencia Institucional, el portal de Datos Abiertos, de Gobierno Abierto, y de Solicitud de Acceso a la Información Pública, el Portal Unico de Transparencia y el Tablero de control de seguimiento, la herramienta de fiscalización en materia de transparencia activa.</t>
  </si>
  <si>
    <t>3.3.1.2.4</t>
  </si>
  <si>
    <t>Desarrollo tecnológico del Sistema Nacional de Transparencia por versiones implementadas en forma incremental</t>
  </si>
  <si>
    <t>3.3.1.2.5</t>
  </si>
  <si>
    <t>Desarrollo de una capa de analítica del Sistema Nacional de Transparencia, incluyendo calidad de datos, modelos y herramientas.</t>
  </si>
  <si>
    <t>3.3.1.2.6</t>
  </si>
  <si>
    <t>Infraestructura y servicio TICs (licencias, equipos, almacenamiento)</t>
  </si>
  <si>
    <t>3.3.1.2.7</t>
  </si>
  <si>
    <t>Diseño y elaboración de tutoriales (autoformativos) para usuarios finales (con accesibilidad para personas con discapacidad).</t>
  </si>
  <si>
    <t>3.3.1.2.8</t>
  </si>
  <si>
    <t>Capacitación de funcionamiento de la plataforma para funcionarios públicos y operadores del sistema</t>
  </si>
  <si>
    <t>3.3.1.2.9</t>
  </si>
  <si>
    <t>Implementación del nuevo Portal de Solicitud de Acceso a la Información Pública (SAIP) que permita verificar el cumplimiento normativo y la calidad de la respuesta a las solicitudes de acceso a la información pública, diseñada e implementada</t>
  </si>
  <si>
    <t>3.3.1.2.10</t>
  </si>
  <si>
    <t>Capacitación de funcionamiento del SAIP</t>
  </si>
  <si>
    <t>3.3.1.2.11</t>
  </si>
  <si>
    <t>Diseño de un esquema de incentivos para el cumplimiento de los objetivos de transparencia activa</t>
  </si>
  <si>
    <t>3.3.1.2.12</t>
  </si>
  <si>
    <t>Apoyo técnico para el seguimiento y operación del Sistema Nacional de Transparencia</t>
  </si>
  <si>
    <t>3.3.1.3</t>
  </si>
  <si>
    <t>Producto 21: Programa de Gestión del Cambio para la transparencia e integridad, desarrollado. Incluye programa de comunicación y difusión a la ciudadanía sobre DIGEIG y capacitación  interna de las nuevas modalidades de gestión</t>
  </si>
  <si>
    <t>3.4.1.1</t>
  </si>
  <si>
    <t xml:space="preserve"> Programa de comunicación, desarrollado</t>
  </si>
  <si>
    <t>3.4.1.1.2</t>
  </si>
  <si>
    <t>Contratación de una agencia publicitaria 360 para el desarrollo e implementación de la estrategia comunicacional del componente 3</t>
  </si>
  <si>
    <t>98</t>
  </si>
  <si>
    <t>3.4.1.2</t>
  </si>
  <si>
    <t>Programa de capacitación, desarrollado</t>
  </si>
  <si>
    <t>3.4.1.2.1</t>
  </si>
  <si>
    <t>Diseño de la curricula de acuerdo con la modalidad
Diseño del contenido del Programa, incluyendo el acompañamiento al proceso de validación interna</t>
  </si>
  <si>
    <t>3.4.1.2.2</t>
  </si>
  <si>
    <t>Desarrollo de los cursos de capacitación</t>
  </si>
  <si>
    <t>SBCC: Selección Basada en la Calidad y Costo (Firma consultora)</t>
  </si>
  <si>
    <t>3.4.1.2.3</t>
  </si>
  <si>
    <t>Diseño y desarrollo de contenidos multimedia en base a las recomendaciones de las consultorías de los subcomponentes 3.1, 3.2 y 3.3</t>
  </si>
  <si>
    <t>3.4.1.2.4</t>
  </si>
  <si>
    <t>Adaptación tecnológica de la plataforma de e-learning a la demanda esperada y a nuevos contenidos</t>
  </si>
  <si>
    <t>6. CUADRO DE DESEMBOLSO</t>
  </si>
  <si>
    <t>(Expresado en USD)</t>
  </si>
  <si>
    <t xml:space="preserve">Operación: </t>
  </si>
  <si>
    <t xml:space="preserve">Período comprendido:  </t>
  </si>
  <si>
    <t xml:space="preserve">Toda la vida del Programa </t>
  </si>
  <si>
    <t>FUENTE</t>
  </si>
  <si>
    <t xml:space="preserve">BID </t>
  </si>
  <si>
    <t>CL</t>
  </si>
  <si>
    <t>* Año parcial</t>
  </si>
  <si>
    <t>(Expresado en millones USD)</t>
  </si>
  <si>
    <t>BID</t>
  </si>
  <si>
    <t>Año 1</t>
  </si>
  <si>
    <t>Año 2</t>
  </si>
  <si>
    <t>Año 3</t>
  </si>
  <si>
    <t>Año 4</t>
  </si>
  <si>
    <t>Año 5</t>
  </si>
  <si>
    <t>8.7</t>
  </si>
  <si>
    <t>21.4</t>
  </si>
  <si>
    <t xml:space="preserve">5. Información para el PMR </t>
  </si>
  <si>
    <t>Nombre del Proyecto</t>
  </si>
  <si>
    <t>Objetivos  del Proyecto</t>
  </si>
  <si>
    <t>Fortalecer la transparencia, la rendición de cuentas y la integridad en la gestión de los recursos públicos
Objetivos específicos:
(i) consolidar la transparencia y trazabilidad en la gestión de recursos
(ii) fortalecer la función de control interno
(iii) fomentar el acceso a la información, participación ciudadana, y la integridad en la administración pública y en el sector privado</t>
  </si>
  <si>
    <t>RESULTADOS ESPERADOS</t>
  </si>
  <si>
    <t>Indicador</t>
  </si>
  <si>
    <t>Unidad de medida</t>
  </si>
  <si>
    <t>Línea de base</t>
  </si>
  <si>
    <t>Fin del Proyecto
(2028)</t>
  </si>
  <si>
    <t>P</t>
  </si>
  <si>
    <t>P (a)</t>
  </si>
  <si>
    <t>A</t>
  </si>
  <si>
    <t>Medios de verificación</t>
  </si>
  <si>
    <t>METAS FÍSICAS</t>
  </si>
  <si>
    <t>Componente/ Producto</t>
  </si>
  <si>
    <t>mar-oct</t>
  </si>
  <si>
    <t>oct</t>
  </si>
  <si>
    <t>METAS FINANCIERAS</t>
  </si>
  <si>
    <t>Porcentaje</t>
  </si>
  <si>
    <t>Fecha Programado</t>
  </si>
  <si>
    <t>Ingresos de Caja</t>
  </si>
  <si>
    <t>Egresos de Caja Mes</t>
  </si>
  <si>
    <t>Porcentaje Egresos de Caja Mes</t>
  </si>
  <si>
    <t>Egresos de Caja Acumulado</t>
  </si>
  <si>
    <t>Flujo del Mes</t>
  </si>
  <si>
    <t>Cumplimiento 80%</t>
  </si>
  <si>
    <t>Totales</t>
  </si>
  <si>
    <t>Diferencia Egresos Vs Procesos en Marcha=&gt;</t>
  </si>
  <si>
    <t xml:space="preserve">8. Matriz de Planificación </t>
  </si>
  <si>
    <t>Total programado</t>
  </si>
  <si>
    <t>Componentes SNIP</t>
  </si>
  <si>
    <t>Aprobado progr.</t>
  </si>
  <si>
    <t>Capacitación</t>
  </si>
  <si>
    <t>TC</t>
  </si>
  <si>
    <t>Asistencia Técnica</t>
  </si>
  <si>
    <t>Gestión de Alcance</t>
  </si>
  <si>
    <t>Gestión de Resultados (METAS) - Gestión de Tiempo</t>
  </si>
  <si>
    <t>Gestión de Aquisiciones</t>
  </si>
  <si>
    <t>Gestión de Costos</t>
  </si>
  <si>
    <t>Gestión de Financiamiento USD</t>
  </si>
  <si>
    <t>PROGRAMACIÓN FINANCIERA USD</t>
  </si>
  <si>
    <t>Fortalecimiento Institucional</t>
  </si>
  <si>
    <t>CT</t>
  </si>
  <si>
    <t>UEPEX ACTUAL</t>
  </si>
  <si>
    <t>EDT ACTUAL</t>
  </si>
  <si>
    <t>EDT NUEVA</t>
  </si>
  <si>
    <r>
      <t xml:space="preserve">Prior 18M
</t>
    </r>
    <r>
      <rPr>
        <b/>
        <i/>
        <sz val="10"/>
        <rFont val="Calibri"/>
        <family val="2"/>
        <scheme val="minor"/>
      </rPr>
      <t>(si)</t>
    </r>
  </si>
  <si>
    <t>Responsables</t>
  </si>
  <si>
    <t>Involucrados técnicos</t>
  </si>
  <si>
    <t>Año de Línea de Base</t>
  </si>
  <si>
    <t>Año 
2023*
06/09/23</t>
  </si>
  <si>
    <t>Año 6* 5/09/28</t>
  </si>
  <si>
    <t>Metodo de Adquisición</t>
  </si>
  <si>
    <t>Política de Adquisición</t>
  </si>
  <si>
    <t>Tipo de adquisición</t>
  </si>
  <si>
    <t>N° de proceso PA</t>
  </si>
  <si>
    <t>Duración del contrato</t>
  </si>
  <si>
    <t>Observac.</t>
  </si>
  <si>
    <t>Cant 1</t>
  </si>
  <si>
    <t>Cant 2</t>
  </si>
  <si>
    <t>Cant 3</t>
  </si>
  <si>
    <r>
      <t xml:space="preserve">Costo Unitario USD </t>
    </r>
    <r>
      <rPr>
        <i/>
        <sz val="10"/>
        <rFont val="Calibri"/>
        <family val="2"/>
        <scheme val="minor"/>
      </rPr>
      <t>(incluye impuestos)</t>
    </r>
  </si>
  <si>
    <t>TOTAL USD</t>
  </si>
  <si>
    <t>Observaciones</t>
  </si>
  <si>
    <t>Aporte Local</t>
  </si>
  <si>
    <t>Año 1* 2023</t>
  </si>
  <si>
    <t>Año 1* 
2023</t>
  </si>
  <si>
    <t>Año 2 2024</t>
  </si>
  <si>
    <t>Año 3 2025</t>
  </si>
  <si>
    <t>Año 4 2026</t>
  </si>
  <si>
    <t>Año 5 2027</t>
  </si>
  <si>
    <t>Año 6* 2028</t>
  </si>
  <si>
    <t xml:space="preserve"> Código Clasificador Presupuestario </t>
  </si>
  <si>
    <t xml:space="preserve"> Nombre Clasificador Presupuestario </t>
  </si>
  <si>
    <t xml:space="preserve"> Componentes SNIP </t>
  </si>
  <si>
    <t xml:space="preserve"> Unidad Ejecutora </t>
  </si>
  <si>
    <t>Componente EDT</t>
  </si>
  <si>
    <t>Sistemas Informáticos</t>
  </si>
  <si>
    <t>Marzo</t>
  </si>
  <si>
    <t>Abril</t>
  </si>
  <si>
    <t>Mayo</t>
  </si>
  <si>
    <t>Junio</t>
  </si>
  <si>
    <t>Julio</t>
  </si>
  <si>
    <t>Agosto</t>
  </si>
  <si>
    <t>Septiembre</t>
  </si>
  <si>
    <t>Octubre</t>
  </si>
  <si>
    <t>Noviembre</t>
  </si>
  <si>
    <t>Diciembre</t>
  </si>
  <si>
    <t>Enero</t>
  </si>
  <si>
    <t>Febrero</t>
  </si>
  <si>
    <t>Diseño Del Proyecto</t>
  </si>
  <si>
    <t>UEPEX</t>
  </si>
  <si>
    <t> </t>
  </si>
  <si>
    <t>MH, MEPyD, DGCP, CGRD, DIGES y OGTIC</t>
  </si>
  <si>
    <t>MH, MEPyD, DGCP y CGRD</t>
  </si>
  <si>
    <t>Contratación de Especialistas Senior para la gestión técnica de arquitectura empresarial para realizar un diagnostico y plan de trabajo para la DIGES</t>
  </si>
  <si>
    <t>Global</t>
  </si>
  <si>
    <t>2.2.8.7.05</t>
  </si>
  <si>
    <t>Servicios de Informática y Sistemas Computarizados</t>
  </si>
  <si>
    <t>1.1.1.1.5</t>
  </si>
  <si>
    <t>Contratación de Especialistas Senior para la implementacion de la arquitectura empresarial basado en el diagnostico del 1.1.1.1.2</t>
  </si>
  <si>
    <t xml:space="preserve"> Procesos de Arquitectura de interoperabilidad</t>
  </si>
  <si>
    <t>1.1.1.2.1</t>
  </si>
  <si>
    <t>Contratación de Especialistas para la gestión técnica de la arquitectura de interoperabilidad el cual realizar un diagnostico y plan de trabajo detallando las posibles opciones de interoperabilidad para el SIAFE y el sistema de API gateway</t>
  </si>
  <si>
    <t>Consultoría Individual</t>
  </si>
  <si>
    <t>4A</t>
  </si>
  <si>
    <t>Consultor / Mes</t>
  </si>
  <si>
    <t>1.1.1.1.6</t>
  </si>
  <si>
    <t>1.1.1.2.2</t>
  </si>
  <si>
    <t>Contratación de Especialistas Senior  para la implementacion de la arquitectura de interoperabilidad</t>
  </si>
  <si>
    <t>SBCC / Acuerdo Marco 1</t>
  </si>
  <si>
    <t>3A</t>
  </si>
  <si>
    <t>Firma Consultora</t>
  </si>
  <si>
    <t>1.1.1.3.1</t>
  </si>
  <si>
    <t>Fortalecimientos a la infraestructura de Ciberseguridad del Ministerio de Hacienda</t>
  </si>
  <si>
    <t>Consultoría Firma</t>
  </si>
  <si>
    <t>1.1.1.3.2</t>
  </si>
  <si>
    <t>Certificaciónes en cibersuguridad (ISO 27000, ISO 27001, entre otras a ser evaluadas)</t>
  </si>
  <si>
    <t>1.1.1.4.1</t>
  </si>
  <si>
    <t>SD</t>
  </si>
  <si>
    <t>62A</t>
  </si>
  <si>
    <t>20</t>
  </si>
  <si>
    <t xml:space="preserve">Modelos funcionales asegurados para la interoperanilidad </t>
  </si>
  <si>
    <t>1.1.1.4.2</t>
  </si>
  <si>
    <t>6 Analistas de Procesos de Negocio (Contratacion Directa)</t>
  </si>
  <si>
    <t>62C</t>
  </si>
  <si>
    <t>12</t>
  </si>
  <si>
    <t>1.1.1.7.4.1</t>
  </si>
  <si>
    <t>1.1.1.4.3</t>
  </si>
  <si>
    <t>3 Analistas de Procesos de Negocio (Contratacion Directa)</t>
  </si>
  <si>
    <t>62C_A</t>
  </si>
  <si>
    <t>1.1.1.4.4</t>
  </si>
  <si>
    <t>62E</t>
  </si>
  <si>
    <t>ESPECIALISTAS BACKEND y FRONTEND</t>
  </si>
  <si>
    <t>1.1.1.7.8.1</t>
  </si>
  <si>
    <t>1.1.1.5.1.1</t>
  </si>
  <si>
    <t>Especialista para selección de herramienta Self Service Analytics</t>
  </si>
  <si>
    <t>106 A</t>
  </si>
  <si>
    <t>1.1.1.7.8.6</t>
  </si>
  <si>
    <t>1.1.1.5.1.2</t>
  </si>
  <si>
    <t xml:space="preserve"> Especialista Desarrollo Frontend para definir estándares plataforma de desarrollo</t>
  </si>
  <si>
    <t>106 B</t>
  </si>
  <si>
    <t>Unidades de trabajo en ciclo AGIL</t>
  </si>
  <si>
    <t>1.1.1.7.8.2</t>
  </si>
  <si>
    <t>1.1.1.5.2.1</t>
  </si>
  <si>
    <t xml:space="preserve"> Scrum Masters</t>
  </si>
  <si>
    <t>3B</t>
  </si>
  <si>
    <t>1.1.1.7.8.3</t>
  </si>
  <si>
    <t>1.1.1.5.2.2</t>
  </si>
  <si>
    <t>Analistas de Sistemas  SIAFE</t>
  </si>
  <si>
    <t>1.1.1.7.8.4</t>
  </si>
  <si>
    <t>1.1.1.5.2.3</t>
  </si>
  <si>
    <t>Programadores backend </t>
  </si>
  <si>
    <t>1.1.1.7.8.5</t>
  </si>
  <si>
    <t>1.1.1.5.2.4</t>
  </si>
  <si>
    <t>Programadores frontend </t>
  </si>
  <si>
    <t>1.1.1.7.8.7</t>
  </si>
  <si>
    <t>1.1.1.5.2.5</t>
  </si>
  <si>
    <t xml:space="preserve">Analista de Pruebas para el SIAFE </t>
  </si>
  <si>
    <t>1.1.1.5.2.6</t>
  </si>
  <si>
    <t>106C</t>
  </si>
  <si>
    <t>CELULA PPORCMD</t>
  </si>
  <si>
    <t>1.1.1.5.2.7</t>
  </si>
  <si>
    <t>106D</t>
  </si>
  <si>
    <t>1.1.1.5.2.8</t>
  </si>
  <si>
    <t>106E</t>
  </si>
  <si>
    <t>1.1.1.5.2.9</t>
  </si>
  <si>
    <t>106F</t>
  </si>
  <si>
    <t>1.1.1.5.2.10</t>
  </si>
  <si>
    <t>106G</t>
  </si>
  <si>
    <t>1.1.1.1.4.1</t>
  </si>
  <si>
    <t>SCRUM MASTER para ajustes del SNIP</t>
  </si>
  <si>
    <t>5A</t>
  </si>
  <si>
    <t>1.1.1.1.4.2</t>
  </si>
  <si>
    <t>Analista de Sistemas de informacion SIAFE  para ajustes del SNIP</t>
  </si>
  <si>
    <t>5B</t>
  </si>
  <si>
    <t>Programador backend </t>
  </si>
  <si>
    <t>5C</t>
  </si>
  <si>
    <t>1.1.1.6.4</t>
  </si>
  <si>
    <t>Programador frontend </t>
  </si>
  <si>
    <t>5D</t>
  </si>
  <si>
    <t>Procesos de apoyo a la Direccion de Inversion Publica ( DGIP) del MEPYD para la Interoperabilidad entre el SNIP y SIGEF</t>
  </si>
  <si>
    <t>1.1.1.5.4</t>
  </si>
  <si>
    <t>6 meses</t>
  </si>
  <si>
    <t>Consultor/mes</t>
  </si>
  <si>
    <t>1.1.1.5.6</t>
  </si>
  <si>
    <t>1.1.1.7.2</t>
  </si>
  <si>
    <t>1.1.1.5.8</t>
  </si>
  <si>
    <t>1.1.1.5.9</t>
  </si>
  <si>
    <t>1.1.1.5.3.6</t>
  </si>
  <si>
    <t>Especialista en Inversión Pública (Extencion de contrato 1.3.1.1.1 / 1.3.1.4.3.1)</t>
  </si>
  <si>
    <t>CD</t>
  </si>
  <si>
    <t>24C</t>
  </si>
  <si>
    <t>saldo de redondeo</t>
  </si>
  <si>
    <t xml:space="preserve">Dirección General de Análisis y Política Fiscal </t>
  </si>
  <si>
    <t xml:space="preserve">MH </t>
  </si>
  <si>
    <t>si</t>
  </si>
  <si>
    <t>Consultor / mes</t>
  </si>
  <si>
    <t>Crear un visor del portal único de transparencia en PTF - tener una conversación con la DIGEIG de manera que el portal único recopile, visualice la información en este componente</t>
  </si>
  <si>
    <t>OK</t>
  </si>
  <si>
    <t>2.2.8.7.06</t>
  </si>
  <si>
    <t>Otros Servicios Técnicos Profesionales</t>
  </si>
  <si>
    <t>1.1.2.2.1</t>
  </si>
  <si>
    <t>Ajustes a los tableros de control existentes orientados para soportar la toma de decisiones con respecto al ciclo de vida de la gestión de recursos públicos, hoja de ruta, repositorio de datos diseñado y construido</t>
  </si>
  <si>
    <t>Crear una nueva actividad con Dirección General de Presupuesto | reunión previa para tratar presupuesto ciudadano Optimización del portal de presupuesto ciudadano incluyendo mecanismos de participación ciudadana "</t>
  </si>
  <si>
    <t>Contratación Consultor individual para el Diseño de Tableros de Control y Realizar ajustes a tableros existentes</t>
  </si>
  <si>
    <t>Consultor Individual</t>
  </si>
  <si>
    <t>11A</t>
  </si>
  <si>
    <t>9</t>
  </si>
  <si>
    <t>1.1.2.2.2</t>
  </si>
  <si>
    <t>SBCC - Acuerdo Marco</t>
  </si>
  <si>
    <t>11B</t>
  </si>
  <si>
    <t>Comunicaciones
Areas sustantivas
Planificación y Desarrollo</t>
  </si>
  <si>
    <t>DGCP, Presupuesto, Tesoreria 
Gestión Pública Financiera</t>
  </si>
  <si>
    <t xml:space="preserve">Paq. de Trabajo </t>
  </si>
  <si>
    <t>Estudio</t>
  </si>
  <si>
    <t>*Valor proyectado es indicativo. Debe ser revisado por la DGCP en la etapa de planeación de la contratación.</t>
  </si>
  <si>
    <t>Actividad</t>
  </si>
  <si>
    <t>14A</t>
  </si>
  <si>
    <t xml:space="preserve">  *Valor proyectado es indicativo. Debe ser revisado por la DGCP en la etapa de planeación de la contratación.
- Análisis comparativo de opciones para la construcción del nuevo sistema incluyendo escenarios y criterios de evaluación
- Diseño de la arquitectura de referencia para el sistema de compras públicas electrónicas con los principales componentes e integraciones.
- Análisis de requisitos funcionales y no funcionales para el nuevo sistema de compras públicas electrónicas
- Análisis de requisitos funcionales para el uso y monitoreo de ítems y procesos sostenibles (criterio social, económico y ambiental)
- Diseño de la arquitectura y los requerimientos de la infraestructura central necesaria para alojar el nuevo sistema
- Plan de migración de datos y transición al nuevo sistema, incluyendo la evaluación de la calidad de datos del sistema actual
- Benchmarking para identificar mejores prácticas y lecciones aprendidas en la implementación de sistemas de compras públicas electrónicas
- Plan de implementación con priorización de tareas, hoja de ruta y presupuesto detallado para el nuevo sistema
- Diagnóstico del estado actual para la gestión de proyectos de TI y propuesta de estructura para la PMO
- Términos de referencia con las bases y especificaciones técnicas para la contratación del nuevo sistema
- Gobernanza de datos</t>
  </si>
  <si>
    <t>2.6.8.3.01</t>
  </si>
  <si>
    <t>Programas de Informática</t>
  </si>
  <si>
    <t>Equipo técnico</t>
  </si>
  <si>
    <t>14B</t>
  </si>
  <si>
    <t>Adquisición de B/S</t>
  </si>
  <si>
    <t>72A</t>
  </si>
  <si>
    <t>72B</t>
  </si>
  <si>
    <t>Consultoría (individual)</t>
  </si>
  <si>
    <t>72C</t>
  </si>
  <si>
    <t>72D</t>
  </si>
  <si>
    <t>73A</t>
  </si>
  <si>
    <t xml:space="preserve">  - Adquisición de Infraestructura tecnológica,  de ciberseguridad, DRP y servicios de TI.
- Adquisición y configuración de equipos de seguridad perimetral en alta disponibilidad.</t>
  </si>
  <si>
    <t>Consultoría (firma)</t>
  </si>
  <si>
    <t>73B</t>
  </si>
  <si>
    <t>73C</t>
  </si>
  <si>
    <t>73D</t>
  </si>
  <si>
    <t>Modelo de gestión</t>
  </si>
  <si>
    <t>74A</t>
  </si>
  <si>
    <t>74B</t>
  </si>
  <si>
    <t>75A</t>
  </si>
  <si>
    <t>Manuales</t>
  </si>
  <si>
    <t>75B</t>
  </si>
  <si>
    <t>Desarrolladores (4) (3CV)
Experto Sistema Actual (3CV)
Especialista Sr. en desarrollo (3CV)</t>
  </si>
  <si>
    <t>consultor / mes</t>
  </si>
  <si>
    <t>*Estos honorarios son indicativos, suministrados por la Dirección del SECP de la DGCP y deben ser revisados en la etapa de planeación del proceso de contratación.</t>
  </si>
  <si>
    <t>1.2.1.7.4</t>
  </si>
  <si>
    <t>1.2.1.7.5</t>
  </si>
  <si>
    <t xml:space="preserve">*Valor proyectado es indicativo y fue suministrado por el Departamento de Infraestructura del SECP de la DGCP. Debe ser revisado por la DGCP en la etapa de planeación de la contratación. </t>
  </si>
  <si>
    <t>2.6.1.3.01</t>
  </si>
  <si>
    <t>Equipos de Tecnología de la Información y Comunicación</t>
  </si>
  <si>
    <t xml:space="preserve">saldo de redondeo </t>
  </si>
  <si>
    <t xml:space="preserve">Compras y Contrataciones, DGI, Camara de Comercio, Análisis Financiero | UAF, Procuraduría General (para temas de investigación)
MAP, Contraloría, Junta Central Electoral / registro civil </t>
  </si>
  <si>
    <t>*Estos honorarios son indicativos, suministrados por el Departamento de Gestión de la DGCP y deben ser revisados en la etapa de planeación del proceso de contratación.</t>
  </si>
  <si>
    <t>Contratación de 2científicos de datos</t>
  </si>
  <si>
    <t>21A</t>
  </si>
  <si>
    <t>1.2.1.8.4</t>
  </si>
  <si>
    <t>Adquisición de Equipos tecnologicos para los desarrolladores para el mejoramiento del tablero de precios de bienes adquiridos mediante compra pública</t>
  </si>
  <si>
    <t>Bienes</t>
  </si>
  <si>
    <t>Equipos</t>
  </si>
  <si>
    <t>1.2.1.8.5</t>
  </si>
  <si>
    <t>Implementacion del tablero.</t>
  </si>
  <si>
    <t>1.2.1.8.6</t>
  </si>
  <si>
    <t>DGCP, INAP / MAP, CAPGEFI / MH, Red de compras (RICG)</t>
  </si>
  <si>
    <t>2.2.8.7.04</t>
  </si>
  <si>
    <t>Servicios de Capacitación</t>
  </si>
  <si>
    <t xml:space="preserve"> Diseño y Desarrollo de Programas Avanzados de Formación del Comprador Público y Estrategia de Certificación</t>
  </si>
  <si>
    <t xml:space="preserve"> Consultoría especializada para Diseño y Desarrollo de Programas Avanzados de Formación del Comprador Público y Estrategia de Certificación de la DGCP. </t>
  </si>
  <si>
    <t>Implementacion del plan piloto basado según diagnóstico de las Unidades Operativas de Compras y Contrataciones</t>
  </si>
  <si>
    <t>Consultoria para la Implementación de Modelos de Unidades de Compra Basados en el Diagnóstico Previo</t>
  </si>
  <si>
    <t>Consultoría Individual para Optimizar el Campus Virtual respecto a la Accesibilidad para personas con discapacidad</t>
  </si>
  <si>
    <t>80A</t>
  </si>
  <si>
    <t>1.2.2.4.2</t>
  </si>
  <si>
    <t>80B</t>
  </si>
  <si>
    <t>Ministerio de la Mujer, (se va  a consultar/invitar), DGCP</t>
  </si>
  <si>
    <t>Diagnóstico y plan</t>
  </si>
  <si>
    <t>1.2.3.1.1</t>
  </si>
  <si>
    <t>Diseño de una estrategia y plan de implementación de compra pública sostenible (incluye diversidad, gènero y/o cambio climático)</t>
  </si>
  <si>
    <t>Estrategia</t>
  </si>
  <si>
    <t>1.2.3.1.2</t>
  </si>
  <si>
    <t>Hito: Elaboración de los términos de referencia para la contratación del diseño de la estrategia nacional de compra pública sostenible.</t>
  </si>
  <si>
    <t>SIAFE / Hacienda
DGCP
DIGES
Inversión Pública 
OGTIC</t>
  </si>
  <si>
    <t xml:space="preserve">6 meses </t>
  </si>
  <si>
    <t xml:space="preserve">12 meses </t>
  </si>
  <si>
    <t>Contratación de la firma especialista. (ciclo de proyectos de Inversión Publica)</t>
  </si>
  <si>
    <t xml:space="preserve"> 40 meses</t>
  </si>
  <si>
    <t>1.3.1.2</t>
  </si>
  <si>
    <t>Elaboración de TdR y SP para el Acuerdo Marco 2</t>
  </si>
  <si>
    <t>Arquitectura Empresarial</t>
  </si>
  <si>
    <t>16 meses</t>
  </si>
  <si>
    <t>Fabrica Software</t>
  </si>
  <si>
    <t>Arquitectura de Sistemas de información</t>
  </si>
  <si>
    <t>Personal misión</t>
  </si>
  <si>
    <t>Quality Assurance</t>
  </si>
  <si>
    <t>2 Desarrolladores Senior de Software</t>
  </si>
  <si>
    <t>Documentador de Software</t>
  </si>
  <si>
    <t>Científico de Datos</t>
  </si>
  <si>
    <t>1.3.1.3.8</t>
  </si>
  <si>
    <t>1.3.1.3.9</t>
  </si>
  <si>
    <t>Diseñador gráfico y de contenido</t>
  </si>
  <si>
    <t>1.3.1.3.10</t>
  </si>
  <si>
    <t xml:space="preserve">Ingeniero de Datos </t>
  </si>
  <si>
    <t>Especialistas contratados previos a la firma</t>
  </si>
  <si>
    <t>1.3.1.3.11</t>
  </si>
  <si>
    <t>Especialista en Inversión Pública</t>
  </si>
  <si>
    <t>26B</t>
  </si>
  <si>
    <t>12 meses</t>
  </si>
  <si>
    <t>este especialista entra con la firma de inversión pública y Arquitectura Empresarial PA-25</t>
  </si>
  <si>
    <t>1.3.1.3.12</t>
  </si>
  <si>
    <t xml:space="preserve">Arquitecto Interoperabilidad </t>
  </si>
  <si>
    <t>26C</t>
  </si>
  <si>
    <t>se unifica con el el PA-24B</t>
  </si>
  <si>
    <t>1.3.1.3.13</t>
  </si>
  <si>
    <t xml:space="preserve">2 Desarrolladores Senior </t>
  </si>
  <si>
    <t>26D</t>
  </si>
  <si>
    <t>Desarrollador Frontend</t>
  </si>
  <si>
    <t>Desarrollador Backend</t>
  </si>
  <si>
    <t>Contraloría
Inversión Pública
DGCP</t>
  </si>
  <si>
    <t>*Tomar en cuenta la trazabilidad de los contratos.</t>
  </si>
  <si>
    <t>Mary del llano y Fernando Britos</t>
  </si>
  <si>
    <t>A ser contratada por la Cooperación Técnica o la DR-L1117 a definir. Valor estimado de USD 20.000</t>
  </si>
  <si>
    <t>3 meses</t>
  </si>
  <si>
    <t>1.3.1.4.4</t>
  </si>
  <si>
    <t>1.3.1.4.5</t>
  </si>
  <si>
    <t>Firma Suplidora</t>
  </si>
  <si>
    <t>83A</t>
  </si>
  <si>
    <t>A realizar con la Unidad de Análisis Financiero (UAF) y la Dirección General de Impuestos Internos (DGII)</t>
  </si>
  <si>
    <t>On-going (Y1)
Se requiere iniciar cuanto antes. Se requiere incluir los recursos en la CT del programa. Valor estimado USD 60.000 (30.000 cada consultoría). Ambos dagnósticos finalizarán con un único diagnóstico final sobre beneficiarios finales en RD en línea con estándares internacionales</t>
  </si>
  <si>
    <t>2024 (Y2)</t>
  </si>
  <si>
    <t>1.4.1.2.1</t>
  </si>
  <si>
    <t>Elaboración de TdR</t>
  </si>
  <si>
    <t>Consultoría individual</t>
  </si>
  <si>
    <t>10 meses</t>
  </si>
  <si>
    <t>2.2.8.7.01</t>
  </si>
  <si>
    <t>Servicios Técnicos y Profesionales</t>
  </si>
  <si>
    <t>Coordina MH</t>
  </si>
  <si>
    <t>Departamento de TI y ciberseguridad UAF
Adalberto
Eusebio Garcia Gerente de Tecnologia DGII
Juan Matos Enc dpto de seguridad de la informacion DGII</t>
  </si>
  <si>
    <t>Diseñado con base a los resultados del diagnósticos</t>
  </si>
  <si>
    <r>
      <t xml:space="preserve">Contratación de consultor encargado de realizar el dimensionamiento TIC, elaborar  de los TdR y borrador de la Solicitud de Propuesta para la contratacion de firma encargada del diseño e implementacion de la </t>
    </r>
    <r>
      <rPr>
        <b/>
        <sz val="10"/>
        <color rgb="FFFF0000"/>
        <rFont val="Calibri"/>
        <family val="2"/>
        <scheme val="minor"/>
      </rPr>
      <t xml:space="preserve">analitica avanzada de datos (PA-84B, PA-84D) </t>
    </r>
  </si>
  <si>
    <t>4 meses</t>
  </si>
  <si>
    <t>Consultor / entregable</t>
  </si>
  <si>
    <t>1.4.1.3.1.1</t>
  </si>
  <si>
    <t>Contratación de consultor encargado de realizar el dimensionamiento TIC, elaborar  de los TdR y borrador de la Solicitud de Propuesta para la contratacion de firma encargada del diseño e implementacion de la Ciberseguridad (PA-84C)</t>
  </si>
  <si>
    <t>84E</t>
  </si>
  <si>
    <t>84B</t>
  </si>
  <si>
    <t xml:space="preserve"> - Diseño del Sistema/Plataforma del Registro de Benficiarios Finales
 - Desarrollo del Sistema/Plataforma del Registro de Beneficiarios Finales, incluyendo su interoperabilidad
 - Implementación y despliegue</t>
  </si>
  <si>
    <t>84C</t>
  </si>
  <si>
    <t>84d</t>
  </si>
  <si>
    <t>Consultor individual</t>
  </si>
  <si>
    <t>31A</t>
  </si>
  <si>
    <t>Esta estrategia debe incluir las capacitaciones a todas las agencias del Estado, así como sujetos obligados y usuarios del Registro de Beneficiarios Finales</t>
  </si>
  <si>
    <t>31B</t>
  </si>
  <si>
    <t>1) Organización y ejecución de sesiones de capacitación para el sector público
2) Producción de material de e-learning
3) Organización de actividades de información y promoción
4) Evento(s) público de sensibilización sobre el tema de beneficiarios finales</t>
  </si>
  <si>
    <t>1.4.1.5.4</t>
  </si>
  <si>
    <t>31C</t>
  </si>
  <si>
    <t>1)	Organización y ejecución de sesiones de capacitación para el sector financiero
2)	Organización y ejecución de sesiones de capacitación para el sector no financiero
3)	Producción de material de e-learning
4)	Organización de jornada(s) de diálogo con sujetos obligados sobre el tema de beneficiarios finales</t>
  </si>
  <si>
    <t>2.3.1.1</t>
  </si>
  <si>
    <t xml:space="preserve"> Generación de Capacidades, arquitectura y herramientas analíticas TI</t>
  </si>
  <si>
    <r>
      <t xml:space="preserve">CGR:
</t>
    </r>
    <r>
      <rPr>
        <sz val="10"/>
        <rFont val="Calibri"/>
        <family val="2"/>
        <scheme val="minor"/>
      </rPr>
      <t xml:space="preserve">TIC
Análisis de la información financiera
Areas sustantivas </t>
    </r>
    <r>
      <rPr>
        <b/>
        <sz val="10"/>
        <rFont val="Calibri"/>
        <family val="2"/>
        <scheme val="minor"/>
      </rPr>
      <t xml:space="preserve">
Externos: 
</t>
    </r>
    <r>
      <rPr>
        <sz val="10"/>
        <rFont val="Calibri"/>
        <family val="2"/>
        <scheme val="minor"/>
      </rPr>
      <t>OGTIC</t>
    </r>
  </si>
  <si>
    <t>Direccion de Tecnologia lider tecnico</t>
  </si>
  <si>
    <t>2.3.1.1.1</t>
  </si>
  <si>
    <t>Analisis de Capacidades de Brechas basado en COBIT y generacion del plan de gobierno de TI</t>
  </si>
  <si>
    <t>3CV, integrada con Diagnóstico tecnológico</t>
  </si>
  <si>
    <t>TdR Direccion de tecnologia
dic 2023</t>
  </si>
  <si>
    <t>meses</t>
  </si>
  <si>
    <t>2.3.1.1.2</t>
  </si>
  <si>
    <t>Elaboración de TdR de personal en misión la CGR tiene capacidades internas con el apoyo del BID</t>
  </si>
  <si>
    <t>TdR Direccion de tecnologia, con apoyo de Diego y Jose CT</t>
  </si>
  <si>
    <t>2.3.1.1.3</t>
  </si>
  <si>
    <t>Contratación de personal en Mision para fortalecer de capacidades de TI, contrapartes a las firmas de consultoría y transferir conocimiento a la Entidad - Fase 1</t>
  </si>
  <si>
    <t>Agregar Firma Convenio Marco</t>
  </si>
  <si>
    <t>2.3.1.1.3.1</t>
  </si>
  <si>
    <t>2.3.1.1.3.2</t>
  </si>
  <si>
    <t>Especialista en requerimientos y pruebas</t>
  </si>
  <si>
    <t>2.3.1.1.3.3</t>
  </si>
  <si>
    <t>Especialista en arquitectura empresarial y transformación digital</t>
  </si>
  <si>
    <t>2.3.1.1.3.4</t>
  </si>
  <si>
    <t>Especialista en sistemas de control interno (ex ante)</t>
  </si>
  <si>
    <t>2.3.1.1.3.5</t>
  </si>
  <si>
    <t>Especialista en Gobierno de Datos</t>
  </si>
  <si>
    <t>2.3.1.1.3.6</t>
  </si>
  <si>
    <t>Especialista en Calidad de Datos</t>
  </si>
  <si>
    <t>2.3.1.1.3.7</t>
  </si>
  <si>
    <t>Especialista en Analítica de datos</t>
  </si>
  <si>
    <t>2.3.1.1.3.8</t>
  </si>
  <si>
    <t xml:space="preserve">Especialista en Gerencia de Proyectos (Project Manager) Consultor </t>
  </si>
  <si>
    <t>2.3.1.1.3.9</t>
  </si>
  <si>
    <t>Especialista en ciberseguridad</t>
  </si>
  <si>
    <t>2.3.1.1.3.10</t>
  </si>
  <si>
    <t>Especialista Consultor junior en ciberseguridad</t>
  </si>
  <si>
    <t>2.3.1.1.4</t>
  </si>
  <si>
    <t>Fase 2</t>
  </si>
  <si>
    <t>Contratación de personal en Mision para fortalecer de capacidades de TI, contrapartes a las firmas de consultoría y transferir conocimiento a la Entidad - Fase 2</t>
  </si>
  <si>
    <t>2.3.1.1.5</t>
  </si>
  <si>
    <t>Arquitectura Empresarial realizada, incluyendo la construcción e implementación de componentes de software</t>
  </si>
  <si>
    <r>
      <t xml:space="preserve">CGR:
TIC
Análisis de la información financiera
Areas sustantivas </t>
    </r>
    <r>
      <rPr>
        <b/>
        <sz val="10"/>
        <rFont val="Calibri"/>
        <family val="2"/>
        <scheme val="minor"/>
      </rPr>
      <t xml:space="preserve">
Externos: 
</t>
    </r>
    <r>
      <rPr>
        <sz val="10"/>
        <rFont val="Calibri"/>
        <family val="2"/>
        <scheme val="minor"/>
      </rPr>
      <t>OGTIC</t>
    </r>
  </si>
  <si>
    <t>2.3.1.1.5.1</t>
  </si>
  <si>
    <t>Elaboración de TdR Incluye el apoyo en la evaluación técnica de la propuestas</t>
  </si>
  <si>
    <t>depende de los insumos del Consultor individual en Tecnologías
Contratación 2024</t>
  </si>
  <si>
    <t>2.3.1.1.5.2</t>
  </si>
  <si>
    <t>Fase 1 Arquitectura estratégica (Diseño de alto nivel del funcionamiento del modelo de gestión de la CGR, incluido el modelo de gestión basado en riesgos) + Arquitectura de segmento ( Modelo de control Exante) , herramienta para el ciclo de vida de las recomendaciones + ajustes a los sistemas actuales incluyendo interoperabilidad.</t>
  </si>
  <si>
    <t>2.3.1.1.5.2.1</t>
  </si>
  <si>
    <t>Ejercicio de Arquitectura Empresarial utilizando metodología ágiles de acuerdo a TOGAF</t>
  </si>
  <si>
    <t xml:space="preserve">Firma – Consultoria Integral </t>
  </si>
  <si>
    <t>depende del diseño del modelo de gestión
TdR</t>
  </si>
  <si>
    <t>2.3.1.1.5.2.2</t>
  </si>
  <si>
    <t>Identificación de las necesidades tecnológicas de infraestructura y servicios de tecnologías digitales (Capacity planning)</t>
  </si>
  <si>
    <t>2.3.1.1.5.2.3</t>
  </si>
  <si>
    <t>Fábrica de software para la construcción y pruebas de componentes de software generados por los paquetes de trabajo de la Arquitectura Empresarial y otras modificacione necesarias para la interoperabilidad con otros sistemas (ej. MH, MEPyD, DNCP) y modificaciones a sistemas actuales</t>
  </si>
  <si>
    <t>2.3.1.1.5.2.4</t>
  </si>
  <si>
    <t>Actualizacion de la arquitectura de Referencias incluyendo el ciclo de vida para desarrollo seguro y proteccion de datos, seguridad de la informacion (politicas)</t>
  </si>
  <si>
    <t>2.3.1.1.5.2.5</t>
  </si>
  <si>
    <t>Herramientas para desarrollo de DevOps incluyendo implementación y capacitaciones</t>
  </si>
  <si>
    <t>2.3.1.1.5.3</t>
  </si>
  <si>
    <t>Fase 2  de la Fábrica de software para la construcción y pruebas de componentes de software generados por los paquetes de trabajo de la Arquitectura Empresarial y otras modificacione necesarias para la interoperabilidad con otros sistemas</t>
  </si>
  <si>
    <t>Se agrega en este primer plan de adquisiciones</t>
  </si>
  <si>
    <t>menos 156 mil</t>
  </si>
  <si>
    <t>2.3.1.1.6</t>
  </si>
  <si>
    <t>Tableros y herramientas de analítica implementados, incluyendo modelos de analítica descriptiva y predictiva, orientados a la toma de decisiones estratégicas y al apoyo operativo de la misionalidad de la CGR</t>
  </si>
  <si>
    <t>DIGES | Dirección de General de SIAFE 
Equipo TIC DGCP</t>
  </si>
  <si>
    <t>2.3.1.1.6.1</t>
  </si>
  <si>
    <t>Metodología para procesos de analítica, Identificación de preguntas y necesidades de negocio, inventario y entendimiento de los datos.</t>
  </si>
  <si>
    <t>2.3.1.1.6.2</t>
  </si>
  <si>
    <t>Procesos de integración de datos, extracción, transformación y carga. Metodología y plan de mejora de la calidad de los datos.</t>
  </si>
  <si>
    <t>2.3.1.1.6.3</t>
  </si>
  <si>
    <t>Arquitectura de la solución de analítica de acuerdo a las necesidades operativas y estratégicas de la CGR</t>
  </si>
  <si>
    <t>2.3.1.1.6.4</t>
  </si>
  <si>
    <t>Modelos de Analitica implementados para toma de decisiones operativas y Estrategicas</t>
  </si>
  <si>
    <t>2.3.1.1.6.5</t>
  </si>
  <si>
    <t>Entrega de herramienta de Analitica y transferencia de conocimento a la entidad</t>
  </si>
  <si>
    <t>2.3.1.1.6.6</t>
  </si>
  <si>
    <t>Construcción de tableros de analítica, visualizaciones y servicios web de acuerdo a las necesidades de la entidad.</t>
  </si>
  <si>
    <t>2.3.1.1.7</t>
  </si>
  <si>
    <t>Sistema de información para la gestión integral de riesgos en los procesos de control interno, diseñado e implementado</t>
  </si>
  <si>
    <t>2.3.1.2</t>
  </si>
  <si>
    <t>Fortalecimiento de la infraestructura, servicios de TI y de los controles de ciberseguridad, implementados</t>
  </si>
  <si>
    <t>2.3.1.2.1</t>
  </si>
  <si>
    <t>Infraestructura y Servicios de TI</t>
  </si>
  <si>
    <t>depende de la arquitectura</t>
  </si>
  <si>
    <t>2.3.1.2.2</t>
  </si>
  <si>
    <t>Diseño e implementación interfaz web del sistema Trámite Regular Estructurado</t>
  </si>
  <si>
    <t>280 licencias</t>
  </si>
  <si>
    <t>2.3.1.2.3</t>
  </si>
  <si>
    <t>Capacitación especializada en ciberseguridad</t>
  </si>
  <si>
    <t>Firma consultora</t>
  </si>
  <si>
    <t>Se considera: capacitación para consultores contratados, el personal de TI y el equipo de desarrollo de software. Aproximadamente 10 personas para la capacitación especializada. La concientización y sensibilización es abierta a todo el personal de la CGR</t>
  </si>
  <si>
    <t>2.3.1.2.4</t>
  </si>
  <si>
    <t>Concientización y sensibilización en general</t>
  </si>
  <si>
    <t>2.3.1.2.5</t>
  </si>
  <si>
    <t>Plan de Continuidad de Negocios (BCP-Bussines Continuity Plan), diseñado e implementado</t>
  </si>
  <si>
    <t>2.3.1.2.6</t>
  </si>
  <si>
    <t>Licenciamiento, parametrización e implementación del sistema</t>
  </si>
  <si>
    <t>Bienes o Firma</t>
  </si>
  <si>
    <t>2.2.5.9.01</t>
  </si>
  <si>
    <t>Licencias Informáticas</t>
  </si>
  <si>
    <t>2.3.1.3</t>
  </si>
  <si>
    <t>Project Manager Componente 2.3</t>
  </si>
  <si>
    <t>CCII</t>
  </si>
  <si>
    <t>DIGEIG
Consultoria Juridica del Poder Ejecutivo</t>
  </si>
  <si>
    <t>Coord. 3</t>
  </si>
  <si>
    <t>8% más EUR</t>
  </si>
  <si>
    <t>3.1.1.1.1</t>
  </si>
  <si>
    <t>Contratación de consultoría en Planificación, integración  e implementación de un modelo de integridad en la Unidad Etica e Integridad Gubernamental  basado en el estándar OCDE -integridad pública</t>
  </si>
  <si>
    <t>3.1.1.1.2</t>
  </si>
  <si>
    <t>Contratación de consultores para el diseño de la estructura organizacional, procesos y regulaciones del Sistema Nacional de Transparencia e Integridad, a partir de buenas prácticas y estándares de OCDE. Incluye el diseño e implementación del modelo de canal de denuncias en físico y del  Sistema de  Gestión de Conflictos de Intereses .</t>
  </si>
  <si>
    <t>3.1.1.1.3</t>
  </si>
  <si>
    <t>Contratación de consultor individual para la definición metas Comisión de Integridad Gubernamental y Cumplimiento Normativo (CIGCN) y orientación de los Planes Institucionales de Integridad y Prevención de la Corrupción en la Administración Pública.</t>
  </si>
  <si>
    <t>5 meses</t>
  </si>
  <si>
    <t>3.1.1.1.4</t>
  </si>
  <si>
    <t>Contratación de consultor individual para sistematización del proceso e instrumentos de monitoreo, seguimiento y control de las Comisión de Integridad Gubernamental y Cumplimiento Normativo (CIGCN) y respectivos Planes Institucionales de Integridad y Prevención de la Corrupción</t>
  </si>
  <si>
    <t>8 meses</t>
  </si>
  <si>
    <t>3.1.1.1.5</t>
  </si>
  <si>
    <t>Contratación de consultor individual para el diseño e implementación del curriculum y la programación de la primera experiencia docente del 1er Programa de Gestión de Integridad Pública en RD</t>
  </si>
  <si>
    <t>Plataforma TI de Seguimiento y Evaluación de componentes de integridad desarrollado e implementado</t>
  </si>
  <si>
    <t>DIGEIG</t>
  </si>
  <si>
    <t>3.1.1.2.1</t>
  </si>
  <si>
    <t>Contratación de consultor individual para establecimiento de reglas de negocio, tableros de control,  estándares,  requerimientos de usuarios, ciudadanos, etc</t>
  </si>
  <si>
    <t>3.1.1.2.2</t>
  </si>
  <si>
    <t>Diseño de plataforma en base a SNIRD y estándar OCDE 
- Definición de la arquitectura Construcción de la plataforma -Experiencia de usuario -Manuales de usuario</t>
  </si>
  <si>
    <t>Consultoría Firma de Tecnología (firma 3)</t>
  </si>
  <si>
    <t>33A</t>
  </si>
  <si>
    <t>3.1.1.2.3</t>
  </si>
  <si>
    <t>Plan de implementación y capacitación a usuarios de funcionamiento de la plataforma SNIRD</t>
  </si>
  <si>
    <t>Firma 4</t>
  </si>
  <si>
    <t>92D</t>
  </si>
  <si>
    <t>Estándar OCDE piloteado</t>
  </si>
  <si>
    <t>3.1.1.3.1</t>
  </si>
  <si>
    <t>Contratación de firma consultora para la elaboración del Plan de acción en base al estandar  OCDE por sector y respectivos  talleres de seguimiento</t>
  </si>
  <si>
    <t>3.1.1.3.2</t>
  </si>
  <si>
    <t>Contratación de firma consultora para la definición de estándares, procedimientos, herramientas, resoluciones para implementación del plan de acción</t>
  </si>
  <si>
    <t>3.1.1.3.3</t>
  </si>
  <si>
    <t>Contratación de firma consultora para la coordinación de actividades en el marco del producto estándar OCDE</t>
  </si>
  <si>
    <t>3.1.1.3.4</t>
  </si>
  <si>
    <t>Contratación de consultoría individual para el desarrollo de contenido comunicacional para visualizar y difundir las actividades en materia de integridad</t>
  </si>
  <si>
    <t>3.1.1.4.1</t>
  </si>
  <si>
    <t>3.1.1.4.2</t>
  </si>
  <si>
    <t>3.1.1.4.3</t>
  </si>
  <si>
    <t>33B</t>
  </si>
  <si>
    <t>3.1.1.4.4</t>
  </si>
  <si>
    <t>92E</t>
  </si>
  <si>
    <t>Consultoría individual para la elaboración del marco regulatorio de Integridad y Transparencia de la Republica Dominicana</t>
  </si>
  <si>
    <t>Conflicto de interes
Proteccion al denunciante y testigo
ley antisoborno</t>
  </si>
  <si>
    <t>3.1.2.2</t>
  </si>
  <si>
    <t>Asistencia en la conceptualización y  elaboración de los Anteproyectos de actualización de Ley de Acceso a la Información Pública No. 200-04 y la Ley de Datos Personales No. No. 172-13.</t>
  </si>
  <si>
    <t>113A</t>
  </si>
  <si>
    <t>3.1.2.3</t>
  </si>
  <si>
    <t xml:space="preserve">Asistencia en la conceptualización y  elaboración de los Anteproyectos de Ley de Conflictos Intereses y Ley de Protección al Informante. </t>
  </si>
  <si>
    <t>113B</t>
  </si>
  <si>
    <t>3.1.2.4</t>
  </si>
  <si>
    <t>Coordinador Componente 3</t>
  </si>
  <si>
    <t>DIGEIG. En colaboración con el CONEP</t>
  </si>
  <si>
    <t>3.1.3.1</t>
  </si>
  <si>
    <t>Elaboración de TdR de project manager exclusivo del producto</t>
  </si>
  <si>
    <t xml:space="preserve"> </t>
  </si>
  <si>
    <t>Consultoría Firma (Agencia Publicitaria 360)</t>
  </si>
  <si>
    <t>2.2.2.1.03</t>
  </si>
  <si>
    <t>Publicaciones de Avisos Oficiales</t>
  </si>
  <si>
    <t>Diagnóstico inicial, alcance y estandarización de procesos de investigación de denuncias y su seguimiento, incluye la metodología estandarizada del proceso de investigación de denuncias Lic. En Derecho</t>
  </si>
  <si>
    <t>Coordinador Comp. 3</t>
  </si>
  <si>
    <t>Diego Hernán y José
Iván Cruz, Director de Planificación y Desarrollo</t>
  </si>
  <si>
    <t>37 A</t>
  </si>
  <si>
    <t>Diagnóstico inicial, alcance y estandarización de procesos de investigación de denuncias y su seguimiento, incluye la metodología estandarizada del proceso de investigación de denuncias Ing. Industrial</t>
  </si>
  <si>
    <t>37 B</t>
  </si>
  <si>
    <t>Iván Cruz, Director de Planificación y Desarrollo
Director de Tecnología - DIGEI</t>
  </si>
  <si>
    <t>33C</t>
  </si>
  <si>
    <t>18 meses</t>
  </si>
  <si>
    <t>- 5 perfiles que acompañen el desarrollo, por 18 meses</t>
  </si>
  <si>
    <t>3.2.2.1</t>
  </si>
  <si>
    <t>Diagnóstico de barreras y desafíos para la participación ciudadana y control social. Estrategia para ampliar la participación ciudadana garantizando el acceso de mujeres y grupos diversos. Diagnóstico, alcance, diseño de herramientas informáticas para mejorar la participación ciudadana en políticas y control social</t>
  </si>
  <si>
    <t>Capacitaciones</t>
  </si>
  <si>
    <t>33D</t>
  </si>
  <si>
    <t>mes</t>
  </si>
  <si>
    <t>- 5 perfiles que acompañen el desarrollo por 6 meses</t>
  </si>
  <si>
    <t>3.2.2.5</t>
  </si>
  <si>
    <t>Incluye todos los portales</t>
  </si>
  <si>
    <t>33E</t>
  </si>
  <si>
    <t>3.3.1.4</t>
  </si>
  <si>
    <t>Contratacion de 1 consultor para la construccion de TDR y Solicitud para Propuesta para la definicion de la arquitectura empresarial</t>
  </si>
  <si>
    <t>3.4.1.1.1</t>
  </si>
  <si>
    <t>Elaboración de TDR</t>
  </si>
  <si>
    <t xml:space="preserve"> - consultoría individual
- alcance de los contenidos:
a todas las áreas digeig
experto en transparencia
eperiencia en capacitación
recibe demanda y transforma a propuesta y contenido del programa
experto por 18 meses
iteración de entregables
- preparar contenido para curso presencial y web
- preparar capacitación al personal digeig
- preparar capacitaciones del producto 36 (portal unico de transparencia y saip)</t>
  </si>
  <si>
    <t>Firma 4 G7</t>
  </si>
  <si>
    <t>92A</t>
  </si>
  <si>
    <t>- docente instructor
- recurso para desarrollar el curso
- servicios logísticos para capacitación
- capacidad de comunicar, reciben el material generado por el 3.4.2.1</t>
  </si>
  <si>
    <t>92B</t>
  </si>
  <si>
    <t>- firma elearning</t>
  </si>
  <si>
    <t>92C</t>
  </si>
  <si>
    <t>realizar adaptación
mesa de servicios
persona capacitada en moogle para adaptar nuevos contenidos</t>
  </si>
  <si>
    <t>4.1.1</t>
  </si>
  <si>
    <t>Gestión del Programa - MH</t>
  </si>
  <si>
    <t>4.1.1.1</t>
  </si>
  <si>
    <t xml:space="preserve">Saldo para redistribuir </t>
  </si>
  <si>
    <t>4.1.1.2</t>
  </si>
  <si>
    <t xml:space="preserve">Equipo Coordinador del Proyecto </t>
  </si>
  <si>
    <t>4.1.1.2.1</t>
  </si>
  <si>
    <t>Coordinador Gral. del Proyecto (clave)</t>
  </si>
  <si>
    <t>4.1.1.2.2</t>
  </si>
  <si>
    <t>Coordinador Planificación &amp; Monitoreo (clave)</t>
  </si>
  <si>
    <t>4.1.1.2.3</t>
  </si>
  <si>
    <t>Especialista en Adquisiciones (clave)</t>
  </si>
  <si>
    <t>4.1.1.2.4</t>
  </si>
  <si>
    <t>Especialista Financiero (clave)</t>
  </si>
  <si>
    <t>4.1.1.2.5</t>
  </si>
  <si>
    <t>Coordinadores de Componentes</t>
  </si>
  <si>
    <t>4.1.1.2.6</t>
  </si>
  <si>
    <t xml:space="preserve">Oficiales de Adquisiciones  </t>
  </si>
  <si>
    <t>4.1.1.2.7</t>
  </si>
  <si>
    <t>Oficiales Financieros</t>
  </si>
  <si>
    <t>4.1.1.2.8</t>
  </si>
  <si>
    <t>Oficial Legal</t>
  </si>
  <si>
    <t>Consultor/mes /factor</t>
  </si>
  <si>
    <t>4.1.1.3</t>
  </si>
  <si>
    <t>Apoyo a la Dirección del Programa (PMO)</t>
  </si>
  <si>
    <t>4.1.1.3.1</t>
  </si>
  <si>
    <t xml:space="preserve">Elaboración de TDR y Solicitud de Propuesta para contratación de una Firma PMO </t>
  </si>
  <si>
    <t>4.1.1.3.3</t>
  </si>
  <si>
    <t>Project Managers (gerenciarán grupos de productos)</t>
  </si>
  <si>
    <t>3CV (Lista Larga)</t>
  </si>
  <si>
    <t>4.1.1.4</t>
  </si>
  <si>
    <t>Gastos administrativos y logísticos</t>
  </si>
  <si>
    <t>4.1.1.4.1</t>
  </si>
  <si>
    <t>Gastos logísticos</t>
  </si>
  <si>
    <t>Años</t>
  </si>
  <si>
    <t>4.2.1</t>
  </si>
  <si>
    <t>Auditoria del programa</t>
  </si>
  <si>
    <t>Consultoría firma</t>
  </si>
  <si>
    <t>año</t>
  </si>
  <si>
    <t>2.2.8.7.03</t>
  </si>
  <si>
    <t>Servicios de Contabilidad y Auditoría</t>
  </si>
  <si>
    <t>Evaluación del Programa y análisis económico ex-post</t>
  </si>
  <si>
    <t>4.3.1</t>
  </si>
  <si>
    <t>Levantamiento de linea de base</t>
  </si>
  <si>
    <t>4.3.2</t>
  </si>
  <si>
    <t>Evaluación de medio término</t>
  </si>
  <si>
    <t>4.3.3</t>
  </si>
  <si>
    <t>Evaluación final</t>
  </si>
  <si>
    <t>4.3.4</t>
  </si>
  <si>
    <t>Evaluación de Impacto</t>
  </si>
  <si>
    <t>5</t>
  </si>
  <si>
    <t>Gestión de Riesgos</t>
  </si>
  <si>
    <t>6</t>
  </si>
  <si>
    <t>Imprevistos</t>
  </si>
  <si>
    <t>Referencias</t>
  </si>
  <si>
    <t>Programa</t>
  </si>
  <si>
    <t>Componente</t>
  </si>
  <si>
    <t xml:space="preserve"> Totales </t>
  </si>
  <si>
    <t xml:space="preserve"> Año 1 </t>
  </si>
  <si>
    <t xml:space="preserve"> Año 2 </t>
  </si>
  <si>
    <t xml:space="preserve"> Año 3 </t>
  </si>
  <si>
    <t xml:space="preserve"> Año 4 </t>
  </si>
  <si>
    <t xml:space="preserve"> Año 5 </t>
  </si>
  <si>
    <t xml:space="preserve"> Año 6 </t>
  </si>
  <si>
    <t>Paquete de trabajo</t>
  </si>
  <si>
    <t xml:space="preserve"> UCP-MH </t>
  </si>
  <si>
    <t xml:space="preserve"> UEP-CGR </t>
  </si>
  <si>
    <t xml:space="preserve"> Total Gral </t>
  </si>
  <si>
    <t xml:space="preserve"> Total A1 </t>
  </si>
  <si>
    <t xml:space="preserve"> Total A2 </t>
  </si>
  <si>
    <t xml:space="preserve"> Total A3 </t>
  </si>
  <si>
    <t xml:space="preserve"> Total A4 </t>
  </si>
  <si>
    <t xml:space="preserve"> Total A5 </t>
  </si>
  <si>
    <t xml:space="preserve"> Total A6 </t>
  </si>
  <si>
    <t>Actividades de mitigación de riesgos</t>
  </si>
  <si>
    <t>UCP-MH</t>
  </si>
  <si>
    <t>UCP-CGR</t>
  </si>
  <si>
    <t>COMPONENTES DEL PROYECTO - MINISTERIO DE HACIENDA</t>
  </si>
  <si>
    <t xml:space="preserve"> Año 2</t>
  </si>
  <si>
    <t xml:space="preserve"> Año 3</t>
  </si>
  <si>
    <t xml:space="preserve"> Año 4</t>
  </si>
  <si>
    <t xml:space="preserve"> Año 5</t>
  </si>
  <si>
    <t>Componente 1</t>
  </si>
  <si>
    <t>Componente 3</t>
  </si>
  <si>
    <t>Componente 4</t>
  </si>
  <si>
    <t>Total General</t>
  </si>
  <si>
    <t>Comp 1</t>
  </si>
  <si>
    <t>Comp 3</t>
  </si>
  <si>
    <t>Comp 4</t>
  </si>
  <si>
    <t xml:space="preserve"> Total A2</t>
  </si>
  <si>
    <t xml:space="preserve"> Total A3</t>
  </si>
  <si>
    <t xml:space="preserve"> Total A4</t>
  </si>
  <si>
    <t xml:space="preserve"> Total A5</t>
  </si>
  <si>
    <t xml:space="preserve"> Total A6</t>
  </si>
  <si>
    <t>Año 1 - Total General</t>
  </si>
  <si>
    <t>Año 1 - Ministerio de Hacienda</t>
  </si>
  <si>
    <t>Año 1 - Contraloría General de la República</t>
  </si>
  <si>
    <t>Año 2 - Total General</t>
  </si>
  <si>
    <t>Año 2 - Ministerio de Hacienda</t>
  </si>
  <si>
    <t>Año 2 - Contraloría General de la República</t>
  </si>
  <si>
    <t>Año 3 - Total General</t>
  </si>
  <si>
    <t>Año 3 - Ministerio de Hacienda</t>
  </si>
  <si>
    <t>Año 3 - Contraloría General de la República</t>
  </si>
  <si>
    <t>Año 4 - Total General</t>
  </si>
  <si>
    <t>Año 4 - Ministerio de Hacienda</t>
  </si>
  <si>
    <t>Año 4 - Contraloría General de la República</t>
  </si>
  <si>
    <t>Año 5 - Total General</t>
  </si>
  <si>
    <t>Año 5 - Ministerio de Hacienda</t>
  </si>
  <si>
    <t>Año 5 - Contraloría General de la República</t>
  </si>
  <si>
    <t>Año 6 - Total General</t>
  </si>
  <si>
    <t>Año 6 - Ministerio de Hacienda</t>
  </si>
  <si>
    <t>Año 6 - Contraloría General de la República</t>
  </si>
  <si>
    <t>Total General - Ministerio de Hacienda</t>
  </si>
  <si>
    <t>Total General - Contraloría General de la República</t>
  </si>
  <si>
    <t>7. Curva S de Uso de Recursos</t>
  </si>
  <si>
    <t>Proyecto:</t>
  </si>
  <si>
    <t>Fecha de Inicio</t>
  </si>
  <si>
    <t>Fecha Fin:</t>
  </si>
  <si>
    <t>Valor acum. BID</t>
  </si>
  <si>
    <t>Valor acum. CL</t>
  </si>
  <si>
    <t>Valor acum. TOTAL</t>
  </si>
  <si>
    <t>Problema</t>
  </si>
  <si>
    <t>El principal problema que el proyecto contribuirá a resolver es la limitada transparencia y rendición de cuentas asociadas a la gestión de los recursos públicos, lo que inhibe el control de la corrupción. Entre los factores causales se encuentran: (ver columna B)</t>
  </si>
  <si>
    <t>Problemas según POD</t>
  </si>
  <si>
    <t>Actividades según POD</t>
  </si>
  <si>
    <t>Monto producto</t>
  </si>
  <si>
    <t>Resultados del proyecto (POD)</t>
  </si>
  <si>
    <t>Producto original</t>
  </si>
  <si>
    <t>Cambios producto</t>
  </si>
  <si>
    <t>Explicación</t>
  </si>
  <si>
    <t>Monto original</t>
  </si>
  <si>
    <t>Cambios monto</t>
  </si>
  <si>
    <t>1.6 Limitada transparencia y trazabilidad en la gestión de los recursos públicos. Este factor causal se podría presentar como cuatro subconjuntos interrelacionados:</t>
  </si>
  <si>
    <t>1.18 Este componente contribuirá al objetivo de consolidar la transparencia y trazabilidad en la gestión de recursos.</t>
  </si>
  <si>
    <t xml:space="preserve">Subcomponente 1.1 Transparencia en finanzas públicas.
</t>
  </si>
  <si>
    <t xml:space="preserve">1.6 (a) Gestión financiera. La transparencia de la gestión financiera pública se está viendo obstaculizada por: </t>
  </si>
  <si>
    <t>1.19 Financiará:</t>
  </si>
  <si>
    <t>(i) insuficiente interoperabilidad entre el Sistema de Información de la Gestión Financiera (SIGEF) , el sistema de información y seguimiento del Sistema Nacional de Inversión Pública (SNIP) y el Portal Transaccional de Contrataciones Públicas, que conlleva a dificultades para asociar los contratos con proyectos de inversión, hacer un adecuado seguimiento y aplicar mecanismos de control interno</t>
  </si>
  <si>
    <t xml:space="preserve"> (i) asistencia técnica a la implementación a corto plazo de la interoperabilidad entre el presupuesto, proyectos de inversión, procesos de contratación y contratos a partir de los mecanismos actuales, incluyendo construcción o mejora de servicios web y ajustes a los sistemas actuales</t>
  </si>
  <si>
    <r>
      <t>Producto 1: Procesos de interoperabilidad en MH, MEPyD, DGCP y CGRD, implementados.</t>
    </r>
    <r>
      <rPr>
        <i/>
        <sz val="12"/>
        <color rgb="FFFF0000"/>
        <rFont val="Calibri"/>
        <family val="2"/>
        <scheme val="minor"/>
      </rPr>
      <t xml:space="preserve"> Incluye SIGEF ajustado al presupuesto plurianual </t>
    </r>
  </si>
  <si>
    <t>Paquete de trabajo de SIGEF ajustado por valor de 1.500.000 USD</t>
  </si>
  <si>
    <t>(ii) arquitectura e implementación de procesos de interoperabilidad en el MH, MEPyD, DGCP y CGR</t>
  </si>
  <si>
    <t>(ii) limitada usabilidad del PTF, en el que la información sobre presupuesto, ingresos, gastos, inversión pública, financiamiento público y contrataciones públicas se presenta de manera aislada, en un formato poco amigable para la ciudadanía</t>
  </si>
  <si>
    <t>(iii) mejoras al PTF incluyendo temas de usabilidad, navegación, accesibilidad para personas con discapacidad, que comenzarían con la realización de dos proyectos pilotos para incorporar al portal información sobre gestión de recursos en los gobiernos locales y en las empresas públicas</t>
  </si>
  <si>
    <t xml:space="preserve"> (iv) mejoras al tablero de control gerencial sobre la gestión fiscal y financiera del MH</t>
  </si>
  <si>
    <t>(v) desarrollo de una estrategia de gestión del cambio, comunicaciones y despliegue de los procesos.</t>
  </si>
  <si>
    <t>Estrategia de gestión del cambio y comunicaciones desarrollada</t>
  </si>
  <si>
    <t>Incluido como paquete de trabajo en el Producto 1</t>
  </si>
  <si>
    <t>Subcomponente 1.2 Eficiencia en las contrataciones públicas.</t>
  </si>
  <si>
    <t>1.6 (b) Contrataciones públicas. La transparencia y la trazabilidad de los recursos destinados a las compras y contrataciones públicas se ven disminuidas debido a:</t>
  </si>
  <si>
    <t>1.20 Financiará:</t>
  </si>
  <si>
    <t>(i) limitada capacidad del sistema electrónico para incorporar a la gran mayoría de entidades públicas, y para cubrir el ciclo completo de los diferentes métodos de adquisiciones públicas</t>
  </si>
  <si>
    <t>(i) modernización del sistema electrónico de contrataciones con capacidad para cubrir a todas las instituciones y todo el ciclo del proceso</t>
  </si>
  <si>
    <r>
      <t xml:space="preserve">Producto 4: Modernización del Sistema de Contrataciones Públicas con accesibilidad para personas con discapacidad desarrollada. </t>
    </r>
    <r>
      <rPr>
        <i/>
        <sz val="12"/>
        <color rgb="FFFF0000"/>
        <rFont val="Calibri"/>
        <family val="2"/>
        <scheme val="minor"/>
      </rPr>
      <t>Incluye ajustes al sistema de información acutal de contrataciones y Sistema de detección de irregularidades y alertas tempranas</t>
    </r>
  </si>
  <si>
    <t>Se incluye paquete de trabajo de Ajustes al sistema de información actual de contrataciones públicas por valor de 2.269.000 USD y paquete de trabajo de la Estrategia de compra pública sostenible por valor de 500.000 USD</t>
  </si>
  <si>
    <t xml:space="preserve"> (ii) interoperabilidad con el SIGEF, MEPyD y CGR</t>
  </si>
  <si>
    <t>Incluido como paquete de trabajo en el Producto 4</t>
  </si>
  <si>
    <t>(ii) limitaciones para alertar automáticamente sobre irregularidades y riesgos de integridad y eficiencia</t>
  </si>
  <si>
    <t>(iii) fortalecimiento del sistema de alertas tempranas, incluyendo un catálogo de precios</t>
  </si>
  <si>
    <t>(iii) ineficiencias en los procesos de contratación derivadas de la insuficiente profesionalización y gestión de los recursos humanos de las unidades de contrataciones</t>
  </si>
  <si>
    <t>(iv) desarrollo de un modelo de profesionalización y gestión de recursos humanos acorde una visión de la contratación pública más eficiente, transparente y sostenible</t>
  </si>
  <si>
    <t>Producto 6: Profesionalización y Carrera Especial del SNCCP Implementada</t>
  </si>
  <si>
    <t>(iv) limitados mecanismos para que los procesos incorporen un enfoque social con consideraciones de género y diversidad, y cuidado del medioambiente</t>
  </si>
  <si>
    <t>(v) elaboración e implementación de una estrategia para la promoción de la participación de las empresas de mujeres en los procesos de contratación</t>
  </si>
  <si>
    <t>1.6 (c) Sistema de inversión pública.</t>
  </si>
  <si>
    <t>1.21 Financiará:</t>
  </si>
  <si>
    <t>El sistema de información y seguimiento del
SNIP no permite conocer de manera confiable el estado de ejecución de los proyectos de inversión ni monitorear la ejecución física de los mismos a nivel de componente, obra o actividad. Tampoco brinda información completa y actualizada sobre los cambios de alcance o naturaleza que los proyectos experimentan durante la ejecución, ni el nivel de precisión necesario en la información georreferencial que ofrece. El SNIP no cuenta con la capacidad de emitir alertas tempranas que faciliten la toma de decisiones oportuna, y no está funcionando como una herramienta de gestión y rendición de cuentas al servicio de los organismos ejecutores de los proyectos de inversión. Finalmente, el sistema carece de mecanismos de evaluación ex post de los proyectos de inversión que permitan retroalimentar la formulación y la evaluación ex ante de futuros proyectos de inversión.</t>
  </si>
  <si>
    <t>(ii) ajustes al actual sistema de información de inversión pública que permitan su interoperabilidad con los sistemas electrónicos de la DGCP, SIGEF y CGR.</t>
  </si>
  <si>
    <r>
      <t xml:space="preserve">Producto 7: Sistema de información actual de inversión pública ajustado para interoperar con los sistemas electrónicos de la DGCP, el MH y la CGRD. </t>
    </r>
    <r>
      <rPr>
        <i/>
        <sz val="12"/>
        <color rgb="FFFF0000"/>
        <rFont val="Calibri"/>
        <family val="2"/>
        <scheme val="minor"/>
      </rPr>
      <t xml:space="preserve">Incluye el Sistema de Monitoreo, Seguimiento &amp; Evaluación </t>
    </r>
  </si>
  <si>
    <t>Se incluye paquete de trabajo de  Infraestructura y servicios de TI por valor de 1.908.516 USD</t>
  </si>
  <si>
    <t>(i) diseño y puesta en marcha de un sistema de monitoreo, seguimiento y evaluación de inversión pública, incluyendo el diseño y la implementación de procesos, estructuras organizacionales, normativas, metodologías, desarrollos de software, servicios de tecnología, soporte, licencias y capacitaciones</t>
  </si>
  <si>
    <t>Se incluye paquete de trabajo de  Infraestructura y servicios de TI por valor de 1.363.517 USD</t>
  </si>
  <si>
    <t>Se distribuyen en los 2 productos la misma proporción del valor de los productos con respecto al subcomponente</t>
  </si>
  <si>
    <t>1.6 (d) Registro de beneficiarios finales. A pesar de los avances logrados, aún subsisten amplios espacios de mejora en la regulación de los BF en el país.</t>
  </si>
  <si>
    <t>1.22 Financiará:</t>
  </si>
  <si>
    <t>Se carece de un régimen de BF que siga estándares internacionales (como las del Grupo de Acción Financiera Internacional, GAFI) y una estrategia de gestión de cambio que acompañe su desarrollo. Ello se refleja en que el Informe de Evaluación Mutua (IEM) de República Dominicana (Grupo de Acción Financiera de Latinoamérica, 2018) ubicó al país en seguimiento intensificado que solo se aplica a aquellos miembros con deficiencias significativas (de cumplimiento técnico o efectividad) en sus sistemas ALA/CFT; y concluyó que es necesario “ampliar el requisito de identificación de los BF a las personas físicas que ejercen el control efectivo final de las personas o estructuras jurídicas</t>
  </si>
  <si>
    <t>(i) diseño e implementación de un régimen de BF de personas y estructuras jurídicas, en línea con los estándares internacionales, incluyendo un proyecto piloto para identificar oportunidades de mejora en las etapas siguientes de la implementación</t>
  </si>
  <si>
    <r>
      <t>Producto 9: Régimen de Beneficiarios Finales de personas y estructuras jurídicas diseñado e implementado</t>
    </r>
    <r>
      <rPr>
        <i/>
        <sz val="12"/>
        <color rgb="FFFF0000"/>
        <rFont val="Calibri"/>
        <family val="2"/>
        <scheme val="minor"/>
      </rPr>
      <t>. Incluye la Estrategia de Gestión del Cambio y comunicaciones</t>
    </r>
  </si>
  <si>
    <t>Se incluye paquete de trabajo de Estrategia de Gestión del Cambio por valor de 940.000 USD</t>
  </si>
  <si>
    <t>(ii) desarrollo de una estrategia de gestión del cambio, comunicaciones y despliegue para el RBF, que incluya capacitaciones a agencias del Estado, así como a sujetos obligados y usuarios del RBF</t>
  </si>
  <si>
    <t>Incluido como paquete de trabajo en el Producto 9</t>
  </si>
  <si>
    <t>1.7 Debilidades del sistema de control interno en la CGR, derivadas de:</t>
  </si>
  <si>
    <t>Este componente contribuirá al objetivo de fortalecer el control interno</t>
  </si>
  <si>
    <t>1.7 (a) Estructura organizacional. Su actual estructura y marco normativo datan de 2007 y no responden a la configuración que requiere la institución para realizar funciones sustantivas de control de manera eficiente, ni para realizar la función de auditoría interna.</t>
  </si>
  <si>
    <t>1.24 Financiará:</t>
  </si>
  <si>
    <t>Los procesos misionales están enfocados en la revisión formal de requisitos legales y administrativos en los documentos que acompañan las solicitudes de aprobación, lo que significa una aplicación incompleta de las normas, políticas y procedimientos de control interno y dista de las mejores prácticas internacionales. La mayor carga de trabajo se concentra en la certificación de contratos, y la revisión y aprobación de los pagos correspondientes. Las revisiones y aprobaciones son adicionales al trabajo que realizan sus propios funcionarios. Esto ha afectado las capacidades de la CGR de realizar auditorías internas, que aún se encuentran en proceso de formación, y de elevar su eficiencia como órgano de control y rector del SINACI.</t>
  </si>
  <si>
    <t xml:space="preserve">(i) el desarrollo de una propuesta de ajustes al modelo de gestión y estructura orgánica de la CGR conforme a mejores prácticas internacionales; </t>
  </si>
  <si>
    <t>Producto 10: Modelo de Gestión de la CGRD diseñado</t>
  </si>
  <si>
    <t>Se incluye paquete de trabajo de Proyecto de reorganización de funciones, cargos, y dotación necesaria de la CGRD y Unidades de control por valor de 484.500 USD</t>
  </si>
  <si>
    <t>(ii) transformación digital del modelo de control ex ante;</t>
  </si>
  <si>
    <t>Producto 11: Modelo de control ex ante diseñado e implementado</t>
  </si>
  <si>
    <t>el alcance que se le está dando es la totalidad</t>
  </si>
  <si>
    <t xml:space="preserve"> (iii) reorganización de funciones, cargos y dotación necesaria de la CGR y las Unidades de Control Interno, alineados a los ajustes propuestos en (i) y (ii)</t>
  </si>
  <si>
    <t>Producto 18: Proyecto de reorganización de funciones, cargos, y dotación necesaria de la CGRD y de las Unidades a cargo del control "ex ante" y "ex post", realizadas</t>
  </si>
  <si>
    <t>Incluido como paquete de trabajo en el Producto 10</t>
  </si>
  <si>
    <t>(iv) desarrollo de una estrategia de gestión del cambio para la implementación de un marco integral de control interno y transformación digital.</t>
  </si>
  <si>
    <t>Producto 12: Estrategia de gestión integral del cambio y transformación digital desarrollada</t>
  </si>
  <si>
    <t>Se deja de manera más general para que cubra todas las funciones misionales de la contraloria y no solo control interno</t>
  </si>
  <si>
    <t>1.7 (b) Competencias y recursos humanos. Según el Plan Estratégico Institucional de la CGR, el recurso humano no ha tenido una actualización de conocimientos sobre normas básicas de control interno.</t>
  </si>
  <si>
    <t>1.25 Financiará:</t>
  </si>
  <si>
    <t>Destacan, por ejemplo, las escasas certificaciones nacionales e internacionales de sus auditores y la poca experticia para realizar auditorías forenses, entre otras. Adicionalmente, el bajo nivel de asesoría que los auditores de la CGR otorgan a las instituciones públicas en la implementación de normas básicas de control interno, apenas brindan una asesoría anual por institución pública</t>
  </si>
  <si>
    <t xml:space="preserve">(i) dimensionamiento y gestión de brechas de competencias de acuerdo con el nuevo modelo de gestión; </t>
  </si>
  <si>
    <r>
      <t xml:space="preserve">Producto </t>
    </r>
    <r>
      <rPr>
        <sz val="12"/>
        <color rgb="FF0070C0"/>
        <rFont val="Calibri"/>
        <family val="2"/>
        <scheme val="minor"/>
      </rPr>
      <t>13</t>
    </r>
    <r>
      <rPr>
        <sz val="12"/>
        <color theme="1"/>
        <rFont val="Calibri"/>
        <family val="2"/>
        <scheme val="minor"/>
      </rPr>
      <t>: Nuevo Modelo de Gestión del Talento Humano diseñado</t>
    </r>
  </si>
  <si>
    <t>Se pensó en incluirlo en el producto 10, pero no se puede mover dinero de un subcomponente a otro, ya que en el POD se encuentra el Cuadro de Costos por subcomponentes</t>
  </si>
  <si>
    <t>(ii) certificación de la CGR y de sus auditores con base en estándares nacionales e internacionales;</t>
  </si>
  <si>
    <r>
      <t xml:space="preserve">Producto </t>
    </r>
    <r>
      <rPr>
        <sz val="12"/>
        <color rgb="FF0070C0"/>
        <rFont val="Calibri"/>
        <family val="2"/>
        <scheme val="minor"/>
      </rPr>
      <t>14</t>
    </r>
    <r>
      <rPr>
        <sz val="12"/>
        <color theme="1"/>
        <rFont val="Calibri"/>
        <family val="2"/>
        <scheme val="minor"/>
      </rPr>
      <t>: Auditores certificados con base en estándares nacionales e internacionales</t>
    </r>
  </si>
  <si>
    <t>Según propuesta: producto 14 y 15 deberian ser uno solo, por recomendación de Alex las capacitaciones y la normativa quedan separados. Ya que las capacitaciones son faciles de reportar</t>
  </si>
  <si>
    <t xml:space="preserve"> (iii) asistencia técnica de la CGR a las instituciones auditadas.</t>
  </si>
  <si>
    <t>Producto 15: Nuevo Modelo de Control Interno bajo estándares nacionales e internacionales</t>
  </si>
  <si>
    <t>Se incluye paquete de trabajo de  Control interno bajo estándares nacionales e internacionales por valor de 200.000 USD</t>
  </si>
  <si>
    <t>Incluido como paquete de trabajo en el Producto 15</t>
  </si>
  <si>
    <t>1.7 (c) Sistemas de información. El sistema de control interno funciona, primordialmente, con base en el intercambio de documentos físicos, y tiene un bajo nivel de interoperabilidad con los sistemas informáticos de órganos rectores de la gestión de recursos públicos, como el SIGEF, DGCP, y el SNIP.</t>
  </si>
  <si>
    <t>1.26 Financiará:</t>
  </si>
  <si>
    <t>Esto impide vincular, de manera automatizada, el registro de un proyecto en la inversión pública, los contratos correspondientes, el número y monto de pagos aplicados, y las modificaciones al monto original, como tampoco conocer el balance pendiente de pago. Además, no se cuenta con un sistema de información para la gestión integral de riesgos ni adecuados controles de ciberseguridad</t>
  </si>
  <si>
    <t>(i) módulos funcionales para la transformación digital del modelo de control interno;</t>
  </si>
  <si>
    <t>Producto 24: Generación de Capacidades de TI Implementadas</t>
  </si>
  <si>
    <t>Producto 16: Generación de Capacidades, arquitectura y herramientas analíticas TI</t>
  </si>
  <si>
    <t>Se incluye paquete de trabajo de Arquitectura Empresarial por valor de 3.209.000 USD, paquete de trabajo de Tableros y herramientas analíticas por valor de 800.000 USD y  paquete de trabajo de Sistema de información para la gestión integral de riesgos en los procesos de control interno por valor de 300.000 USD</t>
  </si>
  <si>
    <t xml:space="preserve">(ii) desarrollo de controles de ciberseguridad; </t>
  </si>
  <si>
    <t>Producto 25: Arquitectura Empresarial realizada, incluyendo la construcción e implementación de componentes de software</t>
  </si>
  <si>
    <t>Incluido como paquete de trabajo en el Producto 16</t>
  </si>
  <si>
    <t>(iii) modelo de interoperabilidad que integre los sistemas del SIGEF, MEPyD, DGCP y CGR, en coordinación con estas entidades (Componente 1);</t>
  </si>
  <si>
    <t xml:space="preserve">(v) algoritmos del modelo analítico para la toma de decisiones gerenciales; </t>
  </si>
  <si>
    <t>(vi) sistema de análisis de información sobre integridad en la gestión de los recursos públicos.</t>
  </si>
  <si>
    <t>Producto 17: Fortalecimiento de la infraestructura, servicios de TI y de los controles de ciberseguridad, implementados</t>
  </si>
  <si>
    <t>(iv) sistema de información para la gestión integral de riesgos en los procesos de control interno;</t>
  </si>
  <si>
    <t>Producto 28: Sistema de información para la gestión integral de riesgos en los procesos de control interno, diseñado e implementado</t>
  </si>
  <si>
    <t>1.8 En materia de acceso a la información, participación ciudadana, e integridad en la administración pública y el sector privado, existen siguientes desafíos:</t>
  </si>
  <si>
    <t>1.27 Este componente contribuirá al objetivo de fomentar el acceso a la información, participación ciudadana, y la integridad en la administración pública y en el sector privado.</t>
  </si>
  <si>
    <t>1.8 (a) Prevención y control de la corrupción. Si bien existe un código con pautas de comportamiento ético:</t>
  </si>
  <si>
    <t>1.28 Incluye:</t>
  </si>
  <si>
    <t>(i) no hay un marco normativo alineado con las mejores prácticas internacionales ni un sistema digital de gestión de conflictos de interés;</t>
  </si>
  <si>
    <t>(i) diagnóstico de la actual normativa y propuesta de un anteproyecto de ley en materia de protección de denunciantes de actos de corrupción, y en materia de integridad y conflicto de intereses</t>
  </si>
  <si>
    <r>
      <t xml:space="preserve">Producto 18: Sistema Nacional </t>
    </r>
    <r>
      <rPr>
        <b/>
        <sz val="12"/>
        <color rgb="FF7030A0"/>
        <rFont val="Calibri"/>
        <family val="2"/>
        <scheme val="minor"/>
      </rPr>
      <t>Integrado</t>
    </r>
    <r>
      <rPr>
        <sz val="12"/>
        <color rgb="FF7030A0"/>
        <rFont val="Calibri"/>
        <family val="2"/>
        <scheme val="minor"/>
      </rPr>
      <t xml:space="preserve"> de Transparencia e Integridad Implementado. Incluye Plataforma de seguimiento y evaluación de componentes de integridad y sistema para el seguimiento de compromisos internacionales.</t>
    </r>
  </si>
  <si>
    <t>Se incluye paquete de trabajo de Plataforma de Seguimiento y Evaluación de componentes por valor de 180.000 USD y paquete de trabajo de Sistema para el seguimiento de compromisos internacionales por valor de 237.000 USD</t>
  </si>
  <si>
    <t>(ii) tampoco existe una norma que permita proteger a los denunciantes;</t>
  </si>
  <si>
    <t>Producto 19: Marco regulatorio en materia de integridad, fortalecido. Incluye protección a denunciantes y normativas sobre conflictos de interes</t>
  </si>
  <si>
    <t>(iii) no todos los organismos cuentan con sus Comisiones de Integridad Gubernamental y Cumplimiento Normativo (CIGCN) creadas, y estas carecen de la capacitación adecuada para cumplir con sus funciones</t>
  </si>
  <si>
    <t>(ii) sistema para gestionar conflictos de interés, en coordinación con las CIGCN</t>
  </si>
  <si>
    <t>Incluido como paquete de trabajo en el Producto 18</t>
  </si>
  <si>
    <t>(iv) no hay un enfoque de trabajo basado en un análisis preventivo de la corrupción</t>
  </si>
  <si>
    <t>(iii) metodologías para identificar, analizar y gestionar riesgos sistémicos de corrupción</t>
  </si>
  <si>
    <t>(v) son escasos los programas de integridad en el sector privado.</t>
  </si>
  <si>
    <t>(iv) programas de cumplimiento e integridad corporativa para el sector privado;</t>
  </si>
  <si>
    <t>Producto 20: Programa de cumplimiento e integridad para el sector privado desarrollado</t>
  </si>
  <si>
    <t>(v) sistema para el seguimiento de compromisos asumidos por el país ante organismos e iniciativas internacionales de gobierno abierto, y de prevención y control de corrupción</t>
  </si>
  <si>
    <t>1.8 (b) Participación ciudadana.</t>
  </si>
  <si>
    <t>1.29 Considera:</t>
  </si>
  <si>
    <t>Se carece de metodologías para realizar investigaciones y dar seguimiento y respuesta a las denuncias ciudadanas de corrupción administrativa, no existiendo un portal que permita extraer reportes y estadísticas</t>
  </si>
  <si>
    <t>(i) metodologías para realizar investigaciones y dar seguimiento y respuesta a las denuncias ciudadanas;</t>
  </si>
  <si>
    <r>
      <t xml:space="preserve">Producto 21: </t>
    </r>
    <r>
      <rPr>
        <b/>
        <sz val="12"/>
        <color rgb="FFFF0000"/>
        <rFont val="Calibri"/>
        <family val="2"/>
        <scheme val="minor"/>
      </rPr>
      <t>Sistema</t>
    </r>
    <r>
      <rPr>
        <sz val="12"/>
        <color rgb="FFFF0000"/>
        <rFont val="Calibri"/>
        <family val="2"/>
        <scheme val="minor"/>
      </rPr>
      <t xml:space="preserve"> para realizar investigaciones, seguimiento y respuesta a las denuncias ciudadanas desarrollado. </t>
    </r>
    <r>
      <rPr>
        <i/>
        <sz val="12"/>
        <color rgb="FFFF0000"/>
        <rFont val="Calibri"/>
        <family val="2"/>
        <scheme val="minor"/>
      </rPr>
      <t>Incluye metodologías y plataforma tecnológica de participación ciudadana y seguimiento de denuncias con enfoque de género y diversidad.</t>
    </r>
  </si>
  <si>
    <t>Se fusiona con Producto 35 original</t>
  </si>
  <si>
    <t xml:space="preserve">La administración cuenta con herramientas limitadas para promover la participación ciudadana, lo cual se ve agravado por la falta de foco en grupos de mujeres y grupos diversos. </t>
  </si>
  <si>
    <t>(ii) herramientas que faciliten y promuevan la participación ciudadana en el diseño y control de distintas políticas públicas con enfoque de género y diversidad</t>
  </si>
  <si>
    <t>1.8 (c) Transparencia y acceso a la información. Se presentan los siguientes desafíos:</t>
  </si>
  <si>
    <t>1.30 Financiará:</t>
  </si>
  <si>
    <t>(i) el Sistema de Acceso a la Información Pública (SAIP) y Portal de Datos Abiertos no están centralizados con el Portal Único de Transparencia y carecen de funcionalidades específicas para cumplir más eficientemente con su mandato;</t>
  </si>
  <si>
    <t>El portal de transparencia, Datos Abiertos, acceso a la información y Gobierno Abierto. Esto incluye el Portal Único de Transparencia centralizando los portales de Datos Abiertos, de Gobierno Abierto, de la DIGEIG y del SAIP, con accesibilidad para personas con discapacidad.</t>
  </si>
  <si>
    <r>
      <t xml:space="preserve">Producto </t>
    </r>
    <r>
      <rPr>
        <sz val="12"/>
        <color rgb="FF0070C0"/>
        <rFont val="Calibri"/>
        <family val="2"/>
        <scheme val="minor"/>
      </rPr>
      <t>23</t>
    </r>
    <r>
      <rPr>
        <sz val="12"/>
        <color theme="1"/>
        <rFont val="Calibri"/>
        <family val="2"/>
        <scheme val="minor"/>
      </rPr>
      <t>: Plataforma tecnológica Nacional de Transparencia diseñad</t>
    </r>
    <r>
      <rPr>
        <sz val="12"/>
        <color rgb="FF7030A0"/>
        <rFont val="Calibri"/>
        <family val="2"/>
        <scheme val="minor"/>
      </rPr>
      <t>a</t>
    </r>
    <r>
      <rPr>
        <sz val="12"/>
        <color theme="1"/>
        <rFont val="Calibri"/>
        <family val="2"/>
        <scheme val="minor"/>
      </rPr>
      <t xml:space="preserve"> e implementad</t>
    </r>
    <r>
      <rPr>
        <sz val="12"/>
        <color rgb="FF7030A0"/>
        <rFont val="Calibri"/>
        <family val="2"/>
        <scheme val="minor"/>
      </rPr>
      <t>a</t>
    </r>
  </si>
  <si>
    <t>No se puede eliminar el subcomponente ya que se describe el mismo en el POD, por lo cual este producto se mantiene igual</t>
  </si>
  <si>
    <t>Indicador 8. Cantidad de meses en la actualización de bases de datos abiertos por parte del Ministerio de la Mujer.
Indicador 9. Porcentaje de instituciones retrasadas en la actualización de bases de datos abiertos que alimentan el portal de datos abiertos.</t>
  </si>
  <si>
    <t xml:space="preserve"> (ii) el portal de Datos Abiertos posee una limitada capacidad para incorporar a la mayoría de entidades públicas; </t>
  </si>
  <si>
    <t xml:space="preserve">(iii) ni el SAIP ni el Portal de Datos abiertos cuentan con accesibilidad para personas con discapacidad; </t>
  </si>
  <si>
    <t>1.31 Incluye:</t>
  </si>
  <si>
    <t>(iv) la DIGEIG carece de herramientas y recursos para capacitar a sus propios funcionarios y a distintos actores con quienes se relaciona (CIGCN, otros funcionarios, Responsables de Acceso a la Información -RAI), así como de una estrategia para comunicarse con la ciudadanía, incluyendo un enfoque de género o en grupos diversos.</t>
  </si>
  <si>
    <t xml:space="preserve">(i) programa de comunicación que facilite la difusión a la ciudadanía sobre los fines, actividades y resultados de la DIGEIG; y </t>
  </si>
  <si>
    <r>
      <t xml:space="preserve">Producto 24: Programa de Gestión del Cambio para la transparencia e integridad, desarrollado. </t>
    </r>
    <r>
      <rPr>
        <i/>
        <sz val="12"/>
        <color rgb="FFFF0000"/>
        <rFont val="Calibri"/>
        <family val="2"/>
        <scheme val="minor"/>
      </rPr>
      <t>Incluye programa de comunicación y difusión a la ciudadanía sobre DIGEIG y capacitación  interna de las nuevas modalidades de gestión</t>
    </r>
  </si>
  <si>
    <t xml:space="preserve">Se incluye paquete de trabajo de Programa de capacitación por valor de 434.000 USD </t>
  </si>
  <si>
    <t>(ii) capacitación para las nuevas modalidades de gestión de la DIGEIG que incluirá las CIGCN y RAI.</t>
  </si>
  <si>
    <t>Incluido como paquete de trabajo en el Producto 24</t>
  </si>
  <si>
    <t>*La baja focalización y especialización estratégica de las actividades de innovación e investigación no responden a las demandas del agricultor familiar
*Falta de priorización de innovaciones a escalar que tenga en cuenta demandas, oportunidades de mercado y posibilidad de impacto territorial</t>
  </si>
  <si>
    <t>Identificar las brechas y focos de innovación</t>
  </si>
  <si>
    <r>
      <rPr>
        <b/>
        <sz val="12"/>
        <color theme="1"/>
        <rFont val="Calibri"/>
        <family val="2"/>
        <scheme val="minor"/>
      </rPr>
      <t xml:space="preserve">1.1. </t>
    </r>
    <r>
      <rPr>
        <sz val="12"/>
        <color theme="1"/>
        <rFont val="Calibri"/>
        <family val="2"/>
        <scheme val="minor"/>
      </rPr>
      <t>Innovaciones agropecuarias que den respuesta a los principales retos, cierre de brechas, demanada y barreras para la adopción de las innovaciones identificadas y priorizadas</t>
    </r>
  </si>
  <si>
    <r>
      <rPr>
        <b/>
        <sz val="12"/>
        <color theme="1"/>
        <rFont val="Calibri"/>
        <family val="2"/>
        <scheme val="minor"/>
      </rPr>
      <t>RI1: Inventario de las innovaciones existentes para la agricultura familiar de Agrosavia y el SNIA para los territorios priorizados, con datos sobre su enfoque geográfico, agricultores objetivo, objetivos de impacto y brecha:</t>
    </r>
    <r>
      <rPr>
        <sz val="12"/>
        <color theme="1"/>
        <rFont val="Calibri"/>
        <family val="2"/>
        <scheme val="minor"/>
      </rPr>
      <t xml:space="preserve">
   1. N° de innovaciones agropecuarias existentes desarrolladas por Agrosavia y otros actores relevantes del SNIA identificadas y priorizadas </t>
    </r>
  </si>
  <si>
    <r>
      <rPr>
        <b/>
        <sz val="12"/>
        <rFont val="Calibri"/>
        <family val="2"/>
        <scheme val="minor"/>
      </rPr>
      <t xml:space="preserve">R1: Incremento de las Innovaciones agropecuarias validadas y transferidas a los agricultores familiares:
</t>
    </r>
    <r>
      <rPr>
        <sz val="12"/>
        <rFont val="Calibri"/>
        <family val="2"/>
        <scheme val="minor"/>
      </rPr>
      <t xml:space="preserve">   1. N° de innovaciones agropecuarias transferidas
   2. N° de crianzas y cultivos generados por el desarrollo de nuevas innovaciones 
  3. N° de agricultores con conocimientos adquiridos y manejando fincas con productos agropecuarios competitivos</t>
    </r>
  </si>
  <si>
    <t xml:space="preserve">*Ausencia de un portafolio completo e integrado de las innovaciones del Sistema.
*La debil transferencia de la innovaciones agropecuarias limitatan la adopcion de la tecnologia por parte de los agrilcultores familiares
*Las limitaciones presentadas para articular esfuerzos públicos y privados
*Limitadas Capacidades para transferir y escalar las innovaciones.
*Limitada de medición de resultados y de impacto en Agrosavia de su oferta tecnológica con balance social
</t>
  </si>
  <si>
    <t>Clasificar las innovaciones respecto a la madurez para el escalamiento</t>
  </si>
  <si>
    <r>
      <rPr>
        <b/>
        <sz val="12"/>
        <color theme="1"/>
        <rFont val="Calibri"/>
        <family val="2"/>
        <scheme val="minor"/>
      </rPr>
      <t xml:space="preserve">1.2. </t>
    </r>
    <r>
      <rPr>
        <sz val="12"/>
        <color theme="1"/>
        <rFont val="Calibri"/>
        <family val="2"/>
        <scheme val="minor"/>
      </rPr>
      <t xml:space="preserve">Innovaciones agropecuarias basadas en la madurez para el escalamiento clasificadas </t>
    </r>
  </si>
  <si>
    <r>
      <rPr>
        <b/>
        <sz val="12"/>
        <color theme="1"/>
        <rFont val="Calibri"/>
        <family val="2"/>
        <scheme val="minor"/>
      </rPr>
      <t>RI2:  Innovaciones agropecuarias clasificadas por madurez para el escalamiento:</t>
    </r>
    <r>
      <rPr>
        <sz val="12"/>
        <color theme="1"/>
        <rFont val="Calibri"/>
        <family val="2"/>
        <scheme val="minor"/>
      </rPr>
      <t xml:space="preserve">
   2. N° de innovaciones agropecuarias existentes clasificadas por puntaje de madurez priorizadas </t>
    </r>
  </si>
  <si>
    <t>Definir el mecanismo de financiamiento para proyectos de innovacion agropecuaria para la transferencia de tecnologia:</t>
  </si>
  <si>
    <r>
      <rPr>
        <b/>
        <sz val="12"/>
        <color theme="1"/>
        <rFont val="Calibri"/>
        <family val="2"/>
        <scheme val="minor"/>
      </rPr>
      <t>1.3.</t>
    </r>
    <r>
      <rPr>
        <sz val="12"/>
        <color theme="1"/>
        <rFont val="Calibri"/>
        <family val="2"/>
        <scheme val="minor"/>
      </rPr>
      <t xml:space="preserve"> Mecanismo de financiamiento para proyectos de innovacion agropecuaria para la transferencia de tecnologia definido</t>
    </r>
  </si>
  <si>
    <r>
      <rPr>
        <b/>
        <sz val="12"/>
        <color theme="1"/>
        <rFont val="Calibri"/>
        <family val="2"/>
        <scheme val="minor"/>
      </rPr>
      <t>RI3: Mecanismo de financiamiento para proyectos de innovacion agropecuaria para la transferencia de tecnologia:</t>
    </r>
    <r>
      <rPr>
        <sz val="12"/>
        <color theme="1"/>
        <rFont val="Calibri"/>
        <family val="2"/>
        <scheme val="minor"/>
      </rPr>
      <t xml:space="preserve">
   3. Un (1) Mecanismo de financiamiento para proyectos de innovacion agropecuaria para la transferencia de tecnologia disenado e implementado</t>
    </r>
  </si>
  <si>
    <t>Distribuir las innovaciones agropecuarias a los agricultores familiares (transferencia de tecnología)</t>
  </si>
  <si>
    <r>
      <rPr>
        <b/>
        <sz val="12"/>
        <color theme="1"/>
        <rFont val="Calibri"/>
        <family val="2"/>
        <scheme val="minor"/>
      </rPr>
      <t>1.4.</t>
    </r>
    <r>
      <rPr>
        <sz val="12"/>
        <color theme="1"/>
        <rFont val="Calibri"/>
        <family val="2"/>
        <scheme val="minor"/>
      </rPr>
      <t xml:space="preserve"> Innovaciones agropecuarias para los agricultores familiares transferidas/distribuidas (transferencia de tecnología) </t>
    </r>
  </si>
  <si>
    <r>
      <t xml:space="preserve">RI4: Innovaciones agropecuarias transferidas  a los agricultores familiares: 
</t>
    </r>
    <r>
      <rPr>
        <sz val="12"/>
        <color theme="1"/>
        <rFont val="Calibri"/>
        <family val="2"/>
        <scheme val="minor"/>
      </rPr>
      <t xml:space="preserve">   4. No. de Subproyectos-innovaciones agropecuaria validadas y transferidas</t>
    </r>
  </si>
  <si>
    <t xml:space="preserve">Acelerar la investigación y el desarrollo para completar las innovaciones agropecuarias en proceso de desarrollo </t>
  </si>
  <si>
    <r>
      <rPr>
        <b/>
        <sz val="12"/>
        <color theme="1"/>
        <rFont val="Calibri"/>
        <family val="2"/>
        <scheme val="minor"/>
      </rPr>
      <t>1.5.</t>
    </r>
    <r>
      <rPr>
        <sz val="12"/>
        <color theme="1"/>
        <rFont val="Calibri"/>
        <family val="2"/>
        <scheme val="minor"/>
      </rPr>
      <t xml:space="preserve"> Innovaciones agropecuarias para los agricultores familiares en procesos de desarrollo para la transferencia de tecnología en marcha</t>
    </r>
  </si>
  <si>
    <r>
      <rPr>
        <b/>
        <sz val="12"/>
        <color theme="1"/>
        <rFont val="Calibri"/>
        <family val="2"/>
        <scheme val="minor"/>
      </rPr>
      <t xml:space="preserve">RI5: Innovaciones agropecuarias en desarrollo para ser transferidas a los agricultores familiares:
</t>
    </r>
    <r>
      <rPr>
        <sz val="12"/>
        <color theme="1"/>
        <rFont val="Calibri"/>
        <family val="2"/>
        <scheme val="minor"/>
      </rPr>
      <t xml:space="preserve">   5. No. de Subproyectos-innovaciones agropecuaria en desarrollo y validadas 
</t>
    </r>
  </si>
  <si>
    <t>Cerrar brechas territoriales de innovación agropecuaria en productividad agrícola</t>
  </si>
  <si>
    <r>
      <rPr>
        <b/>
        <sz val="12"/>
        <color theme="1"/>
        <rFont val="Calibri"/>
        <family val="2"/>
        <scheme val="minor"/>
      </rPr>
      <t>1.6.</t>
    </r>
    <r>
      <rPr>
        <sz val="12"/>
        <color theme="1"/>
        <rFont val="Calibri"/>
        <family val="2"/>
        <scheme val="minor"/>
      </rPr>
      <t xml:space="preserve"> Innovaciones agropecuarias con nuevas tecnologias y buenas practicas agropecuarias generadas </t>
    </r>
  </si>
  <si>
    <r>
      <rPr>
        <b/>
        <sz val="12"/>
        <color theme="1"/>
        <rFont val="Calibri"/>
        <family val="2"/>
        <scheme val="minor"/>
      </rPr>
      <t xml:space="preserve">RI6: Generacion de nuevas innovaciones agropecuarias bajo el cierre de las brechas territoriales para ser transferidas a los agricultores familiares: </t>
    </r>
    <r>
      <rPr>
        <sz val="12"/>
        <color theme="1"/>
        <rFont val="Calibri"/>
        <family val="2"/>
        <scheme val="minor"/>
      </rPr>
      <t xml:space="preserve">
   6. No. de Subproyectos-innovaciones con nuevas tecnologias y buenas practicas agropecuarias</t>
    </r>
  </si>
  <si>
    <r>
      <rPr>
        <b/>
        <sz val="12"/>
        <rFont val="Calibri"/>
        <family val="2"/>
        <scheme val="minor"/>
      </rPr>
      <t>R2: Cierre de brechas territoriales de innovación en productividad agrícola:</t>
    </r>
    <r>
      <rPr>
        <sz val="12"/>
        <rFont val="Calibri"/>
        <family val="2"/>
        <scheme val="minor"/>
      </rPr>
      <t xml:space="preserve">
   3. N° de brechas cerradas</t>
    </r>
  </si>
  <si>
    <t xml:space="preserve">*Insuficiente infraestructura física, gestión de la información, equipamiento y laboratorio adecuados 
</t>
  </si>
  <si>
    <t>Conocer la situacion de los centros de investigacion priorizados en infraestructura física, gestión de la información, equipamiento y laboratorios</t>
  </si>
  <si>
    <r>
      <rPr>
        <b/>
        <sz val="12"/>
        <color theme="1"/>
        <rFont val="Calibri"/>
        <family val="2"/>
        <scheme val="minor"/>
      </rPr>
      <t xml:space="preserve">1.7. </t>
    </r>
    <r>
      <rPr>
        <sz val="12"/>
        <color theme="1"/>
        <rFont val="Calibri"/>
        <family val="2"/>
        <scheme val="minor"/>
      </rPr>
      <t>Diagnostico de activos y gestion a centro de investigacion realizado</t>
    </r>
  </si>
  <si>
    <r>
      <rPr>
        <b/>
        <sz val="12"/>
        <color rgb="FF000000"/>
        <rFont val="Calibri"/>
        <family val="2"/>
        <scheme val="minor"/>
      </rPr>
      <t>RI7: Centros de investigación mejorados (infraestructura física, equipamiento y laboratorios y gestión de la información):</t>
    </r>
    <r>
      <rPr>
        <sz val="12"/>
        <color rgb="FF000000"/>
        <rFont val="Calibri"/>
        <family val="2"/>
        <scheme val="minor"/>
      </rPr>
      <t xml:space="preserve">
   7. N° de centros de investigacion con infraestructura física mejorados
   8. N° de centros de investigacion con equipos, maquinaria agrícola  y vehiculos mejorados
   9. N° de centros de investigacion con sistemas informaticos para la gestion de informacion mejorados
 </t>
    </r>
  </si>
  <si>
    <r>
      <rPr>
        <b/>
        <sz val="12"/>
        <color theme="1"/>
        <rFont val="Calibri"/>
        <family val="2"/>
        <scheme val="minor"/>
      </rPr>
      <t>R3: Gestion institucional de agrosavia fortalecida:</t>
    </r>
    <r>
      <rPr>
        <sz val="12"/>
        <color theme="1"/>
        <rFont val="Calibri"/>
        <family val="2"/>
        <scheme val="minor"/>
      </rPr>
      <t xml:space="preserve">
   4. N° de centros de investigacion mejorados con recursos humanos fortalecidos y  programas implementados de investigación, y transferencia tecnológica, aplicadas a las potencialidades territoriales
   5. Fortalecimiento institucional para la investigación y el desarrollo agropecuario</t>
    </r>
  </si>
  <si>
    <t xml:space="preserve">Priorizar la mejora de los centros de investigacion con infraestructura física considerando variables tecnicas y presupuesto de inversión para transformar los centros priorizados de AGROSAVIA </t>
  </si>
  <si>
    <r>
      <rPr>
        <b/>
        <sz val="12"/>
        <color theme="1"/>
        <rFont val="Calibri"/>
        <family val="2"/>
        <scheme val="minor"/>
      </rPr>
      <t xml:space="preserve">1.8. </t>
    </r>
    <r>
      <rPr>
        <sz val="12"/>
        <color theme="1"/>
        <rFont val="Calibri"/>
        <family val="2"/>
        <scheme val="minor"/>
      </rPr>
      <t>Centros de investigacion con infraestructura fisica renovada</t>
    </r>
  </si>
  <si>
    <t xml:space="preserve">Priorizar la mejora de los centros de investigacion con equipos y maquinaria agrícola considerando variables tecnicas y presupuesto de inversión para transformar los centros priorizados de AGROSAVIA </t>
  </si>
  <si>
    <r>
      <rPr>
        <b/>
        <sz val="12"/>
        <color theme="1"/>
        <rFont val="Calibri"/>
        <family val="2"/>
        <scheme val="minor"/>
      </rPr>
      <t>1.9.</t>
    </r>
    <r>
      <rPr>
        <sz val="12"/>
        <color theme="1"/>
        <rFont val="Calibri"/>
        <family val="2"/>
        <scheme val="minor"/>
      </rPr>
      <t xml:space="preserve"> Centros de investigacion con equipos, maquinaria agrícola y vehiculos renovadas</t>
    </r>
  </si>
  <si>
    <t xml:space="preserve">Priorizar la mejora de los centros de investigacion con sistemas informaticos para la gestion de informacion considerando variables tecnicas y presupuesto de inversión para transformar los centros priorizados de AGROSAVIA </t>
  </si>
  <si>
    <r>
      <rPr>
        <b/>
        <sz val="12"/>
        <color theme="1"/>
        <rFont val="Calibri"/>
        <family val="2"/>
        <scheme val="minor"/>
      </rPr>
      <t xml:space="preserve">1.10. </t>
    </r>
    <r>
      <rPr>
        <sz val="12"/>
        <color theme="1"/>
        <rFont val="Calibri"/>
        <family val="2"/>
        <scheme val="minor"/>
      </rPr>
      <t>Centros de investigacion con sistemas informaticos (con inteligencia artificial) para la gestion de centros de de investigacion</t>
    </r>
  </si>
  <si>
    <t xml:space="preserve">Priorizar la mejora de los centros de investigacion con Vehiculos de transporte considerando variables tecnicas y presupuesto de inversión para transformar los centros priorizados de AGROSAVIA </t>
  </si>
  <si>
    <t>*Limitada gestion en recursos humanos por competencias (I+D+i)
*Limitadas estrategias alrededor de las condiciones de transferencia de tecnologia orientados al escalamiento y la extensión. 
*Ausencia de un adecuado diseño organizacional para la transferencia de tecnologia orientados al escalamiento y la extensión. 
*Débil financiación para el escalamiento (RRHH, infraestructura, entre otros) de innovaciones agropecuaria para los pequeños productores</t>
  </si>
  <si>
    <t>Conocer y Diseñar el programa de desarrollo de los recursos humanos de AGROSAVIA a través de:  a) plan de capacitación por competencias en I+D+i, b) plan de intercambio de conocimientos para investigadores, expertos en transferencia de tecnología y extensionista, c) programas de divulgación científica y apropiación social de la ciencia, tecnología e innovación aplicadas a las potencialidades territoriales y d) la estrategia de reclutamiento de una nueva generación de investigadores (mujeres, jóvenes y grupos étnicos);</t>
  </si>
  <si>
    <r>
      <rPr>
        <b/>
        <sz val="12"/>
        <color theme="1"/>
        <rFont val="Calibri"/>
        <family val="2"/>
        <scheme val="minor"/>
      </rPr>
      <t>1.11.</t>
    </r>
    <r>
      <rPr>
        <sz val="12"/>
        <color theme="1"/>
        <rFont val="Calibri"/>
        <family val="2"/>
        <scheme val="minor"/>
      </rPr>
      <t xml:space="preserve"> Plan de fortalecimiento de capacidades de los recursos humanos de Agrosavia para la gestion de recursos humanos por competencias en I+D+i diseñada e implementada, estrategia validad e implementada</t>
    </r>
  </si>
  <si>
    <r>
      <rPr>
        <b/>
        <sz val="12"/>
        <color theme="1"/>
        <rFont val="Calibri"/>
        <family val="2"/>
        <scheme val="minor"/>
      </rPr>
      <t>RI8: Capacidades fortalecidas por competencia relacionadas con el desarrollo de los recursos humanos, programas de investigación, transferencia tecnológica e innovación aplicadas a las potencialidades territoriales, con los instrumentos de patentes, licenciamiento y acuerdos de manufactura de innovaciones agropecuarias de Agrosavia:</t>
    </r>
    <r>
      <rPr>
        <sz val="12"/>
        <color theme="1"/>
        <rFont val="Calibri"/>
        <family val="2"/>
        <scheme val="minor"/>
      </rPr>
      <t xml:space="preserve">
   10. No. de investigadores capacitados por competencias en I+D+i
   11. No. de investigadores, transferencistas y extensionistas capacitados mediante cursos, pasantías nacionales e internacionales
   12.Estrategia de recursos humanos para el reclutamiento de una nueva generación de investigadores (mujeres, jóvenes y grupos étnicos) diseñada y en marcha</t>
    </r>
  </si>
  <si>
    <t xml:space="preserve">Conocer y Diseñar la estrategia de fortalecimiento de las capacidades relacionadas con los instrumentos de patentes, licenciamiento y acuerdos de manufactura de innovaciones agropecuarias </t>
  </si>
  <si>
    <r>
      <rPr>
        <b/>
        <sz val="12"/>
        <color theme="1"/>
        <rFont val="Calibri"/>
        <family val="2"/>
        <scheme val="minor"/>
      </rPr>
      <t>1.12.</t>
    </r>
    <r>
      <rPr>
        <sz val="12"/>
        <color theme="1"/>
        <rFont val="Calibri"/>
        <family val="2"/>
        <scheme val="minor"/>
      </rPr>
      <t xml:space="preserve"> Estrategia validada y implementada con los instrumentos de patentes, licenciamiento y acuerdos de manufactura de innovaciones agropecuarias disenada e implementada </t>
    </r>
  </si>
  <si>
    <r>
      <rPr>
        <b/>
        <sz val="12"/>
        <color theme="1"/>
        <rFont val="Calibri"/>
        <family val="2"/>
        <scheme val="minor"/>
      </rPr>
      <t>RI9: Modernizacion de la gestion de AGROSAVIA:</t>
    </r>
    <r>
      <rPr>
        <sz val="12"/>
        <color theme="1"/>
        <rFont val="Calibri"/>
        <family val="2"/>
        <scheme val="minor"/>
      </rPr>
      <t xml:space="preserve">
   13. Estrategia de gestión de los derechos de propiedad intelectual diseñada y en marcha
   14. Nueva estructura organizacional diseñada y en marcha
</t>
    </r>
  </si>
  <si>
    <t xml:space="preserve">Conocer y Diseñar el fortalecimiento de la gobernanza de Agrosavia y su estructura organizacional por sus competencias (I+D+i) para la transferencia de tecnologia orientados al escalamiento y la extensión. </t>
  </si>
  <si>
    <r>
      <rPr>
        <b/>
        <sz val="12"/>
        <color theme="1"/>
        <rFont val="Calibri"/>
        <family val="2"/>
        <scheme val="minor"/>
      </rPr>
      <t xml:space="preserve">1.13. </t>
    </r>
    <r>
      <rPr>
        <sz val="12"/>
        <color theme="1"/>
        <rFont val="Calibri"/>
        <family val="2"/>
        <scheme val="minor"/>
      </rPr>
      <t>Estrategia diseñada y validada para el fortalecimiento de la gobernanza de Agrosavia y su estructura organizacional diseñada e implementada</t>
    </r>
  </si>
  <si>
    <t xml:space="preserve"> *Limitada gestion de para la transferencia de tecnologia orientados al escalamiento y la extensión. </t>
  </si>
  <si>
    <t>Conocer y disenar la gestion de transferencia de tecnología de Agrosavia (marco conceptual, diseño, implementación y dotación de oficina, entre otros)</t>
  </si>
  <si>
    <r>
      <rPr>
        <b/>
        <sz val="12"/>
        <color theme="1"/>
        <rFont val="Calibri"/>
        <family val="2"/>
        <scheme val="minor"/>
      </rPr>
      <t>2.14.</t>
    </r>
    <r>
      <rPr>
        <sz val="12"/>
        <color theme="1"/>
        <rFont val="Calibri"/>
        <family val="2"/>
        <scheme val="minor"/>
      </rPr>
      <t xml:space="preserve"> Estrategia validada e implementada de gestion de transferencia de tecnología de Agrosavia disenada e implementada</t>
    </r>
  </si>
  <si>
    <r>
      <rPr>
        <b/>
        <sz val="11"/>
        <color theme="1"/>
        <rFont val="Calibri"/>
        <family val="2"/>
        <scheme val="minor"/>
      </rPr>
      <t>RI10:Capacidades fortalecidas en transferencias de tecnología relacionadas con el desarrollo de los recursos humanos y los instrumentos de intervención para la transferencia de tecnología (días de campo, plataformas digitales, ferias, eventos de innovación, vitrinas de experiencias, granjas piloto, parcelas demostrativas, unidades tecnológicas de referencia, entre otros) y la oficina operando:</t>
    </r>
    <r>
      <rPr>
        <sz val="11"/>
        <color theme="1"/>
        <rFont val="Calibri"/>
        <family val="2"/>
        <scheme val="minor"/>
      </rPr>
      <t xml:space="preserve">
   15. N° de profesionales capacitados por competencias en transferencia de tecnologia
   16. N°  de instrumentos de intervención para la transferencia de tecnología </t>
    </r>
  </si>
  <si>
    <r>
      <rPr>
        <b/>
        <sz val="12"/>
        <color theme="1"/>
        <rFont val="Calibri"/>
        <family val="2"/>
        <scheme val="minor"/>
      </rPr>
      <t>R4: Gestion de la transferencia de innovaciones de Agrosavia fortalecida:</t>
    </r>
    <r>
      <rPr>
        <sz val="12"/>
        <color theme="1"/>
        <rFont val="Calibri"/>
        <family val="2"/>
        <scheme val="minor"/>
      </rPr>
      <t xml:space="preserve">
   6. Área de transferencia de tecnologia de Agrosavia fortalecida con recursos humanos fortalecidas y con  instrumentos de intervencion para la tranferencia e iniciativas de financiamiento tempranas</t>
    </r>
  </si>
  <si>
    <t>Diseñar las intervenciones/herramientas para la transferencia de las innovaciones agropecuarias</t>
  </si>
  <si>
    <r>
      <rPr>
        <b/>
        <sz val="12"/>
        <color theme="1"/>
        <rFont val="Calibri"/>
        <family val="2"/>
        <scheme val="minor"/>
      </rPr>
      <t xml:space="preserve">2.15 </t>
    </r>
    <r>
      <rPr>
        <sz val="12"/>
        <color theme="1"/>
        <rFont val="Calibri"/>
        <family val="2"/>
        <scheme val="minor"/>
      </rPr>
      <t>Intervenciones/herramientas para la transferencia de innovaciones agropecuarias disenada e implementada</t>
    </r>
  </si>
  <si>
    <t>Promover el emprendimiento a través de la capacitación en gestión de oportunidades de negocio y las iniciativas de financiamiento temprana para spin-offs, proyectos conjuntos del SNIA (como incubadoras y aceleradoras de innovaciones agrícolas) y startups</t>
  </si>
  <si>
    <r>
      <rPr>
        <b/>
        <sz val="12"/>
        <color theme="1"/>
        <rFont val="Calibri"/>
        <family val="2"/>
        <scheme val="minor"/>
      </rPr>
      <t xml:space="preserve">2.18 </t>
    </r>
    <r>
      <rPr>
        <sz val="12"/>
        <color theme="1"/>
        <rFont val="Calibri"/>
        <family val="2"/>
        <scheme val="minor"/>
      </rPr>
      <t>Oportunidades de negocio e iniciativas de financiamiento temprana identificadas e implementadas</t>
    </r>
  </si>
  <si>
    <r>
      <rPr>
        <b/>
        <sz val="11"/>
        <color theme="1"/>
        <rFont val="Calibri"/>
        <family val="2"/>
        <scheme val="minor"/>
      </rPr>
      <t>RI11: Planes de negocio implementados a traves de financiamiento tempranas implementadas para spin-offs, proyectos conjuntos del SNIA (como incubadoras y aceleradoras de innovaciones agrícolas) y startups:</t>
    </r>
    <r>
      <rPr>
        <sz val="11"/>
        <color theme="1"/>
        <rFont val="Calibri"/>
        <family val="2"/>
        <scheme val="minor"/>
      </rPr>
      <t xml:space="preserve">
   17. N° de</t>
    </r>
    <r>
      <rPr>
        <sz val="11"/>
        <rFont val="Calibri"/>
        <family val="2"/>
        <scheme val="minor"/>
      </rPr>
      <t xml:space="preserve"> planes</t>
    </r>
    <r>
      <rPr>
        <sz val="11"/>
        <color theme="1"/>
        <rFont val="Calibri"/>
        <family val="2"/>
        <scheme val="minor"/>
      </rPr>
      <t xml:space="preserve"> de negocio identificadas e iniciativas tempranas implementadas.</t>
    </r>
  </si>
  <si>
    <t>C2</t>
  </si>
  <si>
    <t>C 3</t>
  </si>
  <si>
    <t xml:space="preserve"> - Los agricultores generalmente comercializan su producción individualmente a intermediarios locales</t>
  </si>
  <si>
    <t>Conocer las cadenas de valor de los agricultores campesino y planificar adecuadamente las estrategias comerciales</t>
  </si>
  <si>
    <t>3.1. Perfiles de potencial productivo de NTRA de las áreas de focalización primaria del proyecto realizados
3.2. Planes de Agroindustrialización y Comercialización de áreas focalizadas primarias del proyectos elaborados</t>
  </si>
  <si>
    <r>
      <rPr>
        <b/>
        <sz val="12"/>
        <color rgb="FF000000"/>
        <rFont val="Calibri"/>
        <family val="2"/>
        <scheme val="minor"/>
      </rPr>
      <t xml:space="preserve">RI1. Potencial productivo de áreas de focalización primaria del proyecto identificado y planificado
</t>
    </r>
    <r>
      <rPr>
        <sz val="12"/>
        <color rgb="FF000000"/>
        <rFont val="Calibri"/>
        <family val="2"/>
        <scheme val="minor"/>
      </rPr>
      <t xml:space="preserve"> 1. xx
 2. xx</t>
    </r>
  </si>
  <si>
    <r>
      <rPr>
        <b/>
        <sz val="12"/>
        <color theme="1"/>
        <rFont val="Calibri"/>
        <family val="2"/>
        <scheme val="minor"/>
      </rPr>
      <t>R1. Aumento del valor agregado de la producción campesina en las zonas de cobertura del proyecto</t>
    </r>
    <r>
      <rPr>
        <sz val="12"/>
        <color theme="1"/>
        <rFont val="Calibri"/>
        <family val="2"/>
        <scheme val="minor"/>
      </rPr>
      <t xml:space="preserve">
 1. Número de productos de campesinos con valor agregado de mercado
 2. Número de organizaciones campesinas que agregan valor a sus productos
 3. xx</t>
    </r>
  </si>
  <si>
    <t xml:space="preserve"> - Los productos agrícolas campesinos se venden con bajo valor añadido</t>
  </si>
  <si>
    <t xml:space="preserve"> - Existen pocas organizaciones campesinas y tienen dificultades para establecerse formalmente y acceder al mercado</t>
  </si>
  <si>
    <t>Formar dirigentes y técnicos en gestión de emprendimientos campesinos con foco en mercados</t>
  </si>
  <si>
    <t>3.3. Dirigentes y técnicos formados en la gestión de emprendimientos agroindustriales y comerciales</t>
  </si>
  <si>
    <r>
      <rPr>
        <b/>
        <sz val="12"/>
        <color theme="1"/>
        <rFont val="Calibri"/>
        <family val="2"/>
        <scheme val="minor"/>
      </rPr>
      <t xml:space="preserve">RI2. Dirigentes campesinos y técnicos capacitados en gestión de emprendimientos </t>
    </r>
    <r>
      <rPr>
        <sz val="12"/>
        <color theme="1"/>
        <rFont val="Calibri"/>
        <family val="2"/>
        <scheme val="minor"/>
      </rPr>
      <t xml:space="preserve">
 3. Número de dirigentes formados
 4. Número de técnicos formados</t>
    </r>
  </si>
  <si>
    <t>Identificar las organizaciones campesinas que actúan en las áreas de cobertura del proyecto y apoyarlos para su formalización, fortalecer sus capacidades técnicas y operacionales con inversiones de agroindustralización y de comercialización</t>
  </si>
  <si>
    <t>3.4. Esquemas organizativos de emprendimientos ancla de las áreas de focalización primaria del proyecto realizados</t>
  </si>
  <si>
    <r>
      <rPr>
        <b/>
        <sz val="12"/>
        <color rgb="FF000000"/>
        <rFont val="Calibri"/>
        <family val="2"/>
        <scheme val="minor"/>
      </rPr>
      <t xml:space="preserve">RI3. Organizaciones campesinas fortalecidas 
</t>
    </r>
    <r>
      <rPr>
        <sz val="12"/>
        <color rgb="FF000000"/>
        <rFont val="Calibri"/>
        <family val="2"/>
        <scheme val="minor"/>
      </rPr>
      <t xml:space="preserve"> 5. Número de emprendimientos anclas identificados y con esquemas organizativos
 6. Número de planes de negocio de emprendimientos ancla diseñados
9. Estudios de mercado de referencia
10. Planes de Negocio de referencia
7. Número de proyectos de inversión estratégicos financiados? Implementados?
</t>
    </r>
    <r>
      <rPr>
        <sz val="12"/>
        <color rgb="FFFF0000"/>
        <rFont val="Calibri"/>
        <family val="2"/>
        <scheme val="minor"/>
      </rPr>
      <t>8. Porcentaje de campesinos que comercializan su producción a través de sus organizaciones (resultado PDO)</t>
    </r>
    <r>
      <rPr>
        <sz val="12"/>
        <color rgb="FF000000"/>
        <rFont val="Calibri"/>
        <family val="2"/>
        <scheme val="minor"/>
      </rPr>
      <t xml:space="preserve">
</t>
    </r>
  </si>
  <si>
    <t>3.5. Expresión de interés de emprendimientos ancla aprobados en las áreas de focalización complementarias del proyecto (AC)</t>
  </si>
  <si>
    <t xml:space="preserve">3.6. Plan de Negocio de Emprendimiento Ancla de áreas de focalización primaria y complementaria del proyecto elaborado </t>
  </si>
  <si>
    <r>
      <rPr>
        <b/>
        <sz val="12"/>
        <color theme="1"/>
        <rFont val="Calibri"/>
        <family val="2"/>
        <scheme val="minor"/>
      </rPr>
      <t>R2. Organizacions campesinas estabilizadas en el mercado</t>
    </r>
    <r>
      <rPr>
        <sz val="12"/>
        <color theme="1"/>
        <rFont val="Calibri"/>
        <family val="2"/>
        <scheme val="minor"/>
      </rPr>
      <t xml:space="preserve">
4. Número de organizaciones campesinas que comercializan anualmente la producción de sus socios 
5. Porcentaje de ventas de las organizaciones campesinas
6. Número de compradores fidelizados
7. Porcentaje/Volúmen? de productos para mercados regionales, nacionales e internacionales
 - xx</t>
    </r>
  </si>
  <si>
    <t>3.7. Subproyectos de inversión estratégica en áreas de focalización primaria y complementaria del proyecto diseñados e implementados (AP + AC)</t>
  </si>
  <si>
    <t>Ofrecer a los campesinos y sus organizaciones, servicios especializados que dinamicen el acceso a los mercados</t>
  </si>
  <si>
    <t>3.8. Red Interterritorial de Integración y Aprendizaje de las áreas de focalización complementarias de proyecto (CA)</t>
  </si>
  <si>
    <r>
      <rPr>
        <b/>
        <sz val="12"/>
        <color theme="1"/>
        <rFont val="Calibri"/>
        <family val="2"/>
        <scheme val="minor"/>
      </rPr>
      <t>RI4. Ampliación de la oferta de servicios de fortalecimiento a productos y organizaciones</t>
    </r>
    <r>
      <rPr>
        <sz val="12"/>
        <color theme="1"/>
        <rFont val="Calibri"/>
        <family val="2"/>
        <scheme val="minor"/>
      </rPr>
      <t xml:space="preserve">
 9. Número de integrantes que conforman la Red Interregional de Integración y Aprendizaje
 10. Número de organizaciones que son atendidas en la plataforma de maduración</t>
    </r>
  </si>
  <si>
    <t>3.9. Plataforma de maduración de emprendimiento de las áreas de focalización primaria y complementaria del proyecto  (AP + AC)</t>
  </si>
  <si>
    <t>Leyenda</t>
  </si>
  <si>
    <t>Letra Roja</t>
  </si>
  <si>
    <t>MH / CGR</t>
  </si>
  <si>
    <t>Letra Azul</t>
  </si>
  <si>
    <t>GrvB</t>
  </si>
  <si>
    <t>Letra Púrpura</t>
  </si>
  <si>
    <t>Mix MH y GrvB</t>
  </si>
  <si>
    <t>componente</t>
  </si>
  <si>
    <t>Sub Componente</t>
  </si>
  <si>
    <t>Modalidad</t>
  </si>
  <si>
    <t>Fecha límite prevista para P/R</t>
  </si>
  <si>
    <t>Fecha estimada de inicio de ejecución</t>
  </si>
  <si>
    <t>Estatus Adqusiciones</t>
  </si>
  <si>
    <t xml:space="preserve">Etapa </t>
  </si>
  <si>
    <t>Detalle Estatus  Adquisición</t>
  </si>
  <si>
    <t>Status P/R</t>
  </si>
  <si>
    <t>Año de Ejecución</t>
  </si>
  <si>
    <t>PA FINANCIERO</t>
  </si>
  <si>
    <t>P1</t>
  </si>
  <si>
    <t>PA-4A</t>
  </si>
  <si>
    <t>Contratación de un Arquitecto de Interoperabilidad para Desarrollar Procesos de Extracción, Transformación y Carga (ETL) y Servicios Web para la Interoperabilidad entre el Sistema Nacional de Presupuesto Público en el SIGEF, el Portal Transaccional de Compras y el Sistema Nacional de Inversión Pública (SNIP). (Freddy Antonio Peña Peguero)</t>
  </si>
  <si>
    <t>En Ejecución</t>
  </si>
  <si>
    <t>Etapa de ejecución del contrato</t>
  </si>
  <si>
    <t>Desarrollo de los servicios</t>
  </si>
  <si>
    <t>On Time</t>
  </si>
  <si>
    <t>PA-5B</t>
  </si>
  <si>
    <t>Contratación de un Analista de Sistemas de Información SIAFE para Desarrollar Procesos de Extracción, Transformación y Carga (ETL) y Servicios Web para la Interoperabilidad entre el Sistema Nacional de Presupuesto Público en el SIGEF, el Portal Transaccional de Compras y el Sistema Nacional de Inversión Pública (SNIP) (José Omar Fernandez)</t>
  </si>
  <si>
    <t>PA-5A</t>
  </si>
  <si>
    <t>Contratación de un Scrum Master para Desarrollar Procesos de Extracción, Transformación y Carga (ETL) y Servicios Web para la Interoperabilidad entre el Sistema Nacional de Presupuesto Público en el SIGEF, el Portal Transaccional de Compras y el Sistema Nacional de Inversión Pública (SNIP) (Leobardo Castillo)</t>
  </si>
  <si>
    <t>P7</t>
  </si>
  <si>
    <t>PA-24A</t>
  </si>
  <si>
    <t>Especialista en Inversión Pública para asistencia técnica en ejercicio de arquitectura empresarial de la DGIP del MEPyD (Roger Eduardo Vega Rodríguez)</t>
  </si>
  <si>
    <t>PA-24B</t>
  </si>
  <si>
    <t>Contratación de un Arquitecto Empresarial para la Dirección General de Inversión Pública del MEPYD (Mauricio Fernando Ortiz Salinas)</t>
  </si>
  <si>
    <t>PA-27</t>
  </si>
  <si>
    <t>Contratación de un Especialista en Inversión Pública para la Direccion General de Inversion Pública  del MEPyD (Carlos Eduardo Burgos Rivas)</t>
  </si>
  <si>
    <t>Concluido</t>
  </si>
  <si>
    <t>Tarea Concluida</t>
  </si>
  <si>
    <t>P4</t>
  </si>
  <si>
    <t>PA-13</t>
  </si>
  <si>
    <t>Contratacion de 1 consultor para la construccion de TDR y Solicitud para Propuesta para la definicion de la arquitectura empresarial (Gabriela Chinchilla Hernández)</t>
  </si>
  <si>
    <t>PA-18A</t>
  </si>
  <si>
    <t>Contratacion de 1 especialista Sr. En desarrollo Sistema Actual de Contrataciones Públicas (Julio Santiago Perier Alcantara)</t>
  </si>
  <si>
    <t>PA-19</t>
  </si>
  <si>
    <t>Contratacion de 1 consultor para Elaboración de la Estrategia de Analítica de Datos para la Compra Pública en República Dominicana (Aura Luz Madera Henriquez)</t>
  </si>
  <si>
    <t>P6</t>
  </si>
  <si>
    <t>PA-23</t>
  </si>
  <si>
    <t>En Proceso Contratación</t>
  </si>
  <si>
    <t>Etapa de Contratación</t>
  </si>
  <si>
    <t xml:space="preserve">   Solicitud de No Objeción al Banco a la terna y borrador del contrato</t>
  </si>
  <si>
    <t>PA-15</t>
  </si>
  <si>
    <t>Contratacion de 1 desarrollador senior para Mejora del sistema actual de Contrataciones Públicas (Juan Carlos Sosa de la Cruz)</t>
  </si>
  <si>
    <t>Contratacion de 1 desarrollador senior para Mejora del sistema actual de Contrataciones Públicas (Rafael Emilio Rodriguez Cerda)</t>
  </si>
  <si>
    <t>PA-62A</t>
  </si>
  <si>
    <t>Consultoría para la actualización del modelo funcional del presupuesto plurianual orientado a resultados (Waldo Gutierrez)</t>
  </si>
  <si>
    <t>PA-17</t>
  </si>
  <si>
    <t>Contratación de un Experto Sistema Actual para realizar ajustes minimos al Sistema (Zuria Castellanos)</t>
  </si>
  <si>
    <t>P2</t>
  </si>
  <si>
    <t>PA-11</t>
  </si>
  <si>
    <t>Contratación de consultor para el diseño de tableros de control y realizar ajustes a tableros existentes. (Heigder Pérez Reynoso)</t>
  </si>
  <si>
    <t>P8</t>
  </si>
  <si>
    <t>PA-30</t>
  </si>
  <si>
    <t>Consultor encargado para la elaboración de TdR para firma encargada del diseño e implementación de la Estrategia de Gestion del Cambio (Wendy Osorio)</t>
  </si>
  <si>
    <t>PA-108</t>
  </si>
  <si>
    <t>Contratación de 1 Analista de Sistemas (Deborah de los Rios)</t>
  </si>
  <si>
    <t>PA-111</t>
  </si>
  <si>
    <t>Contratación de 1 Analista de Datos</t>
  </si>
  <si>
    <t xml:space="preserve">   Recepción hasta la fecha límite indicada en el aviso de publicación los sobres cerrados de las postulaciones</t>
  </si>
  <si>
    <t>PA-109</t>
  </si>
  <si>
    <t>Contratación de 1 Desarrollador de Aplicaciones para los servicios WEB SIGEF (Odalis Abreu)</t>
  </si>
  <si>
    <t>PA-110</t>
  </si>
  <si>
    <t>Científico de Datos para el Diseño, Construcción e Implementación del Tablero Analítico para el Sistema Nacional de Inversión Pública. (Daniel de la Rosa)</t>
  </si>
  <si>
    <t>Adelantado</t>
  </si>
  <si>
    <t>PA-1</t>
  </si>
  <si>
    <t xml:space="preserve">   Notificación de resultados del concurso a los postulantes y publicación de la adjudicación del contrato en el sitio de internet correspondiente</t>
  </si>
  <si>
    <t>PA-28</t>
  </si>
  <si>
    <t>Propuesta de revisión y fortalecimiento del marco legal ALA/CFT y tributario con referencia al sistema de beneficiarios finales: (Maria Grullon)</t>
  </si>
  <si>
    <t>PA-29</t>
  </si>
  <si>
    <t>Propuesta de revisión y fortalecimiento del marco legal ALA/CFT y tributario con referencia al sistema de beneficiarios finales:  (Maria Grullon)</t>
  </si>
  <si>
    <t>PA-2</t>
  </si>
  <si>
    <t>Adquisición de equipos tecnológicos para los desarrolladores para el mejoramiento del tablero de precios de bienes adquiridos mediente compra pública.</t>
  </si>
  <si>
    <t>PA-62C</t>
  </si>
  <si>
    <t>Analista de procesos de informacion para el equipo PPORMD para asegurar la interoperabilidad entre los componentes del SIAFE (1. Rose Mary Severino, 2. Noelia Cruz, 3. Greissy Messina, 4. Danifel Ferreras, 5. Crisabel Diaz, 6. Reyna Polanco)</t>
  </si>
  <si>
    <t>PA-62CA</t>
  </si>
  <si>
    <t>Contratación de 3 Analistas de procesos de informacion para el equipo PPORMD para asegurar la interoperabilidad entre los componentes del SIAFE (5 Personas en proceso de Entrevista)</t>
  </si>
  <si>
    <t>PA-62E</t>
  </si>
  <si>
    <t>Analista de sistemas de informacion para el equipo PPORMD para asegurar la interoperabilidad entre los componentes del SIAFE (Eduardo Flores)</t>
  </si>
  <si>
    <t>P5</t>
  </si>
  <si>
    <t>PA-22</t>
  </si>
  <si>
    <t>PA-18C</t>
  </si>
  <si>
    <t>Contratacion de un especialista en infraestructura</t>
  </si>
  <si>
    <t>PA-18b</t>
  </si>
  <si>
    <t>Contratacion de un especialista quality assurance (QA)</t>
  </si>
  <si>
    <t>PA-16</t>
  </si>
  <si>
    <t>Contratacion de 1 desarrollador junior para realizar ajustes al sistema actual (Edgar Yael Jimenez Galvan)</t>
  </si>
  <si>
    <t>Contratacion de 1 desarrollador junior para realizar ajustes al sistema actual (Emmanuel Bernardo Colón Grullón)</t>
  </si>
  <si>
    <t>PA-3A</t>
  </si>
  <si>
    <t>Contratación de Especialistas Senior  para la implementacion de la arquitectura de interoperabilidad baso en la propuesta del 1.1.1.1.3</t>
  </si>
  <si>
    <t>No Iniciado</t>
  </si>
  <si>
    <t>PA-3</t>
  </si>
  <si>
    <t>PA-20</t>
  </si>
  <si>
    <t>Contratación de un desarrollador para el sistema de irregularidades y alertas tempranas de la DGCP</t>
  </si>
  <si>
    <t>PA-3B</t>
  </si>
  <si>
    <t>PA-14A</t>
  </si>
  <si>
    <t>PA-25</t>
  </si>
  <si>
    <t>PA-26A</t>
  </si>
  <si>
    <t>PA-11B</t>
  </si>
  <si>
    <t>PA-14B</t>
  </si>
  <si>
    <t>PA-21</t>
  </si>
  <si>
    <t>Contratación de DOS científicos de datos para el sistema de detección irregularidades y alertas tempranas de la DGCP</t>
  </si>
  <si>
    <t>Retrasado</t>
  </si>
  <si>
    <t>PA-64</t>
  </si>
  <si>
    <t>LPI / Ciber seguridad</t>
  </si>
  <si>
    <t>PA-65</t>
  </si>
  <si>
    <t>PA-106A</t>
  </si>
  <si>
    <t>PA-106B</t>
  </si>
  <si>
    <t>PA-106C</t>
  </si>
  <si>
    <t>PA-106D</t>
  </si>
  <si>
    <t>PA-106E</t>
  </si>
  <si>
    <t>3CV (Unificado 1)</t>
  </si>
  <si>
    <t>PA-106F</t>
  </si>
  <si>
    <t>3CV (Unificado 2)</t>
  </si>
  <si>
    <t>PA-106G</t>
  </si>
  <si>
    <t>PA-24C</t>
  </si>
  <si>
    <t>Especialista en Inversión Pública (Contratación directa Roger Vega 1.3.1.1.1 / 1.3.1.4.3.1)</t>
  </si>
  <si>
    <t>PA-67</t>
  </si>
  <si>
    <t>P3</t>
  </si>
  <si>
    <t>PA-12</t>
  </si>
  <si>
    <t>3CV (Unificado 3)</t>
  </si>
  <si>
    <t>PA-73A</t>
  </si>
  <si>
    <t>LPI sistema de alertas tempranas</t>
  </si>
  <si>
    <t>PA-78</t>
  </si>
  <si>
    <t>PA-79</t>
  </si>
  <si>
    <t>PA-80A</t>
  </si>
  <si>
    <t>PA-80B</t>
  </si>
  <si>
    <t>PA-81</t>
  </si>
  <si>
    <t>PA-68</t>
  </si>
  <si>
    <t>PA-69</t>
  </si>
  <si>
    <t>PA-70</t>
  </si>
  <si>
    <t>SBCC / Firma Gestion del Cambio</t>
  </si>
  <si>
    <t>PA-71</t>
  </si>
  <si>
    <t>PA-72A</t>
  </si>
  <si>
    <t>LPI / sistema contrataciones publicas</t>
  </si>
  <si>
    <t>PA-72B</t>
  </si>
  <si>
    <t>PA-72C</t>
  </si>
  <si>
    <t>PA-72D</t>
  </si>
  <si>
    <t>PA-73B</t>
  </si>
  <si>
    <t>SBCC / Consultoría Firma de Tecnología (firma 2)</t>
  </si>
  <si>
    <t>PA-73C</t>
  </si>
  <si>
    <t>PA-73D</t>
  </si>
  <si>
    <t>PA-74A</t>
  </si>
  <si>
    <t>PA-74B</t>
  </si>
  <si>
    <t>PA-75A</t>
  </si>
  <si>
    <t>PA-75B</t>
  </si>
  <si>
    <t>PA-76</t>
  </si>
  <si>
    <t>PA-77</t>
  </si>
  <si>
    <t>PA-82</t>
  </si>
  <si>
    <t>PA-83</t>
  </si>
  <si>
    <t>PA-84A</t>
  </si>
  <si>
    <t xml:space="preserve">Contratación de consultor encargado de realizar el dimensionamiento TIC, elaborar  de los TdR y borrador de la Solicitud de Propuesta para la contratacion de firma encargada del diseño e implementacion de la analítica avanzada de datos así como el diseño y revisión de la arquitectura TI y canales de interoperabilidad y de acceso de los diferentes usuarios (PA-84B, PA-84D) </t>
  </si>
  <si>
    <t>PA-84B</t>
  </si>
  <si>
    <t>SBCC / DGII</t>
  </si>
  <si>
    <t>PA-84C</t>
  </si>
  <si>
    <t>PA-84D</t>
  </si>
  <si>
    <t>PA-85</t>
  </si>
  <si>
    <t>PA-31A</t>
  </si>
  <si>
    <t>PA-31B</t>
  </si>
  <si>
    <t>PA-31C</t>
  </si>
  <si>
    <t>RED</t>
  </si>
  <si>
    <t xml:space="preserve">Saldo para redondeo </t>
  </si>
  <si>
    <t>PA-5C</t>
  </si>
  <si>
    <t>Programadore backend </t>
  </si>
  <si>
    <t>PA-5D</t>
  </si>
  <si>
    <t>Programadore frontend </t>
  </si>
  <si>
    <t>PA-26B</t>
  </si>
  <si>
    <t>PA-26C</t>
  </si>
  <si>
    <t>PA-26D</t>
  </si>
  <si>
    <t>PA-84E</t>
  </si>
  <si>
    <t>PA-1A</t>
  </si>
  <si>
    <t xml:space="preserve">Etapa Previa </t>
  </si>
  <si>
    <t xml:space="preserve">   Solicitud de V°B° a los TDR</t>
  </si>
  <si>
    <t>P16</t>
  </si>
  <si>
    <t>PA-35</t>
  </si>
  <si>
    <t>Contratacion de 1 consultor para el seguimiento y levantamiento de información sobre compromisos asumidos por el país, ante organismos e iniciativas internacionales de gobierno abierto, y de prevención y control de corrupción. (Especialista en Sistematización e Instrumentos de Monitoreo) Richard Salvador Martínez</t>
  </si>
  <si>
    <t>PA-36</t>
  </si>
  <si>
    <t>Contratación de 1 consultor para la Elaboración de TdR, borrador de SP y anexos técnicos para el diseño y desarrollo a la plataforma (Nathanael Reyes Rodríguez)</t>
  </si>
  <si>
    <t>P18</t>
  </si>
  <si>
    <t>PA-34</t>
  </si>
  <si>
    <t>Contratación de Project Manager para el Desarrollo del Proceso de Consulta del Programa con el Sector Empresarial (Glenny Camarena)</t>
  </si>
  <si>
    <t>P20</t>
  </si>
  <si>
    <t>PA-41</t>
  </si>
  <si>
    <t>Diagnóstico del dimensionamiento del Sistema Nacional de Transparencia (normas, procesos, reglas de negocio, alcance) Nelson Jose Guillen Bello</t>
  </si>
  <si>
    <t>P19</t>
  </si>
  <si>
    <t>PA-37A</t>
  </si>
  <si>
    <t>Diagnóstico inicial, alcance y estandarizacion de procesos de investigacion de denuncias y su seguimiento (Lic. En Derecho)</t>
  </si>
  <si>
    <t>PA-37B</t>
  </si>
  <si>
    <t>Diagnóstico inicial, alcance y estandarizacion de procesos de investigacion de denuncias y su seguimiento (Ing. Industrial)</t>
  </si>
  <si>
    <t xml:space="preserve">   Convocatoria al profesional calificado en primer lugar y negociación del contrato</t>
  </si>
  <si>
    <t>P21</t>
  </si>
  <si>
    <t>PA-98</t>
  </si>
  <si>
    <t xml:space="preserve">   Tramitación de la publicación de la convocatoria en los medios que correspondan</t>
  </si>
  <si>
    <t>PA-63</t>
  </si>
  <si>
    <t>PA-38</t>
  </si>
  <si>
    <t>Contratacion de consultor para el desarrollo de un diagnóstico de barreras y desafios para la participacion ciudadana y control social</t>
  </si>
  <si>
    <t xml:space="preserve">   Preparación del Contrato, con base al modelo establecido que cuenta con la no objeción del Banco</t>
  </si>
  <si>
    <t>PA-39</t>
  </si>
  <si>
    <t>Contratacion de consultor para el diseño de una estrategia para ampliar la participacion ciudadana garantizando el acceso de mujeres y grupos diversos</t>
  </si>
  <si>
    <t>PA-53</t>
  </si>
  <si>
    <t>Diseño de curricula de acuerso con modalidad diseño del contenido del programa</t>
  </si>
  <si>
    <t>En Revisión</t>
  </si>
  <si>
    <t>P17</t>
  </si>
  <si>
    <t>PA-91</t>
  </si>
  <si>
    <t>PA-99</t>
  </si>
  <si>
    <t>PA-100</t>
  </si>
  <si>
    <t xml:space="preserve">   Validación de los TDR y borrador de contrato por la instancia correspondiente</t>
  </si>
  <si>
    <t>PA-101</t>
  </si>
  <si>
    <t>PA-102</t>
  </si>
  <si>
    <t>PA-103</t>
  </si>
  <si>
    <t>SBCC / Capacitación</t>
  </si>
  <si>
    <t>PA-104</t>
  </si>
  <si>
    <t>PA-33A</t>
  </si>
  <si>
    <t>PA-86</t>
  </si>
  <si>
    <t>SBCC / Coord Act OCDE</t>
  </si>
  <si>
    <t>PA-87</t>
  </si>
  <si>
    <t>PA-88</t>
  </si>
  <si>
    <t>PA-33B</t>
  </si>
  <si>
    <t>PA-93</t>
  </si>
  <si>
    <t>PA-94</t>
  </si>
  <si>
    <t>PA-40</t>
  </si>
  <si>
    <t>PA-33D</t>
  </si>
  <si>
    <t>PA-96</t>
  </si>
  <si>
    <t>PA-33E</t>
  </si>
  <si>
    <t>PA-92A</t>
  </si>
  <si>
    <t>PA-92B</t>
  </si>
  <si>
    <t>PA-92C</t>
  </si>
  <si>
    <t>PA-92D</t>
  </si>
  <si>
    <t>PA-89</t>
  </si>
  <si>
    <t>PA-92E</t>
  </si>
  <si>
    <t>PA-33C</t>
  </si>
  <si>
    <t>GdG</t>
  </si>
  <si>
    <t>Contratacion de Coordinador General del Programa</t>
  </si>
  <si>
    <t>Contratacion de Especialista de Adquisiciones</t>
  </si>
  <si>
    <t>Contratacion de Especialista Financiero</t>
  </si>
  <si>
    <t>Contratacicon de Especialista en Planificacion y Monitoreo</t>
  </si>
  <si>
    <t>PA-44</t>
  </si>
  <si>
    <t>Contratacion de 2 oficiales de adquisiciones</t>
  </si>
  <si>
    <t>PA-45</t>
  </si>
  <si>
    <t>Contratacion de 1 oficial financiero</t>
  </si>
  <si>
    <t>PA-42
43</t>
  </si>
  <si>
    <t>Contratacion de 2 coordinadores de componentes</t>
  </si>
  <si>
    <t>PA-47</t>
  </si>
  <si>
    <t>Contratación de 5 Project Manager</t>
  </si>
  <si>
    <t>Contratación de 1 Project Manager</t>
  </si>
  <si>
    <t>PA-46</t>
  </si>
  <si>
    <t>Contratacion de Oficial Legal</t>
  </si>
  <si>
    <t>AUD</t>
  </si>
  <si>
    <t>PA-48</t>
  </si>
  <si>
    <t>Contratación de Auditoria Financiera</t>
  </si>
  <si>
    <t xml:space="preserve">   Revisión de la documentación</t>
  </si>
  <si>
    <t>PA-21-A</t>
  </si>
  <si>
    <t>Contratación de  científicos de datos para el sistema de detección irregularidades y alertas tempranas de la DGCP</t>
  </si>
  <si>
    <t>Año P/R</t>
  </si>
  <si>
    <t>PA-G2</t>
  </si>
  <si>
    <t>PA-G3</t>
  </si>
  <si>
    <t>PA-G7</t>
  </si>
  <si>
    <t>PA-G9</t>
  </si>
  <si>
    <t>PA-112</t>
  </si>
  <si>
    <t>PA-113A</t>
  </si>
  <si>
    <t>Asistencia en la conceptualización y  elaboración de los Anteproyectos de actualizacion de Ley de Acceso a la Información Pública No. 200-04 y la Ley de Datos Personales No. No. 172-13.</t>
  </si>
  <si>
    <t>PA-113B</t>
  </si>
  <si>
    <t>Proceso</t>
  </si>
  <si>
    <t>Monto (US)</t>
  </si>
  <si>
    <t>Año Ejecición</t>
  </si>
  <si>
    <t>País</t>
  </si>
  <si>
    <t>República Dominicana</t>
  </si>
  <si>
    <t>Número de operación</t>
  </si>
  <si>
    <t>Número de aprobación</t>
  </si>
  <si>
    <t>Agencia Ejecutora</t>
  </si>
  <si>
    <t>Plan de Cobertura</t>
  </si>
  <si>
    <t>Total Obras</t>
  </si>
  <si>
    <t>Total sin programar</t>
  </si>
  <si>
    <t>Total Bienes y Servicios</t>
  </si>
  <si>
    <t>Total PA</t>
  </si>
  <si>
    <t>Total Servicios de Consultoría</t>
  </si>
  <si>
    <t>Auditoría Externa</t>
  </si>
  <si>
    <t>Sistemas Nacionales</t>
  </si>
  <si>
    <t>National System</t>
  </si>
  <si>
    <t>Works</t>
  </si>
  <si>
    <t>Versión</t>
  </si>
  <si>
    <t>Ex-ante</t>
  </si>
  <si>
    <t>Goods</t>
  </si>
  <si>
    <t>Ex-post</t>
  </si>
  <si>
    <t>Non-Consulting Services</t>
  </si>
  <si>
    <t>Actividades no incluidos en el primer PA (18 meses)</t>
  </si>
  <si>
    <t>1.1.2.3</t>
  </si>
  <si>
    <t>1.1.2.4</t>
  </si>
  <si>
    <t>1.1.2.5</t>
  </si>
  <si>
    <t>1.1.4.2</t>
  </si>
  <si>
    <t>1.2.3.2.2</t>
  </si>
  <si>
    <t>1.2.4.2</t>
  </si>
  <si>
    <t>1.2.4.3</t>
  </si>
  <si>
    <t>1.2.4.4</t>
  </si>
  <si>
    <t>1.2.4.5</t>
  </si>
  <si>
    <t>1.2.5.3</t>
  </si>
  <si>
    <t>1.3.3.2</t>
  </si>
  <si>
    <t>84A
84 B</t>
  </si>
  <si>
    <t>Plan de acción en base al estandar  de la OCDE por sector, talleres de seguimiento</t>
  </si>
  <si>
    <t>Asistencia en la conceptualización, elaboración y priorización del marco regulatorio necesario con base al estandar  de la OCDE del producto 16</t>
  </si>
  <si>
    <t xml:space="preserve">ADM </t>
  </si>
  <si>
    <t>Plan de Adquisiciones Inicial - MH</t>
  </si>
  <si>
    <t>Prod.</t>
  </si>
  <si>
    <t xml:space="preserve">Descripción </t>
  </si>
  <si>
    <t>Requisito</t>
  </si>
  <si>
    <t>Monto (USD)</t>
  </si>
  <si>
    <t xml:space="preserve">Adquisición de infraestructura tecnológica para fortalecer el sistema de información actual de contrataciones públicas </t>
  </si>
  <si>
    <t>EETT</t>
  </si>
  <si>
    <t>Obras</t>
  </si>
  <si>
    <t>Servicios de Consultoría</t>
  </si>
  <si>
    <t>P1 - P2</t>
  </si>
  <si>
    <t>Contratación de servicios de consultoría especializada para contratar personal en misión necesarios para desarrollo de los productos relacionados y modificaciones al SIGEF relacionadas con funcionalidades necesarias para la interoperabilidad en el marco de la trazabilidad de los recursos públicos</t>
  </si>
  <si>
    <t>Acuerdo Marco - SBCC</t>
  </si>
  <si>
    <t>Elaborar TdR y SP</t>
  </si>
  <si>
    <t>Identificar al menos 3 perfiles y preparar los TdR</t>
  </si>
  <si>
    <t>Contratación de firma consultora para la construcción de la arquitectura, hoja de ruta y arquitecturas de transición de los procesos, sistemas, datos y tecnología de interoperabilidad de acuerdo con el marco de trabajo acordado en la misión</t>
  </si>
  <si>
    <t>Contratación de asistencia técnica especializada para elaboración de TDR y documentos de licitación para la contratación de la firma encargada del diseño e implementación de la estrategia</t>
  </si>
  <si>
    <t>construcción de TDR y Solicitud de Propuesta para la definición de la arquitectura empresarial para el nuevo sistema de compras</t>
  </si>
  <si>
    <t>Contratación de Firma para la definicion de la Arquitectura Empresarial del nuevo sistema de compras y Equipo técnico para la Oficina de Gestión de Proyectos (PMO) encargada de administrar los proyectos de TI del nuevo sistema y especialista Técnico.</t>
  </si>
  <si>
    <t xml:space="preserve">Contratación de 2 desarrolladores senior para realizar ajustes mínimos al sistema actual del sistema de información actual de contrataciones públicas </t>
  </si>
  <si>
    <t xml:space="preserve">Contratación de 2 desarrolladores junior para realizar ajustes mínimos al sistema actual del sistema de información actual de contrataciones públicas </t>
  </si>
  <si>
    <t xml:space="preserve">Contratación de 1  Experto Sistema Actual para realizar ajustes mínimos al sistema actual del sistema de información actual de contrataciones públicas </t>
  </si>
  <si>
    <t xml:space="preserve">Contratación de 1 Especialista Sr. en desarrollo para realizar ajustes mínimos al sistema actual del sistema de información actual de contrataciones públicas </t>
  </si>
  <si>
    <t>Elaboración de la estrategia de analítica de datos para la compra pública en República Dominicana</t>
  </si>
  <si>
    <t>Contratación de 1 desarrollador para el mejoramiento del tablero de precios de bienes adquiridos mediante compra pública</t>
  </si>
  <si>
    <t>Contratación de 3 científicos de datos para el mejoramiento del tablero de precios de bienes adquiridos mediante compra pública</t>
  </si>
  <si>
    <t>Contratación de consultor para realizar estudio sobre la creación de la carrera especial en contratación pública del SNCCP</t>
  </si>
  <si>
    <t>Contratación de firma para el diseño de una estrategia y plan de implementación de compra pública sostenible, incluye diversidad, género y/o cambio climático</t>
  </si>
  <si>
    <t>Contratación de firma empresarial especialista en el Ciclo de Vida de Proyectos de Inversión Pública, arquitectura e implementación de software y gestión del cambio, para la implementación de las mejoras al SNIP y del nuevo sistema de Seguimiento, Monitoreo y Evaluación de los PIP</t>
  </si>
  <si>
    <t>Contratación de servicios de consultoría especializada para contratar personal en misión necesarios para desarrollo de los productos relacionados</t>
  </si>
  <si>
    <t>Acuerdo Marco 2 - SBCC</t>
  </si>
  <si>
    <t>Contratación de un especialista en Inversión Pública para el estudio, evaluación y selección del modelo a ser usado en la implementación del Sistema de Monitoreo, Seguimiento &amp; Evaluación de Proyectos de Inversión Pública a partir de los modelos presentados en la conclusión de la consultoría "Diagnóstico y Análisis de Alterntivas para la Creación de un Nuevo Sistema de Monitoreo, Seguimiento y Evaluación de los Proyectos de Inversión Pública en la República Dominicana"</t>
  </si>
  <si>
    <t>Contratación de consultor para la elaboración de propuesta de revisión y fortalecimiento del marco legal ALA/CFT y tributario con referencia al sistema de beneficiarios finales</t>
  </si>
  <si>
    <t>Contratación de consultor para la elaboración de propuesta de revisión de los aspectos de protección de datos personales con referencia al registro de beneficiarios finales</t>
  </si>
  <si>
    <t>Consultor encargado de la elaboración de TdR para firma encargada del diseño e implementación de la Estrategia de Gestion del Cambio</t>
  </si>
  <si>
    <t>Contratación de firma para el diseño e implementación de la estrategia de Gestión del Cambio, comunicaciones y despliegue del Registro de Beneficiarios Finales</t>
  </si>
  <si>
    <t>Contratación de Analista de Sistemas para MEPYD</t>
  </si>
  <si>
    <t>Contratación de Desarrolladores de Aplicaciones para MEPYD</t>
  </si>
  <si>
    <t>Contratación de la OCDE para realizar estudio de situación actual sobre la implementación en materia de integridad pública y hoja de ruta con recomendaciones</t>
  </si>
  <si>
    <t>Justificación con base a las politicas del banco</t>
  </si>
  <si>
    <t>P16 - P19 - P20</t>
  </si>
  <si>
    <t>Contratación de Firma de Tecnología para el diseño, desarrollo e implementación de Plataformas necesarias en el componente 3</t>
  </si>
  <si>
    <t>Contratación de Project Manager para el desarrollo del proceso de consulta del programa con el sector empresarial, talleres de co-construcción iterativo y el diagnostico de dimensionamiento, alcance del programa y sus componentes, formularios</t>
  </si>
  <si>
    <t>Contratación de consultor para el seguimiento y levantamiento de información sobre compromisos asumidos por el país, ante organismos e iniciativas internacionales de gobierno abierto, y de prevención y control de corrupción</t>
  </si>
  <si>
    <t>Contratación de consultor encargado de la elaboración de TdR, borrador de SP y anexos técnicos para el diseño y desarrollo de las plataformas del Componente 3</t>
  </si>
  <si>
    <t>Contratación de Firma consultora para diagnóstico inicial, alcance y estandarización de procesos de investigación de denuncias y su seguimiento, incluye la metodología estandarizada del proceso de investigación de denuncias</t>
  </si>
  <si>
    <t>Contratación de consultor para el desarrollo de un diagnóstico de barreras y desafíos para la participación ciudadana y control social</t>
  </si>
  <si>
    <t>Contratación de consultor para el diseño de una estrategia para ampliar la participación ciudadana garantizando el acceso de mujeres y grupos diversos</t>
  </si>
  <si>
    <t>Contratación de consultor para el desarrollo de un diagnóstico, alcance, diseño de herramientas informáticas para mejorar la participación ciudadana en políticas y control social</t>
  </si>
  <si>
    <t>Contratación de consultor para el diagnóstico del dimensionamiento del Sistema Nacional de Transparencia (normas, procesos, reglas de negocio, alcance)</t>
  </si>
  <si>
    <t>Adm</t>
  </si>
  <si>
    <t>Contratación de Coordinador de Componente 1</t>
  </si>
  <si>
    <t>Contratación de Coordinador de Componente 3</t>
  </si>
  <si>
    <t>Contratación de 2 Oficiales de Adquisiciones para la UCP / MH</t>
  </si>
  <si>
    <t>Contratación de 1 Oficial Financiero para la UCP / MH</t>
  </si>
  <si>
    <t xml:space="preserve">Oficial Legal </t>
  </si>
  <si>
    <t>Contratación de 6 project managers</t>
  </si>
  <si>
    <t>Contratación de firma para la auditoria del programa</t>
  </si>
  <si>
    <t>Contratación de Cientifico de Datos para MEPYD</t>
  </si>
  <si>
    <t>Contratación de Analista de Datos para MEPYD</t>
  </si>
  <si>
    <t>24A</t>
  </si>
  <si>
    <t>Contratación de un especialista en Inversión Pública para asistir en la elaboración de los TdR y documentos de licitación para la  contratación de una firma empresarial especialista en el Ciclo de Vida de Proyectos de Inversión Pública, arquitectura e implementación de software y gestión del cambio, para la implementación de las mejoras al SNIP y del nuevo sistema de Seguimiento, Monitoreo y Evaluación de los PIP</t>
  </si>
  <si>
    <t>24B</t>
  </si>
  <si>
    <t>Contratación de especialista en arquitectura empresarial para la elaboración de los TdR y documentos de licitación para la  contratación de una firma empresarial especialista en el Ciclo de Vida de Proyectos de Inversión Pública, arquitectura e implementación de software y gestión del cambio, para la implementación de las mejoras al SNIP y del nuevo sistema de Seguimiento, Monitoreo y Evaluación de los PIP</t>
  </si>
  <si>
    <t>62B</t>
  </si>
  <si>
    <t>62D</t>
  </si>
  <si>
    <t>62F</t>
  </si>
  <si>
    <t>NO #</t>
  </si>
  <si>
    <t>Estrategia de Adquisiciones</t>
  </si>
  <si>
    <t xml:space="preserve">Cuatro consultorías lanzadas </t>
  </si>
  <si>
    <t>Diagnósticos y análisis de brechas (elementos clave para el 2.3)</t>
  </si>
  <si>
    <t>Cambios en el equipo de proyecto - Riesgo materializado. Carmen Mejías - Directora de Tecnología (hace 3 semanas)</t>
  </si>
  <si>
    <t xml:space="preserve">Avances para certificaciones </t>
  </si>
  <si>
    <t>P19: Nuevo Modelo de Control Interno bajo estándares nacionales e internacionales</t>
  </si>
  <si>
    <t>P20: Generación de Capacidades, arquitectura y herramientas analíticas TI</t>
  </si>
  <si>
    <t>1.1.2.6</t>
  </si>
  <si>
    <t>1.1.2.7</t>
  </si>
  <si>
    <t>1.1.3.1.1</t>
  </si>
  <si>
    <t>1.1.3.1.2</t>
  </si>
  <si>
    <t>1.1.3.1.3</t>
  </si>
  <si>
    <t>1.1.3.1.4</t>
  </si>
  <si>
    <t>1.1.4.1</t>
  </si>
  <si>
    <t>1.1.5.1</t>
  </si>
  <si>
    <t>Ajustes mínimos al sistema actual</t>
  </si>
  <si>
    <t xml:space="preserve">Realizar ajustes mínimos al sistema actual del sistema de información actual de contrataciones públicas </t>
  </si>
  <si>
    <t>1.2.2.1.1.1</t>
  </si>
  <si>
    <t>1.2.2.1.1.2</t>
  </si>
  <si>
    <t>1.2.2.1.1.3</t>
  </si>
  <si>
    <t>1.2.2.1.1.4</t>
  </si>
  <si>
    <t>1.2.2.1.2</t>
  </si>
  <si>
    <t>1.2.3.2.1.1</t>
  </si>
  <si>
    <t>1.2.3.2.1.2</t>
  </si>
  <si>
    <t>1.2.3.2.1.3</t>
  </si>
  <si>
    <t>1.2.4.1</t>
  </si>
  <si>
    <t>1.2.4.1.1</t>
  </si>
  <si>
    <t>1.2.4.2.1</t>
  </si>
  <si>
    <t>1.2.4.2.2</t>
  </si>
  <si>
    <t>1.2.4.2.3</t>
  </si>
  <si>
    <t>1.2.4.2.4</t>
  </si>
  <si>
    <t>1.2.4.3.1</t>
  </si>
  <si>
    <t>1.2.4.4.1</t>
  </si>
  <si>
    <t>1.2.4.4.2</t>
  </si>
  <si>
    <t>Estudio de Grabación (Vídeos, streaming, podcast)</t>
  </si>
  <si>
    <t>1.2.5.1</t>
  </si>
  <si>
    <t>1.2.5.1.1</t>
  </si>
  <si>
    <t>1.2.5.1.1.1</t>
  </si>
  <si>
    <t>1.2.5.1.1.2</t>
  </si>
  <si>
    <t>1.2.5.3.1</t>
  </si>
  <si>
    <r>
      <rPr>
        <sz val="10"/>
        <color rgb="FF7030A0"/>
        <rFont val="Calibri"/>
        <family val="2"/>
      </rPr>
      <t>Contratación de un</t>
    </r>
    <r>
      <rPr>
        <sz val="10"/>
        <color rgb="FF000000"/>
        <rFont val="Calibri"/>
        <family val="2"/>
      </rPr>
      <t xml:space="preserve"> </t>
    </r>
    <r>
      <rPr>
        <b/>
        <sz val="10"/>
        <color rgb="FFFF0000"/>
        <rFont val="Calibri"/>
        <family val="2"/>
      </rPr>
      <t>especialista en Inversión Pública</t>
    </r>
    <r>
      <rPr>
        <sz val="10"/>
        <color rgb="FF000000"/>
        <rFont val="Calibri"/>
        <family val="2"/>
      </rPr>
      <t xml:space="preserve"> </t>
    </r>
    <r>
      <rPr>
        <sz val="10"/>
        <color rgb="FF7030A0"/>
        <rFont val="Calibri"/>
        <family val="2"/>
      </rPr>
      <t>para asistir en la elaboración de los TdR y documentos de licitación para la  contratación de una firma especialista.  Debe incluir la definición de alcance, perfil de la empresa, esquema de remuneración, acuerdos del nivel de servicios y esquema de penalización (multa).</t>
    </r>
  </si>
  <si>
    <r>
      <rPr>
        <sz val="10"/>
        <color rgb="FF7030A0"/>
        <rFont val="Calibri"/>
        <family val="2"/>
      </rPr>
      <t>Contratación de</t>
    </r>
    <r>
      <rPr>
        <sz val="10"/>
        <color rgb="FF000000"/>
        <rFont val="Calibri"/>
        <family val="2"/>
      </rPr>
      <t xml:space="preserve"> </t>
    </r>
    <r>
      <rPr>
        <b/>
        <sz val="10"/>
        <color rgb="FFFF0000"/>
        <rFont val="Calibri"/>
        <family val="2"/>
      </rPr>
      <t>especialista en arquitectura empresarial</t>
    </r>
    <r>
      <rPr>
        <sz val="10"/>
        <color rgb="FF000000"/>
        <rFont val="Calibri"/>
        <family val="2"/>
      </rPr>
      <t xml:space="preserve"> </t>
    </r>
    <r>
      <rPr>
        <sz val="10"/>
        <color rgb="FF7030A0"/>
        <rFont val="Calibri"/>
        <family val="2"/>
      </rPr>
      <t>para la elaboración de los TdR y documentos de licitación para la  contratación de una firma especialista.  Debe incluir la definición de alcance, perfil de la empresa, esquema de remuneración, acuerdos del nivel de servicios y esquema de penalización (multa).</t>
    </r>
  </si>
  <si>
    <t>1.3.2.3.1</t>
  </si>
  <si>
    <t>1.3.2.3.2</t>
  </si>
  <si>
    <t>1.3.2.3.3</t>
  </si>
  <si>
    <t>1.3.2.3.4</t>
  </si>
  <si>
    <t>1.3.2.3.5</t>
  </si>
  <si>
    <t>1.3.2.3.6</t>
  </si>
  <si>
    <t>1.3.2.3.7</t>
  </si>
  <si>
    <t>1.3.2.1</t>
  </si>
  <si>
    <t>1.3.2.2</t>
  </si>
  <si>
    <t>1.3.2.2.1</t>
  </si>
  <si>
    <t>1.3.2.3</t>
  </si>
  <si>
    <r>
      <rPr>
        <sz val="10"/>
        <color rgb="FF7030A0"/>
        <rFont val="Calibri"/>
        <family val="2"/>
      </rPr>
      <t>Contratación de un</t>
    </r>
    <r>
      <rPr>
        <sz val="10"/>
        <color rgb="FFFF0000"/>
        <rFont val="Calibri"/>
        <family val="2"/>
      </rPr>
      <t xml:space="preserve"> </t>
    </r>
    <r>
      <rPr>
        <b/>
        <sz val="10"/>
        <color rgb="FFFF0000"/>
        <rFont val="Calibri"/>
        <family val="2"/>
      </rPr>
      <t>especialista en Inversión Pública</t>
    </r>
    <r>
      <rPr>
        <sz val="10"/>
        <color rgb="FF000000"/>
        <rFont val="Calibri"/>
        <family val="2"/>
      </rPr>
      <t xml:space="preserve"> </t>
    </r>
    <r>
      <rPr>
        <sz val="10"/>
        <color rgb="FF7030A0"/>
        <rFont val="Calibri"/>
        <family val="2"/>
      </rPr>
      <t>para asistir en la elaboración de los TdR y documentos de licitación para la  contratación de una firma especialista.  Debe incluir la definición de alcance, perfil de la empresa, esquema de remuneración, acuerdos del nivel de servicios y esquema de penalización (multa).</t>
    </r>
  </si>
  <si>
    <t>1.3.3.1</t>
  </si>
  <si>
    <t>1.3.3.1.1</t>
  </si>
  <si>
    <t>1.3.3.1.2</t>
  </si>
  <si>
    <t>1.3.3.1.3</t>
  </si>
  <si>
    <t>1.4.2.1</t>
  </si>
  <si>
    <t>1.4.2.2</t>
  </si>
  <si>
    <t>1.4.2.3</t>
  </si>
  <si>
    <t>1.4.2.3.1</t>
  </si>
  <si>
    <t>1.4.2.3.2</t>
  </si>
  <si>
    <t>2.1.1.1</t>
  </si>
  <si>
    <t>Elaboración de TdR para consultores encargados del Levantamiento de Información</t>
  </si>
  <si>
    <t>2.1.1.2</t>
  </si>
  <si>
    <t>Levantamiento de información sobre el modelo existente (normativos, organizacionales y tecnológicos) e identificación de brechas de competencias y estándares internacionales</t>
  </si>
  <si>
    <t>2.1.1.2.1</t>
  </si>
  <si>
    <t>Consultor individual Derecho Administrativo</t>
  </si>
  <si>
    <t>2.1.1.2.2</t>
  </si>
  <si>
    <t>Consultor individual en Tecnologías</t>
  </si>
  <si>
    <t>2.1.1.2.3</t>
  </si>
  <si>
    <t>Consultor individual en Organización</t>
  </si>
  <si>
    <t>2.1.1.2.4</t>
  </si>
  <si>
    <t>Consultor coordinador para consolidación e integración de los trabajos de levantamiento de información e identificación de brechas</t>
  </si>
  <si>
    <t>2.1.1.3</t>
  </si>
  <si>
    <t>benchmark internacional y  creación del observatorio</t>
  </si>
  <si>
    <t>2.1.1.3.1</t>
  </si>
  <si>
    <t>Benchmark internacional</t>
  </si>
  <si>
    <t>2.1.1.3.2</t>
  </si>
  <si>
    <t>Creación del Observatorio</t>
  </si>
  <si>
    <t>2.1.1.4</t>
  </si>
  <si>
    <t>Diseño del nuevo modelo de gestión de la CGR (normativos, organizacionales y tecnológicos)</t>
  </si>
  <si>
    <t>2.1.1.5</t>
  </si>
  <si>
    <t>Diseño del Plan Estratégico con base al modelo de gestión</t>
  </si>
  <si>
    <t>2.1.1.6</t>
  </si>
  <si>
    <t>Project Manager de apoyo</t>
  </si>
  <si>
    <t>2.1.2.1</t>
  </si>
  <si>
    <t>Elaboración de TdR y borrador de SP</t>
  </si>
  <si>
    <t>Transformación de Procesos misionales actuales priorizados, realizada</t>
  </si>
  <si>
    <t>2.1.2.1.1</t>
  </si>
  <si>
    <t>Ajustes al proceso para conciliación de nóminas</t>
  </si>
  <si>
    <t>2.1.2.1.2</t>
  </si>
  <si>
    <t>Ajustes al proceso para para certificación de contratos y modificaciones</t>
  </si>
  <si>
    <t>2.1.2.1.3</t>
  </si>
  <si>
    <t>Ajustes al proceso de Desarrollo Normativo</t>
  </si>
  <si>
    <t>2.1.2.1.4</t>
  </si>
  <si>
    <t>Ajustes al proceso para aprobación de órdenes de pago y modificaciones</t>
  </si>
  <si>
    <t>2.1.2.1.5</t>
  </si>
  <si>
    <t>Rediseño de los procesos de las unidades de auditoría interna.</t>
  </si>
  <si>
    <t>2.1.2.2</t>
  </si>
  <si>
    <t>Modelo de Gestión integrada de Riesgos  desarrollados</t>
  </si>
  <si>
    <t>2.1.2.2.1</t>
  </si>
  <si>
    <t>Proceso para gestión integral de riesgos en los procesos de la administración financiera del Estado</t>
  </si>
  <si>
    <t>2.1.2.2.2</t>
  </si>
  <si>
    <t>Proceso para gestión integral de riesgos sectoriales (Salud, Educación, Hacienda, etc.)</t>
  </si>
  <si>
    <t>2.1.2.2.3</t>
  </si>
  <si>
    <t xml:space="preserve">Politicas, procedimientos, normas y protocolos de detección, prevención y investigacion  </t>
  </si>
  <si>
    <t>2.1.2.2.3.1</t>
  </si>
  <si>
    <t>Proceso para la investigación, análisis y seguimiento de fraude y corrupción administrativa</t>
  </si>
  <si>
    <t>2.1.2.2.3.2</t>
  </si>
  <si>
    <t xml:space="preserve">Proceso para la prevención de fraudes con control social </t>
  </si>
  <si>
    <t>2.1.2.2.3.3</t>
  </si>
  <si>
    <t>Diseño e implementación de procesos y programas de prevención de fraude</t>
  </si>
  <si>
    <t>2.1.2.2.3.4</t>
  </si>
  <si>
    <t xml:space="preserve">Desarrollo protocolos, criterios y capacidades para la gestión de denuncias </t>
  </si>
  <si>
    <t>2.1.2.2.4</t>
  </si>
  <si>
    <t>Definición de estrategia antifraude, sistemas de denuncias y campaña de socialización continua</t>
  </si>
  <si>
    <t>2.1.3.1</t>
  </si>
  <si>
    <t>Revisión y ajustes prioritarios a la estructura organizacional de la CGR</t>
  </si>
  <si>
    <t>2.1.3.2</t>
  </si>
  <si>
    <t>Elaboración de TdR y borrador de SP se realiza consolidadamente con el producto 16</t>
  </si>
  <si>
    <t>2.1.3.3</t>
  </si>
  <si>
    <t>Rediseño de la estructura organizacional de la CGR y Manual de Organización y Funciones implementado</t>
  </si>
  <si>
    <t>2.1.3.3.1</t>
  </si>
  <si>
    <r>
      <rPr>
        <sz val="10"/>
        <color rgb="FF0070C0"/>
        <rFont val="Calibri"/>
        <family val="2"/>
        <scheme val="minor"/>
      </rPr>
      <t>Rediseño y fortalecimiento del Departamento de Seguimiento de los resultados de las auditorías</t>
    </r>
    <r>
      <rPr>
        <sz val="10"/>
        <color theme="1"/>
        <rFont val="Calibri"/>
        <family val="2"/>
        <scheme val="minor"/>
      </rPr>
      <t xml:space="preserve">, incluyendo manuales de funciones y  procedimientos. Diseño de la solución o aplicativo para la automatizacion del proceso de seguimiento de la implementación de los hallazgos de la auditoría. </t>
    </r>
    <r>
      <rPr>
        <sz val="10"/>
        <color rgb="FF0070C0"/>
        <rFont val="Calibri"/>
        <family val="2"/>
        <scheme val="minor"/>
      </rPr>
      <t>(Esquema de Gobernanza, Estructura organizacional y procesos)</t>
    </r>
  </si>
  <si>
    <t xml:space="preserve">Definición de modelo de las Unidades a cargo de la función "ex ante" y las Unidades a cargo de la función de "ex post" </t>
  </si>
  <si>
    <t xml:space="preserve">Definicion de la tipología de las Unidades a cargo de la función "ex ante" y las Unidades a cargo de la función de "ex post" </t>
  </si>
  <si>
    <t>2.1.3.4</t>
  </si>
  <si>
    <t>Rediseño de la estructura organizacional de la CGR y de las Unidades a cargo de la función "ex ante" y las Unidades a cargo de la función de "ex post" , incluyendo manuales de funciones y procedimientos.</t>
  </si>
  <si>
    <t>2.1.3.5</t>
  </si>
  <si>
    <t>Rediseño de la estructura de cargos y Manual de Perfil de Cargos en la CGR y de las Unidades a cargo de la función "ex ante" y las Unidades a cargo de la función de "ex post", incluyendo manuales de funciones y procedimientos</t>
  </si>
  <si>
    <t>2.1.3.6</t>
  </si>
  <si>
    <t xml:space="preserve">Apoyo técnico técnico y legal para la preparación de documentación de solicitud de aprobación de la reorganización </t>
  </si>
  <si>
    <t>2.1.3.7</t>
  </si>
  <si>
    <t>Desarrollo de instrumentos metodológicos para monitoreo y evaluación de la transformación digital</t>
  </si>
  <si>
    <t>2.1.3.8</t>
  </si>
  <si>
    <r>
      <t xml:space="preserve">Diseño e implementación del </t>
    </r>
    <r>
      <rPr>
        <sz val="10"/>
        <color rgb="FF0070C0"/>
        <rFont val="Calibri"/>
        <family val="2"/>
        <scheme val="minor"/>
      </rPr>
      <t>Esquema de Gobernanza, estructura y procesos</t>
    </r>
    <r>
      <rPr>
        <sz val="10"/>
        <color theme="1"/>
        <rFont val="Calibri"/>
        <family val="2"/>
        <scheme val="minor"/>
      </rPr>
      <t xml:space="preserve"> y de un "Programa de Aseguramiento y Control de Calidad", conforme estandares nacionales e internacionales.</t>
    </r>
  </si>
  <si>
    <t>2.1.4.1</t>
  </si>
  <si>
    <t>Elaboración de TdR y borrador de la SP firma gestion del cambio</t>
  </si>
  <si>
    <t>2.1.4.2</t>
  </si>
  <si>
    <t>Definición del perfil cultural e identidad institucional, con alineamiento al marco integral de control interno y transformación digital de la CGR y las UCI</t>
  </si>
  <si>
    <t>2.1.4.3</t>
  </si>
  <si>
    <t>Diseño de la estrategia de comunicación dentro del ecosistema del control interno</t>
  </si>
  <si>
    <t>2.1.4.4</t>
  </si>
  <si>
    <t>Implementación de campañas comunicacionales, conforme a la etapas de la estrategia integral de gestión del cambio</t>
  </si>
  <si>
    <t>2.1.4.5</t>
  </si>
  <si>
    <t>Talleres de trabajo en Gestión del Cambio y transferencia de conocimientos, realizados</t>
  </si>
  <si>
    <t>2.1.4.5.1</t>
  </si>
  <si>
    <t>Programa de sensibililzación interno (CGR y Unidades a cargo de la función "ex ante" y "ex post") al cambio institucional (incluyendo recursos audiovisuales)</t>
  </si>
  <si>
    <t>2.1.4.5.2</t>
  </si>
  <si>
    <t>Programa de sensibililzación Contralor estudiantil</t>
  </si>
  <si>
    <t>2.1.4.5.3</t>
  </si>
  <si>
    <t>Programa de sensibilización con gremios profesionales</t>
  </si>
  <si>
    <t>2.1.4.6</t>
  </si>
  <si>
    <t>Monitoreo y Evaluación de los talleres de trabajo en gestión del cambio</t>
  </si>
  <si>
    <t>2.1.4.7</t>
  </si>
  <si>
    <t xml:space="preserve">Equipamiento de tecnología para apoyo a la comunicación y gestión del cambio </t>
  </si>
  <si>
    <t>Elaboración de TdR y SP se consolida en el punto ..</t>
  </si>
  <si>
    <t>2.2.1.1</t>
  </si>
  <si>
    <t>Levantamiento de información sobre brechas de competencia y necesidades</t>
  </si>
  <si>
    <t>2.2.1.2</t>
  </si>
  <si>
    <t>Diseño del modelo de talento humano, alineado con el modelo de gestión y la transformación digital de la CGR</t>
  </si>
  <si>
    <t>2.2.1.3</t>
  </si>
  <si>
    <t>Plan estratégico para identificar, atraer y retener recursos humanos, elaborado</t>
  </si>
  <si>
    <t>2.2.1.3.1</t>
  </si>
  <si>
    <t>Identificación del talento humano y dotación requerida</t>
  </si>
  <si>
    <t>2.2.1.3.2</t>
  </si>
  <si>
    <t>Revisión y actualización de la escala salarial</t>
  </si>
  <si>
    <t>2.2.1.3.3</t>
  </si>
  <si>
    <t>Preparación de programa de compensación y beneficios</t>
  </si>
  <si>
    <t>2.2.1.3.4</t>
  </si>
  <si>
    <t>Plan de motivación y reconocimiento al personal</t>
  </si>
  <si>
    <t>2.2.1.4</t>
  </si>
  <si>
    <t>Diseño e implementación de un plan de desarrollo profesional por nivel de competencias</t>
  </si>
  <si>
    <t>2.2.1.5</t>
  </si>
  <si>
    <t>Diseño e implementación de la carrera de control interno de la CGR</t>
  </si>
  <si>
    <t>2.2.1.6</t>
  </si>
  <si>
    <t>Proyecto de acreditación y autonomía de la Escuela de Control Interno</t>
  </si>
  <si>
    <t>2.2.2.1</t>
  </si>
  <si>
    <t xml:space="preserve">Inscripción de auditores y otros profesionales de la CGR para la certificiación en COSO </t>
  </si>
  <si>
    <t>2.2.2.1.1</t>
  </si>
  <si>
    <t>Curso de preparación</t>
  </si>
  <si>
    <t>2.2.2.1.2</t>
  </si>
  <si>
    <t>Certificación</t>
  </si>
  <si>
    <t>2.2.2.2</t>
  </si>
  <si>
    <t>Inscripción de auditores para la certificación en CIA</t>
  </si>
  <si>
    <t>2.2.2.2.1</t>
  </si>
  <si>
    <t>2.2.2.2.2</t>
  </si>
  <si>
    <t>2.2.2.2.3</t>
  </si>
  <si>
    <t>Actualización de la certificación en CIA</t>
  </si>
  <si>
    <t>2.2.2.3</t>
  </si>
  <si>
    <t>Inscripción de auditores para la certificación en COBIT version vigente</t>
  </si>
  <si>
    <t>2.2.2.3.1</t>
  </si>
  <si>
    <t>2.2.2.3.2</t>
  </si>
  <si>
    <t>2.2.2.3.3</t>
  </si>
  <si>
    <t>Actualización de la certificación en COBIT version vigente</t>
  </si>
  <si>
    <t>2.2.2.4</t>
  </si>
  <si>
    <t xml:space="preserve">Asistencia técnica a la CGR para lograr cumplir con la Certificación de la CGR en la Norma para la seguridad de las tecnologías de la información y comunicación </t>
  </si>
  <si>
    <t>2.2.2.5</t>
  </si>
  <si>
    <t>Actualización y certificación en auditoría forense antifraude (AFA)</t>
  </si>
  <si>
    <t>2.2.2.5.1</t>
  </si>
  <si>
    <t>2.2.2.5.2</t>
  </si>
  <si>
    <t>2.2.2.5.3</t>
  </si>
  <si>
    <t xml:space="preserve">Actualización de la certificación </t>
  </si>
  <si>
    <t>2.2.3.1</t>
  </si>
  <si>
    <t>Elaboración de TDR para contratación de consultores para Asistencia Técnica consultores 2 y 3</t>
  </si>
  <si>
    <t>2.2.3.2</t>
  </si>
  <si>
    <t>Asistencia técnica a la CGR para normativa y  apoyar a las instituciones públicas en normas básicas de control interno y complementarias (medio ambiente, equidad de género, personas con discapacidad, cambio climático) más transferencia de conocimientos.</t>
  </si>
  <si>
    <t>2.2.3.2.1</t>
  </si>
  <si>
    <t>Consultor 1 - Elaboración y actualización de las normas de primer y segundo grado y rediseño de herramienta de medición y evaluación del control interno</t>
  </si>
  <si>
    <t>2.2.3.2.2</t>
  </si>
  <si>
    <t>Consultor 2 - medio ambiente y cambio climatico</t>
  </si>
  <si>
    <t>2.2.3.2.3</t>
  </si>
  <si>
    <t>Consultor 3 - Genero y discapacidad</t>
  </si>
  <si>
    <t>2.2.3.3</t>
  </si>
  <si>
    <t>Talleres de sensibilización y capacitación de multiplicadores de la CGRD y las instituciones auditadas, para el conocimiento y aplicación de las normas básicas y complementarias de control interno, y promoción de la interacción entre auditor y auditado, más transfeerencia de conocimientos.</t>
  </si>
  <si>
    <t>2.2.4</t>
  </si>
  <si>
    <t>2.2.4.1</t>
  </si>
  <si>
    <t>Levantamiento de información sobre el estado de diseño e implementación de los componentes de control interno</t>
  </si>
  <si>
    <t>2.2.4.2</t>
  </si>
  <si>
    <t>Diseño de Plan de Acción para la implementación</t>
  </si>
  <si>
    <t>2.2.4.3</t>
  </si>
  <si>
    <t>Desarrollo de los medios y elementos necesarios para la implementación del modelo de control interno institucional</t>
  </si>
  <si>
    <t>2.2.4.4</t>
  </si>
  <si>
    <t>Acompañamiento en la implementación</t>
  </si>
  <si>
    <t>Para los TdR de personal en misión la CGR tiene capacidades internas con el apoyo del BID</t>
  </si>
  <si>
    <t>2.3.1.3.1</t>
  </si>
  <si>
    <t>2.3.1.3.2</t>
  </si>
  <si>
    <t>2.3.1.3.3</t>
  </si>
  <si>
    <t>2.3.1.3.4</t>
  </si>
  <si>
    <t>2.3.1.3.5</t>
  </si>
  <si>
    <t>2.3.1.3.6</t>
  </si>
  <si>
    <t>2.3.1.3.7</t>
  </si>
  <si>
    <t>2.3.1.3.8</t>
  </si>
  <si>
    <t>2.3.1.3.9</t>
  </si>
  <si>
    <t>2.3.1.3.10</t>
  </si>
  <si>
    <t>2.3.1.3.12</t>
  </si>
  <si>
    <t>2.3.2.1</t>
  </si>
  <si>
    <t>Elaboración de TdR, borrador de SP y aviso de expresión de interés. Incluye el apoyo en la evaluación técnica de la propuestas</t>
  </si>
  <si>
    <t>2.3.2.2</t>
  </si>
  <si>
    <t>2.3.2.2.1</t>
  </si>
  <si>
    <t>2.3.2.2.2</t>
  </si>
  <si>
    <t>2.3.2.2.3</t>
  </si>
  <si>
    <t>2.3.2.2.4</t>
  </si>
  <si>
    <t>2.3.2.2.5</t>
  </si>
  <si>
    <t>2.3.2.8</t>
  </si>
  <si>
    <t>2.3.3.1</t>
  </si>
  <si>
    <t>2.3.3.2</t>
  </si>
  <si>
    <t>2.3.3.3</t>
  </si>
  <si>
    <t>2.3.3.4</t>
  </si>
  <si>
    <t>2.3.3.5</t>
  </si>
  <si>
    <t>2.3.3.6</t>
  </si>
  <si>
    <t>2.3.4.1</t>
  </si>
  <si>
    <t>2.3.4.2</t>
  </si>
  <si>
    <t>2.3.4.3</t>
  </si>
  <si>
    <t>2.3.4.4</t>
  </si>
  <si>
    <t>2.3.4.5</t>
  </si>
  <si>
    <t>2.3.5.1</t>
  </si>
  <si>
    <t>Asistencia en la conceptualización, elaboración y priorización del marco regulatorio necesario con base a las recomendaciones de la OCDE del producto 29</t>
  </si>
  <si>
    <t>3.1.4.1</t>
  </si>
  <si>
    <t>3.1.4.2</t>
  </si>
  <si>
    <t>3.1.4.3</t>
  </si>
  <si>
    <t>3.1.4.4</t>
  </si>
  <si>
    <t>3.1.4.5</t>
  </si>
  <si>
    <t>3.1.5.1</t>
  </si>
  <si>
    <t>3.1.5.2</t>
  </si>
  <si>
    <t>3.1.5.3</t>
  </si>
  <si>
    <t>3.1.5.4</t>
  </si>
  <si>
    <t>Consultoría para diagnóstico inicial, alcance y estandarización de procesos de investigación de denuncias y su seguimiento. 
Metodología estandarizada del proceso de investigación de denuncias</t>
  </si>
  <si>
    <t>Consultor 1</t>
  </si>
  <si>
    <t>Consultor 2</t>
  </si>
  <si>
    <t>Consultor 3</t>
  </si>
  <si>
    <t>3.4.2.1</t>
  </si>
  <si>
    <t>3.4.2.2</t>
  </si>
  <si>
    <t>3.4.2.3</t>
  </si>
  <si>
    <t>3.4.2.4</t>
  </si>
  <si>
    <t>Si</t>
  </si>
  <si>
    <t>Contratación de asistencia técnica para el MH en la etapa previa de arranque del programa y para el cumplimiento de condiciones previas al primer desembolso, elaboración de TDR para la UCP, ROP, asesoría para selección e integración de la UCP, en la actualización de la planificación y taller de arranque</t>
  </si>
  <si>
    <t>4.1.2</t>
  </si>
  <si>
    <t>Gestión el Programa - CGR</t>
  </si>
  <si>
    <t>4.1.2.1</t>
  </si>
  <si>
    <t>Coordinador del Proyecto</t>
  </si>
  <si>
    <t>4.1.2.2</t>
  </si>
  <si>
    <t>Especialista en P&amp;M</t>
  </si>
  <si>
    <t>4.1.2.3</t>
  </si>
  <si>
    <t>Esp. de Adquisiciones</t>
  </si>
  <si>
    <t>4.1.2.4</t>
  </si>
  <si>
    <t>Esp. Financiero</t>
  </si>
  <si>
    <t>4.1.2.5</t>
  </si>
  <si>
    <t>Especialista de Apoyo en Comunicaciones</t>
  </si>
  <si>
    <t>4.1.2.6</t>
  </si>
  <si>
    <t xml:space="preserve">Oficiales de Adquisiciones </t>
  </si>
  <si>
    <t>4.1.2.7</t>
  </si>
  <si>
    <t>Oficial Financiero</t>
  </si>
  <si>
    <t>4.1.2.8</t>
  </si>
  <si>
    <t>Country</t>
  </si>
  <si>
    <t>Operation Number</t>
  </si>
  <si>
    <t>Approval Number</t>
  </si>
  <si>
    <t>Executing Agency</t>
  </si>
  <si>
    <t>Coverage Plan</t>
  </si>
  <si>
    <t>Works Total</t>
  </si>
  <si>
    <t>Goods and Services Total</t>
  </si>
  <si>
    <t>Consulting Services Total</t>
  </si>
  <si>
    <t>External Audit</t>
  </si>
  <si>
    <t>National Systems</t>
  </si>
  <si>
    <t>Version</t>
  </si>
  <si>
    <t>Actividades sin programar en el PA</t>
  </si>
  <si>
    <t>WORKS, GOODS AND SERVICES</t>
  </si>
  <si>
    <t>LPI - LPN</t>
  </si>
  <si>
    <t>Información general</t>
  </si>
  <si>
    <t>Financiamiento</t>
  </si>
  <si>
    <t>Hitos</t>
  </si>
  <si>
    <t>Adquisiciones</t>
  </si>
  <si>
    <t>Proc Id</t>
  </si>
  <si>
    <t>Nombre del Proceso</t>
  </si>
  <si>
    <t>Descripción</t>
  </si>
  <si>
    <t xml:space="preserve"> Monto Estimado (USD)</t>
  </si>
  <si>
    <t>Monto Real  (USD)</t>
  </si>
  <si>
    <t>% Costo BID</t>
  </si>
  <si>
    <t>%  Contraparte Local</t>
  </si>
  <si>
    <t>% Co-Financiamiento</t>
  </si>
  <si>
    <t>Publicación Solicitud de Ofertas</t>
  </si>
  <si>
    <t>Recepción de Ofertas</t>
  </si>
  <si>
    <t>Informe de Evaluación</t>
  </si>
  <si>
    <t>Publicación de Adjudicación de Contrato</t>
  </si>
  <si>
    <t>Contrato Firmado</t>
  </si>
  <si>
    <t>Tipo de Adquisición</t>
  </si>
  <si>
    <t>Método de Adquisición</t>
  </si>
  <si>
    <t xml:space="preserve">Adquisición de bienes para el fortalecimiento de la infraestructura del sistema de información actual de contrataciones públicas </t>
  </si>
  <si>
    <t>Actual date</t>
  </si>
  <si>
    <t>TOTAL LPN/LPI</t>
  </si>
  <si>
    <t>LPI/LPN con PRECALIFICACIÓN</t>
  </si>
  <si>
    <t>Publicación Solicitud de Ofertas  - Inv. a precalificar</t>
  </si>
  <si>
    <t xml:space="preserve">Recepción de precalificación </t>
  </si>
  <si>
    <t>Recepción de precalificaciones</t>
  </si>
  <si>
    <t>Informe de Evaluación de Precalificación</t>
  </si>
  <si>
    <t>Invitación a Oferentes</t>
  </si>
  <si>
    <t>Acta de Apertura de Ofertas</t>
  </si>
  <si>
    <t>Estimated date</t>
  </si>
  <si>
    <t>Comparación de Precios/ Por invitación abierta &amp; Comparación de Precios/ Mínimo 3 Cotizaciones</t>
  </si>
  <si>
    <t>Informe de Evaluación y Recomendación de Adjudicación</t>
  </si>
  <si>
    <t>Contrato Firmado (Orden de Compra)</t>
  </si>
  <si>
    <t>Tipo de Supervisión</t>
  </si>
  <si>
    <t>Sepa ID</t>
  </si>
  <si>
    <t>Estado</t>
  </si>
  <si>
    <t>Lotes</t>
  </si>
  <si>
    <t>BAFO</t>
  </si>
  <si>
    <t>Bienes/Servicios de Consultoría
(Nuevo/Arrendamiento/Usado)</t>
  </si>
  <si>
    <t>Adquisición de equipos tecnológicos para el mejoramiento del tablero de precios de bienes adquiridos mediante compra pública</t>
  </si>
  <si>
    <t>TOTAL CP</t>
  </si>
  <si>
    <t>Licitación limitada</t>
  </si>
  <si>
    <t>Licitación en una solo etapa dos sobres con precalificación</t>
  </si>
  <si>
    <t>Informe de Evaluación de Precalificaciones</t>
  </si>
  <si>
    <t>Licitación en una sola etapa dos sobres</t>
  </si>
  <si>
    <t>Evaluación Final y Negociación de Contrato</t>
  </si>
  <si>
    <t>Contratación Directa</t>
  </si>
  <si>
    <t>Solicitud de Contratación Directa</t>
  </si>
  <si>
    <t>Notificación de Adjudicación</t>
  </si>
  <si>
    <t>Adminstración Directa</t>
  </si>
  <si>
    <t>Justificación de Administración Directa</t>
  </si>
  <si>
    <t>CONSULTING FIRMS</t>
  </si>
  <si>
    <t>Quality and Cost Based Selection</t>
  </si>
  <si>
    <t>Least Cost Selection</t>
  </si>
  <si>
    <t>Selección Basada en la Calidad y Costo (SBCC) / Selección Basada en el Menor Costo (SBMC) / Selección Basada en Presupuesto Fijo (SBPF)</t>
  </si>
  <si>
    <t>Selection Under a Fixed Budget</t>
  </si>
  <si>
    <t>Consulting Firms</t>
  </si>
  <si>
    <t xml:space="preserve">Procurement 100% funded by Agency </t>
  </si>
  <si>
    <t>Publicación de Solicitud de Expresión de Interés</t>
  </si>
  <si>
    <t>Solicitud de Propuesta</t>
  </si>
  <si>
    <t>Acta de Apertura de Propuestas</t>
  </si>
  <si>
    <t>Tipo de Selección</t>
  </si>
  <si>
    <t>Método de Selección</t>
  </si>
  <si>
    <t>Individual Consultants</t>
  </si>
  <si>
    <t>Single-Source Selection of Firms</t>
  </si>
  <si>
    <t>Ex-Ante</t>
  </si>
  <si>
    <t>Contratación de firma para la construcción de la arquitectura, hoja de ruta y arquitecturas de transición de los procesos, sistemas, datos y tecnología de interoperabilidad de acuerdo al marco de trabajo acordado en la misión</t>
  </si>
  <si>
    <t>Contratación de Firma para la definición de la arquitectura empresarial del nuevo sistema de compras públicas y el desarrollo de la Oficina de Gestión de Proyectos de TI de la DGCP</t>
  </si>
  <si>
    <t>P11</t>
  </si>
  <si>
    <t>P12</t>
  </si>
  <si>
    <t>P15</t>
  </si>
  <si>
    <t>Contratación de Firma de Tecnología para el diseño, desarrollo e implementación de la Plataforma de Seguimiento y Evaluación de componentes de integridad, Plataforma de cumplimiento e integridad para el sector privado, Plataforma para el seguimiento de compromisos internacionales, Plataforma para realizar investigaciones, seguimiento y respuesta a las denuncias ciudadanas, Herramientas informáticas para mejorar la participación ciudadana en políticas y control social y Sistema Nacional de Transparencia</t>
  </si>
  <si>
    <t>P31</t>
  </si>
  <si>
    <t>P32</t>
  </si>
  <si>
    <t>P33</t>
  </si>
  <si>
    <t>P34</t>
  </si>
  <si>
    <t>P35</t>
  </si>
  <si>
    <t>P36</t>
  </si>
  <si>
    <t>TOTAL SBCC</t>
  </si>
  <si>
    <t>Selección Basada en la Calidad (SBC)</t>
  </si>
  <si>
    <t>Individual Consultant Open Invitation</t>
  </si>
  <si>
    <t>Informe de Evaluacion Final y Negociación de Contrato</t>
  </si>
  <si>
    <t>Selection Based on the Consultants Qualification</t>
  </si>
  <si>
    <t>TOTAL SBC</t>
  </si>
  <si>
    <t>Selección Basada en Calificaciones de los Consultores (SCC)</t>
  </si>
  <si>
    <t>Contratación de una firma consultora para el diseño de una estrategia nacional de compra pública sostenible y su plan de implementación.</t>
  </si>
  <si>
    <t>P10</t>
  </si>
  <si>
    <t>Single-Source Selection of Individual Consultant</t>
  </si>
  <si>
    <t>TOTAL SCC</t>
  </si>
  <si>
    <t>Seleccion Directa (SD) / Seleccion Directa de Consultor Individual (SD)</t>
  </si>
  <si>
    <t>Solicitud de Selección Directa</t>
  </si>
  <si>
    <t>P29</t>
  </si>
  <si>
    <t>Total SD</t>
  </si>
  <si>
    <t>Seleccion de Consultor Individual (3CV) / Selección de Consultor Individual (por invitación abierta)</t>
  </si>
  <si>
    <t xml:space="preserve">Contratación de Especialistas para la gestión técnica de la arquitectura de interoperabilidad entre el MH, MEPyD, DGCP y CGRD </t>
  </si>
  <si>
    <t>Ex-Post</t>
  </si>
  <si>
    <t>Contratación de asistencia técnica especializada para elaboración de insumos para los TDR, hoja de ruta para el despliegue de los recursos del acuerdo marco y documentos de licitación para la contratación de la firma encargada del desarrollo la arquitectura e implementación de la interoperabilidad</t>
  </si>
  <si>
    <t>Contratación de Analista de Sistemas para la construcción de vistas y visualizaciones en MapaInversiones</t>
  </si>
  <si>
    <t>Contratación de Analista de Sistemas para la construcción de servicios web para informar el comportamiento financiero de proyectos y programación</t>
  </si>
  <si>
    <t>Contratación de Desarrolladores de Aplicaciones para la construcción de vistas y visualizaciones en MapaInversiones</t>
  </si>
  <si>
    <t>Contratación de Desarrolladores de Aplicaciones para la construcción de servicios web para informar el comportamiento financiero de proyectos y programación</t>
  </si>
  <si>
    <t>Contratación de Cientifico de Datos para la construcción de un tablero analítico que facilite la planificación de los proyectos</t>
  </si>
  <si>
    <t>Contratación de Analista de Datos para la construcción de un tablero analítico que facilite la planificación de los proyectos</t>
  </si>
  <si>
    <t>Contratación de consultor para la implementación de una mejora en Usabilidad del portal de transparencia Fiscal, mejora en la accesibilidad para población con condiciones especiales y mejorar la visualización de la trazabilidad de los recursos públicos, incluyendo Gobierno Locales</t>
  </si>
  <si>
    <t>Contratación de consultor para el diseño del tablero de control</t>
  </si>
  <si>
    <t xml:space="preserve">Contratación de un desarrollador senior para realizar ajustes mínimos al sistema actual del sistema de información actual de contrataciones públicas </t>
  </si>
  <si>
    <t xml:space="preserve">Contratación de un desarrollador junior para realizar ajustes mínimos al sistema actual del sistema de información actual de contrataciones públicas </t>
  </si>
  <si>
    <t xml:space="preserve">Contratación de un Experto Sistema Actual para realizar ajustes mínimos al sistema actual del sistema de información actual de contrataciones públicas </t>
  </si>
  <si>
    <t xml:space="preserve">Contratación de un Especialista Senior en desarrollo para realizar ajustes mínimos al sistema actual del sistema de información actual de contrataciones públicas </t>
  </si>
  <si>
    <t>Contratación de un desarrollador para el mejoramiento del tablero de precios de bienes adquiridos mediante compra pública</t>
  </si>
  <si>
    <t>Contratación de científico de datos para el mejoramiento del tablero de precios de bienes adquiridos mediante compra pública</t>
  </si>
  <si>
    <t>Contratación de un consultor para realizar estudio sobre la creación de la carrera especial en contratación pública del SNCCP</t>
  </si>
  <si>
    <t>P9</t>
  </si>
  <si>
    <t xml:space="preserve">Contratación de un especialista en Inversión Pública para el estudio, evaluación y selección del modelo a ser usado en la implementación del Sistema de Monitoreo, Seguimiento &amp; Evaluación de Proyectos de Inversión Pública a partir de los modelos presentados </t>
  </si>
  <si>
    <t>Contratación de un especialista en Inversión Pública para asistir en la elaboración de los TdR y documentos de licitación para la  contratación de una firma especialista en el Ciclo de Vida de Proyectos de Inversión Pública, arquitectura e implementación de software y gestión del cambio, para la implementación de las mejoras al SNIP y del nuevo sistema de Seguimiento, Monitoreo y Evaluación de los PIP</t>
  </si>
  <si>
    <t>Contratación de especialista en arquitectura empresarial para la elaboración de los TdR y documentos de licitación para la  contratación de una firma especialista en el Ciclo de Vida de Proyectos de Inversión Pública, arquitectura e implementación de software y gestión del cambio, para la implementación de las mejoras al SNIP y del nuevo sistema de Seguimiento, Monitoreo y Evaluación de los PIP.</t>
  </si>
  <si>
    <t>P14</t>
  </si>
  <si>
    <t>Contratación de consultor encargado para la elaboración de TdR para firma encargada del diseño e implementación de la Estrategia de Gestion del Cambio</t>
  </si>
  <si>
    <t>Contratación de Project Manager para el desarrollo del proceso de consulta del programa con el sector empresarial, talleres de co-construcción iterativo y el diagnostico de dimensionamiento, alcance del programa y sus componentes</t>
  </si>
  <si>
    <t>Contratación de consultor para el diseño de la curricula de acuerdo con la modalidad y del contenido del Programa de capacitación</t>
  </si>
  <si>
    <t>P38</t>
  </si>
  <si>
    <t>Adm - MH</t>
  </si>
  <si>
    <t>Contratación de un Oficial de Adquisiciones para la UCP / MH</t>
  </si>
  <si>
    <t>Contratación de un Oficial Financiero para la UCP / MH</t>
  </si>
  <si>
    <t>Contratación de un Especialista en comunicaciones</t>
  </si>
  <si>
    <t>Contratación de 6 project managers para apoyar a la Dirección del Programa</t>
  </si>
  <si>
    <t>Total 3CV</t>
  </si>
  <si>
    <t>CONSULTING FIRMS - EXTERNAL AUDIT</t>
  </si>
  <si>
    <t>Selección Basada en la Calidad y Costo (SBCC) / Selección Basada en el Menor Costo (SBMC)</t>
  </si>
  <si>
    <t>Seleccion Directa (SD)</t>
  </si>
  <si>
    <t>Solicitud de de Selección Directa</t>
  </si>
  <si>
    <t>NATIONAL SYSTEMS</t>
  </si>
  <si>
    <t>Método de adquisición 1</t>
  </si>
  <si>
    <t>Comienzo</t>
  </si>
  <si>
    <t>Completado</t>
  </si>
  <si>
    <t>NCB- ICB</t>
  </si>
  <si>
    <t>Common Data</t>
  </si>
  <si>
    <t>Financing</t>
  </si>
  <si>
    <t>Component</t>
  </si>
  <si>
    <t>Output</t>
  </si>
  <si>
    <t>Milestones</t>
  </si>
  <si>
    <t>Procurement</t>
  </si>
  <si>
    <t>Procurement Process name</t>
  </si>
  <si>
    <t>Description</t>
  </si>
  <si>
    <t xml:space="preserve"> Estimated Amount (USD)</t>
  </si>
  <si>
    <t>Actual Amount  (USD)</t>
  </si>
  <si>
    <t>% IDB Cost</t>
  </si>
  <si>
    <t>% Local Counterpart</t>
  </si>
  <si>
    <t>% Co-Financing</t>
  </si>
  <si>
    <t>Publication of SPN</t>
  </si>
  <si>
    <t>Bid Opening Record</t>
  </si>
  <si>
    <t>Evaluation Report</t>
  </si>
  <si>
    <t>Publication of Contract Award</t>
  </si>
  <si>
    <t>Signed Contract</t>
  </si>
  <si>
    <t>Procurement Type</t>
  </si>
  <si>
    <t>Procurement Method</t>
  </si>
  <si>
    <t>Supervision Type</t>
  </si>
  <si>
    <t>Status</t>
  </si>
  <si>
    <t>Lots</t>
  </si>
  <si>
    <t>Good/Consulting Services
(New/Lease/Used)</t>
  </si>
  <si>
    <t>Adquisición de Licenciamiento del Sistema de información para la gestión integral de riesgos en los procesos de control interno</t>
  </si>
  <si>
    <t>P28</t>
  </si>
  <si>
    <t>ICB/NCB with PREQUALIFICATION</t>
  </si>
  <si>
    <t>Publication of SPN - Inv. To Prequalify</t>
  </si>
  <si>
    <t>Prequalification Opening Record</t>
  </si>
  <si>
    <t>Prequalification Evaluation Report</t>
  </si>
  <si>
    <t>Invitation to Bidders</t>
  </si>
  <si>
    <t>Shopping/Request for Quotations by Open Invitation &amp; Shopping/ Request for Minimum 3 Quotations</t>
  </si>
  <si>
    <t>Evaluation Report and Award Recommendation</t>
  </si>
  <si>
    <t>Signed Contract (Purchase Order)</t>
  </si>
  <si>
    <t>Limited Bidding</t>
  </si>
  <si>
    <t>CB- Single Stages Two envelopes with Prequalification</t>
  </si>
  <si>
    <t>Final Evaluation and Contract Negotiation</t>
  </si>
  <si>
    <t xml:space="preserve">CB - Single Stages Two Envelopes </t>
  </si>
  <si>
    <t>Direct Contracting</t>
  </si>
  <si>
    <t>Request of Direct Contracting</t>
  </si>
  <si>
    <t>Notification of Award</t>
  </si>
  <si>
    <t>CB - Force Account</t>
  </si>
  <si>
    <t>Justification of Force Account</t>
  </si>
  <si>
    <t>Quality and Cost Based Selection/Least Cost Selection/Selection Under a Fixed Budget</t>
  </si>
  <si>
    <t>Publication of EOI Notice</t>
  </si>
  <si>
    <t>Request for Proposal</t>
  </si>
  <si>
    <t>Proposal Opening Record</t>
  </si>
  <si>
    <t>P13</t>
  </si>
  <si>
    <t xml:space="preserve">Contratación de firma para el diseño e implementación de la estrategia de gestión integral del cambio de control interno y transformación digital </t>
  </si>
  <si>
    <t>Contratación de Firma para proveer personal en Mision para fortalecer de capacidades de TI, contrapartes a las firmas de consultoría y transferir conocimiento a la Entidad - Fase 1</t>
  </si>
  <si>
    <t>P24</t>
  </si>
  <si>
    <t>Contratación de Firma (Fábrica de software) para la arquitectura estratégica, la arquitectura de segmento, herramienta para el ciclo de vida de las recomendaciones y ajustes a los sistemas actuales incluyendo interoperabilidad - Fase 1</t>
  </si>
  <si>
    <t>P25</t>
  </si>
  <si>
    <t>Contratación de firma para el diseño e implementación interfaz web del sistema Trámite Regular Estructurado</t>
  </si>
  <si>
    <t>P27</t>
  </si>
  <si>
    <t>Quality Based Selection</t>
  </si>
  <si>
    <t>Final Evaluation Report and Contract Negotiation</t>
  </si>
  <si>
    <t>Contratación de firma para el desarrollo del proceso para gestión integral de riesgos en los procesos de la administración financiera del Estado y sectoriales</t>
  </si>
  <si>
    <t>Contratación de firma para el desarrollo del curso de preparación para la certificación en COSO de auditores y otros profesionales de la CGR</t>
  </si>
  <si>
    <t>Contratación de firma para el desarrollo del curso de preparación para la certificación en CIA de auditores y otros profesionales de la CGR</t>
  </si>
  <si>
    <t>Contratación de firma para el desarrollo del curso de preparación para la certificación en AFA de auditores y otros profesionales de la CGR</t>
  </si>
  <si>
    <t>Single-Source Selection of Firms/ Single-Source Selection of Individual Consultant</t>
  </si>
  <si>
    <t>Request of Single Source Selection</t>
  </si>
  <si>
    <t>Signed contract</t>
  </si>
  <si>
    <t>Certificación en COSO de auditores y otros profesionales de la CGR</t>
  </si>
  <si>
    <t>Certificación en CIA de auditores y otros profesionales de la CGR</t>
  </si>
  <si>
    <t>Certificación en AFA de auditores y otros profesionales de la CGR</t>
  </si>
  <si>
    <t>Selección directa de Firma (Fábrica de software) para continuar con la Fase 2 de la construcción y pruebas de componentes de software</t>
  </si>
  <si>
    <t>Individual Consultant Selection (3CV)/ Individual Consultant Open Invitation</t>
  </si>
  <si>
    <t>Evaluation Report and Contract Negotiation</t>
  </si>
  <si>
    <t>Contratación de especialista en arquitectura empresarial para la elaboración de los TdR y documentos de licitación para la  contratación de una firma empresarial especialista en el Ciclo de Vida de Proyectos de Inversión Pública, arquitectura e implementación de software y gestión del cambio, para la implementación de las mejoras al SNIP y del nuevo sistema de Seguimiento, Monitoreo y Evaluación de los PIP.</t>
  </si>
  <si>
    <t>Consultor individual Derecho Administrativo para el Levantamiento de información sobre el modelo de gestión de la CGR existente e identificación de brechas de competencias y estándares internacionales</t>
  </si>
  <si>
    <t>Consultor individual en Tecnologías para el Levantamiento de información sobre el modelo de gestión de la CGR existente e identificación de brechas de competencias y estándares internacionales</t>
  </si>
  <si>
    <t>Consultor individual en Organización para el Levantamiento de información sobre el modelo de gestión de la CGR existente e identificación de brechas de competencias y estándares internacionales</t>
  </si>
  <si>
    <t xml:space="preserve">Contratación de consultor para el diseño del nuevo modelo de gestión de la CGR </t>
  </si>
  <si>
    <t>Contratación de consultor para el diseño del Plan Estratégico con base al modelo de gestión de la CGR</t>
  </si>
  <si>
    <t>Contratación de un Project Manager de apoyo para el componente 2</t>
  </si>
  <si>
    <t>Contratación de consultor para la elaboración de TdR y borrador de SP de una firma encargada de la transformación de Procesos misionales actuales priorizados y rediseño de la estructura organizacional de la CGR y Manual de Organización y Funciones</t>
  </si>
  <si>
    <t>Contratación de consultor para el desarrollo del proceso para la investigación, análisis y seguimiento de fraude y corrupción administrativa</t>
  </si>
  <si>
    <t xml:space="preserve">Contratación de consultor para el desarrollo del proceso para la prevención de fraudes con control social </t>
  </si>
  <si>
    <t>Contratación de consultor para el diseño e implementación de procesos y programas de prevención de fraude</t>
  </si>
  <si>
    <t xml:space="preserve">Contratación de consultor para el desarrollo protocolos, criterios y capacidades para la gestión de denuncias </t>
  </si>
  <si>
    <t>Contratación de consultor para la revisión y ajustes prioritarios a la estructura organizacional de la CGR</t>
  </si>
  <si>
    <t xml:space="preserve">Contratación de consultor para la elaboración de TdR y borrador de la SP firma encargada de la gestion del cambio de control interno y transformación digital </t>
  </si>
  <si>
    <t>Contratación de consultor para la elaboración de TDR para contratación de consultores para Asistencia Técnica consultores encargados de la elaboración y actualización de las normas de  medio ambiente, cambio climatico, Genero y discapacidad</t>
  </si>
  <si>
    <t>P22</t>
  </si>
  <si>
    <t>Contratación de consultor para la elaboración y actualización de las normas de primer y segundo grado y rediseño de herramienta de medición y evaluación del control interno</t>
  </si>
  <si>
    <t>Contratación de consultor para el análisis de capacidades de brechas basado en COBIT y generacion del plan de gobierno de TI</t>
  </si>
  <si>
    <t>Contratación de Consultor para la elaboración de TdR, borrador de SP y aviso de expresión de interés para la Fábrica de Software, incluye el apoyo en la evaluación técnica de las propuestas</t>
  </si>
  <si>
    <t>Contratación de 1 project mánager líder para apoyar a la Dirección del Programa</t>
  </si>
  <si>
    <t>Contratación de un Especialista en P&amp;M</t>
  </si>
  <si>
    <t>Adm - CGR</t>
  </si>
  <si>
    <t>Contratación de Especialista de Apoyo en Comunicaciones</t>
  </si>
  <si>
    <t>Contratación de un Oficial de Adquisiciones para la UEP / CGR</t>
  </si>
  <si>
    <t>Contratación de Oficial Financiero para la UEP / CGR</t>
  </si>
  <si>
    <t>Quality and Cost Based Selection/Least Cost Selection</t>
  </si>
  <si>
    <t>Procurement method 1</t>
  </si>
  <si>
    <t>Start</t>
  </si>
  <si>
    <t>Completion</t>
  </si>
  <si>
    <t>Acta de Apuertura de Ofertas</t>
  </si>
  <si>
    <r>
      <t xml:space="preserve">Tabla de Tiempos Promedios por Modalidad de Adquisición
</t>
    </r>
    <r>
      <rPr>
        <i/>
        <sz val="11"/>
        <color theme="1"/>
        <rFont val="Calibri"/>
        <family val="2"/>
        <scheme val="minor"/>
      </rPr>
      <t>en días hábiles</t>
    </r>
  </si>
  <si>
    <t>Etapa previa</t>
  </si>
  <si>
    <t>Etapa de Expresión de interés</t>
  </si>
  <si>
    <t>Etapa de contratación</t>
  </si>
  <si>
    <t>Subtotal</t>
  </si>
  <si>
    <t>Certificación CGR</t>
  </si>
  <si>
    <t>LPN</t>
  </si>
  <si>
    <t>sd</t>
  </si>
  <si>
    <t>Tipo de proceso</t>
  </si>
  <si>
    <t>T. Optimista (días)</t>
  </si>
  <si>
    <t>T. más probable (días)</t>
  </si>
  <si>
    <t>T. pesimista (días)</t>
  </si>
  <si>
    <t>PERT (media)</t>
  </si>
  <si>
    <t>Desviación estándar (σ)</t>
  </si>
  <si>
    <t>Meses
(días hábiles)</t>
  </si>
  <si>
    <t>Meses
(días corridos)</t>
  </si>
  <si>
    <t>CV3s</t>
  </si>
  <si>
    <t>CI SD</t>
  </si>
  <si>
    <t>Quick Wins del Programa 18 meses / primeros 6 meses (visibilidad)</t>
  </si>
  <si>
    <t>Componente / Subcomponente / Producto</t>
  </si>
  <si>
    <t>Fecha estimada (inicio)</t>
  </si>
  <si>
    <t>Liderazgo Técnico</t>
  </si>
  <si>
    <t>Fecha estimada</t>
  </si>
  <si>
    <t>6 meses / visibilidad</t>
  </si>
  <si>
    <t>Disponibilidad completa de los Equipos de proyecto de la UCP / MH y UEP / CGR necesarios para la ejecución, incluidos los Project managers que articularán la gestión con las partes interesadas del Programa</t>
  </si>
  <si>
    <t>UCP / UEP</t>
  </si>
  <si>
    <r>
      <t xml:space="preserve">C1. / Subcomponente 1.1 </t>
    </r>
    <r>
      <rPr>
        <b/>
        <sz val="11"/>
        <color theme="1"/>
        <rFont val="Calibri"/>
        <family val="2"/>
        <scheme val="minor"/>
      </rPr>
      <t xml:space="preserve">Transparencia en finanzas públicas </t>
    </r>
    <r>
      <rPr>
        <sz val="11"/>
        <color theme="1"/>
        <rFont val="Calibri"/>
        <family val="2"/>
        <scheme val="minor"/>
      </rPr>
      <t>/ Producto 2</t>
    </r>
  </si>
  <si>
    <r>
      <t xml:space="preserve">Avances en la Implementación de mejora en usabilidad en el </t>
    </r>
    <r>
      <rPr>
        <b/>
        <sz val="11"/>
        <color theme="1"/>
        <rFont val="Calibri"/>
        <family val="2"/>
        <scheme val="minor"/>
      </rPr>
      <t>portal de transparencia Fiscal</t>
    </r>
  </si>
  <si>
    <t xml:space="preserve"> Si</t>
  </si>
  <si>
    <r>
      <t xml:space="preserve">C1. / Subcomponente 1.1 </t>
    </r>
    <r>
      <rPr>
        <b/>
        <sz val="11"/>
        <color theme="1"/>
        <rFont val="Calibri"/>
        <family val="2"/>
        <scheme val="minor"/>
      </rPr>
      <t xml:space="preserve">Transparencia en finanzas públicas </t>
    </r>
    <r>
      <rPr>
        <sz val="11"/>
        <color theme="1"/>
        <rFont val="Calibri"/>
        <family val="2"/>
        <scheme val="minor"/>
      </rPr>
      <t>/ Producto 3</t>
    </r>
  </si>
  <si>
    <r>
      <t xml:space="preserve">C1. / Subcomponente 1.2 </t>
    </r>
    <r>
      <rPr>
        <b/>
        <sz val="11"/>
        <color theme="1"/>
        <rFont val="Calibri"/>
        <family val="2"/>
        <scheme val="minor"/>
      </rPr>
      <t xml:space="preserve">Eficiencia en las contrataciones públicas </t>
    </r>
    <r>
      <rPr>
        <sz val="11"/>
        <color theme="1"/>
        <rFont val="Calibri"/>
        <family val="2"/>
        <scheme val="minor"/>
      </rPr>
      <t>/ Producto 7</t>
    </r>
  </si>
  <si>
    <t>Avances en el desarrollo de los ajustes al Portal Transaccional actual de Republica Dominicana, mientras se diseña e implementa el nuevo sistema</t>
  </si>
  <si>
    <t>DGCP</t>
  </si>
  <si>
    <r>
      <t xml:space="preserve">C1. / Subcomponente 1.2 </t>
    </r>
    <r>
      <rPr>
        <b/>
        <sz val="11"/>
        <color theme="1"/>
        <rFont val="Calibri"/>
        <family val="2"/>
        <scheme val="minor"/>
      </rPr>
      <t xml:space="preserve">Eficiencia en las contrataciones públicas </t>
    </r>
    <r>
      <rPr>
        <sz val="11"/>
        <color theme="1"/>
        <rFont val="Calibri"/>
        <family val="2"/>
        <scheme val="minor"/>
      </rPr>
      <t>/ Producto 8</t>
    </r>
  </si>
  <si>
    <t>Elaboración de la Estrategia de analitica de datos para la compra pública en República Dominicana</t>
  </si>
  <si>
    <r>
      <t xml:space="preserve">C1. / Subcomponente 1.3 </t>
    </r>
    <r>
      <rPr>
        <b/>
        <sz val="11"/>
        <color theme="1"/>
        <rFont val="Calibri"/>
        <family val="2"/>
        <scheme val="minor"/>
      </rPr>
      <t xml:space="preserve">Eficiencia de la gestión de las inversiones públicas </t>
    </r>
    <r>
      <rPr>
        <sz val="11"/>
        <color theme="1"/>
        <rFont val="Calibri"/>
        <family val="2"/>
        <scheme val="minor"/>
      </rPr>
      <t>/ Producto 11</t>
    </r>
  </si>
  <si>
    <t>Ajustes a la plataforma de Mapa de inversiones para fortalecer la trazabilidad en la gestion de los recursos públicos</t>
  </si>
  <si>
    <t>MEPyD</t>
  </si>
  <si>
    <r>
      <t xml:space="preserve">C1. / Subcomponente 1.4 </t>
    </r>
    <r>
      <rPr>
        <b/>
        <sz val="11"/>
        <color theme="1"/>
        <rFont val="Calibri"/>
        <family val="2"/>
        <scheme val="minor"/>
      </rPr>
      <t xml:space="preserve">Integridad Financiera </t>
    </r>
    <r>
      <rPr>
        <sz val="11"/>
        <color theme="1"/>
        <rFont val="Calibri"/>
        <family val="2"/>
        <scheme val="minor"/>
      </rPr>
      <t>/ Producto 14</t>
    </r>
  </si>
  <si>
    <t>Insumos para el diseño del Modelo de Gestión del sistema de beneficiarios finales</t>
  </si>
  <si>
    <t>UAF / DGII</t>
  </si>
  <si>
    <r>
      <t xml:space="preserve">C2. / Subcomponente 2.1 </t>
    </r>
    <r>
      <rPr>
        <b/>
        <sz val="11"/>
        <color theme="1"/>
        <rFont val="Calibri"/>
        <family val="2"/>
        <scheme val="minor"/>
      </rPr>
      <t xml:space="preserve">Modelo de Gestión y estructura orgánica de la CGR </t>
    </r>
    <r>
      <rPr>
        <sz val="11"/>
        <color theme="1"/>
        <rFont val="Calibri"/>
        <family val="2"/>
        <scheme val="minor"/>
      </rPr>
      <t>/ Producto 16</t>
    </r>
  </si>
  <si>
    <r>
      <t xml:space="preserve">C2. / Subcomponente 2.1 </t>
    </r>
    <r>
      <rPr>
        <b/>
        <sz val="11"/>
        <color theme="1"/>
        <rFont val="Calibri"/>
        <family val="2"/>
        <scheme val="minor"/>
      </rPr>
      <t>Modelo de Gestión y estructura orgánica de la CGR</t>
    </r>
    <r>
      <rPr>
        <sz val="11"/>
        <color theme="1"/>
        <rFont val="Calibri"/>
        <family val="2"/>
        <scheme val="minor"/>
      </rPr>
      <t xml:space="preserve"> / Producto 18</t>
    </r>
  </si>
  <si>
    <t>Ajustes prioritarios a la organización de la CGR para cumplir su rol misional</t>
  </si>
  <si>
    <r>
      <t xml:space="preserve">C2. / Subcomponente 2.2 </t>
    </r>
    <r>
      <rPr>
        <b/>
        <sz val="11"/>
        <color theme="1"/>
        <rFont val="Calibri"/>
        <family val="2"/>
        <scheme val="minor"/>
      </rPr>
      <t xml:space="preserve">Desarrollo de competencias para el control interno </t>
    </r>
    <r>
      <rPr>
        <sz val="11"/>
        <color theme="1"/>
        <rFont val="Calibri"/>
        <family val="2"/>
        <scheme val="minor"/>
      </rPr>
      <t>/ Producto 21</t>
    </r>
  </si>
  <si>
    <t>Lanzamiento del programa de capacitación para la certificación del primer grupo de Auditores en COSO</t>
  </si>
  <si>
    <r>
      <t xml:space="preserve">C2. / Subcomponente 2.3 </t>
    </r>
    <r>
      <rPr>
        <b/>
        <sz val="11"/>
        <color theme="1"/>
        <rFont val="Calibri"/>
        <family val="2"/>
        <scheme val="minor"/>
      </rPr>
      <t xml:space="preserve">Tecnologías digitales </t>
    </r>
    <r>
      <rPr>
        <sz val="11"/>
        <color theme="1"/>
        <rFont val="Calibri"/>
        <family val="2"/>
        <scheme val="minor"/>
      </rPr>
      <t>/ Producto 24</t>
    </r>
  </si>
  <si>
    <t>Analisis de Capacidades de Brechas basado en COBIT y elaboración del plan de gobierno de TI</t>
  </si>
  <si>
    <r>
      <t xml:space="preserve">C3. / Subcomponente 3.1 </t>
    </r>
    <r>
      <rPr>
        <b/>
        <sz val="11"/>
        <color theme="1"/>
        <rFont val="Calibri"/>
        <family val="2"/>
        <scheme val="minor"/>
      </rPr>
      <t xml:space="preserve">Innovación pública para la Integridad y prevención de la corrupción </t>
    </r>
    <r>
      <rPr>
        <sz val="11"/>
        <color theme="1"/>
        <rFont val="Calibri"/>
        <family val="2"/>
        <scheme val="minor"/>
      </rPr>
      <t>/ Producto 29</t>
    </r>
  </si>
  <si>
    <t>Estudio de situación actual sobre la implementación de estandares OCDE en materia de integridad pública y recomendaciones</t>
  </si>
  <si>
    <r>
      <t xml:space="preserve">C3. / Subcomponente 3.1 </t>
    </r>
    <r>
      <rPr>
        <b/>
        <sz val="11"/>
        <color theme="1"/>
        <rFont val="Calibri"/>
        <family val="2"/>
        <scheme val="minor"/>
      </rPr>
      <t xml:space="preserve">Innovación pública para la Integridad y prevención de la corrupción </t>
    </r>
    <r>
      <rPr>
        <sz val="11"/>
        <color theme="1"/>
        <rFont val="Calibri"/>
        <family val="2"/>
        <scheme val="minor"/>
      </rPr>
      <t>/ Producto 32</t>
    </r>
  </si>
  <si>
    <t>Primera fase de la plataforma para el Programa de Cumplimiento e Integridad con el sector privado</t>
  </si>
  <si>
    <r>
      <t xml:space="preserve">C3. / Subcomponente 3.2 </t>
    </r>
    <r>
      <rPr>
        <b/>
        <sz val="11"/>
        <color theme="1"/>
        <rFont val="Calibri"/>
        <family val="2"/>
        <scheme val="minor"/>
      </rPr>
      <t xml:space="preserve">Participación, control social y gestión de denuncias de corrupción administrativa </t>
    </r>
    <r>
      <rPr>
        <sz val="11"/>
        <color theme="1"/>
        <rFont val="Calibri"/>
        <family val="2"/>
        <scheme val="minor"/>
      </rPr>
      <t>/ Producto 35</t>
    </r>
  </si>
  <si>
    <t>Diagnóstico de barreras y desafíos para la participación ciudadana y control social</t>
  </si>
  <si>
    <t>Estrategia para ampliar la participación ciudadana garantizando el acceso de mujeres y grupos diversos</t>
  </si>
  <si>
    <t>Diagnóstico, alcance, diseño de una herramienta informática para mejorar la participación ciudadana en políticas y control social</t>
  </si>
  <si>
    <t>Actividades priorizadas para los primeros 18 meses</t>
  </si>
  <si>
    <t>Ejecutor</t>
  </si>
  <si>
    <t>Componente / Subcomponente / Producto / Actividad</t>
  </si>
  <si>
    <t>Montos</t>
  </si>
  <si>
    <t>UCP / MH</t>
  </si>
  <si>
    <t>DIGES - MEPyD</t>
  </si>
  <si>
    <t>UAF - DGII</t>
  </si>
  <si>
    <t>UEP / CGR</t>
  </si>
  <si>
    <t>Revisar</t>
  </si>
  <si>
    <t>Acuerdo Marco 3 - SBCC</t>
  </si>
  <si>
    <t>9.1 Estructura del Proyecto</t>
  </si>
  <si>
    <t>Nombre Organismo Prestatario</t>
  </si>
  <si>
    <t>Nombre Organismo Sub-Ejecutor (si aplica)</t>
  </si>
  <si>
    <t>Iniciales Organismo Sub-ejecutor</t>
  </si>
  <si>
    <t>N/A</t>
  </si>
  <si>
    <r>
      <rPr>
        <b/>
        <sz val="10"/>
        <color indexed="10"/>
        <rFont val="Calibri"/>
        <family val="2"/>
        <scheme val="minor"/>
      </rPr>
      <t xml:space="preserve">NOTA: </t>
    </r>
    <r>
      <rPr>
        <sz val="10"/>
        <rFont val="Calibri"/>
        <family val="2"/>
        <scheme val="minor"/>
      </rPr>
      <t xml:space="preserve">
</t>
    </r>
    <r>
      <rPr>
        <b/>
        <sz val="10"/>
        <rFont val="Calibri"/>
        <family val="2"/>
        <scheme val="minor"/>
      </rPr>
      <t>1.</t>
    </r>
    <r>
      <rPr>
        <sz val="10"/>
        <rFont val="Calibri"/>
        <family val="2"/>
        <scheme val="minor"/>
      </rPr>
      <t xml:space="preserve"> Solo puede existir un Organismo Coordinador que "coordina" y hace envio del Plan de Adquisiciones al Banco
</t>
    </r>
    <r>
      <rPr>
        <b/>
        <sz val="10"/>
        <rFont val="Calibri"/>
        <family val="2"/>
        <scheme val="minor"/>
      </rPr>
      <t>2.</t>
    </r>
    <r>
      <rPr>
        <sz val="10"/>
        <rFont val="Calibri"/>
        <family val="2"/>
        <scheme val="minor"/>
      </rPr>
      <t xml:space="preserve"> Para Cada Organismo Sub-ejecutor hay que cargar una ficha # 2 por separado ingresando los procesos que les corresponde</t>
    </r>
  </si>
  <si>
    <t>COMPONENTES? (SI / NO)</t>
  </si>
  <si>
    <t>Nombre de los componentes (listar por numero o letra)</t>
  </si>
  <si>
    <t xml:space="preserve">Si </t>
  </si>
  <si>
    <t>No</t>
  </si>
  <si>
    <r>
      <rPr>
        <b/>
        <sz val="10"/>
        <color indexed="10"/>
        <rFont val="Calibri"/>
        <family val="2"/>
        <scheme val="minor"/>
      </rPr>
      <t>NOTA:</t>
    </r>
    <r>
      <rPr>
        <sz val="10"/>
        <rFont val="Calibri"/>
        <family val="2"/>
        <scheme val="minor"/>
      </rPr>
      <t xml:space="preserve">
Hacer nombramiento de los componentes que figuran en el acuerdo de prestamo; solo utilizar los componentes principales y no los sub-componentes</t>
    </r>
  </si>
  <si>
    <t xml:space="preserve">9.2 Plan de Adquisiciones </t>
  </si>
  <si>
    <t>INFORMACIÓN PARA CARGA INICIAL DEL PLAN DE ADQUISICIONES 
EN CURSO Y/O ULTIMO PRESENTADO</t>
  </si>
  <si>
    <t>1. Cobertura del Plan de Adquisiciones</t>
  </si>
  <si>
    <t>Dato</t>
  </si>
  <si>
    <t>Desde</t>
  </si>
  <si>
    <t>Hasta</t>
  </si>
  <si>
    <t>Cobertura del Plan de Adquisiciones:</t>
  </si>
  <si>
    <t xml:space="preserve">Año 1 </t>
  </si>
  <si>
    <t>2. Versión del Plan de Adquisiciones</t>
  </si>
  <si>
    <t>Versión ( 1-2017 -Incluir Año-) :</t>
  </si>
  <si>
    <t>3. Tipos de Gasto</t>
  </si>
  <si>
    <t>Categoría de Adquisición</t>
  </si>
  <si>
    <t>Monto Financiado por el Banco</t>
  </si>
  <si>
    <t>Monto Total Proyecto (Incluyendo Contraparte)</t>
  </si>
  <si>
    <t>Servicios de No Consultoría</t>
  </si>
  <si>
    <t>Gastos Operativos</t>
  </si>
  <si>
    <t>Consultoría (firmas)</t>
  </si>
  <si>
    <t>Transferencias</t>
  </si>
  <si>
    <t>Subproyectos Comunitarios</t>
  </si>
  <si>
    <t>No asignados</t>
  </si>
  <si>
    <t>4. Componentes</t>
  </si>
  <si>
    <t>Componente de Inversión</t>
  </si>
  <si>
    <t>Trimestre I</t>
  </si>
  <si>
    <t>Trimestre II</t>
  </si>
  <si>
    <t>Trimestre III</t>
  </si>
  <si>
    <t>Trimestre IV</t>
  </si>
  <si>
    <t>Cant. Dias</t>
  </si>
  <si>
    <t>Tarifa</t>
  </si>
  <si>
    <t>Costo</t>
  </si>
  <si>
    <t>PA</t>
  </si>
  <si>
    <t>CCI 1</t>
  </si>
  <si>
    <t>CCI o Firma</t>
  </si>
  <si>
    <t>Ilustración 1. Pentágono de un Sistema Integrado de Gestión</t>
  </si>
  <si>
    <t>Programa de Apoyo a la Agenda de Transparencia e Integridad en República Dominicana (DR-L1150)</t>
  </si>
  <si>
    <t>Costos de Gestión del Programa - Primera aproximación</t>
  </si>
  <si>
    <t>Cantidad</t>
  </si>
  <si>
    <t>Mes</t>
  </si>
  <si>
    <t xml:space="preserve">Costos de Administración </t>
  </si>
  <si>
    <t>Para cargar a los Componentes</t>
  </si>
  <si>
    <t xml:space="preserve">Gestión del Programa </t>
  </si>
  <si>
    <t xml:space="preserve">Administración - Ministerio de Hacienda </t>
  </si>
  <si>
    <t>Coordinador Gral. del Proyecto</t>
  </si>
  <si>
    <t>Coordinador Planificación &amp; Monitoreo</t>
  </si>
  <si>
    <t>4.1.3</t>
  </si>
  <si>
    <t>Especialista en Adquisiciones</t>
  </si>
  <si>
    <t>4.1.4</t>
  </si>
  <si>
    <t>Especialista Financiero</t>
  </si>
  <si>
    <t>4.1.5</t>
  </si>
  <si>
    <t>Coordinador en Comunicación Estratégica del Programa</t>
  </si>
  <si>
    <r>
      <t>Podría ser un servicio externo contratado por producto y no necesariamente un consultor permanente.</t>
    </r>
    <r>
      <rPr>
        <b/>
        <sz val="11"/>
        <color rgb="FFFF0000"/>
        <rFont val="Calibri"/>
        <family val="2"/>
        <scheme val="minor"/>
      </rPr>
      <t xml:space="preserve"> De acuerdo, eso lo programamos en el Plan de Adquisiciones.</t>
    </r>
  </si>
  <si>
    <t>4.1.6</t>
  </si>
  <si>
    <r>
      <t>Lo mismo</t>
    </r>
    <r>
      <rPr>
        <b/>
        <sz val="11"/>
        <color rgb="FFFF0000"/>
        <rFont val="Calibri"/>
        <family val="2"/>
        <scheme val="minor"/>
      </rPr>
      <t>. Idem respuesta</t>
    </r>
  </si>
  <si>
    <t>4.1.7</t>
  </si>
  <si>
    <t>4.1.8</t>
  </si>
  <si>
    <t xml:space="preserve">Oficiales de Adquisiones </t>
  </si>
  <si>
    <t>4.1.9</t>
  </si>
  <si>
    <t>4.1.10</t>
  </si>
  <si>
    <t>Asesoría Especializada en Project Management</t>
  </si>
  <si>
    <r>
      <t>Consultoría por servicio pero no me queda muy claro lo que haría exactamente sin traslaparse con los coordinadores por componentes.</t>
    </r>
    <r>
      <rPr>
        <sz val="11"/>
        <color rgb="FFFF0000"/>
        <rFont val="Calibri"/>
        <family val="2"/>
        <scheme val="minor"/>
      </rPr>
      <t xml:space="preserve"> </t>
    </r>
    <r>
      <rPr>
        <b/>
        <sz val="11"/>
        <color rgb="FFFF0000"/>
        <rFont val="Calibri"/>
        <family val="2"/>
        <scheme val="minor"/>
      </rPr>
      <t>Esto es un servicio especializado en Project Management, que se podría brindar durante la ejecución para ayudar metodológicamente, estratégica y hasta técnica según lo que más se necesite (desarrollando procedimientos, estandares, capacitación y apoyo en el planeamiento, elaboración de TDR muy especializado y supervisión, etc, esto se configura a medida y según el monto disponible). Este modelo el Banco lo ha implementado en paises como Colombia y Panamá (Metro de Bogotá - Proyectos de Agua y Saneamiento). En Paraguay, el BID nos contrató a nosotros por ejemplo y brindamos ese servicio al Ministerio de OBras por más de 5 años para ayudarlos a instalar capacidades, apoyar en cumplir condiciones, elaborar TDR/EETT, entre otros en equipos que entraban y salian de su portafolio de proyectos.</t>
    </r>
    <r>
      <rPr>
        <sz val="11"/>
        <color theme="1"/>
        <rFont val="Calibri"/>
        <family val="2"/>
        <scheme val="minor"/>
      </rPr>
      <t xml:space="preserve">  </t>
    </r>
    <r>
      <rPr>
        <sz val="11"/>
        <color rgb="FFFF0000"/>
        <rFont val="Calibri"/>
        <family val="2"/>
        <scheme val="minor"/>
      </rPr>
      <t>Toca confirmar si nos sentimos cómodos incluir ya esto a estas alturas, pero tengo la sensación que a Gian Lucas del MH le gustaría mucho esta asistencia durante la ejecución.</t>
    </r>
  </si>
  <si>
    <t>4.1.11</t>
  </si>
  <si>
    <t>4.1.12</t>
  </si>
  <si>
    <t>Project Manager (por grupo de productos - p/entidad)</t>
  </si>
  <si>
    <t>4.1.13</t>
  </si>
  <si>
    <t xml:space="preserve">Especialistas Técnicos - Personal incremental </t>
  </si>
  <si>
    <t>Administración - Contraloría General de la República</t>
  </si>
  <si>
    <t>4.2.2</t>
  </si>
  <si>
    <t>4.2.3</t>
  </si>
  <si>
    <t>4.2.4</t>
  </si>
  <si>
    <t>4.2.5</t>
  </si>
  <si>
    <t>4.2.6</t>
  </si>
  <si>
    <t>4.2.7</t>
  </si>
  <si>
    <t>4.2.8</t>
  </si>
  <si>
    <t>4.2.9</t>
  </si>
  <si>
    <t>Project Manager (por grupo de productos)</t>
  </si>
  <si>
    <t>4.2.10</t>
  </si>
  <si>
    <t>Evaluación</t>
  </si>
  <si>
    <r>
      <t xml:space="preserve">me parece muy alto y si hacemos un ACB ex post no lo necesitamos pues la referencia será los resultados del ACB ex ante. </t>
    </r>
    <r>
      <rPr>
        <b/>
        <sz val="11"/>
        <color rgb="FFFF0000"/>
        <rFont val="Calibri"/>
        <family val="2"/>
        <scheme val="minor"/>
      </rPr>
      <t>Elimine el monto</t>
    </r>
  </si>
  <si>
    <r>
      <t xml:space="preserve">300 mil para impacto me parece mucho. Para fines del Banco con un ACB ex post bastaría y el costo sería muchísimo menor. </t>
    </r>
    <r>
      <rPr>
        <b/>
        <sz val="11"/>
        <color rgb="FFFF0000"/>
        <rFont val="Calibri"/>
        <family val="2"/>
        <scheme val="minor"/>
      </rPr>
      <t>Listo, inclui una propuesta de ajuste. ¿Cómo lo ves?</t>
    </r>
  </si>
  <si>
    <t>4.4</t>
  </si>
  <si>
    <t>Auditoría</t>
  </si>
  <si>
    <t>9.3 Plan de Adquisiciones Detallado</t>
  </si>
  <si>
    <t>INFORMACIÓN PARA CARGA INICIAL DEL PLAN DE ADQUISICIONES</t>
  </si>
  <si>
    <t>OBRAS</t>
  </si>
  <si>
    <t>Unidad Ejecutora:</t>
  </si>
  <si>
    <t>Actividad:</t>
  </si>
  <si>
    <t>Descripción adicional:</t>
  </si>
  <si>
    <t>Método de Adquisición:</t>
  </si>
  <si>
    <t>Cantidad de Lotes :</t>
  </si>
  <si>
    <t>Número de Proceso:</t>
  </si>
  <si>
    <t xml:space="preserve">Monto Estimado </t>
  </si>
  <si>
    <t>Componente Asociado:</t>
  </si>
  <si>
    <t>Método de Revisión:</t>
  </si>
  <si>
    <t>Fechas</t>
  </si>
  <si>
    <t xml:space="preserve">Comentarios </t>
  </si>
  <si>
    <t>Monto Estimado en US$:</t>
  </si>
  <si>
    <t>Monto Estimado % BID:</t>
  </si>
  <si>
    <t>Monto Estimado % Contraparte:</t>
  </si>
  <si>
    <t>Aviso Especial de Adquisiciones</t>
  </si>
  <si>
    <t>Firma del Contrato</t>
  </si>
  <si>
    <t xml:space="preserve"> -</t>
  </si>
  <si>
    <t>TOTAL DE OBRAS</t>
  </si>
  <si>
    <t>BIENES</t>
  </si>
  <si>
    <t>Documento de Licitación</t>
  </si>
  <si>
    <t>UEP/CGR</t>
  </si>
  <si>
    <r>
      <t xml:space="preserve">Adquisición de licencias para uso de software SIEM </t>
    </r>
    <r>
      <rPr>
        <i/>
        <sz val="9"/>
        <rFont val="Calibri"/>
        <family val="2"/>
        <scheme val="minor"/>
      </rPr>
      <t>(Security Information and Event Management)</t>
    </r>
    <r>
      <rPr>
        <sz val="9"/>
        <rFont val="Calibri"/>
        <family val="2"/>
        <scheme val="minor"/>
      </rPr>
      <t>, que incluye servicio de implementación, configuración y soporte para los controles de ciberseguridad de la CGR</t>
    </r>
  </si>
  <si>
    <t>P23</t>
  </si>
  <si>
    <t>Licitación Pública Internacional</t>
  </si>
  <si>
    <t>Noviembre 2023</t>
  </si>
  <si>
    <t>Mayo 2024</t>
  </si>
  <si>
    <t>Trimestre III 
Año 2</t>
  </si>
  <si>
    <t>Trimestre I 
Año 3</t>
  </si>
  <si>
    <t>Adquisición de Firewall de base de datos y sensores de ciberseguridad para los controles de ciberseguridad de la CGR</t>
  </si>
  <si>
    <t>Adquisición de Herramientas de apoyo para el Ciclo de Vida de desarrollo para el software seguro ( SSDLC -Secure Software Development Life Cycle) para los controles de ciberseguridad de la  CGR</t>
  </si>
  <si>
    <t>Marzo 2023</t>
  </si>
  <si>
    <t>Septiembre 2023</t>
  </si>
  <si>
    <t>Trimestre IV 
Año 1</t>
  </si>
  <si>
    <t>Trimestre II 
Año 2</t>
  </si>
  <si>
    <t>TOTAL DE BIENES</t>
  </si>
  <si>
    <t>SERVICIOS DE NO CONSULTORÍA</t>
  </si>
  <si>
    <t>Contratación de servicios de tecnología en la nube y licenciamiento para el Tablero de Control y Funcionalidades Analíticas para soportar la toma de decisiones en la trazabilidad de los recursos públicos</t>
  </si>
  <si>
    <t>Licitación Pública Nacional</t>
  </si>
  <si>
    <t>Junio 2023</t>
  </si>
  <si>
    <t>Octubre 2023</t>
  </si>
  <si>
    <t>Trimestre I 
Año 1</t>
  </si>
  <si>
    <t>Trimestre II 
Año 1</t>
  </si>
  <si>
    <t>UEP-CGR</t>
  </si>
  <si>
    <t>Contratación de servicios para la realización de talleres de sensibilización y capacitación entre la CGRD y las instituciones auditadas</t>
  </si>
  <si>
    <t>Febrero 2023</t>
  </si>
  <si>
    <t>Julio 2023</t>
  </si>
  <si>
    <t>Trimestre I 
Año 2</t>
  </si>
  <si>
    <t>Contratación de servicios para el diseño y desarrollo de contenidos multimedia para el Programa de comunicación que facilite la difusión a la ciudadanía sobre los fines, actividades y resultados de la DIGEIG</t>
  </si>
  <si>
    <t>P37</t>
  </si>
  <si>
    <t>Enero 2023</t>
  </si>
  <si>
    <t>Contratación de servicios para el diseño y desarrollo de contenidos multimedia para el Programa de capacitación para las nuevas modalidades de gestión de la DGEIG dirigidas a las CEP y a los responsables de acceso a la información pública desarrollado</t>
  </si>
  <si>
    <t>Mayo 2023</t>
  </si>
  <si>
    <t>TOTAL DE SERVICIOS DE NO CONSULTORÍA</t>
  </si>
  <si>
    <t>CONSULTORÍAS FIRMAS</t>
  </si>
  <si>
    <t>Contratación de firma consultora para la construcción de servicios web y ajustes prioritarios a sistemas para la interoperabilidad entre sistemas de presupuesto, proyectos de inversión, procesos de contratación y contratos</t>
  </si>
  <si>
    <t>Selección Basada en Calidad y Costo</t>
  </si>
  <si>
    <t>Octubre 2022</t>
  </si>
  <si>
    <t>Trimestre III
Año 1</t>
  </si>
  <si>
    <t>Contratación de firma consultora para la preparación de la arquitectura, hoja de ruta y arquitecturas de transición de los procesos, sistemas, datos y tecnología de interoperabilidad para implementar los procesos de interoperabilidad en MH, MEPYD, DGCP y CGRD</t>
  </si>
  <si>
    <t>Trimestre III 
Año 1</t>
  </si>
  <si>
    <t>Contratación de firma consultora para la implementación de procesos priorizados según el diseño de la arquitectura para implementar los procesos de interoperabilidad en MH, MEPYD, DGCP y CGRD, incluyendo nodos X-Road y servicios de ciberseguridad</t>
  </si>
  <si>
    <t>Diciembre 2023</t>
  </si>
  <si>
    <t>Junio 2024</t>
  </si>
  <si>
    <t>Trimestre II
Año 2</t>
  </si>
  <si>
    <t xml:space="preserve">Contratación de firma consultora para el diseño de mejoras al portal de transparencia fiscal incluyendo temas de usabilidad, navegación, accesibilidad para personas con discapacidad </t>
  </si>
  <si>
    <t>Febrero 2024</t>
  </si>
  <si>
    <t>Trimestre III
Año 2</t>
  </si>
  <si>
    <t>Contratación de firma consultora para la realización de la Arquitectura de analítica, hoja de ruta y diseño, construcción, pruebas e implementación del Tablero de Control y Funcionalidades Analíticas para soportar la toma de decisiones en la trazabilidad de los recursos públicos</t>
  </si>
  <si>
    <t>Contratación de firma consultora para el diseño e implementación de la estrategia de gestión del cambio, comunicaciones y despliegue de los procesos de interoperabilidad implementados desde el Ministerio de Hacienda</t>
  </si>
  <si>
    <t>Agosto 2023</t>
  </si>
  <si>
    <t>Enero 2024</t>
  </si>
  <si>
    <t>Contratación de firma consultora para la realización de ajustes mínimos al Sistema de  información de Contrataciones Públicas actual para interoperar con el sistema electrónico del MH, MEPYD y CGRD</t>
  </si>
  <si>
    <t>Diciembre 2022</t>
  </si>
  <si>
    <t>Trimestre I
Año 2</t>
  </si>
  <si>
    <t>Contratación de firma para la construcción e implementación de un tablero de precios y una herramienta de alertas tempranas que incluya alertas y reportes de riesgos de integridad y eficiencia para la Dirección General de Contrataciones Públicas</t>
  </si>
  <si>
    <t>Junio 2022</t>
  </si>
  <si>
    <t>Trimestre I
Año 1</t>
  </si>
  <si>
    <t>Contratación de firma consultora para el diseño del Modelo de Gestión de Recursos Humanos de Contrataciones Públicas y el desarrollo de actividades de implementación tales como: estrategia de certificación, plan de formación y capacitaciones en temas de contratación pública de vanguardia, dirigidas a proveedores y sociedad civil, entre otras</t>
  </si>
  <si>
    <t>Contratación de firma para la elaboración de estrategia para la promoción de la participación de las empresas lideradas por mujeres en los procesos de contrataciones públicas, incluye diagnóstico de barreras de entradas para proveedoras mujeres y desafíos de unidades de compra</t>
  </si>
  <si>
    <t>Selección Basada en Calificación de Consultores</t>
  </si>
  <si>
    <t>Trimestre II
Año 1</t>
  </si>
  <si>
    <t>Contratación de firma para el desarrollo de acciones de comunicación de la estrategia  para la incorporación de criterios sostenibles en las contrataciones públicas</t>
  </si>
  <si>
    <t>Contratación de firma para la Capacitación de funcionarios y proveedores en compras sustentables</t>
  </si>
  <si>
    <t>Abril 2024</t>
  </si>
  <si>
    <t>Contratación de firma para la elaboración de guías y manuales de buenas prácticas en compras sostenibles con enfoque ambiental para la Dirección General de Contrataciones Públicas</t>
  </si>
  <si>
    <t xml:space="preserve">Contratación de firma consultora para la realización de ajustes mínimos al Sistema de información de Inversión Pública (SNIP) actual </t>
  </si>
  <si>
    <t>Contratación de firma consultora para el diseño de instrumento regulatorio para la propuesta de marco legal y regulatorio del Régimen de Beneficiarios Finales de personas y estructuras jurídicas de la República Dominicana</t>
  </si>
  <si>
    <t>Contratación de firma para el diseño, desarrollo, implementación y despliegue del Sistema tecnológico para el Registro de Beneficiarios Finales de personas y estructuras jurídicas</t>
  </si>
  <si>
    <t>Trimestre IV
Año 1</t>
  </si>
  <si>
    <t>Contratación de firma consultora para el diseño e implementación de la Estrategia de Gestión del Cambio del Registro de Beneficiarios Finales, incluyendo un Plan de Implementación, capacitaciones y actividades de comunicación dirigidas a actores del sector público y privado</t>
  </si>
  <si>
    <t>Noviembre 2022</t>
  </si>
  <si>
    <t>Abril 2023</t>
  </si>
  <si>
    <t>Contratación de firma para el diseño del Modelo de Gestión de la Contraloría General de la República Dominicana, incluyendo el levantamiento de información del método existente e identificación de brechas de competencias normativas, organizacionales y tecnológicas</t>
  </si>
  <si>
    <t>Contratación de firma para la transformación de procesos misionales actuales priorizados y el desarrollo de nuevos procesos en la Contraloría General de la República, en el marco de su transformación digital</t>
  </si>
  <si>
    <t>Contratación de firma para la reorganización de funciones y cargos de la Contraloría General de la República y las Unidades de Control Interno, alineados a su modelo de gestión y transformación digital, incluyendo manuales, estructura organizacional y de cargos, modelo de las UCI</t>
  </si>
  <si>
    <t>Contratación de firma para el diseño e implementación de Estrategia de Gestión Integral del Cambio al marco integral de control interno y transformación digital de la Contraloría General de la República, incluye implementación de campañas de comunicación, talleres de sensibilización dirigidas a actores internos y externos, y el monitoreo y evaluación de la gestión del cambio</t>
  </si>
  <si>
    <t>Contratación de firma para el dimensionamiento y gestión de las brechas de de competencias según modelo de talento humano de la Contraloría General de la República, incluyendo el levantamiento de información sobre brechas de competencia y necesidades, el diseño de modelo de talento humano y la elaboración del plan para identificar y atraer recursos humanos</t>
  </si>
  <si>
    <t>Contratación de firma para el desarrollo del programa de especialización en transparencia e integridad en el uso de los recursos públicos  para la Contraloría General de la República Dominicana</t>
  </si>
  <si>
    <t>Contratación de firma para la identificación de las necesidades tecnológicas de infraestructura y servicios de tecnologías digitales (Capacity Planning) de la Contraloría General de la República Dominicana</t>
  </si>
  <si>
    <t xml:space="preserve">Contratación de fábrica de software para la construcción de módulos funcionales de procesos de la Contraloría General de la República en el marco de la transformación digital del modelo de control </t>
  </si>
  <si>
    <t xml:space="preserve">Contratación de firma para la realización de asistencia técnica en transferencia de conocimiento para el diseño e implantación de metodologías del ciclo de vida de desarrollo para el software seguro (SSDLC), en el marco de los controles de ciberseguridad de la CGR </t>
  </si>
  <si>
    <t xml:space="preserve">Contratación de firma para la realización de asistencia técnica con servicios de apoyo en el desarrollo de software seguro en el marco de la implementación del ciclo de vida de desarrollo para el software seguro (SSDLC) de los controles de ciberseguridad de la CGR </t>
  </si>
  <si>
    <t>Contratación de firma para la realización de asistencia técnica para el diseño del Plan de Continuidad de Negocios (BCP) y el Plan de Recuperación de Desastres (DRP) en el marco de la implementación de los controles de ciberseguridad de la CGR</t>
  </si>
  <si>
    <t>Contratación de fábrica de software para la construcción de servicios web para consumo, conforme al modelo de interoperabilidad  que integre los sistemas del MH, el MEPYD, la DGCP y la CGR</t>
  </si>
  <si>
    <t>Contratación de firma para el licenciamiento, parametrización e implementación del sistema de información para la gestión integral de riesgos en los procesos de control interno para la CGR</t>
  </si>
  <si>
    <t>Contratación de firma para el diseño y desarrollo de algoritmos del modelo analítico para la toma de decisiones gerencial en control interno de la CGR</t>
  </si>
  <si>
    <t>P26</t>
  </si>
  <si>
    <t>Contratación de firma para la definición de los procesos y estructura organizacional necesaria para la gestión de conflictos de interés por parte de la DIGEIG en coordinación con Consejos de Ética Pública</t>
  </si>
  <si>
    <t>P30</t>
  </si>
  <si>
    <t xml:space="preserve">Contratación de firma para el diseño e implementación de una plataforma informática de gestión de integridad y conflictos de intereses para la DIGEIG, incluye capacitación y diseño e implementación de la interoperabilidad con los sistemas de información del MAP </t>
  </si>
  <si>
    <t>Contratación de firma para el diseño, implementación y despliegue de la metodología para la identificación, análisis y gestión de riesgos sistémicos, incluye capacitación a funcionarios de la DIGEIG y monitoreo de resultados</t>
  </si>
  <si>
    <t>Diciembre 2024</t>
  </si>
  <si>
    <t>Trimestre IV 
Año 2</t>
  </si>
  <si>
    <t>Trimestre II
Año 3</t>
  </si>
  <si>
    <t>Contratación de firma para el desarrollo de Programas de cumplimiento e integridad corporativa para el sector privado de la DIGEIG, incluye desarrollo de una plataforma y capacitación</t>
  </si>
  <si>
    <t>Contratación de firma para el diseño, desarrollo e implementación de un tablero de control para el seguimiento de compromisos asumidos por el país ante organismos e iniciativas internacionales de gobiernos abierto, y de prevención y control de corrupción para la DIGEIG</t>
  </si>
  <si>
    <t>Febrero 2025</t>
  </si>
  <si>
    <t>Julio 2025</t>
  </si>
  <si>
    <t>Trimestre I
Año 3</t>
  </si>
  <si>
    <t>Contratación de firma para el diseño, desarrollo e implementación de una metodología para realizar investigaciones y dar seguimiento y respuesta a las denuncias ciudadanas para la DIGEIG</t>
  </si>
  <si>
    <t>Contratación de firma para el diseño de diagnóstico de barreras y desafíos para la participación ciudadana y control social, examinando aspectos de género y diversidad</t>
  </si>
  <si>
    <t>Contratación de firma para el diseño y construcción de herramientas informáticas para la participación ciudadana en políticas y control social</t>
  </si>
  <si>
    <t>Contratación de firma para el diseño estrategia de comunicación y capacitación para la participación ciudadana y el control social, e implementación de Capacitaciones y acciones de comunicación</t>
  </si>
  <si>
    <t>Marzo 2024</t>
  </si>
  <si>
    <t>Agosto 2024</t>
  </si>
  <si>
    <t>Contratación de firma para el diseño e implementación Estrategia para ampliar la participación de mujeres y grupos diversos en el proceso de diseño de los planes de Gobierno Abierto ante la Alianza para el Gobierno Abierto</t>
  </si>
  <si>
    <t>Contratación de firma para la definición del gobierno de datos y metadatos del portal de transparencia de la DIGEIG</t>
  </si>
  <si>
    <t>Contratación de firma para el diseño, construcción y ajustes del Portal Único de Transparencia y el Portal de Solicitud de Acceso a la Información Pública de la DIGEIG, incluye desarrollo de interoperabilidad, servicios TICs e incorporación de funcionalidades para garantizar el acceso para personas con discapacidad</t>
  </si>
  <si>
    <t>Noviembre 2024</t>
  </si>
  <si>
    <t>Trimestre IV
Año 2</t>
  </si>
  <si>
    <t>Contratación de firma para el diseño y elaboración de tutoriales, plan de implementación, capacitaciones en ética y conflicto para el Portal Único de Transparencia y Portal SAIP de la DIGEIG</t>
  </si>
  <si>
    <t>Contratación de firma para la adaptación de contenidos en la plataforma e-learning y el desarrollo de cursos de capacitación para las nuevas modalidades de gestión de la DGEIG</t>
  </si>
  <si>
    <t>Contratación de una firma especializada para para brindar asistencia técnica en Project Management</t>
  </si>
  <si>
    <t>ADM - MH</t>
  </si>
  <si>
    <t>Contratación de firma para la elaboración de la Auditoria del programa</t>
  </si>
  <si>
    <t>Contratación de firma para la elaboración de la Evaluación de medio término del Programa</t>
  </si>
  <si>
    <t>TOTAL CONSULTORIAS FIRMAS</t>
  </si>
  <si>
    <t>CONSULTORÍAS INDIVIDUOS</t>
  </si>
  <si>
    <t>Cant. Estimada de Consultores:</t>
  </si>
  <si>
    <t>No Objeción a los TdR de la Actividad</t>
  </si>
  <si>
    <t>Firma Contrato</t>
  </si>
  <si>
    <t>Contratación de un Especialistas Senior para la gestión técnica de ciberseguridad del MH, MEPYD, DGCP y CGRD</t>
  </si>
  <si>
    <t>Septiembre 2022</t>
  </si>
  <si>
    <t>Contratación de un Especialista Senior la gestión técnica de arquitectura empresarial del MH, MEPYD, DGCP y CGRD</t>
  </si>
  <si>
    <t>Contratación de 2 Especialistas para la gestión técnica de la arquitectura de interoperabilidad entre el MH, MEPYD, DGCP y CGRD</t>
  </si>
  <si>
    <t>Contratación de un Especialista en contrataciones públicas para la implementación del sistema de información de contrataciones públicas en el MH, MEPYD y la CGRD</t>
  </si>
  <si>
    <t>Contratación de un Especialista en arquitectura de software para para la implementación del sistema de información de contrataciones públicas en el MH, MEPYD y la CGRD</t>
  </si>
  <si>
    <t>Contratación de 2 Consultores para levantamiento de requerimientos funcionales/no funcionales, pruebas y apoyo en la implementación del sistema de información de contrataciones públicas en el MH, MEPYD y la CGRD</t>
  </si>
  <si>
    <t>Contratación de consultor para el desarrollo de actividades de acompañamiento para la implementación a la estrategia de Promoción de la participación de las empresas lideradas por mujeres y de promoción de compras sostenibles</t>
  </si>
  <si>
    <t>Contratación de un Especialista en inversión pública para la implementación del sistema de información de inversión pública en el MH, DGCP y la CGRD</t>
  </si>
  <si>
    <t>Contratación de un Especialista en arquitectura empresarial para la implementación del sistema de información de inversión pública en el MH, DGCP y la CGRD</t>
  </si>
  <si>
    <t>Contratación de un Especialista en arquitectura de software para la implementación del sistema de información de inversión pública en el MH, DGCP y la CGRD</t>
  </si>
  <si>
    <t>Contratación de 2 Consultores para levantamiento de requerimientos y apoyo en la implementación del sistema de información de inversión pública en el MH, DGCP y la CGRD</t>
  </si>
  <si>
    <t>Contratación de un Project Manager de apoyo para el diseño del nuevo modelo de gestión de la CGR</t>
  </si>
  <si>
    <t>Contratación de un Project Manager de apoyo para el proceso de transformación digital del modelo de control ex ante</t>
  </si>
  <si>
    <t>Contratación de un consultor para el desarrollo de instrumentos metodológicos para monitoreo y evaluación de la transformación digital de la CGRD</t>
  </si>
  <si>
    <t>Contratación de consultores para la realización de asistencia técnica a la CGR para apoyar a las instituciones públicas en normas básicas de control interno y complementarias</t>
  </si>
  <si>
    <t>Contratación de un Especialista en arquitectura de software para la realización de asistencia técnica a la CGRD para interactuar con la fábrica de software</t>
  </si>
  <si>
    <t>Contratación de 2 Especialista en requerimientos y pruebas para la realización de asistencia técnica a la CGRD para interactuar con la fábrica de software</t>
  </si>
  <si>
    <t>Contratación de un Especialista en arquitectura empresarial y transformación digital para la realización de asistencia técnica a la CGRD para interactuar con la fábrica de software</t>
  </si>
  <si>
    <t>Contratación de un Especialista en sistemas de control interno ex-ante para la realización de asistencia técnica a la CGRD para interactuar con la fábrica de software</t>
  </si>
  <si>
    <t>Contratación de un Project Manager de apoyo a la implementación de módulos funcionales para la transformación digital del modelo de control</t>
  </si>
  <si>
    <t>Contratación de un Consultor experto en ciberseguridad para la realización de asistencia técnica a la oficina de ciberseguridad</t>
  </si>
  <si>
    <t>Contratación de un Consultor junior en ciberseguridad para la realización de asistencia técnica a la oficina de ciberseguridad</t>
  </si>
  <si>
    <t>Contratación de consultor para la redacción del proyecto de ley para el desarrollo del diagnóstico y proyecto de Ley en materia de integridad y conflictos de intereses</t>
  </si>
  <si>
    <t>Contratación de Consultor local especialista en derecho administrativo para el desarrollo del diagnóstico y proyecto de Ley en materia de integridad y conflictos de intereses</t>
  </si>
  <si>
    <t>Contratación de consultor para la redacción del proyecto de ley para el desarrollo del diagnóstico y proyecto de Ley en materia de protección de denunciantes de actos de corrupción</t>
  </si>
  <si>
    <t>Contratación de Consultor local especialista en derecho administrativo para el desarrollo del diagnóstico y proyecto de Ley en materia de protección de denunciantes de actos de corrupción</t>
  </si>
  <si>
    <t>Contratación de consultor para el diseño del contenido del Programa de comunicación que facilite la difusión a la ciudadanía sobre los fines, actividades y resultados de la DIGEIG, incluyendo el acompañamiento al proceso de validación interna</t>
  </si>
  <si>
    <t>Contratación de consultor para el diseño del contenido del Programa de capacitación para las nuevas modalidades de gestión de la DGEIG, incluyendo el acompañamiento al proceso de validación interna</t>
  </si>
  <si>
    <t>Contratación de Coordinador Gral. del Proyecto para la UCP-MH</t>
  </si>
  <si>
    <t>Contratación de Coordinador Planificación &amp; Monitoreo para la UCP-MH</t>
  </si>
  <si>
    <t>Contratación de Especialista en Adquisiciones para la UCP-MH</t>
  </si>
  <si>
    <t>Contratación de Especialista Financiero para la UCP-MH</t>
  </si>
  <si>
    <t>Contratación de Coordinadores de Componentes para la UCP-MH</t>
  </si>
  <si>
    <t>Contratación de Oficiales de Adquisiones para la UCP-MH</t>
  </si>
  <si>
    <t>Contratación de Oficiales Financieros para la UCP-MH</t>
  </si>
  <si>
    <t>Contratación de Coordinador del Proyecto para la UEP-CGR</t>
  </si>
  <si>
    <t>ADM - CGR</t>
  </si>
  <si>
    <t>Contratación de Especialista en P&amp;M para la UEP-CGR</t>
  </si>
  <si>
    <t>Contratación de Especialista de Adquisiciones para la UEP-CGR</t>
  </si>
  <si>
    <t>Contratación de Especialista Financiero para la UEP-CGR</t>
  </si>
  <si>
    <t>Contratación de Especialista de Apoyo en Comunicaciones para la UEP-CGR</t>
  </si>
  <si>
    <t>Contratación de Oficiales de Adquisiones para la UEP-CGR</t>
  </si>
  <si>
    <t>Contratación de Oficial Financiero para la UEP-CGR</t>
  </si>
  <si>
    <t>TOTAL CONSULTORIAS INDIVIDUALES</t>
  </si>
  <si>
    <t>GASTOS CONCURRENTES</t>
  </si>
  <si>
    <t>Revisión</t>
  </si>
  <si>
    <t>Revisión de TDRs por parte del BID</t>
  </si>
  <si>
    <t>Monto Estimado % Contraparte</t>
  </si>
  <si>
    <t xml:space="preserve">Firma del Contrato </t>
  </si>
  <si>
    <t>Fecha de 
Transferencia</t>
  </si>
  <si>
    <t>TOTAL GASTOS CONCURRENTES</t>
  </si>
  <si>
    <t>Descripción de la adquisición</t>
  </si>
  <si>
    <t>Nuevos Procedimientos/ Herramientas</t>
  </si>
  <si>
    <r>
      <t xml:space="preserve">Fecha Estimada 
</t>
    </r>
    <r>
      <rPr>
        <b/>
        <i/>
        <sz val="8"/>
        <color theme="0"/>
        <rFont val="Arial"/>
        <family val="2"/>
      </rPr>
      <t>de firma del contrato</t>
    </r>
  </si>
  <si>
    <t>Monto Estimado 000’US$</t>
  </si>
  <si>
    <t>Servicios de no consultoría</t>
  </si>
  <si>
    <t>Firmas</t>
  </si>
  <si>
    <t>Individuos</t>
  </si>
  <si>
    <t>Contratación de 18 profesionales para conformar los equipos de la UCP-MH, la UEP-CGR y asistencia técnica en Project Management a la CGR</t>
  </si>
  <si>
    <r>
      <t xml:space="preserve">Año 1 - </t>
    </r>
    <r>
      <rPr>
        <i/>
        <sz val="10"/>
        <color theme="1"/>
        <rFont val="Arial"/>
        <family val="2"/>
      </rPr>
      <t>TBD</t>
    </r>
  </si>
  <si>
    <r>
      <t xml:space="preserve">Indicador 5. Porcentaje de recomendaciones de los hallazgos de las </t>
    </r>
    <r>
      <rPr>
        <strike/>
        <sz val="9"/>
        <color theme="1"/>
        <rFont val="Calibri"/>
        <family val="2"/>
        <scheme val="minor"/>
      </rPr>
      <t xml:space="preserve"> Unidades de</t>
    </r>
    <r>
      <rPr>
        <sz val="9"/>
        <color theme="1"/>
        <rFont val="Calibri"/>
        <family val="2"/>
        <scheme val="minor"/>
      </rPr>
      <t xml:space="preserve"> Auditorías Interna, implementadas.</t>
    </r>
  </si>
  <si>
    <t>Implica complementar los esfuerzos de intercambio de información en estos conjuntos de datos, utilizando servicios web directos y ajustes indispensables a los sistemas de información actuales, con el fin de mejorar a corto plazo la trazabilidad de elementos centrales en el ciclo de vida de los recursos.</t>
  </si>
  <si>
    <t>TdR</t>
  </si>
  <si>
    <t>Hito 2: Piloto de accesibilidad para discapacitados</t>
  </si>
  <si>
    <t>Mejorado implica …</t>
  </si>
  <si>
    <t>TDR</t>
  </si>
  <si>
    <t>Indicador pro-género.
Incluye alerta de género para identificar unidades de compras con menor adjudicación de contratos a empresas de mujeres.
Sistema fortalecido contempla la i) Identificación de alertas tempranas, ii) Dimensionamiento y complemento al sistema actual, iii) Evidencias.</t>
  </si>
  <si>
    <t>Etapa 1 implica...
Etapa 2 implica…</t>
  </si>
  <si>
    <t>AM2
SBCC</t>
  </si>
  <si>
    <t>Hito 1: Fase 1</t>
  </si>
  <si>
    <t>Normas, procesos, operación, indicadores, desarrollo, tecnología, capacitación, implementación, soporte, licencias.
Etapa 1 implica...
Etapa 2 implica…</t>
  </si>
  <si>
    <t>Hito 1: Sistema de SM&amp;E diseñado</t>
  </si>
  <si>
    <t>Proceso y Compra
1</t>
  </si>
  <si>
    <t>Etapa 1 implica...
Etapa 2 implica…
Etapa 3 implica…</t>
  </si>
  <si>
    <t>Hito 2: Piloto del Sistema de RBF implementado</t>
  </si>
  <si>
    <t>Hito 1: Estrategia diseñada</t>
  </si>
  <si>
    <t xml:space="preserve"> - Documento de diseño de la estrategia, incluyendo cronograma de capacitación y sensibilización</t>
  </si>
  <si>
    <t>Producto 15: Modelo de gestión de la CGRD diseñado</t>
  </si>
  <si>
    <t>Producto 16: Modelo de control ex ante diseñado</t>
  </si>
  <si>
    <t>Producto 17: Proyecto de reorganización de funciones, cargos, y dotación necesaria de la CGRD y de las Unidades a cargo del control "ex ante" y "ex post", realizadas.</t>
  </si>
  <si>
    <t>Producto 18: Estrategia de gestión integral del cambio de control interno y transformación digital desarrollada</t>
  </si>
  <si>
    <t>Hito 1: Estrategia de Gestión Integral del Cambio diseñada</t>
  </si>
  <si>
    <t>Etapa de preparación</t>
  </si>
  <si>
    <t>Hito 2: Actividades de Gestión Integral del Cambio implementadas</t>
  </si>
  <si>
    <t xml:space="preserve"> - Informes de ejecución de las actividades</t>
  </si>
  <si>
    <t>Etapa Implementación</t>
  </si>
  <si>
    <t>Hito 3: Actividades para la consolidación de la Gestión Integral del Cambios ejecutadas</t>
  </si>
  <si>
    <t>Etapa Consolidación</t>
  </si>
  <si>
    <t>Producto 19: Nuevo Modelo de Gestión del Talento Humano diseñado</t>
  </si>
  <si>
    <t>Hito 2: Plan estratégico para identificar y atraer recursos humanos elaborado</t>
  </si>
  <si>
    <t>Cierre de brechas realizado - Segunda etapa</t>
  </si>
  <si>
    <t>Producto 20: Auditores certificados con base en estándares nacionales e internacionales</t>
  </si>
  <si>
    <t>Producto 21: Proyecto de actualización de normativas en control interno, elaboradas</t>
  </si>
  <si>
    <t>Producto 22: Control interno bajo estándares nacionales e internacionales implementado en la CGR</t>
  </si>
  <si>
    <t>Podría incluir elementos vinculados a software, tecnologías, paquete de datos, etc., implementados en función al Plan Estratégico de TI de la CGR</t>
  </si>
  <si>
    <t>Producto 23: Generacion de Capacidades de TI Implementadas</t>
  </si>
  <si>
    <t xml:space="preserve"> - Informes de consultorías contratadas
 - Informes de ejecución de los controles</t>
  </si>
  <si>
    <t>Sistema de monitoreo y SSDLC implementados. Además se diseñará el BCP</t>
  </si>
  <si>
    <t>Producto 24: Arquitectura Empresarial realizada, incluyendo la construcción e implementación de componentes de software.</t>
  </si>
  <si>
    <t>Aislamiento de datos</t>
  </si>
  <si>
    <t>Hito 1: Conexión con los sistemas actuales realizado</t>
  </si>
  <si>
    <t xml:space="preserve"> - Informes de ejecución de las conexiones realizadas</t>
  </si>
  <si>
    <t>Se corresponde a los web services de consumo</t>
  </si>
  <si>
    <t>Hito 2: Conexión con los nuevos sistemas bajo Xroad</t>
  </si>
  <si>
    <t>Producto 25: Tableros y herramientas de analítica implementados, incluyendo modelos de analítica descriptiva y predictiva, orientados a la toma de decisiones estratégicas y al apoyo operativo de la misionalidad de la CGR</t>
  </si>
  <si>
    <t>El sistema implica identificar probabilidad de impactos negativos en los procesos misionales y proponer estrategias de mitigación. Se deben prever funcionalidades para escalar las alertas. La gestión de riesgos debe incorporar la información del monitoreo de redes sociales y de investigaciones periodísticas.</t>
  </si>
  <si>
    <t>Producto 26: Fortalecimiento de la infraestructura, servicios de TI y de los controles de ciberseguridad, implementados</t>
  </si>
  <si>
    <t>El algoritmo incluye el modelo matemático, el mecanismo de gestión y la guía de operación del algoritmo. Tiene la función de identificar patrones, tendencias de presuntas irregularidades, fraudes o corrupción y generar la medidas preventivas concomitantes y ex post.</t>
  </si>
  <si>
    <t>Producto 27: Sistema de información para la gestión integral de riesgos en los procesos de control interno, diseñado e implementado.</t>
  </si>
  <si>
    <t>xx</t>
  </si>
  <si>
    <t>OCDE</t>
  </si>
  <si>
    <t>Fortalecimiento implica…
Este Marco Juridico…</t>
  </si>
  <si>
    <t>Hito 1: Procesos y estructura organizacional definidos</t>
  </si>
  <si>
    <t xml:space="preserve"> - Decretos, Manuales de procedimientos elaborados</t>
  </si>
  <si>
    <t>Hito 2: Plataforma informática de gestión de integridad y conflictos de intereses, implementada</t>
  </si>
  <si>
    <t xml:space="preserve"> - Informes de ejecución de la plataforma</t>
  </si>
  <si>
    <t>2 metodologías implementadas</t>
  </si>
  <si>
    <t>Hito 1 Manual de Investigación de casos diseñado</t>
  </si>
  <si>
    <t xml:space="preserve"> - Manual diseñado</t>
  </si>
  <si>
    <t>Hito 2 Metodología de análisis de riesgos sistémicos diseñada</t>
  </si>
  <si>
    <t xml:space="preserve"> - Documento de diseño de la metodología</t>
  </si>
  <si>
    <t>Etapa 1 implica…
Etapa 2 implica…</t>
  </si>
  <si>
    <t>Hito 1: Diseño del sistema</t>
  </si>
  <si>
    <t xml:space="preserve"> - Documento de diseño del sistema</t>
  </si>
  <si>
    <t>Diagnos.</t>
  </si>
  <si>
    <r>
      <t xml:space="preserve">PROGRAMACIÓN FINANCIERA BID - USD
</t>
    </r>
    <r>
      <rPr>
        <b/>
        <i/>
        <sz val="11"/>
        <color theme="0"/>
        <rFont val="Calibri"/>
        <family val="2"/>
        <scheme val="minor"/>
      </rPr>
      <t xml:space="preserve">en revisión </t>
    </r>
  </si>
  <si>
    <t xml:space="preserve"> Personal en misión - Acuerdo Marco servicios de consultoría especializada</t>
  </si>
  <si>
    <t xml:space="preserve">Prever si podría incluirse la parte de suministro desde la arquitectura del programa. </t>
  </si>
  <si>
    <t>Especilista en inversión pública, arquitectura empresarial, SOA, interoperabilidad, datos y ciberseguridad</t>
  </si>
  <si>
    <t>evaluar el monto</t>
  </si>
  <si>
    <t>A ser contratada por la Cooperación Técnica o la DR-L1117 a definir. Valor estimado de USD 15.000. A desarrollar en el primer trimestre de 2022</t>
  </si>
  <si>
    <t>priorizada</t>
  </si>
  <si>
    <r>
      <t xml:space="preserve">puede ser en paralelo con el acuerdo marco?, </t>
    </r>
    <r>
      <rPr>
        <sz val="10"/>
        <color rgb="FFFF0000"/>
        <rFont val="Calibri"/>
        <family val="2"/>
        <scheme val="minor"/>
      </rPr>
      <t>de esta consultoría da insumos para el acuerdo marco</t>
    </r>
  </si>
  <si>
    <t>Sin programar, depende del 1.1.2.3.</t>
  </si>
  <si>
    <t>Personal en misión - Acuerdo Marco servicios de consultoría especializada</t>
  </si>
  <si>
    <t>Valorar si se debe incluir la parte de presupuesto a sabiendas que estan trabajando con un sistema de presupuesto plurianual *Revisar la potencial interoperabilidad con SIGEIG. "</t>
  </si>
  <si>
    <r>
      <t xml:space="preserve">Contratación de Especialistas </t>
    </r>
    <r>
      <rPr>
        <strike/>
        <sz val="10"/>
        <rFont val="Calibri"/>
        <family val="2"/>
        <scheme val="minor"/>
      </rPr>
      <t>junior</t>
    </r>
    <r>
      <rPr>
        <sz val="10"/>
        <rFont val="Calibri"/>
        <family val="2"/>
        <scheme val="minor"/>
      </rPr>
      <t xml:space="preserve"> Senior para la gestión técnica de la arquitectura de interoperabilidad</t>
    </r>
  </si>
  <si>
    <t>Desglosar actividades para un producto de ganancias tempranas</t>
  </si>
  <si>
    <t>3CV?</t>
  </si>
  <si>
    <t>Consultoría individual para elaboración de TdR de firma consultora especializada</t>
  </si>
  <si>
    <t>Diseño de Mejoras en la visualización de la información y la participación ciudadana con enfoque de género, territorial y diversidad</t>
  </si>
  <si>
    <t xml:space="preserve">Consultoría para el diseño e implementación en Usabilidad, integración de tableros de analítica, mejora en la accesibilidad para población con condiciones especiales y mejorar la visualización de la trazabilidad de los recursos públicos. </t>
  </si>
  <si>
    <t>Son consultores individuales priorizados</t>
  </si>
  <si>
    <t>Acuerdo Marco</t>
  </si>
  <si>
    <t>Firma Cosnultora</t>
  </si>
  <si>
    <t>evaluar el monto, firma individual</t>
  </si>
  <si>
    <t>Cooperación o la DR-L1117</t>
  </si>
  <si>
    <r>
      <t xml:space="preserve">Firma consultora, no priorizada, no tiene insumos para gestionar. Podriamos ver el proceso de contratacion en los primeros 2 años. Ganancia temprana que esta empresa vaya acompañando el proceso de generacion insumos
</t>
    </r>
    <r>
      <rPr>
        <sz val="10"/>
        <color rgb="FFFF0000"/>
        <rFont val="Calibri"/>
        <family val="2"/>
        <scheme val="minor"/>
      </rPr>
      <t>que esté 4 a 6 meses luego de que el acuerdo marco esté contratado</t>
    </r>
  </si>
  <si>
    <t>DGCP
Presupuesto
Tesoreria 
Gestión Pública Financiera</t>
  </si>
  <si>
    <t>Construccion de TDR y Solicitud de Propuesta para la definicion de la arquitectura empresarial para el nuevo sistema de compras</t>
  </si>
  <si>
    <t xml:space="preserve">Definicion de la Arquitectura Empresarial del nuevo sistema de compras </t>
  </si>
  <si>
    <t xml:space="preserve">   - Análisis comparativo de opciones para la construcción del nuevo sistema incluyendo escenarios y criterios de evaluación
- Diseño de la arquitectura de referencia para el sistema de compras públicas electrónicas con los principales componentes e integraciones.
- Análisis de requisitos funcionales y no funcionales para el nuevo sistema de compras públicas electrónicas
- Análisis de requisitos funcionales para el uso y monitoreo de ítems y procesos sostenibles (criterio social, económico y ambiental)
- Diseño de la arquitectura y los requerimientos de la infraestructura central necesaria para alojar el nuevo sistema
- Plan de migración de datos y transición al nuevo sistema, incluyendo la evaluación de la calidad de datos del sistema actual
- Benchmarking para identificar mejores prácticas y lecciones aprendidas en la implementación de sistemas de compras públicas electrónicas
- Plan de implementación con priorización de tareas, hoja de ruta y presupuesto detallado para el nuevo sistema
- Diagnóstico del estado actual para la gestión de proyectos de TI y propuesta de estructura para la PMO
- Términos de referencia con las bases y especificaciones técnicas para la contratación del nuevo sistema
- Gobernanza de datos</t>
  </si>
  <si>
    <t>Planificación
Inversión Pública
Presupuesto
Contraloría
Compras y Contrataciones
DIGES
OGTIC</t>
  </si>
  <si>
    <t>Realizar ajustes mínimos al sistema actual</t>
  </si>
  <si>
    <t>*Solicitar certificación de aprobación por parte del fabricante para el Experto en el sistemas actual (Verificar conflicto de interés)</t>
  </si>
  <si>
    <t>Contratación de 4 desarrolladores</t>
  </si>
  <si>
    <t>Infraestructura (LPI)</t>
  </si>
  <si>
    <t>Bienes?</t>
  </si>
  <si>
    <t>Quien hace las Especificaciones Técnicas?</t>
  </si>
  <si>
    <t xml:space="preserve">Compras y Contrataciones
DGI
Camara de Comercio
Análisis Financiero | UAF
Procuraduría General (para temas de investigación)
MAP
Contraloría 
Junta Central Electoral / registro civil </t>
  </si>
  <si>
    <t>Elaboración de la estrategia de analitica de datos para la compra pública en República Dominicana</t>
  </si>
  <si>
    <t>Consultor individual (3CV)</t>
  </si>
  <si>
    <t>Desarrolladores (4) (3CV)
Equipos tecnológicos (4) (CP)</t>
  </si>
  <si>
    <t>Adquisición de Equipos tecnologicos</t>
  </si>
  <si>
    <t>Gestión del cambio para lograr la apropiación de las nuevas funcionalidades del sistema de alertas tempranas</t>
  </si>
  <si>
    <r>
      <t xml:space="preserve">Producto 9: Modelo de Gestión de Recursos Humanos de contrataciones públicas diseñado e </t>
    </r>
    <r>
      <rPr>
        <b/>
        <sz val="10"/>
        <color rgb="FFFF0000"/>
        <rFont val="Calibri"/>
        <family val="2"/>
        <scheme val="minor"/>
      </rPr>
      <t>implementado</t>
    </r>
  </si>
  <si>
    <t>DGCP
INAP / MAP
CAPGEFI / MH
Red de compras (RICG)</t>
  </si>
  <si>
    <t>Programas avanzados de formación del comprador público, implementados</t>
  </si>
  <si>
    <t>Caracterización y diagnóstico de Unidades de Compra y Compradores</t>
  </si>
  <si>
    <t>1.2.4.1.2</t>
  </si>
  <si>
    <t xml:space="preserve">                            -  </t>
  </si>
  <si>
    <t>1.2.4.1.3</t>
  </si>
  <si>
    <t>Desarrollo de formadores para programas avanzados de formación del comprador público</t>
  </si>
  <si>
    <t>1.2.4.1.4</t>
  </si>
  <si>
    <t>Despliegue conjunto de programas avanzados de formación del comprador público</t>
  </si>
  <si>
    <t>1.2.4.1.5</t>
  </si>
  <si>
    <t>Formación de compradores públicos en temas de compra pública sostenible (diversidad, género y/o cambio climático).</t>
  </si>
  <si>
    <t>Ministerio de la Mujer
(se va  a consultar/invitar)
DGCP</t>
  </si>
  <si>
    <t>1.2.5.2</t>
  </si>
  <si>
    <t>Firma (SBCC) aquí puede ser SCC si no es una consultoría compleja (el proceso es más sencillo, duraría 7 meses aprox.</t>
  </si>
  <si>
    <t xml:space="preserve">Para 2025, se encuentran en preparación para  la implementación y puesta en marcha de SIGEF 2.0 ¿Quedará articulado con los demás sistemas? ¿Mejora a partir de lo que hay o sería un nuevo sistema? 
*Incorpora la presupuestación plurianual y activa el modulo de formulación plurianual. 
*Se requiere una actualización del sistema de inversión pública para articular la interoperabilidad basado en el plan plurianual.
*Valorar niveles de desagregación: territorial, género, beneficiarios, etc.
*Consultoria de Mary - Levantar los sistemas y ver la interoperabilidad de los mismos. </t>
  </si>
  <si>
    <t>Consultor para desarrollo de acciones prioritarias que generen  ganancias tempranas en el proceso de desarrollo del Sistema M&amp;SE</t>
  </si>
  <si>
    <t>Elaboración de TDR y documentos de licitación para la contratación de la Firma encargada del diseño, desarrollo e implementación del sistema de SM&amp;E de inversiones públicas. Debe incluir la definición de alcance, perfil de la empresa, esquema de fijación de precio (fijo o variable), esquema de remuneración, acuerdos del nivel de servicios y esquema de penalización (multa)</t>
  </si>
  <si>
    <t>estos TdR se desarrollaran en el producto xx</t>
  </si>
  <si>
    <t>Consultoría Firma 1</t>
  </si>
  <si>
    <t>Fase 1</t>
  </si>
  <si>
    <t>SBCC 1</t>
  </si>
  <si>
    <t>sin programar</t>
  </si>
  <si>
    <t>1.3.2.5.1</t>
  </si>
  <si>
    <t>1.3.2.5.2</t>
  </si>
  <si>
    <t>1.3.2.5.3</t>
  </si>
  <si>
    <t>1.3.2.5.4</t>
  </si>
  <si>
    <t>1.3.2.5.5</t>
  </si>
  <si>
    <t>1.3.2.5.6</t>
  </si>
  <si>
    <r>
      <t xml:space="preserve">Producto 12: Sistema de </t>
    </r>
    <r>
      <rPr>
        <b/>
        <sz val="10"/>
        <color rgb="FFFF0000"/>
        <rFont val="Calibri"/>
        <family val="2"/>
        <scheme val="minor"/>
      </rPr>
      <t>Monitoreo, Seguimiento &amp; Evaluación</t>
    </r>
    <r>
      <rPr>
        <b/>
        <sz val="10"/>
        <rFont val="Calibri"/>
        <family val="2"/>
        <scheme val="minor"/>
      </rPr>
      <t>, diseñado e implementado</t>
    </r>
  </si>
  <si>
    <t>Insumos para  la elaboración por Jose Niño y Diego Hernan</t>
  </si>
  <si>
    <t>Diseño de la visión del ciclo de vida COMPLETO del sistema de inversiones públicas</t>
  </si>
  <si>
    <t>Consultoría Firma
1</t>
  </si>
  <si>
    <t>Desglosar en un contrato de 2 años y otro proceso de fábrica de software</t>
  </si>
  <si>
    <t>1.3.2.4</t>
  </si>
  <si>
    <t>Diseño de la arquitectura del sistema de SM&amp;E de la inversión pública, que incluya todos los dominios, paquetes de trabajo, arquitecturas de transición, hoja de ruta, arquitectura de software, ontología del negocio, capacity planning y propuesta de estructura organizacional</t>
  </si>
  <si>
    <t>1.3.2.5</t>
  </si>
  <si>
    <t>Desarrollo del sistema de SM&amp;E</t>
  </si>
  <si>
    <t>1.3.2.6</t>
  </si>
  <si>
    <t>Implementación de un Sistema de seguimiento (Normas, procesos, operación, indicadores, desarrollo, tecnología, capacitación, implementación, soporte, licencias)</t>
  </si>
  <si>
    <t>1.3.2.7</t>
  </si>
  <si>
    <t>Elaboración de TDR y documentos de licitación para la contratación de la Firma encargada de la Gestion del Cambio. Debe incluir la definición de alcance, perfil de la empresa, esquema de fijación de precio (fijo o variable), esquema de remuneración, acuerdos del nivel de servicios y esquema de penalización (multa)</t>
  </si>
  <si>
    <t>1.3.2.8</t>
  </si>
  <si>
    <t>Diseño e implementación de la Estrategia de Gestión del Cambio para el sistema de SM&amp;E, que incluya el Plan</t>
  </si>
  <si>
    <t>Consultoría Firma 2</t>
  </si>
  <si>
    <t>Desglosar los costos para esta actividad</t>
  </si>
  <si>
    <t>Elaboracion de EETT por MEPyD</t>
  </si>
  <si>
    <t>Provision con bienes y servicios prioritarios a ser adquiridos los primeros 18 meses</t>
  </si>
  <si>
    <t>1.3.3.2.1</t>
  </si>
  <si>
    <t>1.3.3.2.2</t>
  </si>
  <si>
    <t>Servicios</t>
  </si>
  <si>
    <t>1.3.3.3</t>
  </si>
  <si>
    <t>Otras actividades a ser desarrolladas</t>
  </si>
  <si>
    <t>Borrador de TdR y perfiles estarian para la quincena de Agosto
Compartido
dividirse el aspecto estructural, regulatorio con interoperabilidad.</t>
  </si>
  <si>
    <t>1.4.1.2.1.1</t>
  </si>
  <si>
    <t>1.4.1.2.1.2</t>
  </si>
  <si>
    <t>1.4.1.2.1.3</t>
  </si>
  <si>
    <t>1.4.1.2.1.4</t>
  </si>
  <si>
    <t xml:space="preserve">debe iniciar cuando se cuente con insumos de la contratación anterior
comenzar mes 8 </t>
  </si>
  <si>
    <t xml:space="preserve">TdR elaborado por la UAF </t>
  </si>
  <si>
    <t>Actividades de Gestion interna coordinada por el MH</t>
  </si>
  <si>
    <t>Requiere los insumos de protección de datos como legal, ademas del relevamiento interno</t>
  </si>
  <si>
    <t>Actividades a definir</t>
  </si>
  <si>
    <t>Firma Consultora?</t>
  </si>
  <si>
    <t>1.4.2.2.1</t>
  </si>
  <si>
    <t>1)	Organización y ejecución de sesiones de capacitación para el sector público
2)	Producción de material de e-learning
3)	Organización de actividades de información y promoción
4)	Evento(s) público de sensibilización sobre el tema de beneficiarios finales</t>
  </si>
  <si>
    <t>1.4.2.2.2</t>
  </si>
  <si>
    <r>
      <t xml:space="preserve">Contraloría General:  
</t>
    </r>
    <r>
      <rPr>
        <sz val="10"/>
        <rFont val="Calibri"/>
        <family val="2"/>
        <scheme val="minor"/>
      </rPr>
      <t>Planificación y Desarrollo
Recursos Humanos
Tecnologia
Areas sustantivas: revisión y control de calidad/ Análisis financiero/ Auditoria Gubernamental - especiales, antifraudes/ completar áreas
Area Legal</t>
    </r>
  </si>
  <si>
    <t>Se realizará entre la UEP y la Dirección de planificación de CGR, con la colaboracion de consultores del BID</t>
  </si>
  <si>
    <t>2.1.1.1.1</t>
  </si>
  <si>
    <t>Se inicia lo antes posible</t>
  </si>
  <si>
    <t>2.1.1.1.2</t>
  </si>
  <si>
    <t>2.1.1.1.3</t>
  </si>
  <si>
    <t>2.1.1.1.4</t>
  </si>
  <si>
    <t>viajes, viaticos</t>
  </si>
  <si>
    <t>Consultor</t>
  </si>
  <si>
    <t>Se inicia una vez desarrollado las primeras 3 consultorías</t>
  </si>
  <si>
    <t>mediados de 2024 en funcion del modelo</t>
  </si>
  <si>
    <t>TdR elabora la UEP con Planificacion y tecnologia de la CGR</t>
  </si>
  <si>
    <r>
      <t xml:space="preserve">CGR:
</t>
    </r>
    <r>
      <rPr>
        <sz val="10"/>
        <rFont val="Calibri"/>
        <family val="2"/>
        <scheme val="minor"/>
      </rPr>
      <t xml:space="preserve">Tecnologia
Desarrollo normativo
Planificación y Desarrollo
Dirección de auditoria interna </t>
    </r>
  </si>
  <si>
    <t>Inicia finales del 2024</t>
  </si>
  <si>
    <t>Ajustes al proceso para aprobación de órdenes de pago</t>
  </si>
  <si>
    <t xml:space="preserve">TdR elaborados, falta adaptarlos según la modalidad. Lo antes posible </t>
  </si>
  <si>
    <t>Los TdR elabora division antifraude con la UEP lo antes posible</t>
  </si>
  <si>
    <t>2.1.2.2.5</t>
  </si>
  <si>
    <t>2.1.2.2.6</t>
  </si>
  <si>
    <t>2.1.2.2.7</t>
  </si>
  <si>
    <t>Campaña de socialización sobre fraude y sistema de denuncia</t>
  </si>
  <si>
    <t>Acompañamiento por 60 meses</t>
  </si>
  <si>
    <t>RRHH
DUAI - Auditoria Interna
ADM-FIN
DPyD
TIC</t>
  </si>
  <si>
    <t>TdR Planificacion con UEP</t>
  </si>
  <si>
    <t>8</t>
  </si>
  <si>
    <t>- El seguimiento a la implementación de recomendaciones de auditoría contempla la transparencia del nivel de implementación por cada entidad bajo competencia de la CGR.
- Dentro del rediseño de la estructura organizacional se contempla la definición e implementación de una Unidad de Auditoría de TICs; actividad o función prevista en el marco legal de la CGR.</t>
  </si>
  <si>
    <t>Diseño e implementación de la Unidad de Seguimiento a la implementación de recomendaciones de auditoría, incluyendo manuales de funciones y  procedimientos. Diseño de la solución o aplicativo para la automatizacion del proceso de seguimiento de la implementación de los hallazgos de la auditoría</t>
  </si>
  <si>
    <t>supervisa la factoria de software</t>
  </si>
  <si>
    <t>Se prevé de 1 a 2 consultores individual durante toda la vida del proyecto</t>
  </si>
  <si>
    <t>Diseño e implementación de un "Programa de Aseguramiento y Control de Calidad", conforme estandares nacionales e internacionales.</t>
  </si>
  <si>
    <t>Orientado a garantizar y demostrar externamente la calidad en los trabajos de auditoría.</t>
  </si>
  <si>
    <t>RRHH
DPyD
TIC
Comunicación
Desarrollo normativo
DUAI - Auditoria Interna</t>
  </si>
  <si>
    <t>Consultoría Firma 3</t>
  </si>
  <si>
    <t>2.1.4.4.1</t>
  </si>
  <si>
    <t>2.1.4.4.2</t>
  </si>
  <si>
    <t>2.1.4.4.3</t>
  </si>
  <si>
    <t>Areas sustantivas
Gestión Humana
Planificación
TIC</t>
  </si>
  <si>
    <t>Diseño e implementación de la carrrera de control interno de la CGR</t>
  </si>
  <si>
    <t>Auditoria Interna
Areas sustantivas</t>
  </si>
  <si>
    <t>Programa de especialización en transparencia e integridad en el uso de los recursos públicos (40 horas)</t>
  </si>
  <si>
    <t>Selección Directa?</t>
  </si>
  <si>
    <t>Instituto de Auditores de la Republica Dominicana</t>
  </si>
  <si>
    <t>150 Auditores</t>
  </si>
  <si>
    <t xml:space="preserve">Capacitación </t>
  </si>
  <si>
    <t>Selección Directa</t>
  </si>
  <si>
    <t>1500 usd preparación y 350 usd certificación</t>
  </si>
  <si>
    <t>30 Auditores</t>
  </si>
  <si>
    <t>5 Profesionales</t>
  </si>
  <si>
    <t>2.2.2.6</t>
  </si>
  <si>
    <t>2.2.2.7</t>
  </si>
  <si>
    <t>Prever el acompañamiento por un año</t>
  </si>
  <si>
    <t>Producto 21: Programa de asistencia técnica de la CGRD a las instituciones auditadas, implementada</t>
  </si>
  <si>
    <t>Consultores locales</t>
  </si>
  <si>
    <t>TdR Desarrollo normativo y UEP</t>
  </si>
  <si>
    <t>El programa será desarrollado por los consultores del #2.2.3.1</t>
  </si>
  <si>
    <t>Servicio de implementación de las actividades de la asistencia técnica</t>
  </si>
  <si>
    <t>El apoyo de una firma privada se verá facilitado por el conocimiento de la CGR en materia de Control Interno.</t>
  </si>
  <si>
    <t xml:space="preserve">Analisis de Capacidades de Brechas basado en COBIT y generacion del plan de gobierno </t>
  </si>
  <si>
    <t>Contratación de personal en Mision para fortalecer de capacidades de TI, contrapartes a las firmas de consultoría y transferir conocimiento a la Entidad</t>
  </si>
  <si>
    <t xml:space="preserve"> Acuerdo marco 3 para prestación de servicios de consultoría especializada</t>
  </si>
  <si>
    <t>2.3.1.2.7</t>
  </si>
  <si>
    <t>2.3.1.2.8</t>
  </si>
  <si>
    <t>2.3.1.2.9</t>
  </si>
  <si>
    <t>2.3.2.3</t>
  </si>
  <si>
    <t>2.3.2.4</t>
  </si>
  <si>
    <t>2.3.2.5</t>
  </si>
  <si>
    <t xml:space="preserve">Fase 1 </t>
  </si>
  <si>
    <t>Entrega de herramienta de Analtiica y transferencia de conocimento a la entidad</t>
  </si>
  <si>
    <t>Producto 26: (i) infraestructura y servicios de TI y (ii) controles de ciberseguridad, Implementados</t>
  </si>
  <si>
    <t>Adquisición de licencias CITRIX</t>
  </si>
  <si>
    <t>Contratación directa</t>
  </si>
  <si>
    <t>Servicios de No consultoría</t>
  </si>
  <si>
    <t>Licencias</t>
  </si>
  <si>
    <t>Firma</t>
  </si>
  <si>
    <t>Producto 28: Sistema Nacional de Integridad Implementado.</t>
  </si>
  <si>
    <t>Diagnóstico para formulación de proyectos de ley en materia de integridad y conflictos de intereses</t>
  </si>
  <si>
    <t>Que incluya consultas con sociedad civil y expertos a través por ejemplo de foros, talleres, reuniones, etc., con el objetivo de identificar las necesidades, ideas, recoger información, benchmarking, análisis comparativo. Valor estimado USD 20.000 a ser ejecutado a través de la Cooperación Técnica</t>
  </si>
  <si>
    <t>TDR y Solicitud de Propuesta para el desarrollo de los estudios técnicos para los proyectos de ley en materia de integridad y conflictos de intereses</t>
  </si>
  <si>
    <t>Valor estimado USD 1.000 a ser ejecutado a través de Cooperación Técnica</t>
  </si>
  <si>
    <t>Diagnóstico y proyecto de Ley en materia integridad y conflictos de intereses, desarrollado</t>
  </si>
  <si>
    <t>Redacción del proyecto de ley</t>
  </si>
  <si>
    <t>Consultor local especialista en derecho administrativo</t>
  </si>
  <si>
    <t>Producto 29: Fortalecimiento del marco regulatorio en materia de integridad</t>
  </si>
  <si>
    <t>Diagnóstico para formulación de proyectos de ley en materia de protección de denunciantes de actos de corrupción administrativa integridad y conflictos de intereses</t>
  </si>
  <si>
    <t>Misma actividad que la 3.1.1.1</t>
  </si>
  <si>
    <t>TDR y Solicitud de Propuesta para el desarrollo de los estudios técnicos para el anteproyecto de ley de protección de denunciantes de actos de corrupción administrativa en materia de integridad y conflictos de intereses</t>
  </si>
  <si>
    <t>Misma actividad que la 3.1.1.2</t>
  </si>
  <si>
    <t>Diagnóstico y proyecto de Ley en materia de protección de denunciantes de actos de corrupción, desarrollado</t>
  </si>
  <si>
    <t>3.1.2.3.1</t>
  </si>
  <si>
    <t>3.1.2.3.2</t>
  </si>
  <si>
    <t>Producto 30: Plataforma de Seguimiento y Evaluación de componentes de integridad desarrollado</t>
  </si>
  <si>
    <t>Definición de los procesos y estructura organizacional necesaria (RRHH, Decretos, manuales de procedimientos)</t>
  </si>
  <si>
    <t>Recomendaciones para fortalecer el marco normativo para el desarrollo de un sistema de gestión de conflictos de intereses (decreto de creación y asignación a la DIGEIG como ente de aplicación)</t>
  </si>
  <si>
    <t>Diseño de plataforma</t>
  </si>
  <si>
    <t>Construir y ajustar la plataforma</t>
  </si>
  <si>
    <t>Servicio TICs contratados</t>
  </si>
  <si>
    <t>Contenidos de capacitación en ética y conflicto de intereses para la administación pública</t>
  </si>
  <si>
    <t>3.1.3.6</t>
  </si>
  <si>
    <t>Plan de implementación - capacitación de funcionamiento de la plataforma</t>
  </si>
  <si>
    <t>3.1.3.7</t>
  </si>
  <si>
    <t>Interoperabilidad con los sistemas de información del MAP diseñada e implementada</t>
  </si>
  <si>
    <t>Acceso a toda la planta de personal nomina pública/convenio con el MAP, definir universo obligado, xx</t>
  </si>
  <si>
    <t>Producto 31: Metodología para identificar y gestionar riesgos sistémicos de corrupción desarrollada</t>
  </si>
  <si>
    <t>Identificación de la tipología de riesgos sistémicos de corrupción.</t>
  </si>
  <si>
    <t>Diagnóstico del estado actual de los riesgos sistémicos de la administración pública de República Dominicana</t>
  </si>
  <si>
    <t>Diseño de la metodología para la identificación, análisis y gestión de riesgos sistémicos</t>
  </si>
  <si>
    <t>Incluye flujos de información</t>
  </si>
  <si>
    <t>Implementación y despliegue de la metodología para la identificación, análisis y gestión de riesgos sistémicos</t>
  </si>
  <si>
    <t>Capacitación a funcionarios de la DIGEIG</t>
  </si>
  <si>
    <t>3.1.4.6</t>
  </si>
  <si>
    <t>Monitoreo y seguimiento de los resultados de la aplicación de la metodología</t>
  </si>
  <si>
    <t>Producto 32: Programa de cumplimiento e integridad en alianza con el sector privado desarrollado</t>
  </si>
  <si>
    <t xml:space="preserve">Revisión y propuesta de marco normativo </t>
  </si>
  <si>
    <t>Definición de contenidos del programa</t>
  </si>
  <si>
    <t>Implementar un proceso de consulta del programa con el sector empresarial</t>
  </si>
  <si>
    <t xml:space="preserve">Desarrollo de la plataforma </t>
  </si>
  <si>
    <t>3.1.5.5</t>
  </si>
  <si>
    <t>Propuesta de difusión del programa: incluye capacitación y sensibilización</t>
  </si>
  <si>
    <t>Producto 33: Plataforma tecnológica para el seguimiento de compromisos internacionales, desarrollado</t>
  </si>
  <si>
    <t>3.1.6.1</t>
  </si>
  <si>
    <t>3.1.6.2</t>
  </si>
  <si>
    <t xml:space="preserve">Desarrollo e implementación </t>
  </si>
  <si>
    <t xml:space="preserve">Diseño </t>
  </si>
  <si>
    <t>Debe incluir un esquema de monitoreo y seguimiento</t>
  </si>
  <si>
    <t>Diagnóstico de barreras y desafíos para la participación ciudadana y control social, examinando aspectos de género y diversidad, diseñado</t>
  </si>
  <si>
    <t>Consultoria Firma</t>
  </si>
  <si>
    <t>3.2.2.2</t>
  </si>
  <si>
    <t>Diseño y construcción de herramientas informáticas para la participación ciudadana en políticas y control social</t>
  </si>
  <si>
    <t>Capacitaciones y acciones de comunicación implementadas, incluyendo mecanismos para reforzar la participación y la equidad de género y diversidad</t>
  </si>
  <si>
    <t>Estrategia para ampliar la participación de mujeres y grupos diversos en el proceso de diseño de los planes de Gobierno Abierto ante la Alianza para el Gobierno Abierto (AGA) diseñada e implementada</t>
  </si>
  <si>
    <t xml:space="preserve">Portal Único de Transparencia mejorado, centralizando los portales de Datos Abiertos, de Gobierno Abierto, de la DIGEIG y de Solicitud de Acceso a la Información Pública </t>
  </si>
  <si>
    <t>icluye odod slos portales</t>
  </si>
  <si>
    <t>contratar WCM</t>
  </si>
  <si>
    <t>Inclusión de un módulo de alertas tempranas para la identificación de retrasos en la difusión de la información en todos los portales bajo el Portal Único de Transparencia.</t>
  </si>
  <si>
    <t>Diseño y elaboración de tutoriales (autoformativos) para usuarios (con accesibilidad para personas con discapacidad).</t>
  </si>
  <si>
    <t>Contenidos de capacitación en datos abiertos y acceso a la información pública</t>
  </si>
  <si>
    <t>Interoperabilidad desarrollada</t>
  </si>
  <si>
    <t>todos los portales</t>
  </si>
  <si>
    <t>Incorporación de funcionalidades para garantizar el acceso para personas con discapacidad (Estándar Web Content Accessibility Guidelines WCAG2 y ADA)</t>
  </si>
  <si>
    <t>Aplican a todos los componentes del portal</t>
  </si>
  <si>
    <t>Nueva arquitectura para el Portal de Solicitud de Acceso a la Información Pública (SAIP) que permita verificar el cumplimiento normativo y la calidad de la respuesta a las solicitudes de acceso a la información pública, diseñada e implementada</t>
  </si>
  <si>
    <t>3.3.1.3.1</t>
  </si>
  <si>
    <t>3.3.1.3.2</t>
  </si>
  <si>
    <t>sobre wcm</t>
  </si>
  <si>
    <t>3.3.1.3.3</t>
  </si>
  <si>
    <t>Contenidos de capacitación en gestión de cumplimiento normativo y operativo oritentado al acceso a la información pública</t>
  </si>
  <si>
    <t>3.3.1.3.4</t>
  </si>
  <si>
    <t>Ajustes al Portal de Datos Abiertos de la Republica Dominicana, fortalecimiento de la apertura y reutilización de la información e incremento de la capacidad del gobierno y los ciudadanos en la prevención y el control de la corrupción, diseñados e implementados</t>
  </si>
  <si>
    <t>3.3.1.4.1</t>
  </si>
  <si>
    <t>Global 1</t>
  </si>
  <si>
    <t>3.3.1.4.2</t>
  </si>
  <si>
    <t>3.3.1.4.4</t>
  </si>
  <si>
    <t xml:space="preserve">Contenidos de capacitación en modelos de participación ciudadana para la prevención y control de la corrupción </t>
  </si>
  <si>
    <t>3.3.1.4.5</t>
  </si>
  <si>
    <t>3.3.1.5</t>
  </si>
  <si>
    <t>Ajustes al Portal de Gobierno Abierto, diseñados e implementados</t>
  </si>
  <si>
    <t>3.3.1.5.1</t>
  </si>
  <si>
    <t>3.3.1.5.2</t>
  </si>
  <si>
    <t>3.3.1.5.3</t>
  </si>
  <si>
    <t>Contenidos de capacitación en gestión de portales del gobierno abierto</t>
  </si>
  <si>
    <t>3.3.1.5.4</t>
  </si>
  <si>
    <r>
      <t>Diseño del contenido del Programa</t>
    </r>
    <r>
      <rPr>
        <sz val="10"/>
        <color rgb="FFFF0000"/>
        <rFont val="Calibri"/>
        <family val="2"/>
        <scheme val="minor"/>
      </rPr>
      <t>, incluyendo el acompañamiento al proceso de validación interna</t>
    </r>
  </si>
  <si>
    <t>Diseño y desarrollo de contenidos multimedia</t>
  </si>
  <si>
    <t>1 consultor</t>
  </si>
  <si>
    <t>Diseño de la curricula de acuerdo con la modalidad</t>
  </si>
  <si>
    <t>Adaptación de contenidos a una plataforma de e-learning</t>
  </si>
  <si>
    <t>servicioselaearning</t>
  </si>
  <si>
    <t>3.4.2.5</t>
  </si>
  <si>
    <t>Valor estimado USD 45.000, a ser desarrollado por la Cooperación Técnica. Tiempo de ejecución previsto 9 meses (abr-dic 2022)</t>
  </si>
  <si>
    <t>Valor estimado USD 10.000, a ser desarrollado por la Cooperación Técnica</t>
  </si>
  <si>
    <t>4.1.1.3.2</t>
  </si>
  <si>
    <t>Project Manager Líder</t>
  </si>
  <si>
    <t>Año/Global</t>
  </si>
  <si>
    <t>Contratación de asistencia técnica especializada para elaboración de insumos para los TDR y documentos de licitación para la contratación de la firma encargada del desarrollo la arquitectura e implementación de la interoperabilidad</t>
  </si>
  <si>
    <t>Contratación de asistencia técnica especializada para elaboración de insumos para los TDR y documentos de licitación para la contratación de la firma encargada del desarrollo la arquitectura e implementación de la interoperabilidad. Debe incluir la definición de alcance, perfil de la empresa, esquema de fijación de precio (fijo o variable), esquema de remuneración, acuerdos del nivel de servicios y esquema de penalización (multa)</t>
  </si>
  <si>
    <t>1.1.2.4.1</t>
  </si>
  <si>
    <t>1.1.2.4.2</t>
  </si>
  <si>
    <t>Validar con Santiago Paz</t>
  </si>
  <si>
    <t>1.1.2.4.3</t>
  </si>
  <si>
    <t>Depende de la reunión del próximo lunes con SIGEF.</t>
  </si>
  <si>
    <t>1.1.2.5.1</t>
  </si>
  <si>
    <t>1.1.2.5.2</t>
  </si>
  <si>
    <t>1.1.2.5.3</t>
  </si>
  <si>
    <t>Contratación de Especialistas junior para la gestión técnica de la arquitectura de interoperabilidad</t>
  </si>
  <si>
    <t>1.1.4.1.1</t>
  </si>
  <si>
    <t>1.1.4.1.2</t>
  </si>
  <si>
    <t>1.1.4.1.3</t>
  </si>
  <si>
    <t>1.1.4.1.4</t>
  </si>
  <si>
    <t>Servicios de tecnología en la nube y licenciamiento</t>
  </si>
  <si>
    <t>1.1.4.1.5</t>
  </si>
  <si>
    <t>1.1.4.1.6</t>
  </si>
  <si>
    <t>1.1.5.2</t>
  </si>
  <si>
    <t xml:space="preserve">Desarrollo de TDR y Solicitud de Propuesta para la contratación de estudio técnico de base para el diseño del nuevo sistema de compras de contrataciones públicas </t>
  </si>
  <si>
    <t>A incluir en la CT. Valor estimado USD 35.000.</t>
  </si>
  <si>
    <t>Definición de la estrategia de implementación del sistema de compras públicas electrónicas</t>
  </si>
  <si>
    <t>Análisis comparativo de opciones para la construcción del nuevo sistema incluyendo escenarios y criterios de evaluación</t>
  </si>
  <si>
    <t>1.2.1.2.3</t>
  </si>
  <si>
    <t>Diseño de la arquitectura de referencia para el sistema de compras públicas electrónicas con los principales componentes e integraciones.</t>
  </si>
  <si>
    <t>1.2.1.2.4</t>
  </si>
  <si>
    <t>Análisis de requisitos funcionales y no funcionales para el nuevo sistema de compras públicas electrónicas</t>
  </si>
  <si>
    <t>1.2.1.2.5</t>
  </si>
  <si>
    <t>Análisis de requisitos funcionales para el uso y monitoreo de ítems y procesos sostenibles (criterio social, económico y ambiental)</t>
  </si>
  <si>
    <t>1.2.1.2.6</t>
  </si>
  <si>
    <t>Diseño de la arquitectura y los requerimientos de la infraestructura central necesaria para alojar el nuevo sistema</t>
  </si>
  <si>
    <t>1.2.1.2.7</t>
  </si>
  <si>
    <t>Plan de migración de datos y transición al nuevo sistema, incluyendo la evaluación de la calidad de datos del sistema actual</t>
  </si>
  <si>
    <t>1.2.1.2.8</t>
  </si>
  <si>
    <t>Benchmarking para identificar mejores prácticas y lecciones aprendidas en la implementación de sistemas de compras públicas electrónicas</t>
  </si>
  <si>
    <t>1.2.1.2.9</t>
  </si>
  <si>
    <t>Plan de implementación con priorización de tareas, hoja de ruta y presupuesto detallado para el nuevo sistema</t>
  </si>
  <si>
    <t>1.2.1.2.10</t>
  </si>
  <si>
    <t>Diagnóstico del estado actual para la gestión de proyectos de TI y propuesta de estructura para la PMO</t>
  </si>
  <si>
    <t>1.2.1.2.11</t>
  </si>
  <si>
    <t>Términos de referencia con las bases y especificaciones técnicas para la contratación del nuevo sistema</t>
  </si>
  <si>
    <t>Diseño del centro de desarrollo para la construcción del nuevo sistema, el modelo de gobierno y la metodología de desarrollo y operación (DevOps)</t>
  </si>
  <si>
    <t>Adquisición y configuración de herramientas para el desarrollo de software, versionamiento de código, automatización de pruebas, etc.</t>
  </si>
  <si>
    <t>Servicios de nube pública para habilitar el  los entornos de desarrollo, pruebas y el stack tecnológico para el desarrollo del nuevo sistema</t>
  </si>
  <si>
    <t>1.2.1.4.5</t>
  </si>
  <si>
    <t>Construcción de los componentes de software para el nuevo sistema de compras públicas electrónicas que tenga Acceso Universal en todos sus modulos (Fase 1)</t>
  </si>
  <si>
    <t>1.2.1.4.6</t>
  </si>
  <si>
    <t>Construcción de un módulo para el uso y monitoreo de ítems y procesos sostenibles (criterio social, económico y ambiental)</t>
  </si>
  <si>
    <t>1.2.1.4.7</t>
  </si>
  <si>
    <t>Construcción de los componentes de software para automatizar las compras por debajo del umbral, compras menores y comparación de precios (Fase 1)</t>
  </si>
  <si>
    <t>Infraestructura tecnológica y de ciberseguridad, adquirida</t>
  </si>
  <si>
    <t>Adquisición e instalación de una solución de procesamiento y almacenamiento hiperconvergente para el nuevo sistema.</t>
  </si>
  <si>
    <t>Adquisición y configuración de equipos de seguridad perimetral en alta disponibilidad.</t>
  </si>
  <si>
    <t>1.2.1.5.3</t>
  </si>
  <si>
    <t>Adquisición de herramientas de software para la gestión de amenazas, riesgos y  vulnerabilidades.</t>
  </si>
  <si>
    <t>1.2.1.5.4</t>
  </si>
  <si>
    <t>Diseño e implementación del plan de recuperación ante desastres para la operación del nuevo sistema.</t>
  </si>
  <si>
    <t>1.2.1.5.5</t>
  </si>
  <si>
    <t>1.2.1.5.6</t>
  </si>
  <si>
    <t>Implementación del sistema de gestión de seguridad de la información (SGSI)</t>
  </si>
  <si>
    <t>1.2.1.6.3</t>
  </si>
  <si>
    <t>Adquisición y entrenamiento de un chatbot o asistente virtual para la atención a los usuarios del sistema (FAQs, asistente para compradores y proveedores).</t>
  </si>
  <si>
    <t>1.2.1.6.4</t>
  </si>
  <si>
    <t>Adquisición y configuración de una herramienta de gestión de servicio (ITSM) para el seguimiento a los casos.</t>
  </si>
  <si>
    <t>1.2.1.6.5</t>
  </si>
  <si>
    <t>Personal técnico para la atención y soporte del sistema (Nivel 1)</t>
  </si>
  <si>
    <t>1.2.1.6.6</t>
  </si>
  <si>
    <t>Personal especializado para la operación y administración del sistema (Nivel 2)</t>
  </si>
  <si>
    <t>1.2.1.6.7</t>
  </si>
  <si>
    <t>Mantenimiento y ajustes por estabilizacion al nuevo sistema</t>
  </si>
  <si>
    <t>Juan Cruz aprobó esta inclusion. Calculo 5.000 horas a 100 dolares</t>
  </si>
  <si>
    <t>Diseño de la estrategia de gestión del cambio para la modernización del sistema de compras públicas electrónicas</t>
  </si>
  <si>
    <t>Herramientas y materiales de comunicación y capacitación para la gestión del cambio</t>
  </si>
  <si>
    <t>Adquisición y configuración de una plataforma de e-learning</t>
  </si>
  <si>
    <t>Personal de comunicaciónes para el proyecto de modernización del sistema de compras públicas electrónicas</t>
  </si>
  <si>
    <t>Personal para la capacitación y acompañamiento a usuarios del nuevo sistema de compras públicas electrónicas (Fase 1)</t>
  </si>
  <si>
    <t>Especialistas contratados</t>
  </si>
  <si>
    <t>Especialista en contrataciones públicas</t>
  </si>
  <si>
    <t>Consultores para levantamiento de requerimientos funcionales/no funcionales, pruebas y apoyo en la implementación del sistema en las entidades</t>
  </si>
  <si>
    <t>Contrucción e implementación de un tablero de precios</t>
  </si>
  <si>
    <t xml:space="preserve">Aprobado el monto con DGCP , Juan y consultores </t>
  </si>
  <si>
    <t>Construcción y configuración de una herramienta de alertas tempranas que incluya alertas y reportes de riesgos de integridad y eficiencia, que incluya: (i) alerta de género para identificar las unidades de compras que adjudiquen menos del 5% de los contratos a MIPYMES mujeres y (ii) alerta relacionada a aplicación de criterios sostenibles (ambiental)</t>
  </si>
  <si>
    <t>Caracterización de entidades compradoras, realizada</t>
  </si>
  <si>
    <t>A financiar con la CT. Consultoría Firma. Valor estimado USD 25.000</t>
  </si>
  <si>
    <t>Levantamiento de necesidades de formación de la DGCP, realizado</t>
  </si>
  <si>
    <t>A financiar con la CT. Consultoría individual. Valor estimado USD 20.000</t>
  </si>
  <si>
    <t>Diseño del plan de formación de la DGCP en entidades de educación superior de acuerdo con el plan estratégico de la entidad que sea integral  (habilidades duras, blandas, y abastecimiento estrátegico) y de cobertura amplia  en servidores públicos (unidades ejecutoras, comprador, usuario, comité estrátegico, perito)</t>
  </si>
  <si>
    <t>Incluye de manera integral (normativo+tecnologico+gerencia de la contratacion publica Se debe tener en cuenta la categorización de entidades/plan de segmentacion que estan haciendo y estara listo 2022 Q1. Esto debe tener la hoja de ruta en la que se identifique perfiles de formadores (esto a pedido de José Calderón).</t>
  </si>
  <si>
    <t>Diseño de una estrategia de certificación de servidores públicos participantes en el proceso de contratación,  basada en el plan de formación y orientada a mejorar su desempeño</t>
  </si>
  <si>
    <t>Despliegue conjunto del plan de formación y la certificación para servidores públicos.</t>
  </si>
  <si>
    <t>Capacitación a proveedores en temas de contratación pública de vanguardia.</t>
  </si>
  <si>
    <t>Capacitación a sociedad civil (por ejemplo comisiones de seguimiento)  en temas de contratación pública de vanguardia.</t>
  </si>
  <si>
    <t xml:space="preserve">Realización de un diagnóstico de barreras de entrada para proveedoras mujeres y desafíos de unidades de compra, para la inclusión de criterios sociales en los procesos de compras y contrataciones </t>
  </si>
  <si>
    <t>Elaboración de estrategia para la promoción de la participación de las empresas lideradas por mujeres en los procesos de contratación mediante acciones de comunicación, capacitación y acompañamiento</t>
  </si>
  <si>
    <t xml:space="preserve">Estrategia de Promoción de la participación de las empresas lideradas por mujeres y de promoción de compras sostenibles implementada </t>
  </si>
  <si>
    <t>Desarrollo de acciones de comunicación de la estrategia</t>
  </si>
  <si>
    <t>El alcance dependerá de lo que se establezca en la Estrategia</t>
  </si>
  <si>
    <t>1.2.5.3.2</t>
  </si>
  <si>
    <t>Capacitación de funcionarios y proveedores en compras sustentables, es decir con promoción del enfoque económico (MIPYME), social (género y diversidad) y ambiental (verde) en los procesos</t>
  </si>
  <si>
    <t>Esto tiene que ver también con las actividades de capacitación</t>
  </si>
  <si>
    <t>1.2.5.3.3</t>
  </si>
  <si>
    <t>Actividades de acompañamiento para la implementación a la estrategia</t>
  </si>
  <si>
    <t>1.2.5.4</t>
  </si>
  <si>
    <t>Elaboración de guías y manuales de buenas prácticas en compras sostenibles (enfoque ambiental).</t>
  </si>
  <si>
    <t xml:space="preserve">Consultoría Firma </t>
  </si>
  <si>
    <t>Contratación de asistencia técnica especializada para elaboración de TDR y documentos de licitación para la contratación de la Firma encargada del diseño, desarrollo e implementación del sistema de SM&amp;E de inversiones públicas. Debe incluir la definición de alcance, perfil de la empresa, esquema de fijación de precio (fijo o variable), esquema de remuneración, acuerdos del nivel de servicios y esquema de penalización (multa)</t>
  </si>
  <si>
    <t>1.3.1.6</t>
  </si>
  <si>
    <t>1.3.2.2.2</t>
  </si>
  <si>
    <t>1.3.2.2.3</t>
  </si>
  <si>
    <t>1.3.2.2.4</t>
  </si>
  <si>
    <t>Diagnóstico del marco legal, regulatorio e institucional y de RRHH</t>
  </si>
  <si>
    <t>Se requiere iniciar cuanto antes. Se requiere incluir los recursos en la CT del programa. Valor estimado USD 60.000 (30.000 cada consultoría). Ambos dagnósticos finalizarán con un único diagnóstico final sobre beneficiarios finales en RD en línea con estándares internacionales</t>
  </si>
  <si>
    <t>Diagnóstico de capacidades tecnológicas</t>
  </si>
  <si>
    <t>Consultoría para el diseño de instrumento regulatorio requerido</t>
  </si>
  <si>
    <t>Validación del instrumento regulatorio diseñado</t>
  </si>
  <si>
    <t>Ajustes finales al instrumento regulatorio</t>
  </si>
  <si>
    <t>Sistema tecnológico para el Registro de Beneficiarios Finales de personas y estructuras jurídicas, desarrollado</t>
  </si>
  <si>
    <t>Diseño del Sistema/Plataforma del Registro de Benficiarios Finales</t>
  </si>
  <si>
    <t>Desarrollo del Sistema/Plataforma del Registro de Beneficiarios Finales, incluyendo su interoperabilidad</t>
  </si>
  <si>
    <t>Implementación y despliegue</t>
  </si>
  <si>
    <t>Análisis de brechas legales e institucionales y diagnóstico situacional</t>
  </si>
  <si>
    <t>Incluir en la CT. Valor estimado USD 50.000</t>
  </si>
  <si>
    <t>Levantamiento de información sobre el modelo existente (normativos, organizacionales y tecnológicos)</t>
  </si>
  <si>
    <t xml:space="preserve">Global </t>
  </si>
  <si>
    <t>Identificación de brechas de competencias normativas, organizacionales y tecnológicas</t>
  </si>
  <si>
    <t>Project Manager de apoyo contratado</t>
  </si>
  <si>
    <t>Ajustes al proceso para certificación de cargos</t>
  </si>
  <si>
    <t>Nuevos procesos, desarrollados</t>
  </si>
  <si>
    <t>2.1.2.3</t>
  </si>
  <si>
    <t>Producto 17: Estrategias de reorganización de funciones, cargos, y dotación necesaria de la CGRD y de las Unidades de Control Interno realizadas</t>
  </si>
  <si>
    <t>Definición de modelo de las Unidades de Control Interno</t>
  </si>
  <si>
    <t>Definicion de la tipología de las Unidades de Control Interno y la dotación necesaria</t>
  </si>
  <si>
    <t>Rediseño de la estructura organizacional de la CGR y Manual de las Unidades de Control Interno</t>
  </si>
  <si>
    <t>Rediseño de la estructura de cargos y Manual de Perfil de Cargos en la CGR y las Unidades de Control Interno</t>
  </si>
  <si>
    <t>Talleres de trabajo en Gestión del Cambio, realizados</t>
  </si>
  <si>
    <t>Programa de sensibililzación interno (CGR y UCI) al cambio institucional (incluyendo recursos audiovisuales)</t>
  </si>
  <si>
    <t>Producto 19: Brechas de competencias según modelo de talento humano dimensionadas</t>
  </si>
  <si>
    <t>Plan estratégico para identificar y atraer recursos humanos, elaborado</t>
  </si>
  <si>
    <t>Inscripción de auditores para la certificiación en COSO y CIA</t>
  </si>
  <si>
    <t>Auditores</t>
  </si>
  <si>
    <t>Actualización de la certificación en COSO y CIA</t>
  </si>
  <si>
    <t xml:space="preserve">Asistencia técnica a la CGR para lograr cumplir con la Certificación de la CGR en la Norma para la seguridad de las tecnologías de la información y comunicación NORTIC A7 </t>
  </si>
  <si>
    <t>Asistencia técnica a la CGR para apoyar a las instituciones públicas en normas básicas de control interno y complementarias (medio ambiente, equidad de género, personas con discapacidad)</t>
  </si>
  <si>
    <t>Talleres de sensibilización y capacitación entre la CGRD y las instituciones auditadas, para el conocimiento y aplicación de las normas básicas y complementarias de control interno, y promoción de la interacción entre auditor y auditado</t>
  </si>
  <si>
    <t>Producto 22: Módulos funcionales para la transformación digital del modelo de control implementados</t>
  </si>
  <si>
    <r>
      <t>Identificación de las necesidades tecnológicas de infraestructura y servicios de tecnologías digitales (</t>
    </r>
    <r>
      <rPr>
        <i/>
        <sz val="10"/>
        <rFont val="Calibri"/>
        <family val="2"/>
        <scheme val="minor"/>
      </rPr>
      <t>Capacity planning</t>
    </r>
    <r>
      <rPr>
        <sz val="10"/>
        <rFont val="Calibri"/>
        <family val="2"/>
        <scheme val="minor"/>
      </rPr>
      <t>)</t>
    </r>
  </si>
  <si>
    <t>Construcción de Módulos funcionales conforme a lo propuesto por la transformación digital del sistema de control ex ante, a través de una empresa de tecnología (Fabrica de software), realizada</t>
  </si>
  <si>
    <t>Podría implicar: Procesos actuales (Conciliación de nóminas, Certificación de contratos, Aprobación de órdenes de pago) y Nuevos procesos (Enfoque en riesgos y Detección de fraude y corrupción)</t>
  </si>
  <si>
    <t>Construcción de software de los procesos misionales actuales priorizados, realizada</t>
  </si>
  <si>
    <t>2.3.1.2.1.1</t>
  </si>
  <si>
    <t>2.3.1.2.1.2</t>
  </si>
  <si>
    <t>2.3.1.2.1.3</t>
  </si>
  <si>
    <t>2.3.1.2.1.4</t>
  </si>
  <si>
    <t>Construcción de software para nuevos procesos desarrollados, realizada</t>
  </si>
  <si>
    <t>Asistencia técnica a la CGR para interactuar con la fábrica de software, contratada</t>
  </si>
  <si>
    <t>Se propone que se realice un entrenamiento haciendo, pero se podría revisar y evaluar a la hora de la implementación</t>
  </si>
  <si>
    <t>Consultor/ Mes</t>
  </si>
  <si>
    <t>Prever que tenga experiencia en la implementación con enfoque de riesgos</t>
  </si>
  <si>
    <t>2.3.1.4</t>
  </si>
  <si>
    <t>Producto 23: Controles de Ciberseguridad implementados</t>
  </si>
  <si>
    <t>Asistencia Técnica para oficina de ciberseguridad, contratada</t>
  </si>
  <si>
    <t>2.3.2.1.1</t>
  </si>
  <si>
    <t>Consulor experto en ciberseguridad</t>
  </si>
  <si>
    <t>Consultor/Mes</t>
  </si>
  <si>
    <t>Considerar que una vez que el perfil esté aprobado se inicie con la definición de los TDR y preidentificación de candidatos.</t>
  </si>
  <si>
    <t>2.3.2.1.2</t>
  </si>
  <si>
    <t>Consultor junior en ciberseguridad</t>
  </si>
  <si>
    <t>Capacitación general y concienciación en ciberseguridad, desarrollada</t>
  </si>
  <si>
    <t>Licencias para uso de software SIEM (Security Information and Event Management) y el servicio de implementación y configuración y soporte</t>
  </si>
  <si>
    <t>Los pagos se realizan en 1 pago inicial de 300.000 y luego 3 pagos anuales de 60.000</t>
  </si>
  <si>
    <t>Firewall de base de datos y sensores de ciberseguridad</t>
  </si>
  <si>
    <t>Apartir del año 3 pagos anuales de USD 100.000</t>
  </si>
  <si>
    <t>Ciclo de vida de desarrollo para el software seguro (SSDLC), implementado</t>
  </si>
  <si>
    <t>2.3.2.5.1</t>
  </si>
  <si>
    <t>Asistencia técnica en transferencia de conocimiento para el diseño e implantación de metodologías</t>
  </si>
  <si>
    <t>a partir del año 2. Pago 1 USD 300.000 y en el año 3 y 4, USD 100.000 cada uno</t>
  </si>
  <si>
    <t>2.3.2.5.2</t>
  </si>
  <si>
    <t>Adquisición de Herramientas de apoyo para el SSDLC</t>
  </si>
  <si>
    <t>Software para realizar análisis estático y dinámico de código, y análisis de amenaza y diseño</t>
  </si>
  <si>
    <t>2.3.2.5.3</t>
  </si>
  <si>
    <t>Asistencia técnica con servicios de apoyo en el desarrollo de software seguro</t>
  </si>
  <si>
    <t>Calculado sobre la base de 2.5 años</t>
  </si>
  <si>
    <t>2.3.2.6</t>
  </si>
  <si>
    <r>
      <t>Plan de Continuidad de Negocios (BCP-</t>
    </r>
    <r>
      <rPr>
        <i/>
        <sz val="10"/>
        <rFont val="Calibri"/>
        <family val="2"/>
        <scheme val="minor"/>
      </rPr>
      <t>Bussines Continuity Plan</t>
    </r>
    <r>
      <rPr>
        <sz val="10"/>
        <rFont val="Calibri"/>
        <family val="2"/>
        <scheme val="minor"/>
      </rPr>
      <t>), diseñado e implementado</t>
    </r>
  </si>
  <si>
    <t>2.3.2.6.1</t>
  </si>
  <si>
    <t>Asistencia técnica para el diseño del BCP y DRP (Plan de Recuperación de Desastres)</t>
  </si>
  <si>
    <t>Primer desembolso USD 50.000 en el año 1 y USD 150.000 en el año 2</t>
  </si>
  <si>
    <t>2.3.2.6.2</t>
  </si>
  <si>
    <t>Prueba y auditoría de los planes</t>
  </si>
  <si>
    <t>A partir del año 3, 4 y 5 30.000 por año</t>
  </si>
  <si>
    <t>Producto 24: Modelo de interoperabilidad que integre los sistemas del MH, el MEPYD, la DGCP y la CGR implementado</t>
  </si>
  <si>
    <t>Construcción de servicios web para consumo, conforme al modelo de interoperabilidad, a través de una empresa de tecnología (Fabrica de software)</t>
  </si>
  <si>
    <t xml:space="preserve">Los TDR para esta contratación deberán ser preparados por los especialistas para formación práctica y transferencia de conocimientos </t>
  </si>
  <si>
    <t>Producto 25: Sistema de información para la gestión integral de riesgos en los procesos de control interno, diseñado e implementado</t>
  </si>
  <si>
    <t>Producto 26: Algoritmos analíticos para el control interno desarrollados</t>
  </si>
  <si>
    <t>Diseño del Modelo Analítico para la toma de decisiones</t>
  </si>
  <si>
    <t>2.3.5.2</t>
  </si>
  <si>
    <t>Desarrollo de algoritmos</t>
  </si>
  <si>
    <t>Producto 27: Sistema de análisis de información, desarrollado</t>
  </si>
  <si>
    <t>2.3.6.1</t>
  </si>
  <si>
    <t>Asistencia técnica para desarrollar un Sistema de gestión de riesgos reputacionales</t>
  </si>
  <si>
    <t>En caso de impacto en la imagen institucional, riesgo reputacionales y exposición mediática, ante sociedad civil y sector privado</t>
  </si>
  <si>
    <t>2.3.6.2</t>
  </si>
  <si>
    <t>Desarrollo de un sistema para la gestión de crisis comunicacional</t>
  </si>
  <si>
    <t>Producto 28: Anteproyecto de ley en materia de integridad y conflictos de intereses elaborado</t>
  </si>
  <si>
    <t>Producto 29: Anteproyecto de ley en materia de protección de denunciantes de actos de corrupción administrativa elaborado</t>
  </si>
  <si>
    <t>Producto 30: Sistema para gestionar conflictos de interés, diseñado e implementado</t>
  </si>
  <si>
    <t>Producto 32: Programas de cumplimiento e integridad para el sector privado desarrollados</t>
  </si>
  <si>
    <t>Producto 35: Sistema de participación ciudadana con enfoque de género y diversidad, implementado</t>
  </si>
  <si>
    <t>Producto 36: Portal de transparencia (con accesibilidad para personas con discapacidad) diseñado e implementado</t>
  </si>
  <si>
    <t>Sesiones de trabajo de coordinación para programación de MdR, costeo y programación de las principales adquisiciones para enlace obligatorio del POD</t>
  </si>
  <si>
    <t>Tema</t>
  </si>
  <si>
    <t>Fecha</t>
  </si>
  <si>
    <t>Hora RD</t>
  </si>
  <si>
    <t>Hora PR</t>
  </si>
  <si>
    <t>Líder</t>
  </si>
  <si>
    <t>Participantes</t>
  </si>
  <si>
    <t>Referente BID</t>
  </si>
  <si>
    <t>Lunes 15/11/2021</t>
  </si>
  <si>
    <t>10.00 - 11.00</t>
  </si>
  <si>
    <t>11.00 - 12.00</t>
  </si>
  <si>
    <t>Diego Pérez
José Niño</t>
  </si>
  <si>
    <t>12.00 - 13.00</t>
  </si>
  <si>
    <t>13.00 - 14.00</t>
  </si>
  <si>
    <t>Nicolas Dassen
Diego Pérez
José Niño</t>
  </si>
  <si>
    <t>Nicolas Dassen</t>
  </si>
  <si>
    <t>Según nos indicaron ND estructura y DP/JN costean.</t>
  </si>
  <si>
    <t>15.00 - 16.00</t>
  </si>
  <si>
    <t>16.00 - 17.00</t>
  </si>
  <si>
    <t>Maria Cecilia Álvarez</t>
  </si>
  <si>
    <t>Martes 16/11/2021</t>
  </si>
  <si>
    <t>10.00 - 12.00</t>
  </si>
  <si>
    <t>11.00 - 13.00</t>
  </si>
  <si>
    <t xml:space="preserve">Benjamín Santamaria </t>
  </si>
  <si>
    <t>Ulises Morales
José Niño
Diego Pérez</t>
  </si>
  <si>
    <t>14.00 - 15.00</t>
  </si>
  <si>
    <t xml:space="preserve">Ana Cristina Calderón </t>
  </si>
  <si>
    <t>Coordinar según agenda de ACC</t>
  </si>
  <si>
    <t>7</t>
  </si>
  <si>
    <t>Martes 23/11/2021</t>
  </si>
  <si>
    <t>9.00 - 10.00</t>
  </si>
  <si>
    <t>Graciela von Bargen</t>
  </si>
  <si>
    <t>Raimundo Arroio</t>
  </si>
  <si>
    <t>Juan Cruz</t>
  </si>
  <si>
    <t>Supuestos y Criterios utilizados para la programación</t>
  </si>
  <si>
    <t>1. Supuestos de planificación - POD y Contrato de Préstamo</t>
  </si>
  <si>
    <t>Misión de Identificación</t>
  </si>
  <si>
    <t>Misión de Orientación</t>
  </si>
  <si>
    <t>Misión de Análisis</t>
  </si>
  <si>
    <t>POD presencial</t>
  </si>
  <si>
    <t>1.5</t>
  </si>
  <si>
    <t>Aprobación del Contrato de Préstamo</t>
  </si>
  <si>
    <t>1.6</t>
  </si>
  <si>
    <t xml:space="preserve">Firma del Contrato de Préstamo </t>
  </si>
  <si>
    <t>1.7</t>
  </si>
  <si>
    <t>Cumplimiento de Condiciones Previas al Primer Desembolso</t>
  </si>
  <si>
    <t>1.8</t>
  </si>
  <si>
    <t>Inicio de la ejecución del Programa</t>
  </si>
  <si>
    <t>AMP 100% (20 personas)</t>
  </si>
  <si>
    <t>IDAAN Central 50% (1439 + 229, confirmar)</t>
  </si>
  <si>
    <t>2. Criterios para la Programación Financiera</t>
  </si>
  <si>
    <t>Panamá Metro 100% (561 personas</t>
  </si>
  <si>
    <t>No se contemplará Pago de Anticipo. La programación financiera contempla pagos por montos fijos mensuales y pagos contra entrega de productos (variable)</t>
  </si>
  <si>
    <t>Arraiján 100% 104 personas</t>
  </si>
  <si>
    <t>Para la programación financiera y el calculo de los desembolsos se consideraron dos escenarios:
1) Programación con criterio de año de Programa y no año calendario; y 2) Programación con criterio de año calendario y no año de Programa</t>
  </si>
  <si>
    <t>Las contrataciones de personal cuya duración es por 60 meses o durante la duración del Programa será financiada se preve financiación con Contrapartida Local</t>
  </si>
  <si>
    <t>2.4</t>
  </si>
  <si>
    <t>Las contrataciones de personal temporal o por producto se preve la financiación con recursos del BID</t>
  </si>
  <si>
    <t>3. Criterios para el Plan de Adquisiciones</t>
  </si>
  <si>
    <t>Las fechas utilizadas para la "Revisión de TDRs por parte del BID; Aviso Especial de Adquisiciones; y Firma del Contrato" se establecen por trimestres de los años del Programa</t>
  </si>
  <si>
    <t>4. Criterios para la programación de actividades en el PEP-POA (Project)</t>
  </si>
  <si>
    <t xml:space="preserve">Condiciones previas y de ejecución: las actividades están marcadas en color anaranjado claro </t>
  </si>
  <si>
    <t>Las filas de las actividades que deberán realizarse en forma previa al Cumplimiento de Condiciones Previas al Primer Desembolso del Préstamo tienen fondo de color verde claro</t>
  </si>
  <si>
    <t>Los tiempos estimados para la duración de los procesos de adquisiciones están en la hoja CA1_ET de este archivo</t>
  </si>
  <si>
    <r>
      <t>CA1. Estimaciones de Tiempos para los procesos de adquisiciones</t>
    </r>
    <r>
      <rPr>
        <sz val="12"/>
        <rFont val="Arial"/>
        <family val="2"/>
      </rPr>
      <t xml:space="preserve"> </t>
    </r>
  </si>
  <si>
    <t>Estadística de tiempos para procesos de adquisición con Políticas del BID</t>
  </si>
  <si>
    <t>1. Bienes, Obras y Servicios de No Consultoría</t>
  </si>
  <si>
    <t>Descripción de la etapa</t>
  </si>
  <si>
    <r>
      <t xml:space="preserve">Duración
</t>
    </r>
    <r>
      <rPr>
        <i/>
        <sz val="8"/>
        <rFont val="Arial"/>
        <family val="2"/>
      </rPr>
      <t>(días hábiles)</t>
    </r>
  </si>
  <si>
    <t>Desde el inicio de la preparación de especificaciones técnicas hasta la No Objeción del Pliego</t>
  </si>
  <si>
    <t>Desde el inicio del proceso para publicación del llamado hasta la firma del contrato</t>
  </si>
  <si>
    <t>Inicio de la etapa de ejecución del contrato</t>
  </si>
  <si>
    <t>Desde la firma del contrato hasta el inicio efectivo de la provisión del bien/servicio</t>
  </si>
  <si>
    <t>Desde el inicio de la preparación de especificaciones técnicas hasta la No Objeción de la Carta Invitación</t>
  </si>
  <si>
    <t>2. Servicios de Consultoría - Firmas</t>
  </si>
  <si>
    <t>SBCC, SBC, SBMC, SBCF</t>
  </si>
  <si>
    <t>Expresión de interés</t>
  </si>
  <si>
    <t>Desde el inicio de la preparación de la Manifestación de Interés hasta la No Objeción a la Lista Corta</t>
  </si>
  <si>
    <t>Etapa  previa del llamado</t>
  </si>
  <si>
    <t>Desde el inicio de la preparación de la Solicitud de Propuesta (SP) hasta su No Objeción</t>
  </si>
  <si>
    <t>3. Consultorías Individuales</t>
  </si>
  <si>
    <t>CCIN</t>
  </si>
  <si>
    <t xml:space="preserve">Etapa  previa </t>
  </si>
  <si>
    <t>Desde el inicio de la preparación de los Términos de Referencia (TDR) hasta su No Objeción</t>
  </si>
  <si>
    <t>CA2. Umbrales de los métodos de adquisición bajo políticas del BID</t>
  </si>
  <si>
    <t>Categoría del gasto</t>
  </si>
  <si>
    <t>Método de contratación</t>
  </si>
  <si>
    <t>Valor</t>
  </si>
  <si>
    <t xml:space="preserve">Publicidad, (convocatoria y adjudicación de contratos) </t>
  </si>
  <si>
    <t>Documentos a ser utilizados</t>
  </si>
  <si>
    <t>Plazos mínimos de presentación de propuestas (en días calendario)</t>
  </si>
  <si>
    <t>Métodos de Revisión aplicables</t>
  </si>
  <si>
    <t>Obras  </t>
  </si>
  <si>
    <t>Contrato = &gt; US$ 3,0 millones</t>
  </si>
  <si>
    <t>UNDB, Diario de Circulación Nacional, otros</t>
  </si>
  <si>
    <t>Documentos Estándar de Licitaciones (DEL)</t>
  </si>
  <si>
    <t>Preparación de ofertas: 42 días</t>
  </si>
  <si>
    <t>Ex ante: LPI</t>
  </si>
  <si>
    <t>LPN(*)</t>
  </si>
  <si>
    <t>US$ 3,0 millones &gt; Contrato &gt;= US$ 250.000</t>
  </si>
  <si>
    <t>Diario de Circulación Nacional, otros</t>
  </si>
  <si>
    <t>Cartel de Obras Menores, acordado con el Banco</t>
  </si>
  <si>
    <t>30 días</t>
  </si>
  <si>
    <t>Ex post: Por debajo del umbral para LPI</t>
  </si>
  <si>
    <t>Contrato &lt;  US$ 250.000 (obras complejas)</t>
  </si>
  <si>
    <t>Complementariamente: Diario de Circulación Nacional, otros</t>
  </si>
  <si>
    <t>Documento de Licitación elaborado por la UCP para efectos del proyecto, acordado con el Banco</t>
  </si>
  <si>
    <t>Obras menores a USD 50.000: 10 días</t>
  </si>
  <si>
    <t>Obras mayores a USD 50.000: 15 días</t>
  </si>
  <si>
    <t>Bienes y Servicios</t>
  </si>
  <si>
    <t>Contrato = &gt; US$ 250.000</t>
  </si>
  <si>
    <t>UNDB, Complementario:  Diario de Circulación Nacional</t>
  </si>
  <si>
    <t>Documentos Estándar de Licitación (DEL)</t>
  </si>
  <si>
    <t>42 días</t>
  </si>
  <si>
    <t>US$ 250.000 &gt; contrato&gt; =US$ 50.000</t>
  </si>
  <si>
    <t>Complementariamente: Diario de Circulación Nacional</t>
  </si>
  <si>
    <t>Documento acordado con el Banco</t>
  </si>
  <si>
    <t>Contrato &lt; US$ 50.000</t>
  </si>
  <si>
    <t>Diario de Circulación Nacional</t>
  </si>
  <si>
    <t>Documento de Comparación de Precios, acordado con el Banco</t>
  </si>
  <si>
    <t>Bienes: 10 días</t>
  </si>
  <si>
    <t>Consultoría de firmas</t>
  </si>
  <si>
    <t>SBCC, SBPF, SBMC, SBC</t>
  </si>
  <si>
    <t>Contrato &gt; US$ 350.000</t>
  </si>
  <si>
    <t xml:space="preserve">Publicación de Aviso de Expresiones de Interés en UNDB. Complementario: Diario de Circulación Nacional </t>
  </si>
  <si>
    <t xml:space="preserve">Solicitud Estándar de Propuestas (SEP) emitida por el Banco </t>
  </si>
  <si>
    <t>Manifestación de Interés: 14 días**</t>
  </si>
  <si>
    <t>(Lista Corta Internacional)</t>
  </si>
  <si>
    <t>Preparación de propuestas: 30 días</t>
  </si>
  <si>
    <t>SBCC, SBPF, SBMC, SBC, SCC</t>
  </si>
  <si>
    <t>Contrato &lt; =US$ 350.000</t>
  </si>
  <si>
    <t xml:space="preserve">Publicación de Aviso de Expresiones de Interés en Diario de Circulación Nacional. </t>
  </si>
  <si>
    <t>Solicitud Estándar de Propuestas (SEP)</t>
  </si>
  <si>
    <t>Manifestación de Interés: 14 días</t>
  </si>
  <si>
    <t xml:space="preserve">Lista corta integrada se acepta únicamente por firmas nacionales. </t>
  </si>
  <si>
    <t>Complementaria: Publicación en páginas de gremios con bolsas de trabajo</t>
  </si>
  <si>
    <t>Contrato &lt; 100.000**</t>
  </si>
  <si>
    <t>--</t>
  </si>
  <si>
    <t>Sin límite</t>
  </si>
  <si>
    <t>Términos de Referencias acordado con el Banco</t>
  </si>
  <si>
    <t>Preparación de CVs: 15 días</t>
  </si>
  <si>
    <t>='8_MP'</t>
  </si>
  <si>
    <t>='8_MP'!</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</si>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</sst>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5">
    <numFmt numFmtId="5" formatCode="&quot;$&quot;#,##0;\-&quot;$&quot;#,##0"/>
    <numFmt numFmtId="41" formatCode="_-* #,##0_-;\-* #,##0_-;_-* &quot;-&quot;_-;_-@_-"/>
    <numFmt numFmtId="44" formatCode="_-&quot;$&quot;* #,##0.00_-;\-&quot;$&quot;* #,##0.00_-;_-&quot;$&quot;* &quot;-&quot;??_-;_-@_-"/>
    <numFmt numFmtId="43" formatCode="_-* #,##0.00_-;\-* #,##0.00_-;_-* &quot;-&quot;??_-;_-@_-"/>
    <numFmt numFmtId="164" formatCode="&quot;$&quot;#,##0_);\(&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 #,##0_ ;_ * \-#,##0_ ;_ * &quot;-&quot;_ ;_ @_ "/>
    <numFmt numFmtId="171" formatCode="_ * #,##0.00_ ;_ * \-#,##0.00_ ;_ * &quot;-&quot;??_ ;_ @_ "/>
    <numFmt numFmtId="172" formatCode="_-* #,##0.00\ _€_-;\-* #,##0.00\ _€_-;_-* &quot;-&quot;??\ _€_-;_-@_-"/>
    <numFmt numFmtId="173" formatCode="[$USD]\ #,##0.00"/>
    <numFmt numFmtId="174" formatCode="_(* #,##0_);_(* \(#,##0\);_(* &quot;-&quot;??_);_(@_)"/>
    <numFmt numFmtId="175" formatCode="_-&quot;$&quot;* #,##0_-;\-&quot;$&quot;* #,##0_-;_-&quot;$&quot;* &quot;-&quot;??_-;_-@_-"/>
    <numFmt numFmtId="176" formatCode="_(* #,##0.0_);_(* \(#,##0.0\);_(* &quot;-&quot;??_);_(@_)"/>
    <numFmt numFmtId="177" formatCode="&quot;$&quot;#,##0.0000_);\(&quot;$&quot;#,##0.0000\)"/>
    <numFmt numFmtId="178" formatCode="General_)"/>
    <numFmt numFmtId="179" formatCode="_-* #,##0.00\ [$€]_-;\-* #,##0.00\ [$€]_-;_-* &quot;-&quot;??\ [$€]_-;_-@_-"/>
    <numFmt numFmtId="180" formatCode="_([$€-2]\ * #,##0.00_);_([$€-2]\ * \(#,##0.00\);_([$€-2]\ * &quot;-&quot;??_)"/>
    <numFmt numFmtId="181" formatCode="#,##0.0_);\(#,##0.0\)"/>
    <numFmt numFmtId="182" formatCode="_-* #,##0\ _F_-;\-* #,##0\ _F_-;_-* &quot;-&quot;\ _F_-;_-@_-"/>
    <numFmt numFmtId="183" formatCode="_-* #,##0.00\ _F_-;\-* #,##0.00\ _F_-;_-* &quot;-&quot;??\ _F_-;_-@_-"/>
    <numFmt numFmtId="184" formatCode="_ &quot;S/.&quot;\ * #,##0.00_ ;_ &quot;S/.&quot;\ * \-#,##0.00_ ;_ &quot;S/.&quot;\ * &quot;-&quot;??_ ;_ @_ "/>
    <numFmt numFmtId="185" formatCode="_-* #,##0\ &quot;F&quot;_-;\-* #,##0\ &quot;F&quot;_-;_-* &quot;-&quot;\ &quot;F&quot;_-;_-@_-"/>
    <numFmt numFmtId="186" formatCode="_-* #,##0.00\ &quot;F&quot;_-;\-* #,##0.00\ &quot;F&quot;_-;_-* &quot;-&quot;??\ &quot;F&quot;_-;_-@_-"/>
    <numFmt numFmtId="187" formatCode="0.0000"/>
    <numFmt numFmtId="188" formatCode="mm/dd/yy"/>
    <numFmt numFmtId="189" formatCode="0.0%"/>
    <numFmt numFmtId="190" formatCode="_ * #,##0.0_ ;_ * \-#,##0.0_ ;_ * &quot;-&quot;_ ;_ @_ "/>
    <numFmt numFmtId="191" formatCode="_ * #,##0.00_ ;_ * \-#,##0.00_ ;_ * &quot;-&quot;_ ;_ @_ "/>
    <numFmt numFmtId="192" formatCode="_(&quot;$&quot;\ * #,##0.00_);_(&quot;$&quot;\ * \(#,##0.00\);_(&quot;$&quot;\ * &quot;-&quot;??_);_(@_)"/>
    <numFmt numFmtId="193" formatCode="0.000"/>
    <numFmt numFmtId="194" formatCode="mm/dd/yy;@"/>
    <numFmt numFmtId="195" formatCode="_-* #,##0_-;\-* #,##0_-;_-* &quot;-&quot;??_-;_-@_-"/>
    <numFmt numFmtId="196" formatCode="_-* #,##0\ _€_-;\-* #,##0\ _€_-;_-* &quot;-&quot;??\ _€_-;_-@_-"/>
    <numFmt numFmtId="197" formatCode="_ * #,##0_ ;_ * \-#,##0_ ;_ * &quot;-&quot;??_ ;_ @_ "/>
    <numFmt numFmtId="198" formatCode="[$USD]\ #,##0"/>
    <numFmt numFmtId="199" formatCode="dd/mm/yy;@"/>
    <numFmt numFmtId="200" formatCode="0.0"/>
    <numFmt numFmtId="201" formatCode="0&quot;.&quot;0&quot;.&quot;0&quot;.&quot;0&quot;.&quot;00"/>
    <numFmt numFmtId="202" formatCode="_(&quot;$&quot;* #,##0_);_(&quot;$&quot;* \(#,##0\);_(&quot;$&quot;* &quot;-&quot;??_);_(@_)"/>
    <numFmt numFmtId="203" formatCode="_(* #,##0.00_);_(* \(#,##0.00\);_(* &quot;-&quot;_);_(@_)"/>
    <numFmt numFmtId="204" formatCode="_ * #,##0.0000_ ;_ * \-#,##0.0000_ ;_ * &quot;-&quot;_ ;_ @_ "/>
    <numFmt numFmtId="205" formatCode="dd\-mm\-yyyy"/>
    <numFmt numFmtId="206" formatCode="_-* #,##0.0_-;\-* #,##0.0_-;_-* &quot;-&quot;??_-;_-@_-"/>
    <numFmt numFmtId="208" formatCode="_-* #,##0.0000000_-;\-* #,##0.0000000_-;_-* &quot;-&quot;??_-;_-@_-"/>
    <numFmt numFmtId="209" formatCode="_-* #,##0.000000000_-;\-* #,##0.000000000_-;_-* &quot;-&quot;??_-;_-@_-"/>
    <numFmt numFmtId="210" formatCode="&quot;$&quot;#,##0.00"/>
    <numFmt numFmtId="211" formatCode="_(&quot;$&quot;* #,##0.000_);_(&quot;$&quot;* \(#,##0.000\);_(&quot;$&quot;* &quot;-&quot;??_);_(@_)"/>
    <numFmt numFmtId="214" formatCode="_-* #,##0.0000_-;\-* #,##0.0000_-;_-* &quot;-&quot;??_-;_-@_-"/>
    <numFmt numFmtId="215" formatCode="_-* #,##0.00000_-;\-* #,##0.00000_-;_-* &quot;-&quot;??_-;_-@_-"/>
    <numFmt numFmtId="216" formatCode="_(* #,##0.0_);_(* \(#,##0.0\);_(* &quot;-&quot;_);_(@_)"/>
    <numFmt numFmtId="217" formatCode="_(* #,##0.000_);_(* \(#,##0.000\);_(* &quot;-&quot;_);_(@_)"/>
    <numFmt numFmtId="218" formatCode="_-* #,##0.000000_-;\-* #,##0.000000_-;_-* &quot;-&quot;??_-;_-@_-"/>
  </numFmts>
  <fonts count="246">
    <font>
      <sz val="11"/>
      <color theme="1"/>
      <name val="Calibri"/>
      <family val="2"/>
      <scheme val="minor"/>
    </font>
    <font>
      <sz val="12"/>
      <color theme="1"/>
      <name val="Calibri"/>
      <family val="2"/>
      <scheme val="minor"/>
    </font>
    <font>
      <sz val="10"/>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0"/>
      <name val="Calibri"/>
      <family val="2"/>
      <scheme val="minor"/>
    </font>
    <font>
      <b/>
      <sz val="10"/>
      <color indexed="9"/>
      <name val="Calibri"/>
      <family val="2"/>
      <scheme val="minor"/>
    </font>
    <font>
      <sz val="8"/>
      <name val="Calibri"/>
      <family val="2"/>
      <scheme val="minor"/>
    </font>
    <font>
      <b/>
      <sz val="8"/>
      <name val="Calibri"/>
      <family val="2"/>
      <scheme val="minor"/>
    </font>
    <font>
      <sz val="10"/>
      <name val="Arial"/>
      <family val="2"/>
    </font>
    <font>
      <sz val="10"/>
      <name val="Verdana"/>
      <family val="2"/>
    </font>
    <font>
      <b/>
      <sz val="8"/>
      <color theme="0"/>
      <name val="Calibri"/>
      <family val="2"/>
      <scheme val="minor"/>
    </font>
    <font>
      <b/>
      <sz val="10"/>
      <name val="Calibri"/>
      <family val="2"/>
    </font>
    <font>
      <b/>
      <sz val="10"/>
      <color indexed="9"/>
      <name val="Calibri"/>
      <family val="2"/>
    </font>
    <font>
      <b/>
      <sz val="10"/>
      <color indexed="8"/>
      <name val="Calibri"/>
      <family val="2"/>
    </font>
    <font>
      <sz val="10"/>
      <color indexed="8"/>
      <name val="Calibri"/>
      <family val="2"/>
    </font>
    <font>
      <sz val="10"/>
      <name val="Calibri"/>
      <family val="2"/>
    </font>
    <font>
      <i/>
      <sz val="10"/>
      <name val="Calibri"/>
      <family val="2"/>
    </font>
    <font>
      <i/>
      <sz val="8"/>
      <name val="Arial"/>
      <family val="2"/>
    </font>
    <font>
      <b/>
      <sz val="16"/>
      <color theme="0"/>
      <name val="Calibri"/>
      <family val="2"/>
      <scheme val="minor"/>
    </font>
    <font>
      <b/>
      <sz val="11"/>
      <name val="Calibri"/>
      <family val="2"/>
      <scheme val="minor"/>
    </font>
    <font>
      <sz val="8"/>
      <name val="Arial"/>
      <family val="2"/>
    </font>
    <font>
      <b/>
      <sz val="10"/>
      <name val="Arial"/>
      <family val="2"/>
    </font>
    <font>
      <b/>
      <sz val="12"/>
      <name val="Arial"/>
      <family val="2"/>
    </font>
    <font>
      <b/>
      <i/>
      <sz val="10"/>
      <name val="Arial"/>
      <family val="2"/>
    </font>
    <font>
      <sz val="10"/>
      <name val="Calibri"/>
      <family val="2"/>
      <scheme val="minor"/>
    </font>
    <font>
      <b/>
      <sz val="10"/>
      <color rgb="FF000066"/>
      <name val="Palatino Linotype"/>
      <family val="1"/>
    </font>
    <font>
      <sz val="10"/>
      <color rgb="FF000000"/>
      <name val="Palatino Linotype"/>
      <family val="1"/>
    </font>
    <font>
      <sz val="10"/>
      <color theme="1"/>
      <name val="Palatino Linotype"/>
      <family val="1"/>
    </font>
    <font>
      <sz val="10"/>
      <color theme="1"/>
      <name val="Calibri"/>
      <family val="2"/>
      <scheme val="minor"/>
    </font>
    <font>
      <b/>
      <sz val="10"/>
      <color theme="1"/>
      <name val="Calibri"/>
      <family val="2"/>
      <scheme val="minor"/>
    </font>
    <font>
      <b/>
      <sz val="12"/>
      <color theme="1"/>
      <name val="Calibri"/>
      <family val="2"/>
      <scheme val="minor"/>
    </font>
    <font>
      <sz val="9"/>
      <color theme="1"/>
      <name val="Calibri"/>
      <family val="2"/>
      <scheme val="minor"/>
    </font>
    <font>
      <sz val="9"/>
      <color rgb="FFFF0000"/>
      <name val="Calibri"/>
      <family val="2"/>
      <scheme val="minor"/>
    </font>
    <font>
      <sz val="8"/>
      <name val="Times New Roman"/>
      <family val="1"/>
    </font>
    <font>
      <sz val="10"/>
      <name val="MS Serif"/>
      <family val="1"/>
    </font>
    <font>
      <sz val="10"/>
      <name val="Courier"/>
      <family val="3"/>
    </font>
    <font>
      <b/>
      <u/>
      <sz val="8"/>
      <name val="Times"/>
      <family val="1"/>
    </font>
    <font>
      <sz val="8"/>
      <name val="Times"/>
      <family val="1"/>
    </font>
    <font>
      <sz val="10"/>
      <color indexed="16"/>
      <name val="MS Serif"/>
      <family val="1"/>
    </font>
    <font>
      <sz val="12"/>
      <name val="Helv"/>
    </font>
    <font>
      <sz val="12"/>
      <color indexed="9"/>
      <name val="Helv"/>
    </font>
    <font>
      <sz val="10"/>
      <color indexed="64"/>
      <name val="Arial"/>
      <family val="2"/>
    </font>
    <font>
      <b/>
      <i/>
      <sz val="8"/>
      <name val="Times"/>
      <family val="1"/>
    </font>
    <font>
      <sz val="11"/>
      <name val="‚l‚r –¾’©"/>
      <charset val="128"/>
    </font>
    <font>
      <sz val="6"/>
      <name val="Helv"/>
    </font>
    <font>
      <i/>
      <sz val="6"/>
      <name val="Helv"/>
    </font>
    <font>
      <b/>
      <i/>
      <sz val="8"/>
      <name val="Helv"/>
    </font>
    <font>
      <sz val="10"/>
      <name val="Tms Rmn"/>
    </font>
    <font>
      <sz val="10"/>
      <name val="MS Sans Serif"/>
      <family val="2"/>
    </font>
    <font>
      <b/>
      <sz val="8"/>
      <name val="Times"/>
      <family val="1"/>
    </font>
    <font>
      <sz val="8"/>
      <name val="Helv"/>
    </font>
    <font>
      <b/>
      <sz val="8"/>
      <color indexed="8"/>
      <name val="Helv"/>
    </font>
    <font>
      <b/>
      <sz val="9"/>
      <name val="Bookman"/>
    </font>
    <font>
      <b/>
      <i/>
      <sz val="10"/>
      <color rgb="FFFF0000"/>
      <name val="Calibri"/>
      <family val="2"/>
      <scheme val="minor"/>
    </font>
    <font>
      <sz val="12"/>
      <name val="Arial"/>
      <family val="2"/>
    </font>
    <font>
      <u/>
      <sz val="10"/>
      <color theme="10"/>
      <name val="Arial"/>
      <family val="2"/>
    </font>
    <font>
      <u/>
      <sz val="11"/>
      <color theme="11"/>
      <name val="Calibri"/>
      <family val="2"/>
      <scheme val="minor"/>
    </font>
    <font>
      <sz val="11"/>
      <color theme="1"/>
      <name val="Calibri"/>
      <family val="2"/>
      <scheme val="minor"/>
    </font>
    <font>
      <sz val="9"/>
      <color theme="1"/>
      <name val="Calibri"/>
      <family val="2"/>
      <scheme val="minor"/>
    </font>
    <font>
      <sz val="8"/>
      <color theme="1"/>
      <name val="Calibri"/>
      <family val="2"/>
      <scheme val="minor"/>
    </font>
    <font>
      <b/>
      <sz val="10"/>
      <color theme="0"/>
      <name val="Calibri"/>
      <family val="2"/>
      <scheme val="minor"/>
    </font>
    <font>
      <sz val="10"/>
      <color theme="0"/>
      <name val="Calibri"/>
      <family val="2"/>
      <scheme val="minor"/>
    </font>
    <font>
      <sz val="11"/>
      <color theme="0"/>
      <name val="Calibri"/>
      <family val="2"/>
      <scheme val="minor"/>
    </font>
    <font>
      <sz val="8"/>
      <color theme="0"/>
      <name val="Calibri"/>
      <family val="2"/>
      <scheme val="minor"/>
    </font>
    <font>
      <sz val="11"/>
      <color theme="1"/>
      <name val="Calibri"/>
      <family val="2"/>
      <scheme val="minor"/>
    </font>
    <font>
      <sz val="11"/>
      <color theme="1"/>
      <name val="Calibri"/>
      <family val="2"/>
      <scheme val="minor"/>
    </font>
    <font>
      <b/>
      <i/>
      <sz val="10"/>
      <name val="Calibri"/>
      <family val="2"/>
      <scheme val="minor"/>
    </font>
    <font>
      <sz val="11"/>
      <color theme="1"/>
      <name val="Calibri"/>
      <family val="2"/>
      <scheme val="minor"/>
    </font>
    <font>
      <i/>
      <sz val="10"/>
      <name val="Calibri"/>
      <family val="2"/>
      <scheme val="minor"/>
    </font>
    <font>
      <i/>
      <sz val="10"/>
      <color rgb="FFFF0000"/>
      <name val="Calibri"/>
      <family val="2"/>
      <scheme val="minor"/>
    </font>
    <font>
      <sz val="10"/>
      <color theme="1"/>
      <name val="Calibri"/>
      <family val="2"/>
      <scheme val="minor"/>
    </font>
    <font>
      <sz val="10"/>
      <name val="Calibri"/>
      <family val="2"/>
      <scheme val="minor"/>
    </font>
    <font>
      <b/>
      <sz val="10"/>
      <name val="Calibri"/>
      <family val="2"/>
      <scheme val="minor"/>
    </font>
    <font>
      <sz val="8"/>
      <name val="Calibri"/>
      <family val="2"/>
      <scheme val="minor"/>
    </font>
    <font>
      <sz val="7"/>
      <name val="Calibri"/>
      <family val="2"/>
      <scheme val="minor"/>
    </font>
    <font>
      <b/>
      <sz val="10"/>
      <color rgb="FFFF0000"/>
      <name val="Calibri"/>
      <family val="2"/>
      <scheme val="minor"/>
    </font>
    <font>
      <b/>
      <sz val="7"/>
      <name val="Calibri"/>
      <family val="2"/>
      <scheme val="minor"/>
    </font>
    <font>
      <sz val="11"/>
      <name val="Calibri"/>
      <family val="2"/>
      <scheme val="minor"/>
    </font>
    <font>
      <b/>
      <sz val="7"/>
      <color theme="0"/>
      <name val="Calibri"/>
      <family val="2"/>
      <scheme val="minor"/>
    </font>
    <font>
      <sz val="10"/>
      <color rgb="FFFF0000"/>
      <name val="Calibri"/>
      <family val="2"/>
      <scheme val="minor"/>
    </font>
    <font>
      <sz val="7"/>
      <color theme="0"/>
      <name val="Calibri"/>
      <family val="2"/>
      <scheme val="minor"/>
    </font>
    <font>
      <b/>
      <sz val="12"/>
      <name val="Calibri"/>
      <family val="2"/>
      <scheme val="minor"/>
    </font>
    <font>
      <sz val="10"/>
      <color rgb="FF222222"/>
      <name val="Calibri"/>
      <family val="2"/>
      <scheme val="minor"/>
    </font>
    <font>
      <b/>
      <sz val="9"/>
      <color theme="1"/>
      <name val="Calibri"/>
      <family val="2"/>
      <scheme val="minor"/>
    </font>
    <font>
      <sz val="9"/>
      <color rgb="FF000000"/>
      <name val="Calibri"/>
      <family val="2"/>
      <scheme val="minor"/>
    </font>
    <font>
      <b/>
      <sz val="9"/>
      <color rgb="FF000000"/>
      <name val="Calibri"/>
      <family val="2"/>
      <scheme val="minor"/>
    </font>
    <font>
      <u/>
      <sz val="9"/>
      <color theme="1"/>
      <name val="Calibri"/>
      <family val="2"/>
      <scheme val="minor"/>
    </font>
    <font>
      <b/>
      <sz val="12"/>
      <name val="Calibri"/>
      <family val="2"/>
    </font>
    <font>
      <b/>
      <sz val="8"/>
      <name val="Calibri"/>
      <family val="2"/>
    </font>
    <font>
      <sz val="8"/>
      <name val="Calibri"/>
      <family val="2"/>
    </font>
    <font>
      <b/>
      <sz val="10"/>
      <color rgb="FFFFFFFF"/>
      <name val="Calibri"/>
      <family val="2"/>
    </font>
    <font>
      <b/>
      <sz val="8"/>
      <color rgb="FFFFFFFF"/>
      <name val="Calibri"/>
      <family val="2"/>
    </font>
    <font>
      <b/>
      <sz val="8"/>
      <color rgb="FF000000"/>
      <name val="Calibri"/>
      <family val="2"/>
    </font>
    <font>
      <sz val="8"/>
      <color rgb="FF000000"/>
      <name val="Calibri"/>
      <family val="2"/>
    </font>
    <font>
      <sz val="7"/>
      <name val="Calibri"/>
      <family val="2"/>
    </font>
    <font>
      <b/>
      <sz val="7"/>
      <name val="Calibri"/>
      <family val="2"/>
    </font>
    <font>
      <b/>
      <sz val="48"/>
      <color theme="1"/>
      <name val="Calibri"/>
      <family val="2"/>
      <scheme val="minor"/>
    </font>
    <font>
      <b/>
      <sz val="24"/>
      <color theme="1"/>
      <name val="Calibri"/>
      <family val="2"/>
      <scheme val="minor"/>
    </font>
    <font>
      <b/>
      <sz val="18"/>
      <color theme="0"/>
      <name val="Calibri"/>
      <family val="2"/>
      <scheme val="minor"/>
    </font>
    <font>
      <sz val="12"/>
      <color theme="0"/>
      <name val="Calibri"/>
      <family val="2"/>
      <scheme val="minor"/>
    </font>
    <font>
      <b/>
      <sz val="12"/>
      <color rgb="FFFFFFFF"/>
      <name val="Calibri"/>
      <family val="2"/>
    </font>
    <font>
      <sz val="12"/>
      <color rgb="FF000000"/>
      <name val="Calibri"/>
      <family val="2"/>
    </font>
    <font>
      <b/>
      <sz val="26"/>
      <color theme="1"/>
      <name val="Calibri"/>
      <family val="2"/>
      <scheme val="minor"/>
    </font>
    <font>
      <sz val="26"/>
      <color theme="1"/>
      <name val="Calibri"/>
      <family val="2"/>
      <scheme val="minor"/>
    </font>
    <font>
      <sz val="26"/>
      <color theme="0"/>
      <name val="Calibri"/>
      <family val="2"/>
      <scheme val="minor"/>
    </font>
    <font>
      <sz val="26"/>
      <name val="Calibri"/>
      <family val="2"/>
      <scheme val="minor"/>
    </font>
    <font>
      <b/>
      <sz val="26"/>
      <name val="Calibri"/>
      <family val="2"/>
      <scheme val="minor"/>
    </font>
    <font>
      <sz val="8"/>
      <color rgb="FFFF0000"/>
      <name val="Calibri"/>
      <family val="2"/>
      <scheme val="minor"/>
    </font>
    <font>
      <i/>
      <sz val="9"/>
      <color theme="1"/>
      <name val="Calibri"/>
      <family val="2"/>
      <scheme val="minor"/>
    </font>
    <font>
      <i/>
      <sz val="8"/>
      <color theme="1"/>
      <name val="Calibri"/>
      <family val="2"/>
      <scheme val="minor"/>
    </font>
    <font>
      <b/>
      <i/>
      <sz val="8"/>
      <name val="Calibri"/>
      <family val="2"/>
      <scheme val="minor"/>
    </font>
    <font>
      <b/>
      <sz val="11"/>
      <color rgb="FF000000"/>
      <name val="Arial"/>
      <family val="2"/>
    </font>
    <font>
      <i/>
      <sz val="12"/>
      <color theme="1"/>
      <name val="Calibri"/>
      <family val="2"/>
      <scheme val="minor"/>
    </font>
    <font>
      <i/>
      <sz val="11"/>
      <color theme="1"/>
      <name val="Calibri"/>
      <family val="2"/>
      <scheme val="minor"/>
    </font>
    <font>
      <b/>
      <sz val="11"/>
      <color rgb="FFFF0000"/>
      <name val="Calibri"/>
      <family val="2"/>
      <scheme val="minor"/>
    </font>
    <font>
      <b/>
      <sz val="10"/>
      <color rgb="FFC00000"/>
      <name val="Calibri"/>
      <family val="2"/>
      <scheme val="minor"/>
    </font>
    <font>
      <sz val="10"/>
      <color theme="1"/>
      <name val="Calibri"/>
      <family val="2"/>
    </font>
    <font>
      <b/>
      <sz val="12"/>
      <color theme="0"/>
      <name val="Calibri"/>
      <family val="2"/>
      <scheme val="minor"/>
    </font>
    <font>
      <b/>
      <sz val="9"/>
      <name val="Calibri"/>
      <family val="2"/>
      <scheme val="minor"/>
    </font>
    <font>
      <sz val="9"/>
      <name val="Calibri"/>
      <family val="2"/>
      <scheme val="minor"/>
    </font>
    <font>
      <b/>
      <sz val="8"/>
      <color rgb="FFFF0000"/>
      <name val="Calibri"/>
      <family val="2"/>
      <scheme val="minor"/>
    </font>
    <font>
      <sz val="7"/>
      <color rgb="FFFF0000"/>
      <name val="Calibri"/>
      <family val="2"/>
      <scheme val="minor"/>
    </font>
    <font>
      <i/>
      <sz val="9"/>
      <name val="Calibri"/>
      <family val="2"/>
      <scheme val="minor"/>
    </font>
    <font>
      <sz val="11"/>
      <color indexed="9"/>
      <name val="Calibri"/>
      <family val="2"/>
      <scheme val="minor"/>
    </font>
    <font>
      <b/>
      <sz val="12"/>
      <color indexed="9"/>
      <name val="Calibri"/>
      <family val="2"/>
      <scheme val="minor"/>
    </font>
    <font>
      <sz val="10"/>
      <color indexed="9"/>
      <name val="Calibri"/>
      <family val="2"/>
      <scheme val="minor"/>
    </font>
    <font>
      <b/>
      <sz val="10"/>
      <color indexed="10"/>
      <name val="Calibri"/>
      <family val="2"/>
      <scheme val="minor"/>
    </font>
    <font>
      <sz val="9"/>
      <color theme="0"/>
      <name val="Calibri"/>
      <family val="2"/>
      <scheme val="minor"/>
    </font>
    <font>
      <sz val="9"/>
      <color indexed="8"/>
      <name val="Calibri"/>
      <family val="2"/>
      <scheme val="minor"/>
    </font>
    <font>
      <sz val="12"/>
      <name val="Calibri"/>
      <family val="2"/>
      <scheme val="minor"/>
    </font>
    <font>
      <b/>
      <sz val="11"/>
      <color indexed="9"/>
      <name val="Calibri"/>
      <family val="2"/>
      <scheme val="minor"/>
    </font>
    <font>
      <sz val="10"/>
      <color rgb="FFFF0000"/>
      <name val="Calibri"/>
      <family val="2"/>
    </font>
    <font>
      <sz val="10"/>
      <color theme="1"/>
      <name val="Arial"/>
      <family val="2"/>
    </font>
    <font>
      <b/>
      <i/>
      <sz val="11"/>
      <color theme="0"/>
      <name val="Calibri"/>
      <family val="2"/>
      <scheme val="minor"/>
    </font>
    <font>
      <b/>
      <sz val="10"/>
      <color theme="0"/>
      <name val="Arial"/>
      <family val="2"/>
    </font>
    <font>
      <i/>
      <sz val="10"/>
      <color theme="1"/>
      <name val="Arial"/>
      <family val="2"/>
    </font>
    <font>
      <b/>
      <sz val="9"/>
      <color theme="1"/>
      <name val="Arial"/>
      <family val="2"/>
    </font>
    <font>
      <b/>
      <sz val="9"/>
      <color rgb="FF000000"/>
      <name val="Arial"/>
      <family val="2"/>
    </font>
    <font>
      <sz val="9"/>
      <color theme="1"/>
      <name val="Arial"/>
      <family val="2"/>
    </font>
    <font>
      <b/>
      <i/>
      <sz val="8"/>
      <color theme="0"/>
      <name val="Arial"/>
      <family val="2"/>
    </font>
    <font>
      <sz val="11"/>
      <color rgb="FF9C5700"/>
      <name val="Calibri"/>
      <family val="2"/>
      <scheme val="minor"/>
    </font>
    <font>
      <b/>
      <sz val="11"/>
      <color indexed="8"/>
      <name val="Calibri"/>
      <family val="2"/>
    </font>
    <font>
      <b/>
      <sz val="11"/>
      <color rgb="FF9C5700"/>
      <name val="Calibri"/>
      <family val="2"/>
      <scheme val="minor"/>
    </font>
    <font>
      <sz val="11"/>
      <color indexed="8"/>
      <name val="Calibri"/>
      <family val="2"/>
    </font>
    <font>
      <i/>
      <sz val="9"/>
      <color rgb="FFFF0000"/>
      <name val="Calibri"/>
      <family val="2"/>
      <scheme val="minor"/>
    </font>
    <font>
      <strike/>
      <sz val="10"/>
      <name val="Calibri"/>
      <family val="2"/>
      <scheme val="minor"/>
    </font>
    <font>
      <i/>
      <strike/>
      <sz val="9"/>
      <color rgb="FFFF0000"/>
      <name val="Calibri"/>
      <family val="2"/>
      <scheme val="minor"/>
    </font>
    <font>
      <i/>
      <strike/>
      <sz val="9"/>
      <name val="Calibri"/>
      <family val="2"/>
      <scheme val="minor"/>
    </font>
    <font>
      <strike/>
      <sz val="9"/>
      <color theme="1"/>
      <name val="Calibri"/>
      <family val="2"/>
      <scheme val="minor"/>
    </font>
    <font>
      <i/>
      <strike/>
      <sz val="9"/>
      <color theme="1"/>
      <name val="Calibri"/>
      <family val="2"/>
      <scheme val="minor"/>
    </font>
    <font>
      <i/>
      <strike/>
      <sz val="8"/>
      <color theme="1"/>
      <name val="Calibri"/>
      <family val="2"/>
      <scheme val="minor"/>
    </font>
    <font>
      <sz val="10"/>
      <color rgb="FF000000"/>
      <name val="Calibri"/>
      <family val="2"/>
      <scheme val="minor"/>
    </font>
    <font>
      <sz val="10"/>
      <color rgb="FF000000"/>
      <name val="Calibri"/>
      <family val="2"/>
    </font>
    <font>
      <i/>
      <sz val="8"/>
      <name val="Calibri"/>
      <family val="2"/>
      <scheme val="minor"/>
    </font>
    <font>
      <sz val="7"/>
      <color theme="1"/>
      <name val="Calibri"/>
      <family val="2"/>
      <scheme val="minor"/>
    </font>
    <font>
      <b/>
      <sz val="9"/>
      <color rgb="FF000000"/>
      <name val="Tahoma"/>
      <family val="2"/>
    </font>
    <font>
      <sz val="9"/>
      <color rgb="FF000000"/>
      <name val="Tahoma"/>
      <family val="2"/>
    </font>
    <font>
      <b/>
      <sz val="9"/>
      <color indexed="81"/>
      <name val="Tahoma"/>
      <family val="2"/>
    </font>
    <font>
      <sz val="9"/>
      <color indexed="81"/>
      <name val="Tahoma"/>
      <family val="2"/>
    </font>
    <font>
      <strike/>
      <sz val="9"/>
      <color rgb="FFFF0000"/>
      <name val="Calibri"/>
      <family val="2"/>
      <scheme val="minor"/>
    </font>
    <font>
      <strike/>
      <sz val="8"/>
      <color rgb="FFFF0000"/>
      <name val="Calibri"/>
      <family val="2"/>
      <scheme val="minor"/>
    </font>
    <font>
      <i/>
      <strike/>
      <sz val="8"/>
      <name val="Calibri"/>
      <family val="2"/>
      <scheme val="minor"/>
    </font>
    <font>
      <strike/>
      <sz val="7"/>
      <name val="Calibri"/>
      <family val="2"/>
      <scheme val="minor"/>
    </font>
    <font>
      <strike/>
      <sz val="8"/>
      <name val="Calibri"/>
      <family val="2"/>
      <scheme val="minor"/>
    </font>
    <font>
      <strike/>
      <sz val="10"/>
      <color theme="1"/>
      <name val="Calibri"/>
      <family val="2"/>
      <scheme val="minor"/>
    </font>
    <font>
      <b/>
      <sz val="10"/>
      <color theme="1"/>
      <name val="Calibri"/>
      <family val="2"/>
    </font>
    <font>
      <b/>
      <strike/>
      <sz val="10"/>
      <name val="Calibri"/>
      <family val="2"/>
      <scheme val="minor"/>
    </font>
    <font>
      <b/>
      <strike/>
      <sz val="7"/>
      <name val="Calibri"/>
      <family val="2"/>
      <scheme val="minor"/>
    </font>
    <font>
      <b/>
      <strike/>
      <sz val="8"/>
      <name val="Calibri"/>
      <family val="2"/>
      <scheme val="minor"/>
    </font>
    <font>
      <b/>
      <strike/>
      <sz val="10"/>
      <color rgb="FFFF0000"/>
      <name val="Calibri"/>
      <family val="2"/>
      <scheme val="minor"/>
    </font>
    <font>
      <b/>
      <strike/>
      <sz val="7"/>
      <color rgb="FFFF0000"/>
      <name val="Calibri"/>
      <family val="2"/>
      <scheme val="minor"/>
    </font>
    <font>
      <b/>
      <strike/>
      <sz val="8"/>
      <color rgb="FFFF0000"/>
      <name val="Calibri"/>
      <family val="2"/>
      <scheme val="minor"/>
    </font>
    <font>
      <strike/>
      <sz val="10"/>
      <color rgb="FFFF0000"/>
      <name val="Calibri"/>
      <family val="2"/>
      <scheme val="minor"/>
    </font>
    <font>
      <i/>
      <strike/>
      <sz val="8"/>
      <color rgb="FFFF0000"/>
      <name val="Calibri"/>
      <family val="2"/>
      <scheme val="minor"/>
    </font>
    <font>
      <sz val="10"/>
      <color rgb="FF0070C0"/>
      <name val="Calibri"/>
      <family val="2"/>
      <scheme val="minor"/>
    </font>
    <font>
      <sz val="9"/>
      <color theme="1"/>
      <name val="Calibri"/>
      <family val="2"/>
    </font>
    <font>
      <i/>
      <sz val="8"/>
      <color rgb="FFFF0000"/>
      <name val="Calibri"/>
      <family val="2"/>
      <scheme val="minor"/>
    </font>
    <font>
      <sz val="11"/>
      <color rgb="FF00B050"/>
      <name val="Calibri"/>
      <family val="2"/>
      <scheme val="minor"/>
    </font>
    <font>
      <b/>
      <sz val="14"/>
      <color theme="1"/>
      <name val="Calibri"/>
      <family val="2"/>
      <scheme val="minor"/>
    </font>
    <font>
      <b/>
      <sz val="8"/>
      <color theme="1"/>
      <name val="Calibri"/>
      <family val="2"/>
      <scheme val="minor"/>
    </font>
    <font>
      <sz val="10"/>
      <color theme="8" tint="-0.249977111117893"/>
      <name val="Calibri"/>
      <family val="2"/>
      <scheme val="minor"/>
    </font>
    <font>
      <b/>
      <sz val="10"/>
      <color theme="8" tint="-0.249977111117893"/>
      <name val="Calibri"/>
      <family val="2"/>
      <scheme val="minor"/>
    </font>
    <font>
      <b/>
      <sz val="10"/>
      <color rgb="FF000000"/>
      <name val="Calibri"/>
      <family val="2"/>
    </font>
    <font>
      <sz val="8"/>
      <color rgb="FF7030A0"/>
      <name val="Calibri"/>
      <family val="2"/>
      <scheme val="minor"/>
    </font>
    <font>
      <sz val="10"/>
      <color rgb="FF7030A0"/>
      <name val="Calibri"/>
      <family val="2"/>
      <scheme val="minor"/>
    </font>
    <font>
      <b/>
      <sz val="10"/>
      <color rgb="FF7030A0"/>
      <name val="Calibri"/>
      <family val="2"/>
      <scheme val="minor"/>
    </font>
    <font>
      <sz val="10"/>
      <color rgb="FF7030A0"/>
      <name val="Calibri"/>
      <family val="2"/>
    </font>
    <font>
      <b/>
      <sz val="10"/>
      <color rgb="FFFF0000"/>
      <name val="Calibri"/>
      <family val="2"/>
    </font>
    <font>
      <b/>
      <sz val="10"/>
      <color rgb="FFFFFFFF"/>
      <name val="Calibri"/>
      <family val="2"/>
      <scheme val="minor"/>
    </font>
    <font>
      <sz val="12"/>
      <color theme="1"/>
      <name val="Calibri"/>
      <family val="2"/>
      <scheme val="minor"/>
    </font>
    <font>
      <b/>
      <sz val="14"/>
      <color theme="0"/>
      <name val="Calibri"/>
      <family val="2"/>
      <scheme val="minor"/>
    </font>
    <font>
      <b/>
      <i/>
      <sz val="14"/>
      <color theme="1"/>
      <name val="Calibri"/>
      <family val="2"/>
      <scheme val="minor"/>
    </font>
    <font>
      <sz val="12"/>
      <color rgb="FF000000"/>
      <name val="Calibri"/>
      <family val="2"/>
      <scheme val="minor"/>
    </font>
    <font>
      <b/>
      <sz val="12"/>
      <color rgb="FF000000"/>
      <name val="Calibri"/>
      <family val="2"/>
      <scheme val="minor"/>
    </font>
    <font>
      <sz val="12"/>
      <color rgb="FFFF0000"/>
      <name val="Calibri"/>
      <family val="2"/>
      <scheme val="minor"/>
    </font>
    <font>
      <b/>
      <sz val="11"/>
      <color rgb="FF00B0F0"/>
      <name val="Calibri"/>
      <family val="2"/>
      <scheme val="minor"/>
    </font>
    <font>
      <strike/>
      <sz val="11"/>
      <color rgb="FFFF0000"/>
      <name val="Calibri"/>
      <family val="2"/>
      <scheme val="minor"/>
    </font>
    <font>
      <sz val="11"/>
      <color rgb="FF0070C0"/>
      <name val="Calibri"/>
      <family val="2"/>
      <scheme val="minor"/>
    </font>
    <font>
      <b/>
      <sz val="11"/>
      <color rgb="FF0070C0"/>
      <name val="Calibri"/>
      <family val="2"/>
      <scheme val="minor"/>
    </font>
    <font>
      <b/>
      <strike/>
      <sz val="11"/>
      <color rgb="FFFF0000"/>
      <name val="Calibri"/>
      <family val="2"/>
      <scheme val="minor"/>
    </font>
    <font>
      <strike/>
      <sz val="11"/>
      <color rgb="FF0070C0"/>
      <name val="Calibri"/>
      <family val="2"/>
      <scheme val="minor"/>
    </font>
    <font>
      <sz val="12"/>
      <color rgb="FF7030A0"/>
      <name val="Calibri"/>
      <family val="2"/>
      <scheme val="minor"/>
    </font>
    <font>
      <sz val="12"/>
      <color rgb="FF0070C0"/>
      <name val="Calibri"/>
      <family val="2"/>
      <scheme val="minor"/>
    </font>
    <font>
      <strike/>
      <sz val="8"/>
      <color theme="1"/>
      <name val="Calibri"/>
      <family val="2"/>
      <scheme val="minor"/>
    </font>
    <font>
      <strike/>
      <sz val="9"/>
      <name val="Calibri"/>
      <family val="2"/>
      <scheme val="minor"/>
    </font>
    <font>
      <b/>
      <sz val="12"/>
      <color rgb="FF7030A0"/>
      <name val="Calibri"/>
      <family val="2"/>
      <scheme val="minor"/>
    </font>
    <font>
      <b/>
      <sz val="12"/>
      <color rgb="FFFF0000"/>
      <name val="Calibri"/>
      <family val="2"/>
      <scheme val="minor"/>
    </font>
    <font>
      <i/>
      <sz val="12"/>
      <color rgb="FFFF0000"/>
      <name val="Calibri"/>
      <family val="2"/>
      <scheme val="minor"/>
    </font>
    <font>
      <strike/>
      <sz val="12"/>
      <color rgb="FF0070C0"/>
      <name val="Calibri"/>
      <family val="2"/>
      <scheme val="minor"/>
    </font>
    <font>
      <sz val="8"/>
      <color rgb="FFC00000"/>
      <name val="Calibri"/>
      <family val="2"/>
      <scheme val="minor"/>
    </font>
    <font>
      <sz val="10"/>
      <color rgb="FFC00000"/>
      <name val="Calibri"/>
      <family val="2"/>
      <scheme val="minor"/>
    </font>
    <font>
      <b/>
      <sz val="8"/>
      <color rgb="FFC00000"/>
      <name val="Calibri"/>
      <family val="2"/>
      <scheme val="minor"/>
    </font>
    <font>
      <strike/>
      <sz val="8"/>
      <color rgb="FF000000"/>
      <name val="Calibri"/>
      <family val="2"/>
    </font>
    <font>
      <strike/>
      <sz val="8"/>
      <color rgb="FF7030A0"/>
      <name val="Calibri"/>
      <family val="2"/>
      <scheme val="minor"/>
    </font>
    <font>
      <b/>
      <strike/>
      <u/>
      <sz val="8"/>
      <name val="Calibri"/>
      <family val="2"/>
      <scheme val="minor"/>
    </font>
    <font>
      <strike/>
      <sz val="8"/>
      <color rgb="FF000000"/>
      <name val="Calibri"/>
      <family val="2"/>
      <scheme val="minor"/>
    </font>
    <font>
      <b/>
      <strike/>
      <sz val="8"/>
      <color rgb="FF000000"/>
      <name val="Calibri"/>
      <family val="2"/>
      <scheme val="minor"/>
    </font>
    <font>
      <b/>
      <strike/>
      <sz val="8"/>
      <color rgb="FF7030A0"/>
      <name val="Calibri"/>
      <family val="2"/>
      <scheme val="minor"/>
    </font>
    <font>
      <b/>
      <strike/>
      <sz val="9"/>
      <color rgb="FF7030A0"/>
      <name val="Calibri"/>
      <family val="2"/>
      <scheme val="minor"/>
    </font>
    <font>
      <i/>
      <strike/>
      <sz val="8"/>
      <color rgb="FF7030A0"/>
      <name val="Calibri"/>
      <family val="2"/>
      <scheme val="minor"/>
    </font>
    <font>
      <i/>
      <strike/>
      <sz val="8"/>
      <color rgb="FF000000"/>
      <name val="Calibri"/>
      <family val="2"/>
      <scheme val="minor"/>
    </font>
    <font>
      <b/>
      <i/>
      <strike/>
      <sz val="8"/>
      <color rgb="FF7030A0"/>
      <name val="Calibri"/>
      <family val="2"/>
      <scheme val="minor"/>
    </font>
    <font>
      <b/>
      <sz val="16"/>
      <color theme="1"/>
      <name val="Calibri"/>
      <family val="2"/>
      <scheme val="minor"/>
    </font>
    <font>
      <b/>
      <sz val="10"/>
      <color rgb="FF000000"/>
      <name val="Calibri"/>
      <family val="2"/>
      <scheme val="minor"/>
    </font>
    <font>
      <sz val="10"/>
      <color rgb="FF333333"/>
      <name val="Calibri"/>
      <family val="2"/>
      <scheme val="minor"/>
    </font>
    <font>
      <b/>
      <i/>
      <strike/>
      <sz val="10"/>
      <name val="Calibri"/>
      <family val="2"/>
      <scheme val="minor"/>
    </font>
    <font>
      <b/>
      <sz val="8"/>
      <color rgb="FF000000"/>
      <name val="Calibri"/>
      <family val="2"/>
      <scheme val="minor"/>
    </font>
    <font>
      <b/>
      <sz val="8"/>
      <color rgb="FF7030A0"/>
      <name val="Calibri"/>
      <family val="2"/>
      <scheme val="minor"/>
    </font>
    <font>
      <b/>
      <sz val="10"/>
      <color rgb="FF363636"/>
      <name val="Arial"/>
      <family val="2"/>
    </font>
    <font>
      <sz val="11"/>
      <name val="Calibri"/>
      <family val="2"/>
    </font>
    <font>
      <sz val="12"/>
      <color rgb="FF9C5700"/>
      <name val="Calibri"/>
      <family val="2"/>
    </font>
    <font>
      <sz val="12"/>
      <color rgb="FF006100"/>
      <name val="Calibri"/>
      <family val="2"/>
    </font>
    <font>
      <sz val="12"/>
      <color rgb="FF9C0006"/>
      <name val="Calibri"/>
      <family val="2"/>
    </font>
    <font>
      <sz val="11"/>
      <color rgb="FF000000"/>
      <name val="Calibri"/>
      <family val="2"/>
    </font>
    <font>
      <sz val="10"/>
      <color theme="1"/>
      <name val="Lucida Sans"/>
      <family val="2"/>
    </font>
    <font>
      <sz val="11"/>
      <color indexed="8"/>
      <name val="Calibri"/>
      <family val="2"/>
      <scheme val="minor"/>
    </font>
    <font>
      <u/>
      <sz val="11"/>
      <color theme="10"/>
      <name val="Calibri"/>
      <family val="2"/>
      <scheme val="minor"/>
    </font>
    <font>
      <b/>
      <sz val="14"/>
      <color rgb="FF363636"/>
      <name val="Arial"/>
      <family val="2"/>
    </font>
    <font>
      <sz val="14"/>
      <color theme="1"/>
      <name val="Calibri"/>
      <family val="2"/>
      <scheme val="minor"/>
    </font>
    <font>
      <b/>
      <sz val="11"/>
      <name val="Calibri"/>
      <family val="2"/>
    </font>
    <font>
      <sz val="12"/>
      <name val="Calibri"/>
      <family val="2"/>
    </font>
    <font>
      <b/>
      <sz val="14"/>
      <name val="Calibri"/>
      <family val="2"/>
    </font>
    <font>
      <b/>
      <sz val="14"/>
      <name val="Calibri"/>
      <family val="2"/>
      <scheme val="minor"/>
    </font>
  </fonts>
  <fills count="103">
    <fill>
      <patternFill patternType="none"/>
    </fill>
    <fill>
      <patternFill patternType="gray125"/>
    </fill>
    <fill>
      <patternFill patternType="solid">
        <fgColor indexed="8"/>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00B0F0"/>
        <bgColor indexed="64"/>
      </patternFill>
    </fill>
    <fill>
      <patternFill patternType="solid">
        <fgColor indexed="22"/>
        <bgColor indexed="64"/>
      </patternFill>
    </fill>
    <fill>
      <patternFill patternType="solid">
        <fgColor rgb="FFFFC0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2060"/>
        <bgColor indexed="64"/>
      </patternFill>
    </fill>
    <fill>
      <patternFill patternType="solid">
        <fgColor theme="3" tint="0.79998168889431442"/>
        <bgColor indexed="64"/>
      </patternFill>
    </fill>
    <fill>
      <patternFill patternType="solid">
        <fgColor theme="1"/>
        <bgColor indexed="64"/>
      </patternFill>
    </fill>
    <fill>
      <patternFill patternType="solid">
        <fgColor indexed="18"/>
        <bgColor indexed="64"/>
      </patternFill>
    </fill>
    <fill>
      <patternFill patternType="solid">
        <fgColor theme="3" tint="-0.249977111117893"/>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rgb="FFBFBFBF"/>
        <bgColor indexed="64"/>
      </patternFill>
    </fill>
    <fill>
      <patternFill patternType="solid">
        <fgColor theme="0" tint="-0.249977111117893"/>
        <bgColor indexed="64"/>
      </patternFill>
    </fill>
    <fill>
      <patternFill patternType="solid">
        <fgColor rgb="FFC00000"/>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8"/>
      </patternFill>
    </fill>
    <fill>
      <patternFill patternType="solid">
        <fgColor rgb="FFD9D9D9"/>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rgb="FFBDD7EE"/>
        <bgColor indexed="64"/>
      </patternFill>
    </fill>
    <fill>
      <patternFill patternType="solid">
        <fgColor rgb="FF305496"/>
        <bgColor indexed="64"/>
      </patternFill>
    </fill>
    <fill>
      <patternFill patternType="solid">
        <fgColor rgb="FF8DB4E2"/>
        <bgColor indexed="64"/>
      </patternFill>
    </fill>
    <fill>
      <patternFill patternType="solid">
        <fgColor rgb="FF538DD5"/>
        <bgColor indexed="64"/>
      </patternFill>
    </fill>
    <fill>
      <patternFill patternType="solid">
        <fgColor rgb="FF16365C"/>
        <bgColor indexed="64"/>
      </patternFill>
    </fill>
    <fill>
      <patternFill patternType="solid">
        <fgColor rgb="FF203764"/>
        <bgColor indexed="64"/>
      </patternFill>
    </fill>
    <fill>
      <patternFill patternType="solid">
        <fgColor rgb="FFF2F2F2"/>
        <bgColor indexed="64"/>
      </patternFill>
    </fill>
    <fill>
      <patternFill patternType="solid">
        <fgColor theme="2" tint="-9.9978637043366805E-2"/>
        <bgColor indexed="64"/>
      </patternFill>
    </fill>
    <fill>
      <patternFill patternType="solid">
        <fgColor rgb="FFA6A6A6"/>
        <bgColor indexed="64"/>
      </patternFill>
    </fill>
    <fill>
      <patternFill patternType="solid">
        <fgColor rgb="FF222B35"/>
        <bgColor rgb="FF000000"/>
      </patternFill>
    </fill>
    <fill>
      <patternFill patternType="solid">
        <fgColor rgb="FF000066"/>
        <bgColor rgb="FF000000"/>
      </patternFill>
    </fill>
    <fill>
      <patternFill patternType="solid">
        <fgColor rgb="FFACB9CA"/>
        <bgColor rgb="FF000000"/>
      </patternFill>
    </fill>
    <fill>
      <patternFill patternType="solid">
        <fgColor rgb="FFD9E1F2"/>
        <bgColor rgb="FF000000"/>
      </patternFill>
    </fill>
    <fill>
      <patternFill patternType="solid">
        <fgColor rgb="FFFFFFFF"/>
        <bgColor rgb="FF000000"/>
      </patternFill>
    </fill>
    <fill>
      <patternFill patternType="solid">
        <fgColor rgb="FF16365C"/>
        <bgColor rgb="FF000000"/>
      </patternFill>
    </fill>
    <fill>
      <patternFill patternType="solid">
        <fgColor rgb="FFBFBFBF"/>
        <bgColor rgb="FF000000"/>
      </patternFill>
    </fill>
    <fill>
      <patternFill patternType="solid">
        <fgColor theme="7" tint="0.39997558519241921"/>
        <bgColor indexed="64"/>
      </patternFill>
    </fill>
    <fill>
      <patternFill patternType="solid">
        <fgColor rgb="FF000080"/>
        <bgColor indexed="64"/>
      </patternFill>
    </fill>
    <fill>
      <patternFill patternType="solid">
        <fgColor rgb="FF9BC2E6"/>
        <bgColor indexed="64"/>
      </patternFill>
    </fill>
    <fill>
      <patternFill patternType="solid">
        <fgColor rgb="FFD0CECE"/>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EAF2FA"/>
        <bgColor indexed="64"/>
      </patternFill>
    </fill>
    <fill>
      <patternFill patternType="solid">
        <fgColor rgb="FFFFFF00"/>
        <bgColor indexed="64"/>
      </patternFill>
    </fill>
    <fill>
      <patternFill patternType="solid">
        <fgColor rgb="FFE7E6E6"/>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757171"/>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8"/>
        <bgColor indexed="64"/>
      </patternFill>
    </fill>
    <fill>
      <patternFill patternType="solid">
        <fgColor theme="8" tint="-0.249977111117893"/>
        <bgColor indexed="64"/>
      </patternFill>
    </fill>
    <fill>
      <patternFill patternType="solid">
        <fgColor rgb="FFE4EEF8"/>
        <bgColor indexed="64"/>
      </patternFill>
    </fill>
    <fill>
      <patternFill patternType="solid">
        <fgColor rgb="FFFFEB9C"/>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2"/>
        <bgColor indexed="64"/>
      </patternFill>
    </fill>
    <fill>
      <patternFill patternType="solid">
        <fgColor rgb="FFEAF2FA"/>
        <bgColor rgb="FF000000"/>
      </patternFill>
    </fill>
    <fill>
      <patternFill patternType="solid">
        <fgColor rgb="FFBDD7EE"/>
        <bgColor rgb="FF000000"/>
      </patternFill>
    </fill>
    <fill>
      <patternFill patternType="solid">
        <fgColor theme="9" tint="0.59999389629810485"/>
        <bgColor indexed="64"/>
      </patternFill>
    </fill>
    <fill>
      <patternFill patternType="solid">
        <fgColor theme="8" tint="0.59999389629810485"/>
        <bgColor indexed="64"/>
      </patternFill>
    </fill>
    <fill>
      <patternFill patternType="solid">
        <fgColor rgb="FF7030A0"/>
        <bgColor indexed="64"/>
      </patternFill>
    </fill>
    <fill>
      <patternFill patternType="solid">
        <fgColor rgb="FFBDD7EE"/>
        <bgColor rgb="FFBDD7EE"/>
      </patternFill>
    </fill>
    <fill>
      <gradientFill>
        <stop position="0">
          <color theme="5" tint="0.40000610370189521"/>
        </stop>
        <stop position="1">
          <color theme="9" tint="0.40000610370189521"/>
        </stop>
      </gradientFill>
    </fill>
    <fill>
      <patternFill patternType="solid">
        <fgColor theme="9"/>
        <bgColor indexed="64"/>
      </patternFill>
    </fill>
    <fill>
      <patternFill patternType="solid">
        <fgColor theme="9" tint="-0.249977111117893"/>
        <bgColor indexed="64"/>
      </patternFill>
    </fill>
    <fill>
      <patternFill patternType="solid">
        <fgColor rgb="FF00B050"/>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rgb="FFFFFF00"/>
        <bgColor rgb="FF000000"/>
      </patternFill>
    </fill>
    <fill>
      <patternFill patternType="solid">
        <fgColor rgb="FF0070C0"/>
        <bgColor indexed="64"/>
      </patternFill>
    </fill>
    <fill>
      <patternFill patternType="solid">
        <fgColor theme="2" tint="-0.499984740745262"/>
        <bgColor rgb="FF000000"/>
      </patternFill>
    </fill>
    <fill>
      <patternFill patternType="solid">
        <fgColor rgb="FF000000"/>
        <bgColor rgb="FF000000"/>
      </patternFill>
    </fill>
    <fill>
      <patternFill patternType="solid">
        <fgColor rgb="FF757171"/>
        <bgColor rgb="FF000000"/>
      </patternFill>
    </fill>
    <fill>
      <patternFill patternType="solid">
        <fgColor rgb="FFFCE4D6"/>
        <bgColor rgb="FF000000"/>
      </patternFill>
    </fill>
    <fill>
      <patternFill patternType="solid">
        <fgColor rgb="FFFFC000"/>
        <bgColor rgb="FF000000"/>
      </patternFill>
    </fill>
    <fill>
      <patternFill patternType="solid">
        <fgColor theme="9" tint="0.39997558519241921"/>
        <bgColor rgb="FF000000"/>
      </patternFill>
    </fill>
    <fill>
      <patternFill patternType="solid">
        <fgColor rgb="FFF1F7ED"/>
        <bgColor indexed="64"/>
      </patternFill>
    </fill>
    <fill>
      <patternFill patternType="solid">
        <fgColor rgb="FFFFF9E7"/>
        <bgColor indexed="64"/>
      </patternFill>
    </fill>
    <fill>
      <patternFill patternType="solid">
        <fgColor rgb="FFFEF2EC"/>
        <bgColor indexed="64"/>
      </patternFill>
    </fill>
    <fill>
      <patternFill patternType="solid">
        <fgColor theme="7" tint="-0.499984740745262"/>
        <bgColor indexed="64"/>
      </patternFill>
    </fill>
    <fill>
      <patternFill patternType="solid">
        <fgColor theme="0"/>
        <bgColor rgb="FF000000"/>
      </patternFill>
    </fill>
    <fill>
      <patternFill patternType="solid">
        <fgColor theme="0" tint="-0.14999847407452621"/>
        <bgColor theme="0" tint="-0.14999847407452621"/>
      </patternFill>
    </fill>
    <fill>
      <patternFill patternType="solid">
        <fgColor rgb="FFFF66FF"/>
        <bgColor indexed="64"/>
      </patternFill>
    </fill>
    <fill>
      <patternFill patternType="solid">
        <fgColor rgb="FFCC9900"/>
        <bgColor indexed="64"/>
      </patternFill>
    </fill>
    <fill>
      <patternFill patternType="solid">
        <fgColor theme="3" tint="0.749992370372631"/>
        <bgColor indexed="64"/>
      </patternFill>
    </fill>
    <fill>
      <patternFill patternType="solid">
        <fgColor theme="3" tint="0.249977111117893"/>
        <bgColor indexed="64"/>
      </patternFill>
    </fill>
    <fill>
      <patternFill patternType="solid">
        <fgColor rgb="FF99CC00"/>
        <bgColor indexed="64"/>
      </patternFill>
    </fill>
    <fill>
      <patternFill patternType="solid">
        <fgColor rgb="FF026AB8"/>
        <bgColor indexed="64"/>
      </patternFill>
    </fill>
  </fills>
  <borders count="1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top/>
      <bottom/>
      <diagonal/>
    </border>
    <border>
      <left/>
      <right style="hair">
        <color auto="1"/>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hair">
        <color auto="1"/>
      </right>
      <top style="hair">
        <color auto="1"/>
      </top>
      <bottom style="hair">
        <color auto="1"/>
      </bottom>
      <diagonal/>
    </border>
    <border>
      <left style="hair">
        <color auto="1"/>
      </left>
      <right style="hair">
        <color auto="1"/>
      </right>
      <top/>
      <bottom/>
      <diagonal/>
    </border>
    <border>
      <left/>
      <right/>
      <top style="hair">
        <color auto="1"/>
      </top>
      <bottom style="hair">
        <color auto="1"/>
      </bottom>
      <diagonal/>
    </border>
    <border>
      <left style="hair">
        <color auto="1"/>
      </left>
      <right/>
      <top style="hair">
        <color auto="1"/>
      </top>
      <bottom style="hair">
        <color auto="1"/>
      </bottom>
      <diagonal/>
    </border>
    <border>
      <left/>
      <right/>
      <top/>
      <bottom style="hair">
        <color auto="1"/>
      </bottom>
      <diagonal/>
    </border>
    <border>
      <left style="hair">
        <color auto="1"/>
      </left>
      <right/>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hair">
        <color rgb="FF538DD5"/>
      </left>
      <right style="hair">
        <color rgb="FF538DD5"/>
      </right>
      <top style="hair">
        <color rgb="FF538DD5"/>
      </top>
      <bottom style="hair">
        <color rgb="FF538DD5"/>
      </bottom>
      <diagonal/>
    </border>
    <border>
      <left style="hair">
        <color rgb="FF538DD5"/>
      </left>
      <right/>
      <top/>
      <bottom/>
      <diagonal/>
    </border>
    <border>
      <left/>
      <right/>
      <top style="medium">
        <color auto="1"/>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style="hair">
        <color auto="1"/>
      </right>
      <top/>
      <bottom style="hair">
        <color auto="1"/>
      </bottom>
      <diagonal/>
    </border>
    <border>
      <left/>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style="thin">
        <color rgb="FFD3D3D3"/>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auto="1"/>
      </left>
      <right style="hair">
        <color theme="0" tint="-0.34998626667073579"/>
      </right>
      <top style="hair">
        <color auto="1"/>
      </top>
      <bottom/>
      <diagonal/>
    </border>
    <border>
      <left style="hair">
        <color theme="0" tint="-0.34998626667073579"/>
      </left>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style="hair">
        <color auto="1"/>
      </left>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medium">
        <color auto="1"/>
      </top>
      <bottom/>
      <diagonal/>
    </border>
    <border>
      <left style="medium">
        <color auto="1"/>
      </left>
      <right style="thin">
        <color auto="1"/>
      </right>
      <top/>
      <bottom style="thin">
        <color auto="1"/>
      </bottom>
      <diagonal/>
    </border>
    <border>
      <left/>
      <right/>
      <top style="medium">
        <color auto="1"/>
      </top>
      <bottom style="thin">
        <color auto="1"/>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auto="1"/>
      </right>
      <top/>
      <bottom style="thin">
        <color auto="1"/>
      </bottom>
      <diagonal/>
    </border>
    <border>
      <left style="hair">
        <color theme="0" tint="-0.34998626667073579"/>
      </left>
      <right/>
      <top style="hair">
        <color theme="0" tint="-0.34998626667073579"/>
      </top>
      <bottom/>
      <diagonal/>
    </border>
    <border>
      <left/>
      <right style="hair">
        <color theme="0" tint="-0.34998626667073579"/>
      </right>
      <top style="hair">
        <color theme="0" tint="-0.34998626667073579"/>
      </top>
      <bottom/>
      <diagonal/>
    </border>
    <border>
      <left/>
      <right style="medium">
        <color indexed="64"/>
      </right>
      <top style="thin">
        <color auto="1"/>
      </top>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medium">
        <color auto="1"/>
      </left>
      <right style="thin">
        <color auto="1"/>
      </right>
      <top style="medium">
        <color auto="1"/>
      </top>
      <bottom/>
      <diagonal/>
    </border>
    <border>
      <left style="thin">
        <color auto="1"/>
      </left>
      <right/>
      <top style="thin">
        <color auto="1"/>
      </top>
      <bottom style="medium">
        <color indexed="64"/>
      </bottom>
      <diagonal/>
    </border>
    <border>
      <left/>
      <right style="medium">
        <color auto="1"/>
      </right>
      <top style="thin">
        <color auto="1"/>
      </top>
      <bottom style="medium">
        <color indexed="64"/>
      </bottom>
      <diagonal/>
    </border>
    <border>
      <left style="hair">
        <color theme="0" tint="-0.34998626667073579"/>
      </left>
      <right style="hair">
        <color theme="0" tint="-0.34998626667073579"/>
      </right>
      <top style="hair">
        <color theme="0" tint="-0.34998626667073579"/>
      </top>
      <bottom/>
      <diagonal/>
    </border>
    <border>
      <left style="medium">
        <color indexed="64"/>
      </left>
      <right style="medium">
        <color indexed="64"/>
      </right>
      <top/>
      <bottom style="medium">
        <color indexed="64"/>
      </bottom>
      <diagonal/>
    </border>
    <border>
      <left style="hair">
        <color theme="0" tint="-0.34998626667073579"/>
      </left>
      <right style="hair">
        <color theme="0" tint="-0.34998626667073579"/>
      </right>
      <top/>
      <bottom style="hair">
        <color theme="0" tint="-0.34998626667073579"/>
      </bottom>
      <diagonal/>
    </border>
    <border>
      <left style="hair">
        <color theme="0" tint="-0.34998626667073579"/>
      </left>
      <right/>
      <top/>
      <bottom style="hair">
        <color theme="0" tint="-0.34998626667073579"/>
      </bottom>
      <diagonal/>
    </border>
    <border>
      <left/>
      <right style="hair">
        <color theme="0" tint="-0.34998626667073579"/>
      </right>
      <top/>
      <bottom style="hair">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hair">
        <color theme="0" tint="-0.34998626667073579"/>
      </left>
      <right style="hair">
        <color theme="0" tint="-0.34998626667073579"/>
      </right>
      <top/>
      <bottom/>
      <diagonal/>
    </border>
    <border>
      <left style="hair">
        <color theme="0" tint="-0.34998626667073579"/>
      </left>
      <right/>
      <top/>
      <bottom/>
      <diagonal/>
    </border>
    <border>
      <left/>
      <right style="hair">
        <color theme="0" tint="-0.34998626667073579"/>
      </right>
      <top/>
      <bottom/>
      <diagonal/>
    </border>
    <border>
      <left style="hair">
        <color auto="1"/>
      </left>
      <right/>
      <top/>
      <bottom style="hair">
        <color theme="0" tint="-0.34998626667073579"/>
      </bottom>
      <diagonal/>
    </border>
    <border>
      <left/>
      <right/>
      <top/>
      <bottom style="hair">
        <color theme="0" tint="-0.34998626667073579"/>
      </bottom>
      <diagonal/>
    </border>
    <border>
      <left/>
      <right/>
      <top style="hair">
        <color theme="0" tint="-0.34998626667073579"/>
      </top>
      <bottom/>
      <diagonal/>
    </border>
    <border>
      <left style="hair">
        <color auto="1"/>
      </left>
      <right/>
      <top style="hair">
        <color theme="0" tint="-0.34998626667073579"/>
      </top>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hair">
        <color theme="0" tint="-0.249977111117893"/>
      </left>
      <right/>
      <top style="hair">
        <color theme="0" tint="-0.249977111117893"/>
      </top>
      <bottom style="hair">
        <color theme="0" tint="-0.249977111117893"/>
      </bottom>
      <diagonal/>
    </border>
    <border>
      <left/>
      <right style="hair">
        <color theme="0" tint="-0.249977111117893"/>
      </right>
      <top style="hair">
        <color theme="0" tint="-0.249977111117893"/>
      </top>
      <bottom style="hair">
        <color theme="0" tint="-0.249977111117893"/>
      </bottom>
      <diagonal/>
    </border>
    <border>
      <left style="hair">
        <color theme="0" tint="-0.34998626667073579"/>
      </left>
      <right/>
      <top/>
      <bottom style="hair">
        <color theme="0" tint="-0.249977111117893"/>
      </bottom>
      <diagonal/>
    </border>
    <border>
      <left/>
      <right/>
      <top/>
      <bottom style="hair">
        <color theme="0" tint="-0.249977111117893"/>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auto="1"/>
      </bottom>
      <diagonal/>
    </border>
    <border>
      <left style="thin">
        <color theme="0"/>
      </left>
      <right/>
      <top/>
      <bottom style="thin">
        <color auto="1"/>
      </bottom>
      <diagonal/>
    </border>
    <border>
      <left style="thin">
        <color theme="0"/>
      </left>
      <right/>
      <top/>
      <bottom/>
      <diagonal/>
    </border>
    <border>
      <left style="thin">
        <color theme="0"/>
      </left>
      <right style="thin">
        <color theme="0"/>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hair">
        <color indexed="64"/>
      </left>
      <right style="hair">
        <color indexed="64"/>
      </right>
      <top style="medium">
        <color rgb="FFDDDDDD"/>
      </top>
      <bottom style="medium">
        <color rgb="FFDDDDDD"/>
      </bottom>
      <diagonal/>
    </border>
    <border>
      <left style="hair">
        <color indexed="64"/>
      </left>
      <right style="hair">
        <color indexed="64"/>
      </right>
      <top/>
      <bottom style="medium">
        <color rgb="FFDDDDDD"/>
      </bottom>
      <diagonal/>
    </border>
    <border>
      <left style="hair">
        <color indexed="64"/>
      </left>
      <right style="hair">
        <color indexed="64"/>
      </right>
      <top/>
      <bottom style="hair">
        <color rgb="FF000000"/>
      </bottom>
      <diagonal/>
    </border>
    <border>
      <left/>
      <right style="hair">
        <color rgb="FF000000"/>
      </right>
      <top style="hair">
        <color indexed="64"/>
      </top>
      <bottom style="hair">
        <color indexed="64"/>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hair">
        <color rgb="FFBFBFBF"/>
      </left>
      <right style="hair">
        <color rgb="FFBFBFBF"/>
      </right>
      <top style="hair">
        <color rgb="FFBFBFBF"/>
      </top>
      <bottom style="hair">
        <color rgb="FFBFBFBF"/>
      </bottom>
      <diagonal/>
    </border>
    <border>
      <left style="hair">
        <color auto="1"/>
      </left>
      <right style="hair">
        <color auto="1"/>
      </right>
      <top/>
      <bottom style="thin">
        <color indexed="64"/>
      </bottom>
      <diagonal/>
    </border>
    <border>
      <left style="thin">
        <color indexed="64"/>
      </left>
      <right style="thin">
        <color indexed="64"/>
      </right>
      <top/>
      <bottom style="thin">
        <color rgb="FF000000"/>
      </bottom>
      <diagonal/>
    </border>
    <border>
      <left style="dotted">
        <color theme="2" tint="-0.499984740745262"/>
      </left>
      <right style="dotted">
        <color theme="2" tint="-0.499984740745262"/>
      </right>
      <top style="dotted">
        <color theme="2" tint="-0.499984740745262"/>
      </top>
      <bottom style="dotted">
        <color theme="2" tint="-0.499984740745262"/>
      </bottom>
      <diagonal/>
    </border>
    <border>
      <left style="medium">
        <color indexed="64"/>
      </left>
      <right style="medium">
        <color indexed="64"/>
      </right>
      <top style="medium">
        <color indexed="64"/>
      </top>
      <bottom/>
      <diagonal/>
    </border>
  </borders>
  <cellStyleXfs count="267">
    <xf numFmtId="0" fontId="0" fillId="0" borderId="0"/>
    <xf numFmtId="170" fontId="3" fillId="0" borderId="0" applyFont="0" applyFill="0" applyBorder="0" applyAlignment="0" applyProtection="0"/>
    <xf numFmtId="0" fontId="3" fillId="0" borderId="0"/>
    <xf numFmtId="0" fontId="12" fillId="0" borderId="0"/>
    <xf numFmtId="0" fontId="11" fillId="0" borderId="0"/>
    <xf numFmtId="167" fontId="11" fillId="0" borderId="0" applyFont="0" applyFill="0" applyBorder="0" applyAlignment="0" applyProtection="0"/>
    <xf numFmtId="0" fontId="3" fillId="0" borderId="0"/>
    <xf numFmtId="44"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0" fontId="3" fillId="0" borderId="0"/>
    <xf numFmtId="0" fontId="11" fillId="0" borderId="0"/>
    <xf numFmtId="0" fontId="11" fillId="0" borderId="0"/>
    <xf numFmtId="0" fontId="11" fillId="0" borderId="0"/>
    <xf numFmtId="169" fontId="11" fillId="0" borderId="0" applyFont="0" applyFill="0" applyBorder="0" applyAlignment="0" applyProtection="0"/>
    <xf numFmtId="0" fontId="3" fillId="0" borderId="0"/>
    <xf numFmtId="167" fontId="11" fillId="0" borderId="0" applyFont="0" applyFill="0" applyBorder="0" applyAlignment="0" applyProtection="0"/>
    <xf numFmtId="0" fontId="36" fillId="0" borderId="0">
      <alignment horizontal="center" wrapText="1"/>
      <protection locked="0"/>
    </xf>
    <xf numFmtId="177" fontId="11" fillId="0" borderId="0" applyFill="0" applyBorder="0" applyAlignment="0"/>
    <xf numFmtId="0" fontId="37" fillId="0" borderId="0" applyNumberFormat="0" applyAlignment="0">
      <alignment horizontal="left"/>
    </xf>
    <xf numFmtId="0" fontId="38" fillId="0" borderId="0" applyNumberFormat="0" applyAlignment="0"/>
    <xf numFmtId="178" fontId="39" fillId="0" borderId="0"/>
    <xf numFmtId="178" fontId="40" fillId="0" borderId="0"/>
    <xf numFmtId="0" fontId="11" fillId="0" borderId="0"/>
    <xf numFmtId="0" fontId="41" fillId="0" borderId="0" applyNumberFormat="0" applyAlignment="0">
      <alignment horizontal="left"/>
    </xf>
    <xf numFmtId="179"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38" fontId="23" fillId="6" borderId="0" applyNumberFormat="0" applyBorder="0" applyAlignment="0" applyProtection="0"/>
    <xf numFmtId="0" fontId="25" fillId="0" borderId="27" applyNumberFormat="0" applyAlignment="0" applyProtection="0">
      <alignment horizontal="left" vertical="center"/>
    </xf>
    <xf numFmtId="0" fontId="25" fillId="0" borderId="24">
      <alignment horizontal="left" vertical="center"/>
    </xf>
    <xf numFmtId="10" fontId="23" fillId="21" borderId="7" applyNumberFormat="0" applyBorder="0" applyAlignment="0" applyProtection="0"/>
    <xf numFmtId="10" fontId="23" fillId="21" borderId="7" applyNumberFormat="0" applyBorder="0" applyAlignment="0" applyProtection="0"/>
    <xf numFmtId="181" fontId="42" fillId="22" borderId="0"/>
    <xf numFmtId="181" fontId="43" fillId="23" borderId="0"/>
    <xf numFmtId="171" fontId="3" fillId="0" borderId="0" applyFont="0" applyFill="0" applyBorder="0" applyAlignment="0" applyProtection="0"/>
    <xf numFmtId="171" fontId="11" fillId="0" borderId="0" applyFont="0" applyFill="0" applyBorder="0" applyAlignment="0" applyProtection="0"/>
    <xf numFmtId="171" fontId="44" fillId="0" borderId="0" applyFont="0" applyFill="0" applyBorder="0" applyAlignment="0" applyProtection="0"/>
    <xf numFmtId="182" fontId="11" fillId="0" borderId="0" applyFont="0" applyFill="0" applyBorder="0" applyAlignment="0" applyProtection="0"/>
    <xf numFmtId="183" fontId="11" fillId="0" borderId="0" applyFont="0" applyFill="0" applyBorder="0" applyAlignment="0" applyProtection="0"/>
    <xf numFmtId="184" fontId="3" fillId="0" borderId="0" applyFont="0" applyFill="0" applyBorder="0" applyAlignment="0" applyProtection="0"/>
    <xf numFmtId="184" fontId="11" fillId="0" borderId="0" applyFill="0" applyBorder="0" applyAlignment="0" applyProtection="0"/>
    <xf numFmtId="184" fontId="11" fillId="0" borderId="0" applyFill="0" applyBorder="0" applyAlignment="0" applyProtection="0"/>
    <xf numFmtId="184" fontId="11" fillId="0" borderId="0" applyFill="0" applyBorder="0" applyAlignment="0" applyProtection="0"/>
    <xf numFmtId="185" fontId="11" fillId="0" borderId="0" applyFont="0" applyFill="0" applyBorder="0" applyAlignment="0" applyProtection="0"/>
    <xf numFmtId="186" fontId="11" fillId="0" borderId="0" applyFont="0" applyFill="0" applyBorder="0" applyAlignment="0" applyProtection="0"/>
    <xf numFmtId="187" fontId="11" fillId="0" borderId="0"/>
    <xf numFmtId="0" fontId="11" fillId="0" borderId="0"/>
    <xf numFmtId="0" fontId="11" fillId="0" borderId="0"/>
    <xf numFmtId="0" fontId="44" fillId="0" borderId="0"/>
    <xf numFmtId="178" fontId="45" fillId="0" borderId="0"/>
    <xf numFmtId="40" fontId="46" fillId="0" borderId="0" applyFont="0" applyFill="0" applyBorder="0" applyAlignment="0" applyProtection="0"/>
    <xf numFmtId="38" fontId="46" fillId="0" borderId="0" applyFont="0" applyFill="0" applyBorder="0" applyAlignment="0" applyProtection="0"/>
    <xf numFmtId="3" fontId="47" fillId="0" borderId="21" applyBorder="0"/>
    <xf numFmtId="0" fontId="48" fillId="0" borderId="21" applyBorder="0">
      <alignment horizontal="center"/>
    </xf>
    <xf numFmtId="0" fontId="48" fillId="0" borderId="0"/>
    <xf numFmtId="0" fontId="49" fillId="0" borderId="21" applyBorder="0"/>
    <xf numFmtId="14" fontId="36" fillId="0" borderId="0">
      <alignment horizontal="center" wrapText="1"/>
      <protection locked="0"/>
    </xf>
    <xf numFmtId="10" fontId="11" fillId="0" borderId="0" applyFont="0" applyFill="0" applyBorder="0" applyAlignment="0" applyProtection="0"/>
    <xf numFmtId="164" fontId="50" fillId="0" borderId="0"/>
    <xf numFmtId="0" fontId="51" fillId="0" borderId="0" applyNumberFormat="0" applyFont="0" applyFill="0" applyBorder="0" applyAlignment="0" applyProtection="0">
      <alignment horizontal="left"/>
    </xf>
    <xf numFmtId="178" fontId="52" fillId="24" borderId="0"/>
    <xf numFmtId="178" fontId="52" fillId="24" borderId="0"/>
    <xf numFmtId="188" fontId="53" fillId="0" borderId="0" applyNumberFormat="0" applyFill="0" applyBorder="0" applyAlignment="0" applyProtection="0">
      <alignment horizontal="left"/>
    </xf>
    <xf numFmtId="40" fontId="54" fillId="0" borderId="0" applyBorder="0">
      <alignment horizontal="right"/>
    </xf>
    <xf numFmtId="178" fontId="55" fillId="0" borderId="0"/>
    <xf numFmtId="178" fontId="52" fillId="0" borderId="0"/>
    <xf numFmtId="170" fontId="11"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41" fontId="3"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2"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1" fontId="11" fillId="0" borderId="0" applyFont="0" applyFill="0" applyBorder="0" applyAlignment="0" applyProtection="0"/>
    <xf numFmtId="44" fontId="3" fillId="0" borderId="0" applyFont="0" applyFill="0" applyBorder="0" applyAlignment="0" applyProtection="0"/>
    <xf numFmtId="41" fontId="3"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5" fontId="50" fillId="0" borderId="0"/>
    <xf numFmtId="41"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43" fillId="65" borderId="0" applyNumberFormat="0" applyBorder="0" applyAlignment="0" applyProtection="0"/>
    <xf numFmtId="0" fontId="192" fillId="0" borderId="0"/>
    <xf numFmtId="169"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166" fontId="135" fillId="0" borderId="0" applyFont="0" applyFill="0" applyBorder="0" applyAlignment="0" applyProtection="0"/>
    <xf numFmtId="169" fontId="3" fillId="0" borderId="0" applyFont="0" applyFill="0" applyBorder="0" applyAlignment="0" applyProtection="0"/>
    <xf numFmtId="0" fontId="237" fillId="0" borderId="0"/>
    <xf numFmtId="0" fontId="192" fillId="0" borderId="0"/>
    <xf numFmtId="169" fontId="3" fillId="0" borderId="0" applyFont="0" applyFill="0" applyBorder="0" applyAlignment="0" applyProtection="0"/>
    <xf numFmtId="0" fontId="238" fillId="0" borderId="0"/>
    <xf numFmtId="169" fontId="3" fillId="0" borderId="0" applyFont="0" applyFill="0" applyBorder="0" applyAlignment="0" applyProtection="0"/>
    <xf numFmtId="0" fontId="239" fillId="0" borderId="0" applyNumberFormat="0" applyFill="0" applyBorder="0" applyAlignment="0" applyProtection="0"/>
    <xf numFmtId="0" fontId="232" fillId="0" borderId="0"/>
    <xf numFmtId="9" fontId="232" fillId="0" borderId="0" applyFont="0" applyFill="0" applyBorder="0" applyAlignment="0" applyProtection="0"/>
    <xf numFmtId="0" fontId="232" fillId="0" borderId="0"/>
    <xf numFmtId="169" fontId="232" fillId="0" borderId="0" applyFont="0" applyFill="0" applyBorder="0" applyAlignment="0" applyProtection="0"/>
    <xf numFmtId="168" fontId="232" fillId="0" borderId="0" applyFont="0" applyFill="0" applyBorder="0" applyAlignment="0" applyProtection="0"/>
    <xf numFmtId="9" fontId="232" fillId="0" borderId="0" applyFont="0" applyFill="0" applyBorder="0" applyAlignment="0" applyProtection="0"/>
    <xf numFmtId="0" fontId="3" fillId="0" borderId="0"/>
    <xf numFmtId="9" fontId="3" fillId="0" borderId="0" applyFont="0" applyFill="0" applyBorder="0" applyAlignment="0" applyProtection="0"/>
    <xf numFmtId="168" fontId="3" fillId="0" borderId="0" applyFont="0" applyFill="0" applyBorder="0" applyAlignment="0" applyProtection="0"/>
    <xf numFmtId="166" fontId="135" fillId="0" borderId="0" applyFont="0" applyFill="0" applyBorder="0" applyAlignment="0" applyProtection="0"/>
    <xf numFmtId="169" fontId="3" fillId="0" borderId="0" applyFont="0" applyFill="0" applyBorder="0" applyAlignment="0" applyProtection="0"/>
    <xf numFmtId="167" fontId="135" fillId="0" borderId="0" applyFont="0" applyFill="0" applyBorder="0" applyAlignment="0" applyProtection="0"/>
    <xf numFmtId="0" fontId="237" fillId="0" borderId="0"/>
    <xf numFmtId="0" fontId="192" fillId="0" borderId="0"/>
    <xf numFmtId="9" fontId="3" fillId="0" borderId="0" applyFont="0" applyFill="0" applyBorder="0" applyAlignment="0" applyProtection="0"/>
    <xf numFmtId="167" fontId="135" fillId="0" borderId="0" applyFont="0" applyFill="0" applyBorder="0" applyAlignment="0" applyProtection="0"/>
    <xf numFmtId="168" fontId="3" fillId="0" borderId="0" applyFont="0" applyFill="0" applyBorder="0" applyAlignment="0" applyProtection="0"/>
    <xf numFmtId="169" fontId="3" fillId="0" borderId="0" applyFont="0" applyFill="0" applyBorder="0" applyAlignment="0" applyProtection="0"/>
    <xf numFmtId="166" fontId="135"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cellStyleXfs>
  <cellXfs count="4730">
    <xf numFmtId="0" fontId="0" fillId="0" borderId="0" xfId="0"/>
    <xf numFmtId="3" fontId="69" fillId="0" borderId="0" xfId="0" applyNumberFormat="1" applyFont="1" applyAlignment="1">
      <alignment horizontal="center" vertical="center" wrapText="1"/>
    </xf>
    <xf numFmtId="3" fontId="9" fillId="0" borderId="1" xfId="3" applyNumberFormat="1" applyFont="1" applyBorder="1" applyAlignment="1">
      <alignment horizontal="left" vertical="center" wrapText="1"/>
    </xf>
    <xf numFmtId="0" fontId="13" fillId="12" borderId="1" xfId="3" applyFont="1" applyFill="1" applyBorder="1" applyAlignment="1">
      <alignment horizontal="right" vertical="center" wrapText="1"/>
    </xf>
    <xf numFmtId="0" fontId="13" fillId="12" borderId="1" xfId="3" applyFont="1" applyFill="1" applyBorder="1" applyAlignment="1">
      <alignment horizontal="left" vertical="center" wrapText="1" indent="1"/>
    </xf>
    <xf numFmtId="170" fontId="13" fillId="12" borderId="1" xfId="1" applyFont="1" applyFill="1" applyBorder="1" applyAlignment="1">
      <alignment horizontal="left" vertical="center" wrapText="1" indent="1"/>
    </xf>
    <xf numFmtId="0" fontId="11" fillId="0" borderId="0" xfId="4"/>
    <xf numFmtId="174" fontId="16" fillId="0" borderId="0" xfId="201" applyNumberFormat="1" applyFont="1" applyAlignment="1">
      <alignment horizontal="center"/>
    </xf>
    <xf numFmtId="174" fontId="0" fillId="0" borderId="0" xfId="201" applyNumberFormat="1" applyFont="1"/>
    <xf numFmtId="173" fontId="16" fillId="0" borderId="0" xfId="4" applyNumberFormat="1" applyFont="1" applyAlignment="1">
      <alignment vertical="center"/>
    </xf>
    <xf numFmtId="0" fontId="11" fillId="0" borderId="0" xfId="4" applyAlignment="1">
      <alignment vertical="center"/>
    </xf>
    <xf numFmtId="173" fontId="16" fillId="0" borderId="0" xfId="4" applyNumberFormat="1" applyFont="1"/>
    <xf numFmtId="167" fontId="16" fillId="0" borderId="0" xfId="5" applyFont="1"/>
    <xf numFmtId="174" fontId="17" fillId="0" borderId="0" xfId="201" applyNumberFormat="1" applyFont="1" applyAlignment="1">
      <alignment horizontal="left"/>
    </xf>
    <xf numFmtId="174" fontId="16" fillId="0" borderId="0" xfId="201" applyNumberFormat="1" applyFont="1"/>
    <xf numFmtId="173" fontId="18" fillId="0" borderId="0" xfId="4" applyNumberFormat="1" applyFont="1"/>
    <xf numFmtId="173" fontId="18" fillId="0" borderId="7" xfId="4" applyNumberFormat="1" applyFont="1" applyBorder="1"/>
    <xf numFmtId="167" fontId="18" fillId="0" borderId="7" xfId="5" applyFont="1" applyBorder="1" applyAlignment="1">
      <alignment horizontal="center"/>
    </xf>
    <xf numFmtId="167" fontId="14" fillId="0" borderId="7" xfId="5" applyFont="1" applyBorder="1" applyAlignment="1">
      <alignment horizontal="center"/>
    </xf>
    <xf numFmtId="173" fontId="14" fillId="0" borderId="7" xfId="4" applyNumberFormat="1" applyFont="1" applyBorder="1"/>
    <xf numFmtId="9" fontId="19" fillId="0" borderId="7" xfId="210" applyFont="1" applyBorder="1" applyAlignment="1">
      <alignment horizontal="center"/>
    </xf>
    <xf numFmtId="9" fontId="18" fillId="0" borderId="7" xfId="210" applyFont="1" applyBorder="1" applyAlignment="1">
      <alignment horizontal="center"/>
    </xf>
    <xf numFmtId="167" fontId="11" fillId="0" borderId="0" xfId="4" applyNumberFormat="1"/>
    <xf numFmtId="169" fontId="11" fillId="0" borderId="0" xfId="4" applyNumberFormat="1"/>
    <xf numFmtId="0" fontId="3" fillId="0" borderId="0" xfId="6"/>
    <xf numFmtId="0" fontId="4" fillId="0" borderId="0" xfId="6" applyFont="1" applyAlignment="1">
      <alignment horizontal="right"/>
    </xf>
    <xf numFmtId="0" fontId="3" fillId="0" borderId="0" xfId="6" applyAlignment="1">
      <alignment horizontal="left"/>
    </xf>
    <xf numFmtId="0" fontId="22" fillId="11" borderId="0" xfId="6" applyFont="1" applyFill="1"/>
    <xf numFmtId="0" fontId="22" fillId="15" borderId="0" xfId="6" applyFont="1" applyFill="1" applyAlignment="1">
      <alignment horizontal="right"/>
    </xf>
    <xf numFmtId="175" fontId="0" fillId="0" borderId="0" xfId="7" applyNumberFormat="1" applyFont="1"/>
    <xf numFmtId="0" fontId="3" fillId="0" borderId="0" xfId="6" applyAlignment="1">
      <alignment wrapText="1"/>
    </xf>
    <xf numFmtId="0" fontId="3" fillId="0" borderId="0" xfId="6" applyAlignment="1">
      <alignment vertical="center"/>
    </xf>
    <xf numFmtId="9" fontId="0" fillId="0" borderId="0" xfId="9" applyFont="1" applyAlignment="1">
      <alignment vertical="center"/>
    </xf>
    <xf numFmtId="0" fontId="22" fillId="11" borderId="0" xfId="6" applyFont="1" applyFill="1" applyAlignment="1">
      <alignment horizontal="right" vertical="center"/>
    </xf>
    <xf numFmtId="167" fontId="0" fillId="0" borderId="0" xfId="5" applyFont="1"/>
    <xf numFmtId="0" fontId="25" fillId="0" borderId="0" xfId="4" applyFont="1" applyAlignment="1">
      <alignment vertical="center"/>
    </xf>
    <xf numFmtId="0" fontId="11" fillId="0" borderId="18" xfId="4" applyBorder="1"/>
    <xf numFmtId="0" fontId="11" fillId="0" borderId="19" xfId="4" applyBorder="1"/>
    <xf numFmtId="0" fontId="26" fillId="0" borderId="18" xfId="4" applyFont="1" applyBorder="1" applyAlignment="1">
      <alignment vertical="center"/>
    </xf>
    <xf numFmtId="0" fontId="24" fillId="0" borderId="0" xfId="4" applyFont="1"/>
    <xf numFmtId="0" fontId="11" fillId="9" borderId="18" xfId="4" applyFill="1" applyBorder="1" applyAlignment="1">
      <alignment horizontal="center" vertical="center"/>
    </xf>
    <xf numFmtId="0" fontId="11" fillId="9" borderId="0" xfId="4" applyFill="1" applyAlignment="1">
      <alignment horizontal="center" vertical="center"/>
    </xf>
    <xf numFmtId="0" fontId="11" fillId="9" borderId="19" xfId="4" applyFill="1" applyBorder="1" applyAlignment="1">
      <alignment horizontal="center" vertical="center" wrapText="1"/>
    </xf>
    <xf numFmtId="0" fontId="11" fillId="0" borderId="18" xfId="4" applyBorder="1" applyAlignment="1">
      <alignment horizontal="left" vertical="center"/>
    </xf>
    <xf numFmtId="0" fontId="11" fillId="0" borderId="0" xfId="4" applyAlignment="1">
      <alignment horizontal="left" vertical="center" wrapText="1"/>
    </xf>
    <xf numFmtId="0" fontId="11" fillId="0" borderId="19" xfId="4" applyBorder="1" applyAlignment="1">
      <alignment vertical="center"/>
    </xf>
    <xf numFmtId="0" fontId="11" fillId="0" borderId="20" xfId="4" applyBorder="1" applyAlignment="1">
      <alignment horizontal="left" vertical="center" wrapText="1"/>
    </xf>
    <xf numFmtId="0" fontId="11" fillId="0" borderId="21" xfId="4" applyBorder="1" applyAlignment="1">
      <alignment horizontal="left" vertical="center" wrapText="1"/>
    </xf>
    <xf numFmtId="0" fontId="11" fillId="0" borderId="18" xfId="4" applyBorder="1" applyAlignment="1">
      <alignment vertical="center"/>
    </xf>
    <xf numFmtId="0" fontId="26" fillId="0" borderId="18" xfId="4" applyFont="1" applyBorder="1" applyAlignment="1">
      <alignment horizontal="left"/>
    </xf>
    <xf numFmtId="0" fontId="24" fillId="0" borderId="0" xfId="4" applyFont="1" applyAlignment="1">
      <alignment horizontal="left"/>
    </xf>
    <xf numFmtId="0" fontId="11" fillId="9" borderId="15" xfId="4" applyFill="1" applyBorder="1" applyAlignment="1">
      <alignment horizontal="center" vertical="center"/>
    </xf>
    <xf numFmtId="0" fontId="11" fillId="9" borderId="16" xfId="4" applyFill="1" applyBorder="1" applyAlignment="1">
      <alignment horizontal="center" vertical="center"/>
    </xf>
    <xf numFmtId="0" fontId="11" fillId="9" borderId="17" xfId="4" applyFill="1" applyBorder="1" applyAlignment="1">
      <alignment horizontal="center" vertical="center" wrapText="1"/>
    </xf>
    <xf numFmtId="0" fontId="28" fillId="18" borderId="25" xfId="0" applyFont="1" applyFill="1" applyBorder="1" applyAlignment="1">
      <alignment horizontal="center" vertical="center" wrapText="1"/>
    </xf>
    <xf numFmtId="0" fontId="30" fillId="0" borderId="25" xfId="0" applyFont="1" applyBorder="1" applyAlignment="1">
      <alignment horizontal="center" vertical="center" wrapText="1"/>
    </xf>
    <xf numFmtId="0" fontId="34" fillId="0" borderId="0" xfId="0" applyFont="1"/>
    <xf numFmtId="167" fontId="34" fillId="0" borderId="0" xfId="0" applyNumberFormat="1" applyFont="1"/>
    <xf numFmtId="167" fontId="35" fillId="0" borderId="0" xfId="0" applyNumberFormat="1" applyFont="1"/>
    <xf numFmtId="0" fontId="28" fillId="18" borderId="26" xfId="0" applyFont="1" applyFill="1" applyBorder="1" applyAlignment="1">
      <alignment horizontal="center" vertical="center" wrapText="1"/>
    </xf>
    <xf numFmtId="49" fontId="13" fillId="29" borderId="2" xfId="2" applyNumberFormat="1" applyFont="1" applyFill="1" applyBorder="1" applyAlignment="1">
      <alignment horizontal="center" vertical="center" wrapText="1"/>
    </xf>
    <xf numFmtId="189" fontId="9" fillId="0" borderId="1" xfId="210" applyNumberFormat="1" applyFont="1" applyBorder="1" applyAlignment="1">
      <alignment horizontal="center" vertical="center" wrapText="1"/>
    </xf>
    <xf numFmtId="10" fontId="19" fillId="0" borderId="7" xfId="210" applyNumberFormat="1" applyFont="1" applyBorder="1" applyAlignment="1">
      <alignment horizontal="center"/>
    </xf>
    <xf numFmtId="0" fontId="60" fillId="0" borderId="0" xfId="0" applyFont="1"/>
    <xf numFmtId="0" fontId="61" fillId="0" borderId="0" xfId="0" applyFont="1"/>
    <xf numFmtId="49" fontId="63" fillId="12" borderId="1" xfId="4" applyNumberFormat="1" applyFont="1" applyFill="1" applyBorder="1" applyAlignment="1">
      <alignment horizontal="right" vertical="center"/>
    </xf>
    <xf numFmtId="167" fontId="63" fillId="12" borderId="1" xfId="5" applyFont="1" applyFill="1" applyBorder="1" applyAlignment="1">
      <alignment horizontal="center" vertical="center" wrapText="1"/>
    </xf>
    <xf numFmtId="49" fontId="63" fillId="27" borderId="1" xfId="4" applyNumberFormat="1" applyFont="1" applyFill="1" applyBorder="1" applyAlignment="1">
      <alignment horizontal="right" vertical="center"/>
    </xf>
    <xf numFmtId="49" fontId="63" fillId="27" borderId="1" xfId="4" applyNumberFormat="1" applyFont="1" applyFill="1" applyBorder="1" applyAlignment="1">
      <alignment horizontal="left" vertical="center" wrapText="1"/>
    </xf>
    <xf numFmtId="167" fontId="63" fillId="27" borderId="1" xfId="5" applyFont="1" applyFill="1" applyBorder="1" applyAlignment="1">
      <alignment horizontal="left" vertical="center" wrapText="1"/>
    </xf>
    <xf numFmtId="167" fontId="64" fillId="20" borderId="1" xfId="5" applyFont="1" applyFill="1" applyBorder="1" applyAlignment="1">
      <alignment vertical="center"/>
    </xf>
    <xf numFmtId="190" fontId="9" fillId="0" borderId="1" xfId="1" applyNumberFormat="1" applyFont="1" applyBorder="1" applyAlignment="1">
      <alignment horizontal="center" vertical="center" wrapText="1"/>
    </xf>
    <xf numFmtId="2" fontId="11" fillId="0" borderId="0" xfId="4" applyNumberFormat="1"/>
    <xf numFmtId="193" fontId="11" fillId="0" borderId="0" xfId="4" applyNumberFormat="1"/>
    <xf numFmtId="10" fontId="18" fillId="0" borderId="7" xfId="210" applyNumberFormat="1" applyFont="1" applyBorder="1" applyAlignment="1">
      <alignment horizontal="center"/>
    </xf>
    <xf numFmtId="0" fontId="67" fillId="0" borderId="0" xfId="0" applyFont="1"/>
    <xf numFmtId="0" fontId="23" fillId="0" borderId="0" xfId="4" applyFont="1"/>
    <xf numFmtId="9" fontId="19" fillId="0" borderId="0" xfId="210" applyFont="1" applyAlignment="1">
      <alignment horizontal="center"/>
    </xf>
    <xf numFmtId="10" fontId="19" fillId="0" borderId="0" xfId="210" applyNumberFormat="1" applyFont="1" applyAlignment="1">
      <alignment horizontal="center"/>
    </xf>
    <xf numFmtId="9" fontId="18" fillId="0" borderId="0" xfId="210" applyFont="1" applyAlignment="1">
      <alignment horizontal="center"/>
    </xf>
    <xf numFmtId="0" fontId="68" fillId="0" borderId="0" xfId="0" applyFont="1"/>
    <xf numFmtId="0" fontId="70" fillId="0" borderId="0" xfId="0" applyFont="1"/>
    <xf numFmtId="0" fontId="71" fillId="3" borderId="1" xfId="0" applyFont="1" applyFill="1" applyBorder="1" applyAlignment="1">
      <alignment horizontal="center" vertical="center" wrapText="1"/>
    </xf>
    <xf numFmtId="0" fontId="73" fillId="0" borderId="0" xfId="0" applyFont="1"/>
    <xf numFmtId="0" fontId="74" fillId="0" borderId="0" xfId="4" applyFont="1" applyAlignment="1">
      <alignment horizontal="left" vertical="center"/>
    </xf>
    <xf numFmtId="0" fontId="74" fillId="0" borderId="0" xfId="4" applyFont="1" applyAlignment="1">
      <alignment vertical="center"/>
    </xf>
    <xf numFmtId="0" fontId="74" fillId="0" borderId="0" xfId="4" applyFont="1" applyAlignment="1">
      <alignment horizontal="center" vertical="center"/>
    </xf>
    <xf numFmtId="0" fontId="74" fillId="0" borderId="0" xfId="4" applyFont="1" applyAlignment="1">
      <alignment horizontal="right" vertical="center"/>
    </xf>
    <xf numFmtId="167" fontId="74" fillId="0" borderId="0" xfId="4" applyNumberFormat="1" applyFont="1" applyAlignment="1">
      <alignment vertical="center"/>
    </xf>
    <xf numFmtId="0" fontId="74" fillId="0" borderId="0" xfId="4" applyFont="1" applyAlignment="1">
      <alignment horizontal="left" vertical="center" wrapText="1"/>
    </xf>
    <xf numFmtId="0" fontId="76" fillId="0" borderId="0" xfId="4" applyFont="1" applyAlignment="1">
      <alignment horizontal="center" vertical="center"/>
    </xf>
    <xf numFmtId="0" fontId="77" fillId="0" borderId="0" xfId="4" applyFont="1" applyAlignment="1">
      <alignment horizontal="left" vertical="center"/>
    </xf>
    <xf numFmtId="170" fontId="74" fillId="0" borderId="0" xfId="1" applyFont="1" applyAlignment="1">
      <alignment horizontal="center" vertical="center"/>
    </xf>
    <xf numFmtId="0" fontId="79" fillId="0" borderId="1" xfId="4" applyFont="1" applyBorder="1" applyAlignment="1">
      <alignment horizontal="center" vertical="center"/>
    </xf>
    <xf numFmtId="49" fontId="79" fillId="0" borderId="1" xfId="4" applyNumberFormat="1" applyFont="1" applyBorder="1" applyAlignment="1">
      <alignment horizontal="center" vertical="center" wrapText="1"/>
    </xf>
    <xf numFmtId="49" fontId="81" fillId="0" borderId="1" xfId="4" applyNumberFormat="1" applyFont="1" applyBorder="1" applyAlignment="1">
      <alignment horizontal="left" vertical="center" wrapText="1"/>
    </xf>
    <xf numFmtId="49" fontId="79" fillId="0" borderId="1" xfId="4" applyNumberFormat="1" applyFont="1" applyBorder="1" applyAlignment="1">
      <alignment horizontal="left" vertical="center" wrapText="1"/>
    </xf>
    <xf numFmtId="2" fontId="77" fillId="0" borderId="1" xfId="4" applyNumberFormat="1" applyFont="1" applyBorder="1" applyAlignment="1">
      <alignment horizontal="left" vertical="center" wrapText="1"/>
    </xf>
    <xf numFmtId="49" fontId="77" fillId="0" borderId="1" xfId="4" applyNumberFormat="1" applyFont="1" applyBorder="1" applyAlignment="1">
      <alignment horizontal="left" vertical="center" wrapText="1"/>
    </xf>
    <xf numFmtId="49" fontId="77" fillId="0" borderId="1" xfId="4" quotePrefix="1" applyNumberFormat="1" applyFont="1" applyBorder="1" applyAlignment="1">
      <alignment horizontal="left" vertical="center" wrapText="1"/>
    </xf>
    <xf numFmtId="49" fontId="83" fillId="0" borderId="1" xfId="4" quotePrefix="1" applyNumberFormat="1" applyFont="1" applyBorder="1" applyAlignment="1">
      <alignment horizontal="left" vertical="center" wrapText="1"/>
    </xf>
    <xf numFmtId="49" fontId="77" fillId="0" borderId="0" xfId="4" quotePrefix="1" applyNumberFormat="1" applyFont="1" applyAlignment="1">
      <alignment horizontal="left" vertical="center" wrapText="1"/>
    </xf>
    <xf numFmtId="0" fontId="82" fillId="0" borderId="0" xfId="4" applyFont="1" applyAlignment="1">
      <alignment horizontal="right" vertical="center"/>
    </xf>
    <xf numFmtId="2" fontId="27" fillId="0" borderId="1" xfId="4" applyNumberFormat="1" applyFont="1" applyBorder="1" applyAlignment="1">
      <alignment horizontal="left" vertical="center" wrapText="1"/>
    </xf>
    <xf numFmtId="0" fontId="11" fillId="0" borderId="0" xfId="14"/>
    <xf numFmtId="0" fontId="23" fillId="0" borderId="0" xfId="14" applyFont="1"/>
    <xf numFmtId="49" fontId="7" fillId="28" borderId="1" xfId="4" applyNumberFormat="1" applyFont="1" applyFill="1" applyBorder="1" applyAlignment="1">
      <alignment horizontal="left" vertical="center" wrapText="1"/>
    </xf>
    <xf numFmtId="49" fontId="27" fillId="0" borderId="1" xfId="4" applyNumberFormat="1" applyFont="1" applyBorder="1" applyAlignment="1">
      <alignment horizontal="right" vertical="center"/>
    </xf>
    <xf numFmtId="0" fontId="27" fillId="0" borderId="0" xfId="4" applyFont="1" applyAlignment="1">
      <alignment vertical="center"/>
    </xf>
    <xf numFmtId="0" fontId="27" fillId="0" borderId="0" xfId="4" applyFont="1" applyAlignment="1">
      <alignment horizontal="right" vertical="center"/>
    </xf>
    <xf numFmtId="0" fontId="31" fillId="0" borderId="0" xfId="0" applyFont="1" applyAlignment="1">
      <alignment vertical="center"/>
    </xf>
    <xf numFmtId="0" fontId="27" fillId="0" borderId="1" xfId="0" applyFont="1" applyBorder="1" applyAlignment="1">
      <alignment vertical="center" wrapText="1"/>
    </xf>
    <xf numFmtId="0" fontId="58" fillId="0" borderId="1" xfId="219" applyFont="1" applyBorder="1" applyAlignment="1">
      <alignment vertical="center" wrapText="1"/>
    </xf>
    <xf numFmtId="0" fontId="72" fillId="0" borderId="1" xfId="0" applyFont="1" applyBorder="1" applyAlignment="1">
      <alignment horizontal="left" vertical="center" wrapText="1"/>
    </xf>
    <xf numFmtId="0" fontId="58" fillId="0" borderId="0" xfId="219" quotePrefix="1" applyFont="1" applyAlignment="1">
      <alignment vertical="center"/>
    </xf>
    <xf numFmtId="0" fontId="31" fillId="0" borderId="0" xfId="0" applyFont="1" applyAlignment="1">
      <alignment horizontal="right" vertical="center"/>
    </xf>
    <xf numFmtId="0" fontId="32" fillId="3" borderId="0" xfId="0" applyFont="1" applyFill="1" applyAlignment="1">
      <alignment horizontal="center" vertical="center"/>
    </xf>
    <xf numFmtId="0" fontId="82" fillId="0" borderId="0" xfId="0" applyFont="1" applyAlignment="1">
      <alignment vertical="center"/>
    </xf>
    <xf numFmtId="0" fontId="85" fillId="0" borderId="0" xfId="0" applyFont="1" applyAlignment="1">
      <alignment horizontal="left" vertical="center" wrapText="1"/>
    </xf>
    <xf numFmtId="0" fontId="32" fillId="3" borderId="0" xfId="0" applyFont="1" applyFill="1" applyAlignment="1">
      <alignment horizontal="left" vertical="center"/>
    </xf>
    <xf numFmtId="0" fontId="11" fillId="0" borderId="22" xfId="4" applyBorder="1" applyAlignment="1">
      <alignment horizontal="center" vertical="center"/>
    </xf>
    <xf numFmtId="0" fontId="11" fillId="0" borderId="19" xfId="4" applyBorder="1" applyAlignment="1">
      <alignment horizontal="center"/>
    </xf>
    <xf numFmtId="0" fontId="11" fillId="0" borderId="0" xfId="4" applyAlignment="1">
      <alignment horizontal="center"/>
    </xf>
    <xf numFmtId="0" fontId="11" fillId="0" borderId="20" xfId="4" applyBorder="1" applyAlignment="1">
      <alignment horizontal="left" vertical="center"/>
    </xf>
    <xf numFmtId="0" fontId="33" fillId="0" borderId="0" xfId="0" applyFont="1"/>
    <xf numFmtId="49" fontId="7" fillId="26" borderId="1" xfId="4" applyNumberFormat="1" applyFont="1" applyFill="1" applyBorder="1" applyAlignment="1">
      <alignment horizontal="left" vertical="center" wrapText="1"/>
    </xf>
    <xf numFmtId="2" fontId="27" fillId="16" borderId="1" xfId="4" applyNumberFormat="1" applyFont="1" applyFill="1" applyBorder="1" applyAlignment="1">
      <alignment horizontal="left" vertical="center" wrapText="1"/>
    </xf>
    <xf numFmtId="0" fontId="27" fillId="0" borderId="0" xfId="4" applyFont="1" applyAlignment="1">
      <alignment horizontal="left" vertical="center" wrapText="1"/>
    </xf>
    <xf numFmtId="0" fontId="8" fillId="4"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27" fillId="7" borderId="1" xfId="0" applyFont="1" applyFill="1" applyBorder="1" applyAlignment="1">
      <alignment vertical="center"/>
    </xf>
    <xf numFmtId="0" fontId="27" fillId="8" borderId="1" xfId="0" applyFont="1" applyFill="1" applyBorder="1" applyAlignment="1">
      <alignment horizontal="right"/>
    </xf>
    <xf numFmtId="0" fontId="7" fillId="6" borderId="1" xfId="0" applyFont="1" applyFill="1" applyBorder="1"/>
    <xf numFmtId="0" fontId="27" fillId="6" borderId="1" xfId="0" applyFont="1" applyFill="1" applyBorder="1" applyAlignment="1">
      <alignment wrapText="1"/>
    </xf>
    <xf numFmtId="0" fontId="27" fillId="17" borderId="1" xfId="0" applyFont="1" applyFill="1" applyBorder="1" applyAlignment="1">
      <alignment horizontal="right"/>
    </xf>
    <xf numFmtId="0" fontId="27" fillId="0" borderId="10" xfId="0" applyFont="1" applyBorder="1" applyAlignment="1">
      <alignment vertical="center" wrapText="1"/>
    </xf>
    <xf numFmtId="0" fontId="27" fillId="0" borderId="0" xfId="0" applyFont="1" applyAlignment="1">
      <alignment vertical="center" wrapText="1"/>
    </xf>
    <xf numFmtId="0" fontId="3" fillId="0" borderId="0" xfId="0" applyFont="1"/>
    <xf numFmtId="49" fontId="10" fillId="3" borderId="2" xfId="2" applyNumberFormat="1" applyFont="1" applyFill="1" applyBorder="1" applyAlignment="1">
      <alignment horizontal="center" vertical="center" wrapText="1"/>
    </xf>
    <xf numFmtId="0" fontId="10" fillId="3" borderId="2" xfId="2" applyFont="1" applyFill="1" applyBorder="1" applyAlignment="1">
      <alignment horizontal="center" vertical="center" wrapText="1"/>
    </xf>
    <xf numFmtId="10" fontId="10" fillId="3" borderId="2" xfId="201" applyNumberFormat="1" applyFont="1" applyFill="1" applyBorder="1" applyAlignment="1">
      <alignment horizontal="center" vertical="center" wrapText="1"/>
    </xf>
    <xf numFmtId="3" fontId="9" fillId="0" borderId="1" xfId="3" applyNumberFormat="1" applyFont="1" applyBorder="1" applyAlignment="1">
      <alignment horizontal="center" vertical="center" wrapText="1"/>
    </xf>
    <xf numFmtId="170" fontId="9" fillId="0" borderId="1" xfId="1" applyFont="1" applyBorder="1" applyAlignment="1">
      <alignment horizontal="left" vertical="center" wrapText="1" indent="1"/>
    </xf>
    <xf numFmtId="189" fontId="9" fillId="0" borderId="1" xfId="201" applyNumberFormat="1" applyFont="1" applyBorder="1" applyAlignment="1">
      <alignment horizontal="center" vertical="center" wrapText="1"/>
    </xf>
    <xf numFmtId="2" fontId="3" fillId="0" borderId="0" xfId="0" applyNumberFormat="1" applyFont="1"/>
    <xf numFmtId="190" fontId="13" fillId="12" borderId="1" xfId="1" applyNumberFormat="1" applyFont="1" applyFill="1" applyBorder="1" applyAlignment="1">
      <alignment horizontal="center" vertical="center" wrapText="1"/>
    </xf>
    <xf numFmtId="189" fontId="13" fillId="12" borderId="1" xfId="210" applyNumberFormat="1" applyFont="1" applyFill="1" applyBorder="1" applyAlignment="1">
      <alignment horizontal="center" vertical="center" wrapText="1"/>
    </xf>
    <xf numFmtId="190" fontId="3" fillId="0" borderId="0" xfId="0" applyNumberFormat="1" applyFont="1"/>
    <xf numFmtId="0" fontId="27" fillId="0" borderId="0" xfId="4" applyFont="1" applyAlignment="1">
      <alignment horizontal="left" vertical="center"/>
    </xf>
    <xf numFmtId="0" fontId="27" fillId="0" borderId="0" xfId="4" applyFont="1" applyAlignment="1">
      <alignment vertical="center" wrapText="1"/>
    </xf>
    <xf numFmtId="167" fontId="27" fillId="0" borderId="0" xfId="4" applyNumberFormat="1" applyFont="1" applyAlignment="1">
      <alignment horizontal="left" vertical="center" wrapText="1"/>
    </xf>
    <xf numFmtId="167" fontId="27" fillId="0" borderId="0" xfId="5" applyFont="1" applyAlignment="1">
      <alignment horizontal="center" vertical="center"/>
    </xf>
    <xf numFmtId="0" fontId="27" fillId="0" borderId="0" xfId="4" applyFont="1" applyAlignment="1">
      <alignment horizontal="center" vertical="center"/>
    </xf>
    <xf numFmtId="0" fontId="7" fillId="0" borderId="0" xfId="4" applyFont="1" applyAlignment="1">
      <alignment vertical="center"/>
    </xf>
    <xf numFmtId="167" fontId="7" fillId="0" borderId="0" xfId="4" applyNumberFormat="1" applyFont="1" applyAlignment="1">
      <alignment vertical="center"/>
    </xf>
    <xf numFmtId="167" fontId="27" fillId="0" borderId="0" xfId="4" applyNumberFormat="1" applyFont="1" applyAlignment="1">
      <alignment vertical="center"/>
    </xf>
    <xf numFmtId="0" fontId="9" fillId="0" borderId="0" xfId="4" applyFont="1" applyAlignment="1">
      <alignment horizontal="center" vertical="center"/>
    </xf>
    <xf numFmtId="170" fontId="27" fillId="0" borderId="0" xfId="1" applyFont="1" applyAlignment="1">
      <alignment horizontal="center" vertical="center"/>
    </xf>
    <xf numFmtId="176" fontId="27" fillId="0" borderId="0" xfId="201" applyNumberFormat="1" applyFont="1" applyAlignment="1">
      <alignment horizontal="center" vertical="center" wrapText="1"/>
    </xf>
    <xf numFmtId="49" fontId="27" fillId="0" borderId="1" xfId="4" applyNumberFormat="1" applyFont="1" applyBorder="1" applyAlignment="1">
      <alignment horizontal="center" vertical="center" wrapText="1"/>
    </xf>
    <xf numFmtId="49" fontId="63" fillId="12" borderId="1" xfId="4" applyNumberFormat="1" applyFont="1" applyFill="1" applyBorder="1" applyAlignment="1">
      <alignment horizontal="center" vertical="center" wrapText="1"/>
    </xf>
    <xf numFmtId="49" fontId="13" fillId="12" borderId="1" xfId="4" applyNumberFormat="1" applyFont="1" applyFill="1" applyBorder="1" applyAlignment="1">
      <alignment horizontal="center" vertical="center" wrapText="1"/>
    </xf>
    <xf numFmtId="170" fontId="63" fillId="12" borderId="1" xfId="1" applyFont="1" applyFill="1" applyBorder="1" applyAlignment="1">
      <alignment horizontal="center" vertical="center" wrapText="1"/>
    </xf>
    <xf numFmtId="49" fontId="63" fillId="12" borderId="1" xfId="4" applyNumberFormat="1" applyFont="1" applyFill="1" applyBorder="1" applyAlignment="1">
      <alignment horizontal="left" vertical="center" wrapText="1"/>
    </xf>
    <xf numFmtId="49" fontId="63" fillId="12" borderId="1" xfId="4" applyNumberFormat="1" applyFont="1" applyFill="1" applyBorder="1" applyAlignment="1">
      <alignment vertical="center" wrapText="1"/>
    </xf>
    <xf numFmtId="49" fontId="63" fillId="12" borderId="1" xfId="4" applyNumberFormat="1" applyFont="1" applyFill="1" applyBorder="1" applyAlignment="1">
      <alignment horizontal="right" vertical="center" wrapText="1"/>
    </xf>
    <xf numFmtId="49" fontId="63" fillId="27" borderId="1" xfId="4" applyNumberFormat="1" applyFont="1" applyFill="1" applyBorder="1" applyAlignment="1">
      <alignment horizontal="center" vertical="center" wrapText="1"/>
    </xf>
    <xf numFmtId="49" fontId="13" fillId="27" borderId="1" xfId="4" applyNumberFormat="1" applyFont="1" applyFill="1" applyBorder="1" applyAlignment="1">
      <alignment horizontal="center" vertical="center" wrapText="1"/>
    </xf>
    <xf numFmtId="170" fontId="63" fillId="27" borderId="1" xfId="1" applyFont="1" applyFill="1" applyBorder="1" applyAlignment="1">
      <alignment horizontal="center" vertical="center" wrapText="1"/>
    </xf>
    <xf numFmtId="49" fontId="63" fillId="27" borderId="1" xfId="4" applyNumberFormat="1" applyFont="1" applyFill="1" applyBorder="1" applyAlignment="1">
      <alignment vertical="center" wrapText="1"/>
    </xf>
    <xf numFmtId="49" fontId="63" fillId="27" borderId="1" xfId="4" applyNumberFormat="1" applyFont="1" applyFill="1" applyBorder="1" applyAlignment="1">
      <alignment horizontal="right" vertical="center" wrapText="1"/>
    </xf>
    <xf numFmtId="49" fontId="7" fillId="28" borderId="1" xfId="4" applyNumberFormat="1" applyFont="1" applyFill="1" applyBorder="1" applyAlignment="1">
      <alignment horizontal="right" vertical="center" wrapText="1"/>
    </xf>
    <xf numFmtId="49" fontId="7" fillId="28" borderId="1" xfId="4" applyNumberFormat="1" applyFont="1" applyFill="1" applyBorder="1" applyAlignment="1">
      <alignment horizontal="center" vertical="center" wrapText="1"/>
    </xf>
    <xf numFmtId="49" fontId="7" fillId="0" borderId="1" xfId="4" applyNumberFormat="1" applyFont="1" applyBorder="1" applyAlignment="1">
      <alignment horizontal="left" vertical="center" wrapText="1"/>
    </xf>
    <xf numFmtId="49" fontId="7" fillId="28" borderId="1" xfId="4" applyNumberFormat="1" applyFont="1" applyFill="1" applyBorder="1" applyAlignment="1">
      <alignment vertical="center" wrapText="1"/>
    </xf>
    <xf numFmtId="49" fontId="27" fillId="28" borderId="1" xfId="4" applyNumberFormat="1" applyFont="1" applyFill="1" applyBorder="1" applyAlignment="1">
      <alignment horizontal="left" vertical="center" wrapText="1"/>
    </xf>
    <xf numFmtId="167" fontId="7" fillId="28" borderId="1" xfId="5" applyFont="1" applyFill="1" applyBorder="1" applyAlignment="1">
      <alignment horizontal="left" vertical="center" wrapText="1"/>
    </xf>
    <xf numFmtId="49" fontId="27" fillId="0" borderId="1" xfId="4" applyNumberFormat="1" applyFont="1" applyBorder="1" applyAlignment="1">
      <alignment horizontal="left" vertical="center" wrapText="1"/>
    </xf>
    <xf numFmtId="49" fontId="27" fillId="16" borderId="1" xfId="4" applyNumberFormat="1" applyFont="1" applyFill="1" applyBorder="1" applyAlignment="1">
      <alignment vertical="center" wrapText="1"/>
    </xf>
    <xf numFmtId="0" fontId="27" fillId="0" borderId="1" xfId="4" applyFont="1" applyBorder="1" applyAlignment="1">
      <alignment horizontal="center" vertical="center"/>
    </xf>
    <xf numFmtId="0" fontId="27" fillId="0" borderId="1" xfId="4" applyFont="1" applyBorder="1" applyAlignment="1">
      <alignment horizontal="right" vertical="center"/>
    </xf>
    <xf numFmtId="49" fontId="27" fillId="0" borderId="1" xfId="4" applyNumberFormat="1" applyFont="1" applyBorder="1" applyAlignment="1">
      <alignment vertical="center" wrapText="1"/>
    </xf>
    <xf numFmtId="0" fontId="27" fillId="0" borderId="1" xfId="4" applyFont="1" applyBorder="1" applyAlignment="1">
      <alignment horizontal="center" vertical="center" wrapText="1"/>
    </xf>
    <xf numFmtId="49" fontId="27" fillId="16" borderId="1" xfId="4" applyNumberFormat="1" applyFont="1" applyFill="1" applyBorder="1" applyAlignment="1">
      <alignment horizontal="right" vertical="center"/>
    </xf>
    <xf numFmtId="49" fontId="27" fillId="16" borderId="1" xfId="4" applyNumberFormat="1" applyFont="1" applyFill="1" applyBorder="1" applyAlignment="1">
      <alignment horizontal="center" vertical="center" wrapText="1"/>
    </xf>
    <xf numFmtId="0" fontId="27" fillId="16" borderId="1" xfId="4" applyFont="1" applyFill="1" applyBorder="1" applyAlignment="1">
      <alignment horizontal="center" vertical="center"/>
    </xf>
    <xf numFmtId="0" fontId="27" fillId="16" borderId="1" xfId="4" applyFont="1" applyFill="1" applyBorder="1" applyAlignment="1">
      <alignment horizontal="right" vertical="center"/>
    </xf>
    <xf numFmtId="170" fontId="27" fillId="16" borderId="1" xfId="1" applyFont="1" applyFill="1" applyBorder="1" applyAlignment="1">
      <alignment horizontal="center" vertical="center"/>
    </xf>
    <xf numFmtId="49" fontId="7" fillId="28" borderId="1" xfId="4" applyNumberFormat="1" applyFont="1" applyFill="1" applyBorder="1" applyAlignment="1">
      <alignment horizontal="right" vertical="center"/>
    </xf>
    <xf numFmtId="49" fontId="7" fillId="26" borderId="1" xfId="4" applyNumberFormat="1" applyFont="1" applyFill="1" applyBorder="1" applyAlignment="1">
      <alignment horizontal="right" vertical="center"/>
    </xf>
    <xf numFmtId="49" fontId="7" fillId="26" borderId="1" xfId="4" applyNumberFormat="1" applyFont="1" applyFill="1" applyBorder="1" applyAlignment="1">
      <alignment horizontal="center" vertical="center" wrapText="1"/>
    </xf>
    <xf numFmtId="49" fontId="7" fillId="26" borderId="1" xfId="4" applyNumberFormat="1" applyFont="1" applyFill="1" applyBorder="1" applyAlignment="1">
      <alignment vertical="center" wrapText="1"/>
    </xf>
    <xf numFmtId="49" fontId="7" fillId="26" borderId="1" xfId="4" applyNumberFormat="1" applyFont="1" applyFill="1" applyBorder="1" applyAlignment="1">
      <alignment horizontal="right" vertical="center" wrapText="1"/>
    </xf>
    <xf numFmtId="167" fontId="7" fillId="26" borderId="1" xfId="5" applyFont="1" applyFill="1" applyBorder="1" applyAlignment="1">
      <alignment horizontal="left" vertical="center" wrapText="1"/>
    </xf>
    <xf numFmtId="0" fontId="27" fillId="16" borderId="1" xfId="4" applyFont="1" applyFill="1" applyBorder="1" applyAlignment="1">
      <alignment horizontal="left" vertical="center" wrapText="1"/>
    </xf>
    <xf numFmtId="49" fontId="27" fillId="0" borderId="1" xfId="4" quotePrefix="1" applyNumberFormat="1" applyFont="1" applyBorder="1" applyAlignment="1">
      <alignment horizontal="center" vertical="center" wrapText="1"/>
    </xf>
    <xf numFmtId="0" fontId="27" fillId="0" borderId="1" xfId="4" quotePrefix="1" applyFont="1" applyBorder="1" applyAlignment="1">
      <alignment horizontal="left" vertical="center" wrapText="1"/>
    </xf>
    <xf numFmtId="49" fontId="27" fillId="0" borderId="1" xfId="4" quotePrefix="1" applyNumberFormat="1" applyFont="1" applyBorder="1" applyAlignment="1">
      <alignment vertical="center" wrapText="1"/>
    </xf>
    <xf numFmtId="49" fontId="64" fillId="20" borderId="1" xfId="4" quotePrefix="1" applyNumberFormat="1" applyFont="1" applyFill="1" applyBorder="1" applyAlignment="1">
      <alignment vertical="center" wrapText="1"/>
    </xf>
    <xf numFmtId="0" fontId="64" fillId="20" borderId="1" xfId="4" applyFont="1" applyFill="1" applyBorder="1" applyAlignment="1">
      <alignment horizontal="left" vertical="center" wrapText="1"/>
    </xf>
    <xf numFmtId="0" fontId="64" fillId="20" borderId="1" xfId="4" applyFont="1" applyFill="1" applyBorder="1" applyAlignment="1">
      <alignment horizontal="center" vertical="center"/>
    </xf>
    <xf numFmtId="0" fontId="64" fillId="20" borderId="1" xfId="4" applyFont="1" applyFill="1" applyBorder="1" applyAlignment="1">
      <alignment horizontal="right" vertical="center"/>
    </xf>
    <xf numFmtId="170" fontId="64" fillId="20" borderId="1" xfId="1" applyFont="1" applyFill="1" applyBorder="1" applyAlignment="1">
      <alignment horizontal="center" vertical="center"/>
    </xf>
    <xf numFmtId="49" fontId="27" fillId="0" borderId="0" xfId="4" applyNumberFormat="1" applyFont="1" applyAlignment="1">
      <alignment horizontal="right" vertical="center"/>
    </xf>
    <xf numFmtId="49" fontId="27" fillId="0" borderId="0" xfId="4" quotePrefix="1" applyNumberFormat="1" applyFont="1" applyAlignment="1">
      <alignment horizontal="left" vertical="center" wrapText="1"/>
    </xf>
    <xf numFmtId="2" fontId="9" fillId="0" borderId="0" xfId="4" applyNumberFormat="1" applyFont="1" applyAlignment="1">
      <alignment horizontal="center" vertical="center" wrapText="1"/>
    </xf>
    <xf numFmtId="49" fontId="27" fillId="0" borderId="0" xfId="4" quotePrefix="1" applyNumberFormat="1" applyFont="1" applyAlignment="1">
      <alignment horizontal="center" vertical="center" wrapText="1"/>
    </xf>
    <xf numFmtId="49" fontId="27" fillId="0" borderId="0" xfId="4" quotePrefix="1" applyNumberFormat="1" applyFont="1" applyAlignment="1">
      <alignment vertical="center" wrapText="1"/>
    </xf>
    <xf numFmtId="191" fontId="27" fillId="0" borderId="0" xfId="1" applyNumberFormat="1" applyFont="1" applyAlignment="1">
      <alignment horizontal="left" vertical="center" wrapText="1"/>
    </xf>
    <xf numFmtId="167" fontId="27" fillId="0" borderId="0" xfId="4" applyNumberFormat="1" applyFont="1" applyAlignment="1">
      <alignment horizontal="right" vertical="center"/>
    </xf>
    <xf numFmtId="171" fontId="27" fillId="0" borderId="0" xfId="4" applyNumberFormat="1" applyFont="1" applyAlignment="1">
      <alignment horizontal="left" vertical="center" wrapText="1"/>
    </xf>
    <xf numFmtId="170" fontId="27" fillId="0" borderId="0" xfId="1" applyFont="1" applyAlignment="1">
      <alignment horizontal="left" vertical="center"/>
    </xf>
    <xf numFmtId="0" fontId="87" fillId="0" borderId="0" xfId="0" applyFont="1" applyAlignment="1">
      <alignment horizontal="left" vertical="center" wrapText="1" indent="1"/>
    </xf>
    <xf numFmtId="0" fontId="34" fillId="0" borderId="0" xfId="0" applyFont="1" applyAlignment="1">
      <alignment wrapText="1"/>
    </xf>
    <xf numFmtId="0" fontId="34" fillId="0" borderId="0" xfId="0" applyFont="1" applyAlignment="1">
      <alignment horizontal="right"/>
    </xf>
    <xf numFmtId="0" fontId="86" fillId="0" borderId="0" xfId="0" applyFont="1" applyAlignment="1">
      <alignment horizontal="left" vertical="center" wrapText="1"/>
    </xf>
    <xf numFmtId="0" fontId="34" fillId="0" borderId="0" xfId="0" applyFont="1" applyAlignment="1">
      <alignment horizontal="center" vertical="center" wrapText="1"/>
    </xf>
    <xf numFmtId="0" fontId="34" fillId="0" borderId="0" xfId="0" applyFont="1" applyAlignment="1">
      <alignment horizontal="left" vertical="center" wrapText="1"/>
    </xf>
    <xf numFmtId="0" fontId="89" fillId="0" borderId="0" xfId="0" applyFont="1" applyAlignment="1">
      <alignment horizontal="left" vertical="center" wrapText="1"/>
    </xf>
    <xf numFmtId="0" fontId="90" fillId="0" borderId="0" xfId="14" applyFont="1" applyAlignment="1">
      <alignment vertical="center"/>
    </xf>
    <xf numFmtId="0" fontId="90" fillId="0" borderId="0" xfId="14" applyFont="1" applyAlignment="1">
      <alignment horizontal="left" vertical="center"/>
    </xf>
    <xf numFmtId="0" fontId="18" fillId="0" borderId="0" xfId="14" applyFont="1" applyAlignment="1">
      <alignment horizontal="left" vertical="center"/>
    </xf>
    <xf numFmtId="1" fontId="18" fillId="0" borderId="0" xfId="14" applyNumberFormat="1" applyFont="1" applyAlignment="1">
      <alignment horizontal="center" vertical="center"/>
    </xf>
    <xf numFmtId="0" fontId="18" fillId="0" borderId="0" xfId="14" applyFont="1" applyAlignment="1">
      <alignment horizontal="right" vertical="center"/>
    </xf>
    <xf numFmtId="0" fontId="18" fillId="0" borderId="0" xfId="39" applyNumberFormat="1" applyFont="1" applyAlignment="1">
      <alignment vertical="center"/>
    </xf>
    <xf numFmtId="0" fontId="91" fillId="39" borderId="1" xfId="14" applyFont="1" applyFill="1" applyBorder="1" applyAlignment="1">
      <alignment vertical="center" wrapText="1"/>
    </xf>
    <xf numFmtId="0" fontId="92" fillId="40" borderId="1" xfId="189" applyFont="1" applyFill="1" applyBorder="1" applyAlignment="1">
      <alignment horizontal="left" vertical="center" wrapText="1"/>
    </xf>
    <xf numFmtId="0" fontId="92" fillId="40" borderId="1" xfId="189" applyFont="1" applyFill="1" applyBorder="1" applyAlignment="1">
      <alignment horizontal="center" vertical="center" wrapText="1"/>
    </xf>
    <xf numFmtId="0" fontId="92" fillId="41" borderId="1" xfId="189" applyFont="1" applyFill="1" applyBorder="1" applyAlignment="1">
      <alignment horizontal="lef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xf>
    <xf numFmtId="0" fontId="10" fillId="39" borderId="1" xfId="14" applyFont="1" applyFill="1" applyBorder="1" applyAlignment="1">
      <alignment horizontal="center" vertical="center" wrapText="1"/>
    </xf>
    <xf numFmtId="0" fontId="97" fillId="0" borderId="4" xfId="14" applyFont="1" applyBorder="1" applyAlignment="1">
      <alignment horizontal="left" vertical="center"/>
    </xf>
    <xf numFmtId="0" fontId="98" fillId="0" borderId="0" xfId="14" applyFont="1" applyAlignment="1">
      <alignment horizontal="center" vertical="center" wrapText="1"/>
    </xf>
    <xf numFmtId="1" fontId="98" fillId="0" borderId="0" xfId="14" applyNumberFormat="1" applyFont="1" applyAlignment="1">
      <alignment horizontal="center" vertical="center" wrapText="1"/>
    </xf>
    <xf numFmtId="0" fontId="97" fillId="0" borderId="0" xfId="39" applyNumberFormat="1" applyFont="1" applyAlignment="1">
      <alignment vertical="center"/>
    </xf>
    <xf numFmtId="49" fontId="94" fillId="38" borderId="1" xfId="14" applyNumberFormat="1" applyFont="1" applyFill="1" applyBorder="1" applyAlignment="1">
      <alignment horizontal="right" vertical="center"/>
    </xf>
    <xf numFmtId="1" fontId="94" fillId="38" borderId="14" xfId="1" applyNumberFormat="1" applyFont="1" applyFill="1" applyBorder="1" applyAlignment="1">
      <alignment vertical="center"/>
    </xf>
    <xf numFmtId="0" fontId="94" fillId="38" borderId="13" xfId="14" applyFont="1" applyFill="1" applyBorder="1" applyAlignment="1">
      <alignment vertical="center"/>
    </xf>
    <xf numFmtId="1" fontId="94" fillId="38" borderId="13" xfId="14" applyNumberFormat="1" applyFont="1" applyFill="1" applyBorder="1" applyAlignment="1">
      <alignment horizontal="center" vertical="center"/>
    </xf>
    <xf numFmtId="170" fontId="91" fillId="39" borderId="1" xfId="1" applyFont="1" applyFill="1" applyBorder="1" applyAlignment="1">
      <alignment horizontal="center" vertical="center" wrapText="1"/>
    </xf>
    <xf numFmtId="0" fontId="92" fillId="41" borderId="1" xfId="189" applyFont="1" applyFill="1" applyBorder="1" applyAlignment="1">
      <alignment horizontal="center" vertical="center" wrapText="1"/>
    </xf>
    <xf numFmtId="1" fontId="23" fillId="0" borderId="0" xfId="14" applyNumberFormat="1" applyFont="1" applyAlignment="1">
      <alignment horizontal="center"/>
    </xf>
    <xf numFmtId="170" fontId="92" fillId="40" borderId="1" xfId="1" applyFont="1" applyFill="1" applyBorder="1" applyAlignment="1">
      <alignment horizontal="center" vertical="center" wrapText="1"/>
    </xf>
    <xf numFmtId="170" fontId="92" fillId="41" borderId="1" xfId="1" applyFont="1" applyFill="1" applyBorder="1" applyAlignment="1">
      <alignment horizontal="center" vertical="center" wrapText="1"/>
    </xf>
    <xf numFmtId="1" fontId="0" fillId="0" borderId="0" xfId="0" applyNumberFormat="1" applyAlignment="1">
      <alignment horizontal="center"/>
    </xf>
    <xf numFmtId="0" fontId="0" fillId="0" borderId="0" xfId="0" applyProtection="1">
      <protection locked="0"/>
    </xf>
    <xf numFmtId="0" fontId="80" fillId="0" borderId="0" xfId="0" applyFont="1"/>
    <xf numFmtId="0" fontId="80" fillId="0" borderId="0" xfId="0" applyFont="1" applyProtection="1">
      <protection locked="0"/>
    </xf>
    <xf numFmtId="0" fontId="99" fillId="0" borderId="0" xfId="0" applyFont="1"/>
    <xf numFmtId="0" fontId="103" fillId="42" borderId="37" xfId="0" applyFont="1" applyFill="1" applyBorder="1" applyAlignment="1">
      <alignment horizontal="left" vertical="center" wrapText="1" readingOrder="1"/>
    </xf>
    <xf numFmtId="0" fontId="104" fillId="43" borderId="37" xfId="0" applyFont="1" applyFill="1" applyBorder="1" applyAlignment="1" applyProtection="1">
      <alignment horizontal="center" vertical="center" wrapText="1" readingOrder="1"/>
      <protection locked="0"/>
    </xf>
    <xf numFmtId="0" fontId="0" fillId="0" borderId="0" xfId="0" applyAlignment="1">
      <alignment vertical="center"/>
    </xf>
    <xf numFmtId="0" fontId="65" fillId="0" borderId="0" xfId="0" applyFont="1" applyAlignment="1">
      <alignment vertical="center"/>
    </xf>
    <xf numFmtId="195" fontId="104" fillId="43" borderId="37" xfId="190" applyNumberFormat="1" applyFont="1" applyFill="1" applyBorder="1" applyAlignment="1" applyProtection="1">
      <alignment horizontal="center" vertical="center" wrapText="1" readingOrder="1"/>
      <protection locked="0"/>
    </xf>
    <xf numFmtId="195" fontId="0" fillId="0" borderId="0" xfId="0" applyNumberFormat="1" applyAlignment="1">
      <alignment vertical="center"/>
    </xf>
    <xf numFmtId="0" fontId="0" fillId="0" borderId="0" xfId="0" applyAlignment="1">
      <alignment horizontal="left" vertical="center"/>
    </xf>
    <xf numFmtId="170" fontId="0" fillId="0" borderId="0" xfId="0" applyNumberFormat="1" applyAlignment="1">
      <alignment vertical="center"/>
    </xf>
    <xf numFmtId="0" fontId="103" fillId="42" borderId="38" xfId="0" applyFont="1" applyFill="1" applyBorder="1" applyAlignment="1">
      <alignment horizontal="left" vertical="center" wrapText="1" readingOrder="1"/>
    </xf>
    <xf numFmtId="14" fontId="104" fillId="43" borderId="39" xfId="0" applyNumberFormat="1" applyFont="1" applyFill="1" applyBorder="1" applyAlignment="1" applyProtection="1">
      <alignment horizontal="center" vertical="center" wrapText="1" readingOrder="1"/>
      <protection locked="0"/>
    </xf>
    <xf numFmtId="195" fontId="0" fillId="0" borderId="0" xfId="0" applyNumberFormat="1" applyAlignment="1">
      <alignment horizontal="center" vertical="center"/>
    </xf>
    <xf numFmtId="1" fontId="6" fillId="9" borderId="40" xfId="0" applyNumberFormat="1" applyFont="1" applyFill="1" applyBorder="1" applyAlignment="1">
      <alignment horizontal="right" vertical="center"/>
    </xf>
    <xf numFmtId="0" fontId="6" fillId="9" borderId="41" xfId="0" applyFont="1" applyFill="1" applyBorder="1" applyAlignment="1">
      <alignment horizontal="center" vertical="center"/>
    </xf>
    <xf numFmtId="1" fontId="6" fillId="9" borderId="42" xfId="0" applyNumberFormat="1" applyFont="1" applyFill="1" applyBorder="1" applyAlignment="1">
      <alignment horizontal="center" vertical="center"/>
    </xf>
    <xf numFmtId="0" fontId="0" fillId="0" borderId="0" xfId="0" applyAlignment="1" applyProtection="1">
      <alignment vertical="center"/>
      <protection locked="0"/>
    </xf>
    <xf numFmtId="0" fontId="0" fillId="0" borderId="0" xfId="0" applyAlignment="1" applyProtection="1">
      <alignment vertical="center" wrapText="1"/>
      <protection locked="0"/>
    </xf>
    <xf numFmtId="196" fontId="0" fillId="0" borderId="0" xfId="0" applyNumberFormat="1" applyAlignment="1" applyProtection="1">
      <alignment vertical="center" wrapText="1"/>
      <protection locked="0"/>
    </xf>
    <xf numFmtId="170" fontId="0" fillId="0" borderId="0" xfId="1" applyFont="1" applyAlignment="1">
      <alignment vertical="center" wrapText="1"/>
    </xf>
    <xf numFmtId="49" fontId="0" fillId="0" borderId="0" xfId="0" applyNumberFormat="1" applyAlignment="1" applyProtection="1">
      <alignment vertical="center" wrapText="1"/>
      <protection locked="0"/>
    </xf>
    <xf numFmtId="170" fontId="6" fillId="0" borderId="0" xfId="1" applyFont="1" applyAlignment="1">
      <alignment vertical="center" wrapText="1"/>
    </xf>
    <xf numFmtId="172" fontId="0" fillId="0" borderId="0" xfId="0" applyNumberFormat="1" applyAlignment="1" applyProtection="1">
      <alignment vertical="center" wrapText="1"/>
      <protection locked="0"/>
    </xf>
    <xf numFmtId="49" fontId="0" fillId="0" borderId="0" xfId="0" applyNumberFormat="1" applyAlignment="1" applyProtection="1">
      <alignment horizontal="right" vertical="center" wrapText="1"/>
      <protection locked="0"/>
    </xf>
    <xf numFmtId="0" fontId="0" fillId="0" borderId="0" xfId="0" applyAlignment="1">
      <alignment horizontal="right" vertical="center" wrapText="1"/>
    </xf>
    <xf numFmtId="0" fontId="0" fillId="0" borderId="0" xfId="0" applyAlignment="1">
      <alignment vertical="center" wrapText="1"/>
    </xf>
    <xf numFmtId="196" fontId="0" fillId="0" borderId="0" xfId="0" applyNumberFormat="1" applyAlignment="1">
      <alignment vertical="center" wrapText="1"/>
    </xf>
    <xf numFmtId="49" fontId="0" fillId="0" borderId="0" xfId="0" applyNumberFormat="1" applyAlignment="1">
      <alignment horizontal="right" vertical="center" wrapText="1"/>
    </xf>
    <xf numFmtId="49" fontId="0" fillId="0" borderId="0" xfId="0" applyNumberFormat="1" applyAlignment="1">
      <alignment vertical="center" wrapText="1"/>
    </xf>
    <xf numFmtId="2" fontId="102" fillId="45" borderId="44" xfId="0" applyNumberFormat="1" applyFont="1" applyFill="1" applyBorder="1" applyAlignment="1">
      <alignment horizontal="center" vertical="center" wrapText="1"/>
    </xf>
    <xf numFmtId="49" fontId="0" fillId="35" borderId="7" xfId="0" applyNumberFormat="1" applyFill="1" applyBorder="1" applyAlignment="1">
      <alignment horizontal="center" vertical="center"/>
    </xf>
    <xf numFmtId="0" fontId="6" fillId="0" borderId="46" xfId="0" applyFont="1" applyBorder="1" applyAlignment="1">
      <alignment horizontal="center" vertical="center" wrapText="1"/>
    </xf>
    <xf numFmtId="49" fontId="0" fillId="35" borderId="46" xfId="0" applyNumberFormat="1" applyFill="1" applyBorder="1" applyAlignment="1">
      <alignment horizontal="center" vertical="center" wrapText="1"/>
    </xf>
    <xf numFmtId="170" fontId="80" fillId="47" borderId="7" xfId="1" applyFont="1" applyFill="1" applyBorder="1" applyAlignment="1">
      <alignment vertical="center" wrapText="1"/>
    </xf>
    <xf numFmtId="0" fontId="0" fillId="35" borderId="46" xfId="0" applyFill="1" applyBorder="1" applyAlignment="1">
      <alignment horizontal="center" vertical="center" wrapText="1"/>
    </xf>
    <xf numFmtId="0" fontId="0" fillId="35" borderId="7" xfId="0" applyFill="1" applyBorder="1" applyAlignment="1">
      <alignment horizontal="center" vertical="center"/>
    </xf>
    <xf numFmtId="0" fontId="0" fillId="35" borderId="7" xfId="0" applyFill="1" applyBorder="1" applyAlignment="1">
      <alignment horizontal="left" vertical="center" wrapText="1"/>
    </xf>
    <xf numFmtId="196" fontId="0" fillId="35" borderId="7" xfId="0" applyNumberFormat="1" applyFill="1" applyBorder="1" applyAlignment="1">
      <alignment horizontal="center" vertical="center"/>
    </xf>
    <xf numFmtId="0" fontId="6" fillId="0" borderId="7" xfId="0" applyFont="1" applyBorder="1" applyAlignment="1">
      <alignment horizontal="center" vertical="center" wrapText="1"/>
    </xf>
    <xf numFmtId="0" fontId="0" fillId="35" borderId="7" xfId="0" applyFill="1" applyBorder="1" applyAlignment="1">
      <alignment horizontal="center" vertical="center" wrapText="1"/>
    </xf>
    <xf numFmtId="0" fontId="105" fillId="46" borderId="0" xfId="0" applyFont="1" applyFill="1"/>
    <xf numFmtId="0" fontId="108" fillId="0" borderId="0" xfId="0" applyFont="1"/>
    <xf numFmtId="0" fontId="106" fillId="0" borderId="0" xfId="0" applyFont="1"/>
    <xf numFmtId="0" fontId="106" fillId="44" borderId="0" xfId="0" applyFont="1" applyFill="1"/>
    <xf numFmtId="1" fontId="0" fillId="0" borderId="0" xfId="0" applyNumberFormat="1"/>
    <xf numFmtId="1" fontId="0" fillId="35" borderId="47" xfId="0" applyNumberFormat="1" applyFill="1" applyBorder="1" applyAlignment="1">
      <alignment horizontal="center" vertical="center" wrapText="1"/>
    </xf>
    <xf numFmtId="1" fontId="0" fillId="35" borderId="7" xfId="0" applyNumberFormat="1" applyFill="1" applyBorder="1" applyAlignment="1">
      <alignment horizontal="center" vertical="center"/>
    </xf>
    <xf numFmtId="1" fontId="0" fillId="35" borderId="7" xfId="0" applyNumberFormat="1" applyFill="1" applyBorder="1" applyAlignment="1">
      <alignment horizontal="left" vertical="center" wrapText="1"/>
    </xf>
    <xf numFmtId="196" fontId="80" fillId="47" borderId="7" xfId="1" applyNumberFormat="1" applyFont="1" applyFill="1" applyBorder="1" applyAlignment="1">
      <alignment horizontal="center" vertical="center" wrapText="1"/>
    </xf>
    <xf numFmtId="9" fontId="80" fillId="47" borderId="7" xfId="210" applyFont="1" applyFill="1" applyBorder="1" applyAlignment="1">
      <alignment horizontal="center" vertical="center" wrapText="1"/>
    </xf>
    <xf numFmtId="170" fontId="80" fillId="47" borderId="7" xfId="1" applyFont="1" applyFill="1" applyBorder="1" applyAlignment="1">
      <alignment horizontal="center" vertical="center" wrapText="1"/>
    </xf>
    <xf numFmtId="1" fontId="0" fillId="35" borderId="7" xfId="0" applyNumberFormat="1" applyFill="1" applyBorder="1" applyAlignment="1">
      <alignment horizontal="center" vertical="center" wrapText="1"/>
    </xf>
    <xf numFmtId="9" fontId="80" fillId="47" borderId="7" xfId="1" applyNumberFormat="1" applyFont="1" applyFill="1" applyBorder="1" applyAlignment="1">
      <alignment horizontal="center" vertical="center" wrapText="1"/>
    </xf>
    <xf numFmtId="0" fontId="0" fillId="35" borderId="7" xfId="0" applyFill="1" applyBorder="1" applyAlignment="1">
      <alignment vertical="center" wrapText="1"/>
    </xf>
    <xf numFmtId="0" fontId="102" fillId="45" borderId="46" xfId="0" applyFont="1" applyFill="1" applyBorder="1" applyAlignment="1">
      <alignment horizontal="center" vertical="center" wrapText="1"/>
    </xf>
    <xf numFmtId="2" fontId="102" fillId="45" borderId="46" xfId="0" applyNumberFormat="1" applyFont="1" applyFill="1" applyBorder="1" applyAlignment="1">
      <alignment horizontal="center" vertical="center" wrapText="1"/>
    </xf>
    <xf numFmtId="2" fontId="102" fillId="45" borderId="45" xfId="0" applyNumberFormat="1" applyFont="1" applyFill="1" applyBorder="1" applyAlignment="1">
      <alignment horizontal="center" vertical="center" wrapText="1"/>
    </xf>
    <xf numFmtId="170" fontId="27" fillId="47" borderId="7" xfId="1" applyFont="1" applyFill="1" applyBorder="1" applyAlignment="1">
      <alignment horizontal="center" vertical="center" wrapText="1"/>
    </xf>
    <xf numFmtId="0" fontId="109" fillId="0" borderId="0" xfId="0" applyFont="1" applyAlignment="1">
      <alignment horizontal="left"/>
    </xf>
    <xf numFmtId="0" fontId="0" fillId="0" borderId="0" xfId="0" applyAlignment="1" applyProtection="1">
      <alignment horizontal="left"/>
      <protection locked="0"/>
    </xf>
    <xf numFmtId="170" fontId="0" fillId="0" borderId="0" xfId="0" applyNumberFormat="1" applyProtection="1">
      <protection locked="0"/>
    </xf>
    <xf numFmtId="2" fontId="102" fillId="45" borderId="7" xfId="0" applyNumberFormat="1" applyFont="1" applyFill="1" applyBorder="1" applyAlignment="1">
      <alignment horizontal="center" vertical="center" wrapText="1"/>
    </xf>
    <xf numFmtId="49" fontId="0" fillId="35" borderId="7" xfId="0" applyNumberFormat="1" applyFill="1" applyBorder="1" applyAlignment="1">
      <alignment horizontal="center" vertical="center" wrapText="1"/>
    </xf>
    <xf numFmtId="195" fontId="0" fillId="35" borderId="7" xfId="0" applyNumberFormat="1" applyFill="1" applyBorder="1" applyAlignment="1">
      <alignment horizontal="center" vertical="center" wrapText="1"/>
    </xf>
    <xf numFmtId="9" fontId="0" fillId="35" borderId="7" xfId="0" applyNumberFormat="1" applyFill="1" applyBorder="1" applyAlignment="1">
      <alignment horizontal="center" vertical="center" wrapText="1"/>
    </xf>
    <xf numFmtId="195" fontId="0" fillId="35" borderId="7" xfId="190" applyNumberFormat="1" applyFont="1" applyFill="1" applyBorder="1" applyAlignment="1">
      <alignment vertical="center" wrapText="1"/>
    </xf>
    <xf numFmtId="0" fontId="65" fillId="0" borderId="0" xfId="0" applyFont="1" applyAlignment="1">
      <alignment vertical="center" wrapText="1"/>
    </xf>
    <xf numFmtId="0" fontId="0" fillId="44" borderId="0" xfId="0" applyFill="1" applyAlignment="1">
      <alignment vertical="center" wrapText="1"/>
    </xf>
    <xf numFmtId="0" fontId="65" fillId="0" borderId="0" xfId="0" applyFont="1" applyAlignment="1" applyProtection="1">
      <alignment vertical="center" wrapText="1"/>
      <protection locked="0"/>
    </xf>
    <xf numFmtId="0" fontId="0" fillId="0" borderId="0" xfId="0" applyAlignment="1" applyProtection="1">
      <alignment horizontal="center" vertical="center" wrapText="1"/>
      <protection locked="0"/>
    </xf>
    <xf numFmtId="0" fontId="0" fillId="47" borderId="7" xfId="0" applyFill="1" applyBorder="1" applyAlignment="1">
      <alignment horizontal="center" vertical="center" wrapText="1"/>
    </xf>
    <xf numFmtId="170" fontId="0" fillId="35" borderId="7" xfId="0" applyNumberFormat="1" applyFill="1" applyBorder="1" applyAlignment="1">
      <alignment horizontal="center" vertical="center" wrapText="1"/>
    </xf>
    <xf numFmtId="1" fontId="0" fillId="35" borderId="46" xfId="0" applyNumberFormat="1" applyFill="1" applyBorder="1" applyAlignment="1">
      <alignment horizontal="center" vertical="center" wrapText="1"/>
    </xf>
    <xf numFmtId="196" fontId="6" fillId="47" borderId="7" xfId="0" applyNumberFormat="1" applyFont="1" applyFill="1" applyBorder="1" applyAlignment="1" applyProtection="1">
      <alignment horizontal="center" vertical="center"/>
      <protection locked="0"/>
    </xf>
    <xf numFmtId="0" fontId="0" fillId="0" borderId="0" xfId="0" applyAlignment="1">
      <alignment horizontal="center"/>
    </xf>
    <xf numFmtId="196" fontId="0" fillId="35" borderId="7" xfId="0" applyNumberFormat="1" applyFill="1" applyBorder="1" applyAlignment="1">
      <alignment vertical="center"/>
    </xf>
    <xf numFmtId="172" fontId="0" fillId="35" borderId="7" xfId="0" applyNumberFormat="1" applyFill="1" applyBorder="1" applyAlignment="1">
      <alignment vertical="center"/>
    </xf>
    <xf numFmtId="196" fontId="27" fillId="47" borderId="7" xfId="1" applyNumberFormat="1" applyFont="1" applyFill="1" applyBorder="1" applyAlignment="1">
      <alignment horizontal="center" vertical="center" wrapText="1"/>
    </xf>
    <xf numFmtId="172" fontId="27" fillId="47" borderId="7" xfId="1" applyNumberFormat="1" applyFont="1" applyFill="1" applyBorder="1" applyAlignment="1">
      <alignment horizontal="center" vertical="center" wrapText="1"/>
    </xf>
    <xf numFmtId="9" fontId="27" fillId="47" borderId="7" xfId="1" applyNumberFormat="1" applyFont="1" applyFill="1" applyBorder="1" applyAlignment="1">
      <alignment horizontal="center" vertical="center" wrapText="1"/>
    </xf>
    <xf numFmtId="49" fontId="0" fillId="47" borderId="7" xfId="0" applyNumberFormat="1" applyFill="1" applyBorder="1" applyAlignment="1">
      <alignment horizontal="center" vertical="center"/>
    </xf>
    <xf numFmtId="172" fontId="0" fillId="35" borderId="7" xfId="0" applyNumberFormat="1" applyFill="1" applyBorder="1" applyAlignment="1">
      <alignment horizontal="center" vertical="center"/>
    </xf>
    <xf numFmtId="196" fontId="6" fillId="35" borderId="7" xfId="0" applyNumberFormat="1" applyFont="1" applyFill="1" applyBorder="1" applyAlignment="1">
      <alignment vertical="center"/>
    </xf>
    <xf numFmtId="195" fontId="0" fillId="35" borderId="46" xfId="190" applyNumberFormat="1" applyFont="1" applyFill="1" applyBorder="1" applyAlignment="1">
      <alignment horizontal="center" vertical="center" wrapText="1"/>
    </xf>
    <xf numFmtId="9" fontId="0" fillId="35" borderId="46" xfId="210" applyFont="1" applyFill="1" applyBorder="1" applyAlignment="1">
      <alignment horizontal="center" vertical="center" wrapText="1"/>
    </xf>
    <xf numFmtId="0" fontId="0" fillId="0" borderId="0" xfId="0" applyAlignment="1">
      <alignment horizontal="center" vertical="center" wrapText="1"/>
    </xf>
    <xf numFmtId="196" fontId="6" fillId="47" borderId="47" xfId="0" applyNumberFormat="1" applyFont="1" applyFill="1" applyBorder="1" applyAlignment="1" applyProtection="1">
      <alignment horizontal="center" vertical="center" wrapText="1"/>
      <protection locked="0"/>
    </xf>
    <xf numFmtId="195" fontId="0" fillId="35" borderId="7" xfId="190" applyNumberFormat="1" applyFont="1" applyFill="1" applyBorder="1" applyAlignment="1">
      <alignment horizontal="center" vertical="center" wrapText="1"/>
    </xf>
    <xf numFmtId="9" fontId="0" fillId="35" borderId="7" xfId="210" applyFont="1" applyFill="1" applyBorder="1" applyAlignment="1">
      <alignment horizontal="center" vertical="center" wrapText="1"/>
    </xf>
    <xf numFmtId="0" fontId="0" fillId="35" borderId="49" xfId="0" applyFill="1" applyBorder="1" applyAlignment="1">
      <alignment horizontal="center" vertical="center" wrapText="1"/>
    </xf>
    <xf numFmtId="0" fontId="106" fillId="0" borderId="0" xfId="0" applyFont="1" applyAlignment="1">
      <alignment vertical="center" wrapText="1"/>
    </xf>
    <xf numFmtId="196" fontId="6" fillId="47" borderId="48" xfId="0" applyNumberFormat="1" applyFont="1" applyFill="1" applyBorder="1" applyAlignment="1" applyProtection="1">
      <alignment horizontal="right" vertical="center" wrapText="1"/>
      <protection locked="0"/>
    </xf>
    <xf numFmtId="1" fontId="0" fillId="0" borderId="0" xfId="0" applyNumberFormat="1" applyAlignment="1" applyProtection="1">
      <alignment vertical="center" wrapText="1"/>
      <protection locked="0"/>
    </xf>
    <xf numFmtId="1" fontId="65" fillId="0" borderId="0" xfId="0" applyNumberFormat="1" applyFont="1" applyAlignment="1" applyProtection="1">
      <alignment vertical="center" wrapText="1"/>
      <protection locked="0"/>
    </xf>
    <xf numFmtId="1" fontId="65" fillId="0" borderId="0" xfId="0" applyNumberFormat="1" applyFont="1" applyAlignment="1">
      <alignment vertical="center" wrapText="1"/>
    </xf>
    <xf numFmtId="1" fontId="80" fillId="0" borderId="0" xfId="0" applyNumberFormat="1" applyFont="1" applyAlignment="1" applyProtection="1">
      <alignment vertical="center" wrapText="1"/>
      <protection locked="0"/>
    </xf>
    <xf numFmtId="0" fontId="0" fillId="35" borderId="46" xfId="0" applyFill="1" applyBorder="1" applyAlignment="1">
      <alignment vertical="center" wrapText="1"/>
    </xf>
    <xf numFmtId="0" fontId="62" fillId="0" borderId="0" xfId="0" applyFont="1" applyAlignment="1">
      <alignment vertical="center" wrapText="1"/>
    </xf>
    <xf numFmtId="0" fontId="9" fillId="0" borderId="0" xfId="0" applyFont="1" applyAlignment="1">
      <alignment vertical="center" wrapText="1"/>
    </xf>
    <xf numFmtId="0" fontId="66" fillId="0" borderId="0" xfId="0" applyFont="1" applyAlignment="1">
      <alignment vertical="center" wrapText="1"/>
    </xf>
    <xf numFmtId="0" fontId="62" fillId="0" borderId="0" xfId="0" applyFont="1" applyAlignment="1">
      <alignment horizontal="center" vertical="center" wrapText="1"/>
    </xf>
    <xf numFmtId="0" fontId="66" fillId="0" borderId="0" xfId="0" applyFont="1" applyAlignment="1">
      <alignment horizontal="center" vertical="center" wrapText="1"/>
    </xf>
    <xf numFmtId="1" fontId="62" fillId="0" borderId="0" xfId="0" applyNumberFormat="1" applyFont="1" applyAlignment="1" applyProtection="1">
      <alignment vertical="center" wrapText="1"/>
      <protection locked="0"/>
    </xf>
    <xf numFmtId="0" fontId="62"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22" fillId="0" borderId="0" xfId="4" applyFont="1" applyAlignment="1">
      <alignment vertical="center"/>
    </xf>
    <xf numFmtId="49" fontId="7" fillId="0" borderId="1" xfId="4" applyNumberFormat="1" applyFont="1" applyBorder="1" applyAlignment="1">
      <alignment horizontal="right" vertical="center" wrapText="1"/>
    </xf>
    <xf numFmtId="167" fontId="27" fillId="0" borderId="1" xfId="5" applyFont="1" applyFill="1" applyBorder="1" applyAlignment="1">
      <alignment horizontal="left" vertical="center" wrapText="1"/>
    </xf>
    <xf numFmtId="170" fontId="27" fillId="0" borderId="1" xfId="1" applyFont="1" applyFill="1" applyBorder="1" applyAlignment="1">
      <alignment vertical="center"/>
    </xf>
    <xf numFmtId="1" fontId="10" fillId="28" borderId="1" xfId="4" applyNumberFormat="1" applyFont="1" applyFill="1" applyBorder="1" applyAlignment="1">
      <alignment horizontal="center" vertical="center" wrapText="1"/>
    </xf>
    <xf numFmtId="1" fontId="7" fillId="28" borderId="1" xfId="4" applyNumberFormat="1" applyFont="1" applyFill="1" applyBorder="1" applyAlignment="1">
      <alignment horizontal="center" vertical="center" wrapText="1"/>
    </xf>
    <xf numFmtId="1" fontId="7" fillId="28" borderId="1" xfId="1" applyNumberFormat="1" applyFont="1" applyFill="1" applyBorder="1" applyAlignment="1">
      <alignment horizontal="center" vertical="center" wrapText="1"/>
    </xf>
    <xf numFmtId="1" fontId="9" fillId="16" borderId="1" xfId="4" applyNumberFormat="1" applyFont="1" applyFill="1" applyBorder="1" applyAlignment="1">
      <alignment horizontal="center" vertical="center" wrapText="1"/>
    </xf>
    <xf numFmtId="1" fontId="27" fillId="16" borderId="1" xfId="1" applyNumberFormat="1" applyFont="1" applyFill="1" applyBorder="1" applyAlignment="1">
      <alignment horizontal="center" vertical="center" wrapText="1"/>
    </xf>
    <xf numFmtId="1" fontId="27" fillId="16" borderId="1" xfId="4" applyNumberFormat="1" applyFont="1" applyFill="1" applyBorder="1" applyAlignment="1">
      <alignment horizontal="center" vertical="center" wrapText="1"/>
    </xf>
    <xf numFmtId="1" fontId="9" fillId="0" borderId="1" xfId="4" applyNumberFormat="1" applyFont="1" applyBorder="1" applyAlignment="1">
      <alignment horizontal="center" vertical="center" wrapText="1"/>
    </xf>
    <xf numFmtId="1" fontId="27" fillId="0" borderId="1" xfId="4" applyNumberFormat="1" applyFont="1" applyBorder="1" applyAlignment="1">
      <alignment horizontal="center" vertical="center" wrapText="1"/>
    </xf>
    <xf numFmtId="1" fontId="27" fillId="0" borderId="1" xfId="1" applyNumberFormat="1" applyFont="1" applyBorder="1" applyAlignment="1">
      <alignment horizontal="center" vertical="center" wrapText="1"/>
    </xf>
    <xf numFmtId="1" fontId="10" fillId="0" borderId="1" xfId="4" applyNumberFormat="1" applyFont="1" applyBorder="1" applyAlignment="1">
      <alignment horizontal="center" vertical="center" wrapText="1"/>
    </xf>
    <xf numFmtId="1" fontId="27" fillId="0" borderId="1" xfId="1" applyNumberFormat="1" applyFont="1" applyFill="1" applyBorder="1" applyAlignment="1">
      <alignment horizontal="center" vertical="center" wrapText="1"/>
    </xf>
    <xf numFmtId="1" fontId="7" fillId="0" borderId="1" xfId="1" applyNumberFormat="1" applyFont="1" applyFill="1" applyBorder="1" applyAlignment="1">
      <alignment horizontal="center" vertical="center" wrapText="1"/>
    </xf>
    <xf numFmtId="1" fontId="9" fillId="27" borderId="1" xfId="4" applyNumberFormat="1" applyFont="1" applyFill="1" applyBorder="1" applyAlignment="1">
      <alignment horizontal="center" vertical="center" wrapText="1"/>
    </xf>
    <xf numFmtId="1" fontId="63" fillId="27" borderId="1" xfId="4" applyNumberFormat="1" applyFont="1" applyFill="1" applyBorder="1" applyAlignment="1">
      <alignment horizontal="center" vertical="center" wrapText="1"/>
    </xf>
    <xf numFmtId="1" fontId="63" fillId="27" borderId="1" xfId="1" applyNumberFormat="1" applyFont="1" applyFill="1" applyBorder="1" applyAlignment="1">
      <alignment horizontal="center" vertical="center" wrapText="1"/>
    </xf>
    <xf numFmtId="1" fontId="9" fillId="28" borderId="1" xfId="4" applyNumberFormat="1" applyFont="1" applyFill="1" applyBorder="1" applyAlignment="1">
      <alignment horizontal="center" vertical="center" wrapText="1"/>
    </xf>
    <xf numFmtId="1" fontId="10" fillId="26" borderId="1" xfId="4" applyNumberFormat="1" applyFont="1" applyFill="1" applyBorder="1" applyAlignment="1">
      <alignment horizontal="center" vertical="center" wrapText="1"/>
    </xf>
    <xf numFmtId="1" fontId="7" fillId="26" borderId="1" xfId="4" applyNumberFormat="1" applyFont="1" applyFill="1" applyBorder="1" applyAlignment="1">
      <alignment horizontal="center" vertical="center" wrapText="1"/>
    </xf>
    <xf numFmtId="1" fontId="7" fillId="26" borderId="1" xfId="1" applyNumberFormat="1" applyFont="1" applyFill="1" applyBorder="1" applyAlignment="1">
      <alignment horizontal="center" vertical="center" wrapText="1"/>
    </xf>
    <xf numFmtId="1" fontId="27" fillId="16" borderId="1" xfId="4" applyNumberFormat="1" applyFont="1" applyFill="1" applyBorder="1" applyAlignment="1">
      <alignment horizontal="center" vertical="center"/>
    </xf>
    <xf numFmtId="1" fontId="27" fillId="16" borderId="1" xfId="1" quotePrefix="1" applyNumberFormat="1" applyFont="1" applyFill="1" applyBorder="1" applyAlignment="1">
      <alignment horizontal="center" vertical="center" wrapText="1"/>
    </xf>
    <xf numFmtId="1" fontId="9" fillId="0" borderId="1" xfId="4" quotePrefix="1" applyNumberFormat="1" applyFont="1" applyBorder="1" applyAlignment="1">
      <alignment horizontal="center" vertical="center" wrapText="1"/>
    </xf>
    <xf numFmtId="1" fontId="27" fillId="0" borderId="1" xfId="4" quotePrefix="1" applyNumberFormat="1" applyFont="1" applyBorder="1" applyAlignment="1">
      <alignment horizontal="center" vertical="center" wrapText="1"/>
    </xf>
    <xf numFmtId="1" fontId="9" fillId="20" borderId="1" xfId="4" applyNumberFormat="1" applyFont="1" applyFill="1" applyBorder="1" applyAlignment="1">
      <alignment horizontal="center" vertical="center" wrapText="1"/>
    </xf>
    <xf numFmtId="1" fontId="64" fillId="20" borderId="1" xfId="4" quotePrefix="1" applyNumberFormat="1" applyFont="1" applyFill="1" applyBorder="1" applyAlignment="1">
      <alignment horizontal="center" vertical="center" wrapText="1"/>
    </xf>
    <xf numFmtId="1" fontId="64" fillId="20" borderId="1" xfId="1" quotePrefix="1" applyNumberFormat="1" applyFont="1" applyFill="1" applyBorder="1" applyAlignment="1">
      <alignment horizontal="center" vertical="center" wrapText="1"/>
    </xf>
    <xf numFmtId="1" fontId="64" fillId="20" borderId="1" xfId="1" applyNumberFormat="1" applyFont="1" applyFill="1" applyBorder="1" applyAlignment="1">
      <alignment horizontal="center" vertical="center" wrapText="1"/>
    </xf>
    <xf numFmtId="1" fontId="13" fillId="27" borderId="1" xfId="4" applyNumberFormat="1" applyFont="1" applyFill="1" applyBorder="1" applyAlignment="1">
      <alignment horizontal="center" vertical="center" wrapText="1"/>
    </xf>
    <xf numFmtId="0" fontId="111" fillId="0" borderId="0" xfId="0" applyFont="1"/>
    <xf numFmtId="0" fontId="34" fillId="0" borderId="0" xfId="0" applyFont="1" applyAlignment="1">
      <alignment horizontal="left" vertical="top"/>
    </xf>
    <xf numFmtId="0" fontId="87" fillId="0" borderId="0" xfId="0" applyFont="1" applyAlignment="1">
      <alignment horizontal="left" vertical="top" wrapText="1"/>
    </xf>
    <xf numFmtId="0" fontId="86" fillId="25" borderId="54" xfId="0" applyFont="1" applyFill="1" applyBorder="1" applyAlignment="1">
      <alignment horizontal="center" vertical="center"/>
    </xf>
    <xf numFmtId="0" fontId="86" fillId="25" borderId="54" xfId="0" applyFont="1" applyFill="1" applyBorder="1" applyAlignment="1">
      <alignment horizontal="center" vertical="center" wrapText="1"/>
    </xf>
    <xf numFmtId="0" fontId="86" fillId="25" borderId="54" xfId="0" applyFont="1" applyFill="1" applyBorder="1" applyAlignment="1">
      <alignment horizontal="left" vertical="top" wrapText="1"/>
    </xf>
    <xf numFmtId="49" fontId="34" fillId="0" borderId="54" xfId="0" applyNumberFormat="1" applyFont="1" applyBorder="1" applyAlignment="1">
      <alignment horizontal="center" vertical="center" wrapText="1"/>
    </xf>
    <xf numFmtId="49" fontId="111" fillId="0" borderId="54" xfId="0" applyNumberFormat="1" applyFont="1" applyBorder="1" applyAlignment="1">
      <alignment horizontal="center" vertical="center" wrapText="1"/>
    </xf>
    <xf numFmtId="49" fontId="112" fillId="0" borderId="54" xfId="0" applyNumberFormat="1" applyFont="1" applyBorder="1" applyAlignment="1">
      <alignment horizontal="left" vertical="top" wrapText="1"/>
    </xf>
    <xf numFmtId="49" fontId="113" fillId="28" borderId="1" xfId="4" applyNumberFormat="1" applyFont="1" applyFill="1" applyBorder="1" applyAlignment="1">
      <alignment horizontal="left" vertical="center" wrapText="1"/>
    </xf>
    <xf numFmtId="49" fontId="7" fillId="50" borderId="1" xfId="4" applyNumberFormat="1" applyFont="1" applyFill="1" applyBorder="1" applyAlignment="1">
      <alignment horizontal="right" vertical="center" wrapText="1"/>
    </xf>
    <xf numFmtId="49" fontId="113" fillId="50" borderId="1" xfId="4" applyNumberFormat="1" applyFont="1" applyFill="1" applyBorder="1" applyAlignment="1">
      <alignment horizontal="left" vertical="center" wrapText="1"/>
    </xf>
    <xf numFmtId="49" fontId="7" fillId="50" borderId="1" xfId="4" applyNumberFormat="1" applyFont="1" applyFill="1" applyBorder="1" applyAlignment="1">
      <alignment horizontal="center" vertical="center" wrapText="1"/>
    </xf>
    <xf numFmtId="167" fontId="7" fillId="50" borderId="1" xfId="5" applyFont="1" applyFill="1" applyBorder="1" applyAlignment="1">
      <alignment horizontal="left" vertical="center" wrapText="1"/>
    </xf>
    <xf numFmtId="49" fontId="27" fillId="50" borderId="1" xfId="4" applyNumberFormat="1" applyFont="1" applyFill="1" applyBorder="1" applyAlignment="1">
      <alignment horizontal="left" vertical="center" wrapText="1"/>
    </xf>
    <xf numFmtId="49" fontId="27" fillId="50" borderId="1" xfId="4" applyNumberFormat="1" applyFont="1" applyFill="1" applyBorder="1" applyAlignment="1">
      <alignment horizontal="right" vertical="center" wrapText="1"/>
    </xf>
    <xf numFmtId="1" fontId="10" fillId="50" borderId="1" xfId="4" applyNumberFormat="1" applyFont="1" applyFill="1" applyBorder="1" applyAlignment="1">
      <alignment horizontal="center" vertical="center" wrapText="1"/>
    </xf>
    <xf numFmtId="1" fontId="7" fillId="50" borderId="1" xfId="1" applyNumberFormat="1" applyFont="1" applyFill="1" applyBorder="1" applyAlignment="1">
      <alignment horizontal="center" vertical="center" wrapText="1"/>
    </xf>
    <xf numFmtId="170" fontId="0" fillId="0" borderId="0" xfId="1" applyFont="1"/>
    <xf numFmtId="0" fontId="27" fillId="0" borderId="1" xfId="0" applyFont="1" applyBorder="1" applyAlignment="1">
      <alignment horizontal="left" vertical="center" wrapText="1"/>
    </xf>
    <xf numFmtId="0" fontId="92" fillId="40" borderId="12" xfId="189" applyFont="1" applyFill="1" applyBorder="1" applyAlignment="1">
      <alignment horizontal="center" vertical="center" wrapText="1"/>
    </xf>
    <xf numFmtId="0" fontId="96" fillId="0" borderId="12" xfId="0" applyFont="1" applyBorder="1" applyAlignment="1">
      <alignment horizontal="center" vertical="center"/>
    </xf>
    <xf numFmtId="173" fontId="16" fillId="0" borderId="0" xfId="4" applyNumberFormat="1" applyFont="1" applyAlignment="1">
      <alignment horizontal="center"/>
    </xf>
    <xf numFmtId="0" fontId="22" fillId="11" borderId="0" xfId="6" applyFont="1" applyFill="1" applyAlignment="1">
      <alignment horizontal="right"/>
    </xf>
    <xf numFmtId="0" fontId="101" fillId="45" borderId="7" xfId="0" applyFont="1" applyFill="1" applyBorder="1" applyAlignment="1">
      <alignment horizontal="center" vertical="center" wrapText="1"/>
    </xf>
    <xf numFmtId="0" fontId="102" fillId="45" borderId="7" xfId="0" applyFont="1" applyFill="1" applyBorder="1" applyAlignment="1">
      <alignment horizontal="center" vertical="center" wrapText="1"/>
    </xf>
    <xf numFmtId="194" fontId="84" fillId="48" borderId="7" xfId="0" applyNumberFormat="1" applyFont="1" applyFill="1" applyBorder="1" applyAlignment="1">
      <alignment horizontal="center" vertical="center" wrapText="1"/>
    </xf>
    <xf numFmtId="170" fontId="7" fillId="47" borderId="7" xfId="1" applyFont="1" applyFill="1" applyBorder="1" applyAlignment="1">
      <alignment horizontal="center" vertical="center" wrapText="1"/>
    </xf>
    <xf numFmtId="9" fontId="0" fillId="35" borderId="7" xfId="0" applyNumberFormat="1" applyFill="1" applyBorder="1" applyAlignment="1">
      <alignment horizontal="center" vertical="center"/>
    </xf>
    <xf numFmtId="170" fontId="22" fillId="47" borderId="7" xfId="1" applyFont="1" applyFill="1" applyBorder="1" applyAlignment="1">
      <alignment horizontal="center" vertical="center" wrapText="1"/>
    </xf>
    <xf numFmtId="170" fontId="22" fillId="47" borderId="47" xfId="1" applyFont="1" applyFill="1" applyBorder="1" applyAlignment="1">
      <alignment horizontal="center" vertical="center" wrapText="1"/>
    </xf>
    <xf numFmtId="0" fontId="102" fillId="45" borderId="45" xfId="0" applyFont="1" applyFill="1" applyBorder="1" applyAlignment="1">
      <alignment horizontal="center" vertical="center" wrapText="1"/>
    </xf>
    <xf numFmtId="0" fontId="102" fillId="45" borderId="44" xfId="0" applyFont="1" applyFill="1" applyBorder="1" applyAlignment="1">
      <alignment horizontal="center" vertical="center" wrapText="1"/>
    </xf>
    <xf numFmtId="0" fontId="11" fillId="0" borderId="19" xfId="4" applyBorder="1" applyAlignment="1">
      <alignment horizontal="center" vertical="center"/>
    </xf>
    <xf numFmtId="0" fontId="29" fillId="0" borderId="25" xfId="0" applyFont="1" applyBorder="1" applyAlignment="1">
      <alignment horizontal="center" vertical="center" wrapText="1"/>
    </xf>
    <xf numFmtId="0" fontId="29" fillId="0" borderId="25" xfId="0" applyFont="1" applyBorder="1" applyAlignment="1">
      <alignment vertical="center" wrapText="1"/>
    </xf>
    <xf numFmtId="0" fontId="7" fillId="52" borderId="0" xfId="4" applyFont="1" applyFill="1" applyAlignment="1">
      <alignment vertical="center"/>
    </xf>
    <xf numFmtId="167" fontId="7" fillId="52" borderId="0" xfId="4" applyNumberFormat="1" applyFont="1" applyFill="1" applyAlignment="1">
      <alignment vertical="center"/>
    </xf>
    <xf numFmtId="0" fontId="118" fillId="52" borderId="0" xfId="4" applyFont="1" applyFill="1" applyAlignment="1">
      <alignment vertical="center"/>
    </xf>
    <xf numFmtId="167" fontId="118" fillId="52" borderId="0" xfId="4" applyNumberFormat="1" applyFont="1" applyFill="1" applyAlignment="1">
      <alignment vertical="center"/>
    </xf>
    <xf numFmtId="49" fontId="7" fillId="19" borderId="1" xfId="4" applyNumberFormat="1" applyFont="1" applyFill="1" applyBorder="1" applyAlignment="1">
      <alignment horizontal="center" vertical="center" wrapText="1"/>
    </xf>
    <xf numFmtId="49" fontId="7" fillId="19" borderId="1" xfId="4" applyNumberFormat="1" applyFont="1" applyFill="1" applyBorder="1" applyAlignment="1">
      <alignment horizontal="left" vertical="center" wrapText="1"/>
    </xf>
    <xf numFmtId="49" fontId="27" fillId="19" borderId="1" xfId="4" applyNumberFormat="1" applyFont="1" applyFill="1" applyBorder="1" applyAlignment="1">
      <alignment horizontal="left" vertical="center" wrapText="1"/>
    </xf>
    <xf numFmtId="49" fontId="7" fillId="19" borderId="1" xfId="4" applyNumberFormat="1" applyFont="1" applyFill="1" applyBorder="1" applyAlignment="1">
      <alignment horizontal="right" vertical="center"/>
    </xf>
    <xf numFmtId="49" fontId="10" fillId="19" borderId="1" xfId="4" applyNumberFormat="1" applyFont="1" applyFill="1" applyBorder="1" applyAlignment="1">
      <alignment horizontal="center" vertical="center" wrapText="1"/>
    </xf>
    <xf numFmtId="170" fontId="7" fillId="19" borderId="1" xfId="1" applyFont="1" applyFill="1" applyBorder="1" applyAlignment="1">
      <alignment horizontal="center" vertical="center" wrapText="1"/>
    </xf>
    <xf numFmtId="49" fontId="7" fillId="19" borderId="1" xfId="4" applyNumberFormat="1" applyFont="1" applyFill="1" applyBorder="1" applyAlignment="1">
      <alignment vertical="center" wrapText="1"/>
    </xf>
    <xf numFmtId="49" fontId="7" fillId="19" borderId="1" xfId="4" applyNumberFormat="1" applyFont="1" applyFill="1" applyBorder="1" applyAlignment="1">
      <alignment horizontal="right" vertical="center" wrapText="1"/>
    </xf>
    <xf numFmtId="167" fontId="7" fillId="19" borderId="1" xfId="5" applyFont="1" applyFill="1" applyBorder="1" applyAlignment="1">
      <alignment horizontal="left" vertical="center" wrapText="1"/>
    </xf>
    <xf numFmtId="49" fontId="7" fillId="0" borderId="1" xfId="4" applyNumberFormat="1" applyFont="1" applyBorder="1" applyAlignment="1">
      <alignment horizontal="right" vertical="center"/>
    </xf>
    <xf numFmtId="49" fontId="10" fillId="0" borderId="1" xfId="4" applyNumberFormat="1" applyFont="1" applyBorder="1" applyAlignment="1">
      <alignment horizontal="center" vertical="center" wrapText="1"/>
    </xf>
    <xf numFmtId="49" fontId="7" fillId="0" borderId="1" xfId="4" applyNumberFormat="1" applyFont="1" applyBorder="1" applyAlignment="1">
      <alignment vertical="center" wrapText="1"/>
    </xf>
    <xf numFmtId="1" fontId="34" fillId="0" borderId="54" xfId="0" applyNumberFormat="1" applyFont="1" applyBorder="1" applyAlignment="1">
      <alignment vertical="center" wrapText="1"/>
    </xf>
    <xf numFmtId="1" fontId="111" fillId="0" borderId="54" xfId="0" applyNumberFormat="1" applyFont="1" applyBorder="1" applyAlignment="1">
      <alignment horizontal="left" vertical="center" wrapText="1" indent="1"/>
    </xf>
    <xf numFmtId="167" fontId="7" fillId="0" borderId="1" xfId="5" applyFont="1" applyBorder="1" applyAlignment="1">
      <alignment horizontal="left" vertical="center" wrapText="1"/>
    </xf>
    <xf numFmtId="167" fontId="7" fillId="16" borderId="1" xfId="5" applyFont="1" applyFill="1" applyBorder="1" applyAlignment="1">
      <alignment horizontal="left" vertical="center" wrapText="1"/>
    </xf>
    <xf numFmtId="49" fontId="27" fillId="16" borderId="1" xfId="4" applyNumberFormat="1" applyFont="1" applyFill="1" applyBorder="1" applyAlignment="1">
      <alignment horizontal="right" vertical="center" wrapText="1"/>
    </xf>
    <xf numFmtId="49" fontId="27" fillId="16" borderId="1" xfId="4" applyNumberFormat="1" applyFont="1" applyFill="1" applyBorder="1" applyAlignment="1">
      <alignment horizontal="left" vertical="center" wrapText="1"/>
    </xf>
    <xf numFmtId="49" fontId="79" fillId="16" borderId="1" xfId="4" applyNumberFormat="1" applyFont="1" applyFill="1" applyBorder="1" applyAlignment="1">
      <alignment horizontal="left" vertical="center" wrapText="1"/>
    </xf>
    <xf numFmtId="1" fontId="10" fillId="16" borderId="1" xfId="4" applyNumberFormat="1" applyFont="1" applyFill="1" applyBorder="1" applyAlignment="1">
      <alignment horizontal="center" vertical="center" wrapText="1"/>
    </xf>
    <xf numFmtId="1" fontId="7" fillId="16" borderId="1" xfId="1" applyNumberFormat="1" applyFont="1" applyFill="1" applyBorder="1" applyAlignment="1">
      <alignment horizontal="center" vertical="center" wrapText="1"/>
    </xf>
    <xf numFmtId="49" fontId="113" fillId="16" borderId="1" xfId="4" applyNumberFormat="1" applyFont="1" applyFill="1" applyBorder="1" applyAlignment="1">
      <alignment horizontal="left" vertical="center" wrapText="1"/>
    </xf>
    <xf numFmtId="49" fontId="7" fillId="16" borderId="1" xfId="4" applyNumberFormat="1" applyFont="1" applyFill="1" applyBorder="1" applyAlignment="1">
      <alignment horizontal="center" vertical="center" wrapText="1"/>
    </xf>
    <xf numFmtId="49" fontId="7" fillId="16" borderId="1" xfId="4" applyNumberFormat="1" applyFont="1" applyFill="1" applyBorder="1" applyAlignment="1">
      <alignment horizontal="right" vertical="center" wrapText="1"/>
    </xf>
    <xf numFmtId="49" fontId="7" fillId="50" borderId="1" xfId="4" applyNumberFormat="1" applyFont="1" applyFill="1" applyBorder="1" applyAlignment="1">
      <alignment horizontal="right" vertical="center"/>
    </xf>
    <xf numFmtId="9" fontId="27" fillId="0" borderId="1" xfId="210" applyFont="1" applyBorder="1" applyAlignment="1">
      <alignment horizontal="center" vertical="center"/>
    </xf>
    <xf numFmtId="2" fontId="13" fillId="12" borderId="1" xfId="3" applyNumberFormat="1" applyFont="1" applyFill="1" applyBorder="1" applyAlignment="1">
      <alignment horizontal="left" vertical="center" wrapText="1" indent="1"/>
    </xf>
    <xf numFmtId="2" fontId="13" fillId="29" borderId="2" xfId="2" applyNumberFormat="1" applyFont="1" applyFill="1" applyBorder="1" applyAlignment="1">
      <alignment horizontal="left" vertical="center" wrapText="1"/>
    </xf>
    <xf numFmtId="2" fontId="34" fillId="0" borderId="0" xfId="0" applyNumberFormat="1" applyFont="1" applyAlignment="1">
      <alignment horizontal="left"/>
    </xf>
    <xf numFmtId="2" fontId="0" fillId="0" borderId="0" xfId="0" applyNumberFormat="1" applyAlignment="1">
      <alignment horizontal="left"/>
    </xf>
    <xf numFmtId="167" fontId="27" fillId="0" borderId="1" xfId="5" applyFont="1" applyBorder="1" applyAlignment="1">
      <alignment horizontal="left" vertical="center" wrapText="1"/>
    </xf>
    <xf numFmtId="170" fontId="13" fillId="29" borderId="2" xfId="1" applyFont="1" applyFill="1" applyBorder="1" applyAlignment="1">
      <alignment horizontal="center" vertical="center" wrapText="1"/>
    </xf>
    <xf numFmtId="170" fontId="34" fillId="0" borderId="0" xfId="1" applyFont="1"/>
    <xf numFmtId="170" fontId="35" fillId="0" borderId="0" xfId="1" applyFont="1"/>
    <xf numFmtId="170" fontId="13" fillId="56" borderId="2" xfId="1" applyFont="1" applyFill="1" applyBorder="1" applyAlignment="1">
      <alignment horizontal="center" vertical="center" wrapText="1"/>
    </xf>
    <xf numFmtId="2" fontId="13" fillId="56" borderId="2" xfId="2" applyNumberFormat="1" applyFont="1" applyFill="1" applyBorder="1" applyAlignment="1">
      <alignment horizontal="left" vertical="center" wrapText="1"/>
    </xf>
    <xf numFmtId="170" fontId="10" fillId="35" borderId="2" xfId="1" applyFont="1" applyFill="1" applyBorder="1" applyAlignment="1">
      <alignment horizontal="center" vertical="center" wrapText="1"/>
    </xf>
    <xf numFmtId="170" fontId="10" fillId="28" borderId="2" xfId="1" applyFont="1" applyFill="1" applyBorder="1" applyAlignment="1">
      <alignment horizontal="center" vertical="center" wrapText="1"/>
    </xf>
    <xf numFmtId="49" fontId="4" fillId="57" borderId="60" xfId="0" applyNumberFormat="1" applyFont="1" applyFill="1" applyBorder="1" applyAlignment="1">
      <alignment horizontal="center" vertical="center" wrapText="1"/>
    </xf>
    <xf numFmtId="0" fontId="4" fillId="57" borderId="60" xfId="0" applyFont="1" applyFill="1" applyBorder="1" applyAlignment="1">
      <alignment horizontal="center" vertical="center" wrapText="1"/>
    </xf>
    <xf numFmtId="49" fontId="0" fillId="53" borderId="60" xfId="0" applyNumberFormat="1" applyFill="1" applyBorder="1" applyAlignment="1">
      <alignment horizontal="right" vertical="center" wrapText="1"/>
    </xf>
    <xf numFmtId="49" fontId="0" fillId="53" borderId="60" xfId="0" applyNumberFormat="1" applyFill="1" applyBorder="1" applyAlignment="1">
      <alignment vertical="center" wrapText="1"/>
    </xf>
    <xf numFmtId="0" fontId="0" fillId="53" borderId="60" xfId="0" applyFill="1" applyBorder="1" applyAlignment="1">
      <alignment vertical="center" wrapText="1"/>
    </xf>
    <xf numFmtId="0" fontId="0" fillId="53" borderId="60" xfId="0" applyFill="1" applyBorder="1" applyAlignment="1">
      <alignment horizontal="center" vertical="center" wrapText="1"/>
    </xf>
    <xf numFmtId="49" fontId="0" fillId="58" borderId="60" xfId="0" applyNumberFormat="1" applyFill="1" applyBorder="1" applyAlignment="1">
      <alignment horizontal="right" vertical="center" wrapText="1"/>
    </xf>
    <xf numFmtId="49" fontId="0" fillId="58" borderId="60" xfId="0" applyNumberFormat="1" applyFill="1" applyBorder="1" applyAlignment="1">
      <alignment vertical="center" wrapText="1"/>
    </xf>
    <xf numFmtId="0" fontId="0" fillId="58" borderId="60" xfId="0" applyFill="1" applyBorder="1" applyAlignment="1">
      <alignment horizontal="center" vertical="center" wrapText="1"/>
    </xf>
    <xf numFmtId="0" fontId="0" fillId="58" borderId="60" xfId="0" applyFill="1" applyBorder="1" applyAlignment="1">
      <alignment vertical="center" wrapText="1"/>
    </xf>
    <xf numFmtId="49" fontId="0" fillId="26" borderId="60" xfId="0" applyNumberFormat="1" applyFill="1" applyBorder="1" applyAlignment="1">
      <alignment horizontal="right" vertical="center" wrapText="1"/>
    </xf>
    <xf numFmtId="49" fontId="0" fillId="26" borderId="60" xfId="0" applyNumberFormat="1" applyFill="1" applyBorder="1" applyAlignment="1">
      <alignment vertical="center" wrapText="1"/>
    </xf>
    <xf numFmtId="0" fontId="0" fillId="26" borderId="60" xfId="0" applyFill="1" applyBorder="1" applyAlignment="1">
      <alignment horizontal="center" vertical="center" wrapText="1"/>
    </xf>
    <xf numFmtId="0" fontId="0" fillId="26" borderId="60" xfId="0" applyFill="1" applyBorder="1" applyAlignment="1">
      <alignment vertical="center" wrapText="1"/>
    </xf>
    <xf numFmtId="49" fontId="0" fillId="59" borderId="60" xfId="0" applyNumberFormat="1" applyFill="1" applyBorder="1" applyAlignment="1">
      <alignment horizontal="right" vertical="center" wrapText="1"/>
    </xf>
    <xf numFmtId="49" fontId="0" fillId="59" borderId="60" xfId="0" applyNumberFormat="1" applyFill="1" applyBorder="1" applyAlignment="1">
      <alignment vertical="center" wrapText="1"/>
    </xf>
    <xf numFmtId="0" fontId="0" fillId="59" borderId="60" xfId="0" applyFill="1" applyBorder="1" applyAlignment="1">
      <alignment horizontal="center" vertical="center" wrapText="1"/>
    </xf>
    <xf numFmtId="0" fontId="0" fillId="59" borderId="60" xfId="0" applyFill="1" applyBorder="1" applyAlignment="1">
      <alignment vertical="center" wrapText="1"/>
    </xf>
    <xf numFmtId="49" fontId="0" fillId="60" borderId="60" xfId="0" applyNumberFormat="1" applyFill="1" applyBorder="1" applyAlignment="1">
      <alignment horizontal="right" vertical="center" wrapText="1"/>
    </xf>
    <xf numFmtId="49" fontId="0" fillId="60" borderId="60" xfId="0" applyNumberFormat="1" applyFill="1" applyBorder="1" applyAlignment="1">
      <alignment vertical="center" wrapText="1"/>
    </xf>
    <xf numFmtId="0" fontId="0" fillId="60" borderId="60" xfId="0" applyFill="1" applyBorder="1" applyAlignment="1">
      <alignment horizontal="center" vertical="center" wrapText="1"/>
    </xf>
    <xf numFmtId="0" fontId="0" fillId="60" borderId="60" xfId="0" applyFill="1" applyBorder="1" applyAlignment="1">
      <alignment vertical="center" wrapText="1"/>
    </xf>
    <xf numFmtId="167" fontId="7" fillId="0" borderId="1" xfId="5" applyFont="1" applyFill="1" applyBorder="1" applyAlignment="1">
      <alignment horizontal="left" vertical="center" wrapText="1"/>
    </xf>
    <xf numFmtId="49" fontId="111" fillId="0" borderId="54" xfId="0" applyNumberFormat="1" applyFont="1" applyBorder="1" applyAlignment="1">
      <alignment horizontal="left" vertical="top" wrapText="1"/>
    </xf>
    <xf numFmtId="1" fontId="34" fillId="0" borderId="54" xfId="0" applyNumberFormat="1" applyFont="1" applyBorder="1" applyAlignment="1">
      <alignment horizontal="center" vertical="center" wrapText="1"/>
    </xf>
    <xf numFmtId="49" fontId="122" fillId="0" borderId="54" xfId="0" applyNumberFormat="1" applyFont="1" applyBorder="1" applyAlignment="1">
      <alignment horizontal="center" vertical="center" wrapText="1"/>
    </xf>
    <xf numFmtId="167" fontId="78" fillId="50" borderId="1" xfId="5" applyFont="1" applyFill="1" applyBorder="1" applyAlignment="1">
      <alignment horizontal="left" vertical="center" wrapText="1"/>
    </xf>
    <xf numFmtId="49" fontId="82" fillId="0" borderId="1" xfId="4" applyNumberFormat="1" applyFont="1" applyBorder="1" applyAlignment="1">
      <alignment horizontal="right" vertical="center"/>
    </xf>
    <xf numFmtId="2" fontId="82" fillId="0" borderId="1" xfId="4" applyNumberFormat="1" applyFont="1" applyBorder="1" applyAlignment="1">
      <alignment horizontal="left" vertical="center" wrapText="1"/>
    </xf>
    <xf numFmtId="2" fontId="124" fillId="0" borderId="1" xfId="4" applyNumberFormat="1" applyFont="1" applyBorder="1" applyAlignment="1">
      <alignment horizontal="left" vertical="center" wrapText="1"/>
    </xf>
    <xf numFmtId="1" fontId="110" fillId="0" borderId="1" xfId="4" applyNumberFormat="1" applyFont="1" applyBorder="1" applyAlignment="1">
      <alignment horizontal="center" vertical="center" wrapText="1"/>
    </xf>
    <xf numFmtId="1" fontId="82" fillId="0" borderId="1" xfId="4" applyNumberFormat="1" applyFont="1" applyBorder="1" applyAlignment="1">
      <alignment horizontal="center" vertical="center" wrapText="1"/>
    </xf>
    <xf numFmtId="1" fontId="82" fillId="0" borderId="1" xfId="1" applyNumberFormat="1" applyFont="1" applyBorder="1" applyAlignment="1">
      <alignment horizontal="center" vertical="center" wrapText="1"/>
    </xf>
    <xf numFmtId="49" fontId="82" fillId="0" borderId="1" xfId="4" applyNumberFormat="1" applyFont="1" applyBorder="1" applyAlignment="1">
      <alignment vertical="center" wrapText="1"/>
    </xf>
    <xf numFmtId="0" fontId="82" fillId="0" borderId="1" xfId="4" applyFont="1" applyBorder="1" applyAlignment="1">
      <alignment horizontal="center" vertical="center" wrapText="1"/>
    </xf>
    <xf numFmtId="0" fontId="82" fillId="0" borderId="1" xfId="4" applyFont="1" applyBorder="1" applyAlignment="1">
      <alignment horizontal="left" vertical="center" wrapText="1"/>
    </xf>
    <xf numFmtId="1" fontId="82" fillId="0" borderId="1" xfId="4" applyNumberFormat="1" applyFont="1" applyBorder="1" applyAlignment="1">
      <alignment horizontal="center" vertical="center"/>
    </xf>
    <xf numFmtId="0" fontId="82" fillId="0" borderId="1" xfId="4" applyFont="1" applyBorder="1" applyAlignment="1">
      <alignment horizontal="center" vertical="center"/>
    </xf>
    <xf numFmtId="0" fontId="82" fillId="0" borderId="1" xfId="4" applyFont="1" applyBorder="1" applyAlignment="1">
      <alignment horizontal="right" vertical="center"/>
    </xf>
    <xf numFmtId="167" fontId="82" fillId="0" borderId="1" xfId="5" applyFont="1" applyBorder="1" applyAlignment="1">
      <alignment vertical="center"/>
    </xf>
    <xf numFmtId="167" fontId="82" fillId="0" borderId="1" xfId="5" applyFont="1" applyBorder="1" applyAlignment="1">
      <alignment horizontal="left" vertical="center"/>
    </xf>
    <xf numFmtId="0" fontId="33" fillId="0" borderId="0" xfId="0" applyFont="1" applyAlignment="1">
      <alignment horizontal="center" vertical="center"/>
    </xf>
    <xf numFmtId="170" fontId="33" fillId="0" borderId="0" xfId="1" applyFont="1" applyAlignment="1">
      <alignment horizontal="center" vertical="center"/>
    </xf>
    <xf numFmtId="0" fontId="0" fillId="0" borderId="1" xfId="0" applyBorder="1" applyAlignment="1">
      <alignment horizontal="right" vertical="center"/>
    </xf>
    <xf numFmtId="0" fontId="0" fillId="0" borderId="1" xfId="0" applyBorder="1" applyAlignment="1">
      <alignment horizontal="center" vertical="center"/>
    </xf>
    <xf numFmtId="189" fontId="0" fillId="0" borderId="1" xfId="210" applyNumberFormat="1" applyFont="1" applyBorder="1" applyAlignment="1">
      <alignment horizontal="center" vertical="center"/>
    </xf>
    <xf numFmtId="170" fontId="0" fillId="0" borderId="1" xfId="1" applyFont="1" applyBorder="1" applyAlignment="1">
      <alignment horizontal="center" vertical="center" wrapText="1"/>
    </xf>
    <xf numFmtId="0" fontId="116" fillId="49" borderId="1" xfId="0" applyFont="1" applyFill="1" applyBorder="1" applyAlignment="1">
      <alignment horizontal="center" vertical="center" wrapText="1"/>
    </xf>
    <xf numFmtId="0" fontId="0" fillId="0" borderId="0" xfId="0" applyAlignment="1">
      <alignment horizontal="center" vertical="center"/>
    </xf>
    <xf numFmtId="0" fontId="4" fillId="10" borderId="1" xfId="0" applyFont="1" applyFill="1" applyBorder="1" applyAlignment="1">
      <alignment horizontal="right" vertical="center"/>
    </xf>
    <xf numFmtId="0" fontId="4" fillId="10" borderId="1" xfId="0" applyFont="1" applyFill="1" applyBorder="1" applyAlignment="1">
      <alignment vertical="center"/>
    </xf>
    <xf numFmtId="170" fontId="4" fillId="10" borderId="1" xfId="0" applyNumberFormat="1" applyFont="1" applyFill="1" applyBorder="1" applyAlignment="1">
      <alignment vertical="center"/>
    </xf>
    <xf numFmtId="189" fontId="4" fillId="10" borderId="1" xfId="210" applyNumberFormat="1" applyFont="1" applyFill="1" applyBorder="1" applyAlignment="1">
      <alignment vertical="center"/>
    </xf>
    <xf numFmtId="0" fontId="6" fillId="0" borderId="0" xfId="0" applyFont="1" applyAlignment="1">
      <alignment vertical="center"/>
    </xf>
    <xf numFmtId="0" fontId="6" fillId="9" borderId="1" xfId="0" applyFont="1" applyFill="1" applyBorder="1" applyAlignment="1">
      <alignment horizontal="right" vertical="center"/>
    </xf>
    <xf numFmtId="0" fontId="6" fillId="9" borderId="1" xfId="0" applyFont="1" applyFill="1" applyBorder="1" applyAlignment="1">
      <alignment vertical="center"/>
    </xf>
    <xf numFmtId="170" fontId="6" fillId="9" borderId="1" xfId="0" applyNumberFormat="1" applyFont="1" applyFill="1" applyBorder="1" applyAlignment="1">
      <alignment vertical="center"/>
    </xf>
    <xf numFmtId="189" fontId="6" fillId="9" borderId="1" xfId="210" applyNumberFormat="1" applyFont="1" applyFill="1" applyBorder="1" applyAlignment="1">
      <alignment vertical="center"/>
    </xf>
    <xf numFmtId="170" fontId="6" fillId="9" borderId="1" xfId="1" applyFont="1" applyFill="1" applyBorder="1" applyAlignment="1">
      <alignment vertical="center"/>
    </xf>
    <xf numFmtId="0" fontId="0" fillId="0" borderId="1" xfId="0" applyBorder="1" applyAlignment="1">
      <alignment vertical="center"/>
    </xf>
    <xf numFmtId="170" fontId="0" fillId="0" borderId="1" xfId="1" applyFont="1" applyBorder="1" applyAlignment="1">
      <alignment vertical="center"/>
    </xf>
    <xf numFmtId="189" fontId="0" fillId="0" borderId="1" xfId="210" applyNumberFormat="1" applyFont="1" applyBorder="1" applyAlignment="1">
      <alignment vertical="center"/>
    </xf>
    <xf numFmtId="170" fontId="0" fillId="51" borderId="1" xfId="1" applyFont="1" applyFill="1" applyBorder="1" applyAlignment="1">
      <alignment vertical="center"/>
    </xf>
    <xf numFmtId="170" fontId="0" fillId="0" borderId="1" xfId="1" applyFont="1" applyFill="1" applyBorder="1" applyAlignment="1">
      <alignment vertical="center"/>
    </xf>
    <xf numFmtId="0" fontId="0" fillId="0" borderId="0" xfId="0" applyAlignment="1">
      <alignment horizontal="right" vertical="center"/>
    </xf>
    <xf numFmtId="170" fontId="0" fillId="0" borderId="0" xfId="1" applyFont="1" applyAlignment="1">
      <alignment vertical="center"/>
    </xf>
    <xf numFmtId="0" fontId="27" fillId="0" borderId="2" xfId="4" applyFont="1" applyBorder="1" applyAlignment="1">
      <alignment vertical="center" wrapText="1"/>
    </xf>
    <xf numFmtId="49" fontId="27" fillId="0" borderId="2" xfId="4" applyNumberFormat="1" applyFont="1" applyBorder="1" applyAlignment="1">
      <alignment vertical="center" wrapText="1"/>
    </xf>
    <xf numFmtId="0" fontId="27" fillId="0" borderId="2" xfId="4" applyFont="1" applyBorder="1" applyAlignment="1">
      <alignment horizontal="center" vertical="center"/>
    </xf>
    <xf numFmtId="0" fontId="27" fillId="0" borderId="2" xfId="4" applyFont="1" applyBorder="1" applyAlignment="1">
      <alignment horizontal="right" vertical="center"/>
    </xf>
    <xf numFmtId="49" fontId="27" fillId="0" borderId="1" xfId="1" applyNumberFormat="1" applyFont="1" applyBorder="1" applyAlignment="1">
      <alignment horizontal="left" vertical="center" wrapText="1"/>
    </xf>
    <xf numFmtId="49" fontId="125" fillId="0" borderId="54" xfId="0" applyNumberFormat="1" applyFont="1" applyBorder="1" applyAlignment="1">
      <alignment horizontal="center" vertical="center" wrapText="1"/>
    </xf>
    <xf numFmtId="1" fontId="111" fillId="0" borderId="54" xfId="0" applyNumberFormat="1" applyFont="1" applyBorder="1" applyAlignment="1">
      <alignment horizontal="center" vertical="center" wrapText="1"/>
    </xf>
    <xf numFmtId="49" fontId="27" fillId="50" borderId="1" xfId="1" applyNumberFormat="1" applyFont="1" applyFill="1" applyBorder="1" applyAlignment="1">
      <alignment horizontal="left" vertical="center" wrapText="1"/>
    </xf>
    <xf numFmtId="49" fontId="82" fillId="0" borderId="1" xfId="1" applyNumberFormat="1" applyFont="1" applyBorder="1" applyAlignment="1">
      <alignment horizontal="left" vertical="center" wrapText="1"/>
    </xf>
    <xf numFmtId="49" fontId="7" fillId="28" borderId="1" xfId="1" applyNumberFormat="1" applyFont="1" applyFill="1" applyBorder="1" applyAlignment="1">
      <alignment horizontal="left" vertical="center" wrapText="1"/>
    </xf>
    <xf numFmtId="49" fontId="7" fillId="18" borderId="1" xfId="1" applyNumberFormat="1" applyFont="1" applyFill="1" applyBorder="1" applyAlignment="1">
      <alignment horizontal="left" vertical="center" wrapText="1"/>
    </xf>
    <xf numFmtId="49" fontId="22" fillId="0" borderId="0" xfId="1" applyNumberFormat="1" applyFont="1" applyAlignment="1">
      <alignment vertical="center"/>
    </xf>
    <xf numFmtId="49" fontId="27" fillId="0" borderId="0" xfId="1" applyNumberFormat="1" applyFont="1" applyAlignment="1">
      <alignment horizontal="left" vertical="center" wrapText="1"/>
    </xf>
    <xf numFmtId="49" fontId="63" fillId="12" borderId="1" xfId="1" applyNumberFormat="1" applyFont="1" applyFill="1" applyBorder="1" applyAlignment="1">
      <alignment horizontal="left" vertical="center" wrapText="1"/>
    </xf>
    <xf numFmtId="49" fontId="63" fillId="55" borderId="1" xfId="1" applyNumberFormat="1" applyFont="1" applyFill="1" applyBorder="1" applyAlignment="1">
      <alignment horizontal="left" vertical="center" wrapText="1"/>
    </xf>
    <xf numFmtId="49" fontId="7" fillId="0" borderId="1" xfId="1" applyNumberFormat="1" applyFont="1" applyBorder="1" applyAlignment="1">
      <alignment horizontal="left" vertical="center" wrapText="1"/>
    </xf>
    <xf numFmtId="49" fontId="7" fillId="19" borderId="1" xfId="1" applyNumberFormat="1" applyFont="1" applyFill="1" applyBorder="1" applyAlignment="1">
      <alignment horizontal="left" vertical="center" wrapText="1"/>
    </xf>
    <xf numFmtId="49" fontId="63" fillId="27" borderId="1" xfId="1" applyNumberFormat="1" applyFont="1" applyFill="1" applyBorder="1" applyAlignment="1">
      <alignment horizontal="left" vertical="center" wrapText="1"/>
    </xf>
    <xf numFmtId="49" fontId="27" fillId="0" borderId="0" xfId="1" quotePrefix="1" applyNumberFormat="1" applyFont="1" applyAlignment="1">
      <alignment horizontal="left" vertical="center" wrapText="1"/>
    </xf>
    <xf numFmtId="49" fontId="27" fillId="0" borderId="0" xfId="1" applyNumberFormat="1" applyFont="1" applyAlignment="1">
      <alignment horizontal="left" vertical="center"/>
    </xf>
    <xf numFmtId="49" fontId="74" fillId="0" borderId="0" xfId="1" applyNumberFormat="1" applyFont="1" applyAlignment="1">
      <alignment horizontal="left" vertical="center" wrapText="1"/>
    </xf>
    <xf numFmtId="49" fontId="82" fillId="0" borderId="1" xfId="4" applyNumberFormat="1" applyFont="1" applyBorder="1" applyAlignment="1">
      <alignment horizontal="right" vertical="center" wrapText="1"/>
    </xf>
    <xf numFmtId="49" fontId="82" fillId="16" borderId="1" xfId="4" applyNumberFormat="1" applyFont="1" applyFill="1" applyBorder="1" applyAlignment="1">
      <alignment horizontal="right" vertical="center"/>
    </xf>
    <xf numFmtId="1" fontId="82" fillId="16" borderId="1" xfId="4" applyNumberFormat="1" applyFont="1" applyFill="1" applyBorder="1" applyAlignment="1">
      <alignment horizontal="center" vertical="center"/>
    </xf>
    <xf numFmtId="1" fontId="82" fillId="16" borderId="1" xfId="1" applyNumberFormat="1" applyFont="1" applyFill="1" applyBorder="1" applyAlignment="1">
      <alignment horizontal="center" vertical="center" wrapText="1"/>
    </xf>
    <xf numFmtId="49" fontId="82" fillId="16" borderId="1" xfId="4" applyNumberFormat="1" applyFont="1" applyFill="1" applyBorder="1" applyAlignment="1">
      <alignment vertical="center" wrapText="1"/>
    </xf>
    <xf numFmtId="2" fontId="82" fillId="16" borderId="1" xfId="4" applyNumberFormat="1" applyFont="1" applyFill="1" applyBorder="1" applyAlignment="1">
      <alignment horizontal="left" vertical="center" wrapText="1"/>
    </xf>
    <xf numFmtId="0" fontId="82" fillId="16" borderId="1" xfId="4" applyFont="1" applyFill="1" applyBorder="1" applyAlignment="1">
      <alignment horizontal="right" vertical="center"/>
    </xf>
    <xf numFmtId="170" fontId="82" fillId="16" borderId="1" xfId="1" applyFont="1" applyFill="1" applyBorder="1" applyAlignment="1">
      <alignment horizontal="center" vertical="center"/>
    </xf>
    <xf numFmtId="0" fontId="82" fillId="16" borderId="0" xfId="4" applyFont="1" applyFill="1" applyAlignment="1">
      <alignment vertical="center"/>
    </xf>
    <xf numFmtId="49" fontId="7" fillId="26" borderId="1" xfId="1" applyNumberFormat="1" applyFont="1" applyFill="1" applyBorder="1" applyAlignment="1">
      <alignment horizontal="left" vertical="center" wrapText="1"/>
    </xf>
    <xf numFmtId="189" fontId="13" fillId="29" borderId="2" xfId="210" applyNumberFormat="1" applyFont="1" applyFill="1" applyBorder="1" applyAlignment="1">
      <alignment horizontal="center" vertical="center" wrapText="1"/>
    </xf>
    <xf numFmtId="189" fontId="13" fillId="56" borderId="2" xfId="210" applyNumberFormat="1" applyFont="1" applyFill="1" applyBorder="1" applyAlignment="1">
      <alignment horizontal="center" vertical="center" wrapText="1"/>
    </xf>
    <xf numFmtId="189" fontId="10" fillId="35" borderId="2" xfId="210" applyNumberFormat="1" applyFont="1" applyFill="1" applyBorder="1" applyAlignment="1">
      <alignment horizontal="center" vertical="center" wrapText="1"/>
    </xf>
    <xf numFmtId="189" fontId="10" fillId="28" borderId="2" xfId="210" applyNumberFormat="1" applyFont="1" applyFill="1" applyBorder="1" applyAlignment="1">
      <alignment horizontal="center" vertical="center" wrapText="1"/>
    </xf>
    <xf numFmtId="189" fontId="34" fillId="0" borderId="0" xfId="210" applyNumberFormat="1" applyFont="1"/>
    <xf numFmtId="189" fontId="0" fillId="0" borderId="0" xfId="210" applyNumberFormat="1" applyFont="1"/>
    <xf numFmtId="0" fontId="4" fillId="27" borderId="0" xfId="0" applyFont="1" applyFill="1" applyAlignment="1">
      <alignment vertical="center" wrapText="1"/>
    </xf>
    <xf numFmtId="170" fontId="4" fillId="27" borderId="0" xfId="1" applyFont="1" applyFill="1" applyAlignment="1">
      <alignment vertical="center" wrapText="1"/>
    </xf>
    <xf numFmtId="0" fontId="6" fillId="19" borderId="0" xfId="0" applyFont="1" applyFill="1" applyAlignment="1">
      <alignment vertical="center" wrapText="1"/>
    </xf>
    <xf numFmtId="0" fontId="6" fillId="28" borderId="0" xfId="0" applyFont="1" applyFill="1" applyAlignment="1">
      <alignment vertical="center"/>
    </xf>
    <xf numFmtId="170" fontId="6" fillId="28" borderId="0" xfId="1" applyFont="1" applyFill="1" applyAlignment="1">
      <alignment vertical="center"/>
    </xf>
    <xf numFmtId="0" fontId="82" fillId="0" borderId="1" xfId="4" applyFont="1" applyBorder="1" applyAlignment="1">
      <alignment vertical="center"/>
    </xf>
    <xf numFmtId="0" fontId="82" fillId="0" borderId="1" xfId="0" applyFont="1" applyBorder="1" applyAlignment="1">
      <alignment vertical="center"/>
    </xf>
    <xf numFmtId="170" fontId="82" fillId="0" borderId="1" xfId="1" applyFont="1" applyBorder="1" applyAlignment="1">
      <alignment vertical="center"/>
    </xf>
    <xf numFmtId="0" fontId="27" fillId="0" borderId="1" xfId="4" applyFont="1" applyBorder="1" applyAlignment="1">
      <alignment vertical="center"/>
    </xf>
    <xf numFmtId="0" fontId="22" fillId="0" borderId="0" xfId="4" applyFont="1" applyAlignment="1">
      <alignment horizontal="center" vertical="center"/>
    </xf>
    <xf numFmtId="49" fontId="63" fillId="12" borderId="1" xfId="4" applyNumberFormat="1" applyFont="1" applyFill="1" applyBorder="1" applyAlignment="1">
      <alignment horizontal="center" vertical="center"/>
    </xf>
    <xf numFmtId="49" fontId="63" fillId="27" borderId="1" xfId="4" applyNumberFormat="1" applyFont="1" applyFill="1" applyBorder="1" applyAlignment="1">
      <alignment horizontal="center" vertical="center"/>
    </xf>
    <xf numFmtId="49" fontId="7" fillId="19" borderId="1" xfId="4" applyNumberFormat="1" applyFont="1" applyFill="1" applyBorder="1" applyAlignment="1">
      <alignment horizontal="center" vertical="center"/>
    </xf>
    <xf numFmtId="49" fontId="82" fillId="0" borderId="1" xfId="4" applyNumberFormat="1" applyFont="1" applyBorder="1" applyAlignment="1">
      <alignment horizontal="center" vertical="center"/>
    </xf>
    <xf numFmtId="49" fontId="27" fillId="0" borderId="1" xfId="4" applyNumberFormat="1" applyFont="1" applyBorder="1" applyAlignment="1">
      <alignment horizontal="center" vertical="center"/>
    </xf>
    <xf numFmtId="49" fontId="27" fillId="50" borderId="1" xfId="4" applyNumberFormat="1" applyFont="1" applyFill="1" applyBorder="1" applyAlignment="1">
      <alignment horizontal="center" vertical="center" wrapText="1"/>
    </xf>
    <xf numFmtId="49" fontId="7" fillId="0" borderId="1" xfId="4" applyNumberFormat="1" applyFont="1" applyBorder="1" applyAlignment="1">
      <alignment horizontal="center" vertical="center"/>
    </xf>
    <xf numFmtId="49" fontId="82" fillId="0" borderId="1" xfId="4" applyNumberFormat="1" applyFont="1" applyBorder="1" applyAlignment="1">
      <alignment horizontal="center" vertical="center" wrapText="1"/>
    </xf>
    <xf numFmtId="49" fontId="7" fillId="28" borderId="1" xfId="4" applyNumberFormat="1" applyFont="1" applyFill="1" applyBorder="1" applyAlignment="1">
      <alignment horizontal="center" vertical="center"/>
    </xf>
    <xf numFmtId="49" fontId="82" fillId="16" borderId="1" xfId="4" applyNumberFormat="1" applyFont="1" applyFill="1" applyBorder="1" applyAlignment="1">
      <alignment horizontal="center" vertical="center"/>
    </xf>
    <xf numFmtId="49" fontId="7" fillId="26" borderId="1" xfId="4" applyNumberFormat="1" applyFont="1" applyFill="1" applyBorder="1" applyAlignment="1">
      <alignment horizontal="center" vertical="center"/>
    </xf>
    <xf numFmtId="49" fontId="27" fillId="16" borderId="1" xfId="4" applyNumberFormat="1" applyFont="1" applyFill="1" applyBorder="1" applyAlignment="1">
      <alignment horizontal="center" vertical="center"/>
    </xf>
    <xf numFmtId="49" fontId="27" fillId="0" borderId="0" xfId="4" applyNumberFormat="1" applyFont="1" applyAlignment="1">
      <alignment horizontal="center" vertical="center"/>
    </xf>
    <xf numFmtId="0" fontId="71" fillId="0" borderId="0" xfId="4" applyFont="1" applyAlignment="1">
      <alignment horizontal="center" vertical="center"/>
    </xf>
    <xf numFmtId="49" fontId="7" fillId="50" borderId="1" xfId="4" applyNumberFormat="1" applyFont="1" applyFill="1" applyBorder="1" applyAlignment="1">
      <alignment horizontal="center" vertical="center"/>
    </xf>
    <xf numFmtId="49" fontId="5" fillId="0" borderId="0" xfId="0" applyNumberFormat="1" applyFont="1" applyAlignment="1">
      <alignment vertical="center" wrapText="1"/>
    </xf>
    <xf numFmtId="49" fontId="10" fillId="28" borderId="2" xfId="2" applyNumberFormat="1" applyFont="1" applyFill="1" applyBorder="1" applyAlignment="1">
      <alignment horizontal="left" vertical="center" wrapText="1"/>
    </xf>
    <xf numFmtId="0" fontId="126" fillId="62" borderId="62" xfId="12" applyFont="1" applyFill="1" applyBorder="1" applyAlignment="1">
      <alignment horizontal="center" vertical="center"/>
    </xf>
    <xf numFmtId="0" fontId="126" fillId="62" borderId="63" xfId="12" applyFont="1" applyFill="1" applyBorder="1" applyAlignment="1">
      <alignment horizontal="center" vertical="center"/>
    </xf>
    <xf numFmtId="0" fontId="126" fillId="62" borderId="64" xfId="12" applyFont="1" applyFill="1" applyBorder="1" applyAlignment="1">
      <alignment horizontal="center" vertical="center" wrapText="1"/>
    </xf>
    <xf numFmtId="0" fontId="8" fillId="62" borderId="62" xfId="12" applyFont="1" applyFill="1" applyBorder="1" applyAlignment="1">
      <alignment horizontal="center" vertical="center"/>
    </xf>
    <xf numFmtId="0" fontId="27" fillId="0" borderId="74" xfId="12" applyFont="1" applyBorder="1" applyAlignment="1">
      <alignment horizontal="center" vertical="center"/>
    </xf>
    <xf numFmtId="0" fontId="27" fillId="0" borderId="0" xfId="12" applyFont="1" applyAlignment="1">
      <alignment horizontal="center" vertical="center"/>
    </xf>
    <xf numFmtId="0" fontId="27" fillId="0" borderId="0" xfId="12" applyFont="1" applyAlignment="1">
      <alignment vertical="center" wrapText="1"/>
    </xf>
    <xf numFmtId="0" fontId="127" fillId="62" borderId="72" xfId="12" applyFont="1" applyFill="1" applyBorder="1" applyAlignment="1">
      <alignment horizontal="center" vertical="center" wrapText="1"/>
    </xf>
    <xf numFmtId="0" fontId="127" fillId="62" borderId="7" xfId="12" applyFont="1" applyFill="1" applyBorder="1" applyAlignment="1">
      <alignment horizontal="center" vertical="center" wrapText="1"/>
    </xf>
    <xf numFmtId="0" fontId="127" fillId="62" borderId="73" xfId="12" applyFont="1" applyFill="1" applyBorder="1" applyAlignment="1">
      <alignment horizontal="center" vertical="center" wrapText="1"/>
    </xf>
    <xf numFmtId="0" fontId="7" fillId="0" borderId="74" xfId="12" applyFont="1" applyBorder="1" applyAlignment="1">
      <alignment horizontal="left" vertical="center" wrapText="1"/>
    </xf>
    <xf numFmtId="0" fontId="27" fillId="0" borderId="72" xfId="12" applyFont="1" applyBorder="1"/>
    <xf numFmtId="198" fontId="27" fillId="0" borderId="7" xfId="12" applyNumberFormat="1" applyFont="1" applyBorder="1" applyAlignment="1">
      <alignment horizontal="right" vertical="center" wrapText="1"/>
    </xf>
    <xf numFmtId="0" fontId="127" fillId="62" borderId="74" xfId="12" applyFont="1" applyFill="1" applyBorder="1" applyAlignment="1">
      <alignment horizontal="center" vertical="center" wrapText="1"/>
    </xf>
    <xf numFmtId="198" fontId="127" fillId="62" borderId="75" xfId="12" applyNumberFormat="1" applyFont="1" applyFill="1" applyBorder="1" applyAlignment="1">
      <alignment horizontal="right" vertical="center" wrapText="1"/>
    </xf>
    <xf numFmtId="198" fontId="127" fillId="62" borderId="76" xfId="12" applyNumberFormat="1" applyFont="1" applyFill="1" applyBorder="1" applyAlignment="1">
      <alignment horizontal="right" vertical="center" wrapText="1"/>
    </xf>
    <xf numFmtId="1" fontId="27" fillId="0" borderId="72" xfId="12" applyNumberFormat="1" applyFont="1" applyBorder="1" applyAlignment="1">
      <alignment vertical="center" wrapText="1"/>
    </xf>
    <xf numFmtId="0" fontId="27" fillId="0" borderId="72" xfId="12" quotePrefix="1" applyFont="1" applyBorder="1"/>
    <xf numFmtId="0" fontId="27" fillId="0" borderId="1" xfId="14" applyFont="1" applyBorder="1" applyAlignment="1">
      <alignment horizontal="left" vertical="center" wrapText="1"/>
    </xf>
    <xf numFmtId="0" fontId="0" fillId="27" borderId="0" xfId="0" applyFill="1" applyAlignment="1">
      <alignment vertical="center"/>
    </xf>
    <xf numFmtId="0" fontId="0" fillId="19" borderId="0" xfId="0" applyFill="1" applyAlignment="1">
      <alignment vertical="center"/>
    </xf>
    <xf numFmtId="170" fontId="6" fillId="19" borderId="0" xfId="1" applyFont="1" applyFill="1" applyAlignment="1">
      <alignment vertical="center"/>
    </xf>
    <xf numFmtId="170" fontId="4" fillId="27" borderId="0" xfId="1" applyFont="1" applyFill="1" applyAlignment="1">
      <alignment vertical="center"/>
    </xf>
    <xf numFmtId="0" fontId="0" fillId="26" borderId="0" xfId="0" applyFill="1" applyAlignment="1">
      <alignment vertical="center"/>
    </xf>
    <xf numFmtId="170" fontId="0" fillId="26" borderId="0" xfId="1" applyFont="1" applyFill="1" applyAlignment="1">
      <alignment vertical="center"/>
    </xf>
    <xf numFmtId="170" fontId="27" fillId="0" borderId="1" xfId="1" applyFont="1" applyBorder="1" applyAlignment="1">
      <alignment horizontal="left" vertical="center" wrapText="1"/>
    </xf>
    <xf numFmtId="170" fontId="27" fillId="0" borderId="1" xfId="1" applyFont="1" applyBorder="1" applyAlignment="1">
      <alignment vertical="center" wrapText="1"/>
    </xf>
    <xf numFmtId="0" fontId="27" fillId="0" borderId="1" xfId="14" applyFont="1" applyBorder="1" applyAlignment="1">
      <alignment vertical="center" wrapText="1"/>
    </xf>
    <xf numFmtId="1" fontId="9" fillId="50" borderId="1" xfId="4" applyNumberFormat="1" applyFont="1" applyFill="1" applyBorder="1" applyAlignment="1">
      <alignment horizontal="center" vertical="center" wrapText="1"/>
    </xf>
    <xf numFmtId="1" fontId="27" fillId="50" borderId="1" xfId="1" applyNumberFormat="1" applyFont="1" applyFill="1" applyBorder="1" applyAlignment="1">
      <alignment horizontal="center" vertical="center" wrapText="1"/>
    </xf>
    <xf numFmtId="0" fontId="27" fillId="0" borderId="0" xfId="12" applyFont="1"/>
    <xf numFmtId="0" fontId="3" fillId="0" borderId="0" xfId="11"/>
    <xf numFmtId="198" fontId="3" fillId="0" borderId="0" xfId="11" applyNumberFormat="1"/>
    <xf numFmtId="4" fontId="64" fillId="62" borderId="75" xfId="13" applyNumberFormat="1" applyFont="1" applyFill="1" applyBorder="1" applyAlignment="1">
      <alignment horizontal="center" vertical="center" wrapText="1"/>
    </xf>
    <xf numFmtId="169" fontId="122" fillId="0" borderId="0" xfId="201" applyNumberFormat="1" applyFont="1" applyAlignment="1">
      <alignment horizontal="left" vertical="center"/>
    </xf>
    <xf numFmtId="170" fontId="122" fillId="0" borderId="8" xfId="1" applyFont="1" applyBorder="1" applyAlignment="1">
      <alignment horizontal="right" vertical="center" wrapText="1"/>
    </xf>
    <xf numFmtId="0" fontId="122" fillId="0" borderId="65" xfId="13" applyFont="1" applyBorder="1" applyAlignment="1">
      <alignment horizontal="left" vertical="center" wrapText="1"/>
    </xf>
    <xf numFmtId="2" fontId="122" fillId="0" borderId="6" xfId="14" applyNumberFormat="1" applyFont="1" applyBorder="1" applyAlignment="1">
      <alignment horizontal="left" vertical="center" wrapText="1"/>
    </xf>
    <xf numFmtId="0" fontId="122" fillId="0" borderId="6" xfId="13" applyFont="1" applyBorder="1" applyAlignment="1">
      <alignment horizontal="center" vertical="center" wrapText="1"/>
    </xf>
    <xf numFmtId="0" fontId="122" fillId="0" borderId="6" xfId="14" applyFont="1" applyBorder="1" applyAlignment="1">
      <alignment horizontal="center" vertical="center"/>
    </xf>
    <xf numFmtId="170" fontId="122" fillId="0" borderId="6" xfId="1" applyFont="1" applyBorder="1" applyAlignment="1">
      <alignment horizontal="center" vertical="center"/>
    </xf>
    <xf numFmtId="9" fontId="122" fillId="0" borderId="6" xfId="10" applyFont="1" applyBorder="1" applyAlignment="1">
      <alignment horizontal="center" vertical="center" wrapText="1"/>
    </xf>
    <xf numFmtId="49" fontId="122" fillId="0" borderId="7" xfId="15" applyNumberFormat="1" applyFont="1" applyBorder="1" applyAlignment="1">
      <alignment horizontal="center" vertical="center"/>
    </xf>
    <xf numFmtId="170" fontId="122" fillId="0" borderId="7" xfId="1" applyFont="1" applyBorder="1" applyAlignment="1">
      <alignment horizontal="right" vertical="center" wrapText="1"/>
    </xf>
    <xf numFmtId="0" fontId="122" fillId="0" borderId="6" xfId="14" applyFont="1" applyBorder="1" applyAlignment="1">
      <alignment horizontal="center" vertical="center" wrapText="1"/>
    </xf>
    <xf numFmtId="0" fontId="122" fillId="0" borderId="66" xfId="13" applyFont="1" applyBorder="1" applyAlignment="1">
      <alignment horizontal="center" vertical="center" wrapText="1"/>
    </xf>
    <xf numFmtId="49" fontId="122" fillId="0" borderId="6" xfId="15" applyNumberFormat="1" applyFont="1" applyBorder="1" applyAlignment="1">
      <alignment horizontal="center" vertical="center"/>
    </xf>
    <xf numFmtId="0" fontId="122" fillId="0" borderId="72" xfId="13" applyFont="1" applyBorder="1" applyAlignment="1">
      <alignment horizontal="left" vertical="center" wrapText="1"/>
    </xf>
    <xf numFmtId="2" fontId="122" fillId="0" borderId="7" xfId="14" applyNumberFormat="1" applyFont="1" applyBorder="1" applyAlignment="1">
      <alignment horizontal="left" vertical="center" wrapText="1"/>
    </xf>
    <xf numFmtId="0" fontId="122" fillId="0" borderId="7" xfId="13" applyFont="1" applyBorder="1" applyAlignment="1">
      <alignment horizontal="center" vertical="center" wrapText="1"/>
    </xf>
    <xf numFmtId="9" fontId="122" fillId="0" borderId="7" xfId="10" applyFont="1" applyBorder="1" applyAlignment="1">
      <alignment horizontal="center" vertical="center" wrapText="1"/>
    </xf>
    <xf numFmtId="170" fontId="122" fillId="0" borderId="7" xfId="1" applyFont="1" applyBorder="1" applyAlignment="1">
      <alignment horizontal="center" vertical="center"/>
    </xf>
    <xf numFmtId="0" fontId="122" fillId="0" borderId="7" xfId="14" applyFont="1" applyBorder="1" applyAlignment="1">
      <alignment horizontal="center" vertical="center" wrapText="1"/>
    </xf>
    <xf numFmtId="0" fontId="131" fillId="0" borderId="7" xfId="191" applyFont="1" applyBorder="1" applyAlignment="1">
      <alignment horizontal="center" vertical="center" wrapText="1"/>
    </xf>
    <xf numFmtId="0" fontId="122" fillId="0" borderId="73" xfId="13" applyFont="1" applyBorder="1" applyAlignment="1">
      <alignment horizontal="left" vertical="center" wrapText="1"/>
    </xf>
    <xf numFmtId="0" fontId="122" fillId="0" borderId="7" xfId="14" applyFont="1" applyBorder="1" applyAlignment="1">
      <alignment horizontal="center" vertical="center"/>
    </xf>
    <xf numFmtId="167" fontId="122" fillId="0" borderId="7" xfId="5" applyFont="1" applyBorder="1" applyAlignment="1">
      <alignment horizontal="center" vertical="center"/>
    </xf>
    <xf numFmtId="167" fontId="122" fillId="0" borderId="6" xfId="5" applyFont="1" applyBorder="1" applyAlignment="1">
      <alignment horizontal="center" vertical="center"/>
    </xf>
    <xf numFmtId="9" fontId="131" fillId="0" borderId="0" xfId="5" applyNumberFormat="1" applyFont="1" applyAlignment="1">
      <alignment horizontal="center" vertical="center"/>
    </xf>
    <xf numFmtId="169" fontId="130" fillId="0" borderId="0" xfId="201" applyNumberFormat="1" applyFont="1" applyAlignment="1">
      <alignment horizontal="left" vertical="center"/>
    </xf>
    <xf numFmtId="0" fontId="122" fillId="0" borderId="61" xfId="13" applyFont="1" applyBorder="1" applyAlignment="1">
      <alignment vertical="center" wrapText="1"/>
    </xf>
    <xf numFmtId="169" fontId="122" fillId="0" borderId="0" xfId="201" applyNumberFormat="1" applyFont="1" applyAlignment="1">
      <alignment horizontal="left" vertical="center" wrapText="1"/>
    </xf>
    <xf numFmtId="169" fontId="130" fillId="0" borderId="0" xfId="201" applyNumberFormat="1" applyFont="1" applyAlignment="1">
      <alignment vertical="center"/>
    </xf>
    <xf numFmtId="0" fontId="130" fillId="0" borderId="0" xfId="12" applyFont="1" applyAlignment="1">
      <alignment vertical="center" wrapText="1"/>
    </xf>
    <xf numFmtId="167" fontId="122" fillId="0" borderId="6" xfId="17" applyFont="1" applyBorder="1" applyAlignment="1">
      <alignment horizontal="center" vertical="center" wrapText="1"/>
    </xf>
    <xf numFmtId="49" fontId="122" fillId="0" borderId="6" xfId="10" applyNumberFormat="1" applyFont="1" applyBorder="1" applyAlignment="1">
      <alignment horizontal="right" vertical="center" wrapText="1"/>
    </xf>
    <xf numFmtId="0" fontId="122" fillId="0" borderId="0" xfId="12" applyFont="1" applyAlignment="1">
      <alignment horizontal="left" vertical="center" wrapText="1"/>
    </xf>
    <xf numFmtId="0" fontId="130" fillId="0" borderId="0" xfId="12" applyFont="1" applyAlignment="1">
      <alignment horizontal="left" vertical="center" wrapText="1"/>
    </xf>
    <xf numFmtId="2" fontId="122" fillId="0" borderId="7" xfId="13" applyNumberFormat="1" applyFont="1" applyBorder="1" applyAlignment="1">
      <alignment vertical="center" wrapText="1"/>
    </xf>
    <xf numFmtId="167" fontId="122" fillId="0" borderId="7" xfId="17" applyFont="1" applyBorder="1" applyAlignment="1">
      <alignment horizontal="center" vertical="center" wrapText="1"/>
    </xf>
    <xf numFmtId="1" fontId="122" fillId="0" borderId="7" xfId="210" applyNumberFormat="1" applyFont="1" applyBorder="1" applyAlignment="1">
      <alignment horizontal="center" vertical="center" wrapText="1"/>
    </xf>
    <xf numFmtId="170" fontId="131" fillId="0" borderId="73" xfId="1" applyFont="1" applyBorder="1" applyAlignment="1">
      <alignment horizontal="left" vertical="center" wrapText="1"/>
    </xf>
    <xf numFmtId="0" fontId="122" fillId="0" borderId="0" xfId="14" applyFont="1" applyAlignment="1">
      <alignment horizontal="center" vertical="center"/>
    </xf>
    <xf numFmtId="9" fontId="122" fillId="0" borderId="0" xfId="10" applyFont="1" applyAlignment="1">
      <alignment horizontal="center" vertical="center"/>
    </xf>
    <xf numFmtId="0" fontId="122" fillId="0" borderId="0" xfId="16" applyFont="1" applyAlignment="1">
      <alignment horizontal="center" vertical="center"/>
    </xf>
    <xf numFmtId="169" fontId="132" fillId="0" borderId="0" xfId="201" applyNumberFormat="1" applyFont="1" applyAlignment="1">
      <alignment horizontal="left" vertical="center"/>
    </xf>
    <xf numFmtId="3" fontId="122" fillId="0" borderId="7" xfId="13" applyNumberFormat="1" applyFont="1" applyBorder="1" applyAlignment="1">
      <alignment horizontal="center" vertical="center" wrapText="1"/>
    </xf>
    <xf numFmtId="4" fontId="128" fillId="62" borderId="75" xfId="13" applyNumberFormat="1" applyFont="1" applyFill="1" applyBorder="1" applyAlignment="1">
      <alignment horizontal="center" vertical="center" wrapText="1"/>
    </xf>
    <xf numFmtId="167" fontId="122" fillId="0" borderId="61" xfId="13" applyNumberFormat="1" applyFont="1" applyBorder="1" applyAlignment="1">
      <alignment vertical="center" wrapText="1"/>
    </xf>
    <xf numFmtId="10" fontId="122" fillId="0" borderId="61" xfId="13" applyNumberFormat="1" applyFont="1" applyBorder="1" applyAlignment="1">
      <alignment vertical="center" wrapText="1"/>
    </xf>
    <xf numFmtId="14" fontId="122" fillId="0" borderId="61" xfId="13" applyNumberFormat="1" applyFont="1" applyBorder="1" applyAlignment="1">
      <alignment vertical="center" wrapText="1"/>
    </xf>
    <xf numFmtId="0" fontId="122" fillId="0" borderId="68" xfId="13" applyFont="1" applyBorder="1" applyAlignment="1">
      <alignment vertical="center" wrapText="1"/>
    </xf>
    <xf numFmtId="197" fontId="27" fillId="0" borderId="1" xfId="201" applyNumberFormat="1" applyFont="1" applyBorder="1" applyAlignment="1">
      <alignment horizontal="center" vertical="center"/>
    </xf>
    <xf numFmtId="49" fontId="134" fillId="0" borderId="1" xfId="1" applyNumberFormat="1" applyFont="1" applyBorder="1" applyAlignment="1">
      <alignment horizontal="left" vertical="center" wrapText="1"/>
    </xf>
    <xf numFmtId="1" fontId="110" fillId="16" borderId="1" xfId="4" applyNumberFormat="1" applyFont="1" applyFill="1" applyBorder="1" applyAlignment="1">
      <alignment horizontal="center" vertical="center" wrapText="1"/>
    </xf>
    <xf numFmtId="49" fontId="35" fillId="0" borderId="1" xfId="5" applyNumberFormat="1" applyFont="1" applyBorder="1" applyAlignment="1">
      <alignment vertical="center" wrapText="1"/>
    </xf>
    <xf numFmtId="49" fontId="10" fillId="28" borderId="2" xfId="2" applyNumberFormat="1" applyFont="1" applyFill="1" applyBorder="1" applyAlignment="1">
      <alignment horizontal="right" vertical="center" wrapText="1"/>
    </xf>
    <xf numFmtId="49" fontId="27" fillId="50" borderId="1" xfId="5" applyNumberFormat="1" applyFont="1" applyFill="1" applyBorder="1" applyAlignment="1">
      <alignment horizontal="left" vertical="center" wrapText="1"/>
    </xf>
    <xf numFmtId="49" fontId="7" fillId="52" borderId="0" xfId="4" applyNumberFormat="1" applyFont="1" applyFill="1" applyAlignment="1">
      <alignment vertical="center"/>
    </xf>
    <xf numFmtId="49" fontId="7" fillId="0" borderId="0" xfId="4" applyNumberFormat="1" applyFont="1" applyAlignment="1">
      <alignment vertical="center"/>
    </xf>
    <xf numFmtId="49" fontId="118" fillId="52" borderId="0" xfId="4" applyNumberFormat="1" applyFont="1" applyFill="1" applyAlignment="1">
      <alignment vertical="center"/>
    </xf>
    <xf numFmtId="49" fontId="63" fillId="27" borderId="1" xfId="5" applyNumberFormat="1" applyFont="1" applyFill="1" applyBorder="1" applyAlignment="1">
      <alignment horizontal="left" vertical="center" wrapText="1"/>
    </xf>
    <xf numFmtId="49" fontId="7" fillId="19" borderId="1" xfId="5" applyNumberFormat="1" applyFont="1" applyFill="1" applyBorder="1" applyAlignment="1">
      <alignment horizontal="left" vertical="center" wrapText="1"/>
    </xf>
    <xf numFmtId="49" fontId="27" fillId="28" borderId="1" xfId="5" applyNumberFormat="1" applyFont="1" applyFill="1" applyBorder="1" applyAlignment="1">
      <alignment horizontal="left" vertical="center" wrapText="1"/>
    </xf>
    <xf numFmtId="49" fontId="34" fillId="0" borderId="3" xfId="5" applyNumberFormat="1" applyFont="1" applyBorder="1" applyAlignment="1">
      <alignment horizontal="left" vertical="center" wrapText="1"/>
    </xf>
    <xf numFmtId="49" fontId="7" fillId="0" borderId="1" xfId="5" applyNumberFormat="1" applyFont="1" applyBorder="1" applyAlignment="1">
      <alignment horizontal="left" vertical="center" wrapText="1"/>
    </xf>
    <xf numFmtId="49" fontId="72" fillId="28" borderId="1" xfId="5" applyNumberFormat="1" applyFont="1" applyFill="1" applyBorder="1" applyAlignment="1">
      <alignment horizontal="left" vertical="center" wrapText="1"/>
    </xf>
    <xf numFmtId="49" fontId="82" fillId="16" borderId="1" xfId="5" applyNumberFormat="1" applyFont="1" applyFill="1" applyBorder="1" applyAlignment="1">
      <alignment vertical="center"/>
    </xf>
    <xf numFmtId="49" fontId="7" fillId="50" borderId="1" xfId="5" applyNumberFormat="1" applyFont="1" applyFill="1" applyBorder="1" applyAlignment="1">
      <alignment horizontal="left" vertical="center" wrapText="1"/>
    </xf>
    <xf numFmtId="49" fontId="7" fillId="28" borderId="1" xfId="5" applyNumberFormat="1" applyFont="1" applyFill="1" applyBorder="1" applyAlignment="1">
      <alignment horizontal="left" vertical="center" wrapText="1"/>
    </xf>
    <xf numFmtId="49" fontId="27" fillId="0" borderId="1" xfId="5" applyNumberFormat="1" applyFont="1" applyFill="1" applyBorder="1" applyAlignment="1">
      <alignment horizontal="left" vertical="center" wrapText="1"/>
    </xf>
    <xf numFmtId="49" fontId="27" fillId="16" borderId="1" xfId="5" applyNumberFormat="1" applyFont="1" applyFill="1" applyBorder="1" applyAlignment="1">
      <alignment horizontal="left" vertical="center" wrapText="1"/>
    </xf>
    <xf numFmtId="49" fontId="7" fillId="26" borderId="1" xfId="5" applyNumberFormat="1" applyFont="1" applyFill="1" applyBorder="1" applyAlignment="1">
      <alignment horizontal="left" vertical="center" wrapText="1"/>
    </xf>
    <xf numFmtId="49" fontId="27" fillId="16" borderId="1" xfId="5" applyNumberFormat="1" applyFont="1" applyFill="1" applyBorder="1" applyAlignment="1">
      <alignment vertical="center"/>
    </xf>
    <xf numFmtId="49" fontId="64" fillId="20" borderId="1" xfId="5" applyNumberFormat="1" applyFont="1" applyFill="1" applyBorder="1" applyAlignment="1">
      <alignment vertical="center"/>
    </xf>
    <xf numFmtId="49" fontId="27" fillId="0" borderId="0" xfId="4" applyNumberFormat="1" applyFont="1" applyAlignment="1">
      <alignment vertical="center"/>
    </xf>
    <xf numFmtId="49" fontId="74" fillId="0" borderId="0" xfId="4" applyNumberFormat="1" applyFont="1" applyAlignment="1">
      <alignment vertical="center"/>
    </xf>
    <xf numFmtId="49" fontId="110" fillId="0" borderId="1" xfId="5" applyNumberFormat="1" applyFont="1" applyBorder="1" applyAlignment="1">
      <alignment vertical="center" wrapText="1"/>
    </xf>
    <xf numFmtId="49" fontId="62" fillId="0" borderId="54" xfId="0" applyNumberFormat="1" applyFont="1" applyBorder="1" applyAlignment="1">
      <alignment horizontal="left" vertical="center" wrapText="1"/>
    </xf>
    <xf numFmtId="49" fontId="27" fillId="0" borderId="1" xfId="4" applyNumberFormat="1" applyFont="1" applyBorder="1" applyAlignment="1">
      <alignment horizontal="right" vertical="center" wrapText="1"/>
    </xf>
    <xf numFmtId="49" fontId="27" fillId="0" borderId="1" xfId="1" applyNumberFormat="1" applyFont="1" applyFill="1" applyBorder="1" applyAlignment="1">
      <alignment horizontal="left" vertical="center" wrapText="1"/>
    </xf>
    <xf numFmtId="49" fontId="7" fillId="0" borderId="1" xfId="4" applyNumberFormat="1" applyFont="1" applyBorder="1" applyAlignment="1">
      <alignment horizontal="center" vertical="center" wrapText="1"/>
    </xf>
    <xf numFmtId="49" fontId="34" fillId="0" borderId="1" xfId="5" applyNumberFormat="1" applyFont="1" applyFill="1" applyBorder="1" applyAlignment="1">
      <alignment vertical="center" wrapText="1"/>
    </xf>
    <xf numFmtId="1" fontId="122" fillId="0" borderId="54" xfId="0" applyNumberFormat="1" applyFont="1" applyBorder="1" applyAlignment="1">
      <alignment horizontal="center" vertical="center" wrapText="1"/>
    </xf>
    <xf numFmtId="49" fontId="9" fillId="0" borderId="54" xfId="0" applyNumberFormat="1" applyFont="1" applyBorder="1" applyAlignment="1">
      <alignment horizontal="left" vertical="top" wrapText="1"/>
    </xf>
    <xf numFmtId="0" fontId="122" fillId="0" borderId="0" xfId="0" applyFont="1"/>
    <xf numFmtId="0" fontId="10" fillId="28" borderId="2" xfId="210" applyNumberFormat="1" applyFont="1" applyFill="1" applyBorder="1" applyAlignment="1">
      <alignment horizontal="center" vertical="center" wrapText="1"/>
    </xf>
    <xf numFmtId="2" fontId="10" fillId="35" borderId="2" xfId="2" applyNumberFormat="1" applyFont="1" applyFill="1" applyBorder="1" applyAlignment="1">
      <alignment horizontal="left" vertical="center" wrapText="1"/>
    </xf>
    <xf numFmtId="0" fontId="27" fillId="0" borderId="1" xfId="4" applyFont="1" applyBorder="1" applyAlignment="1">
      <alignment horizontal="left" vertical="center" wrapText="1"/>
    </xf>
    <xf numFmtId="1" fontId="27" fillId="0" borderId="1" xfId="4" applyNumberFormat="1" applyFont="1" applyBorder="1" applyAlignment="1">
      <alignment horizontal="center" vertical="center"/>
    </xf>
    <xf numFmtId="49" fontId="110" fillId="16" borderId="1" xfId="5" applyNumberFormat="1" applyFont="1" applyFill="1" applyBorder="1" applyAlignment="1">
      <alignment vertical="center" wrapText="1"/>
    </xf>
    <xf numFmtId="49" fontId="34" fillId="0" borderId="1" xfId="5" applyNumberFormat="1" applyFont="1" applyFill="1" applyBorder="1" applyAlignment="1">
      <alignment horizontal="left" vertical="center" wrapText="1"/>
    </xf>
    <xf numFmtId="49" fontId="27" fillId="3" borderId="1" xfId="4" applyNumberFormat="1" applyFont="1" applyFill="1" applyBorder="1" applyAlignment="1">
      <alignment horizontal="center" vertical="center" wrapText="1"/>
    </xf>
    <xf numFmtId="49" fontId="27" fillId="3" borderId="1" xfId="4" applyNumberFormat="1" applyFont="1" applyFill="1" applyBorder="1" applyAlignment="1">
      <alignment horizontal="right" vertical="center" wrapText="1"/>
    </xf>
    <xf numFmtId="49" fontId="113" fillId="3" borderId="1" xfId="4" applyNumberFormat="1" applyFont="1" applyFill="1" applyBorder="1" applyAlignment="1">
      <alignment horizontal="left" vertical="center" wrapText="1"/>
    </xf>
    <xf numFmtId="49" fontId="7" fillId="3" borderId="1" xfId="4" applyNumberFormat="1" applyFont="1" applyFill="1" applyBorder="1" applyAlignment="1">
      <alignment horizontal="center" vertical="center" wrapText="1"/>
    </xf>
    <xf numFmtId="49" fontId="7" fillId="3" borderId="1" xfId="4" applyNumberFormat="1" applyFont="1" applyFill="1" applyBorder="1" applyAlignment="1">
      <alignment horizontal="right" vertical="center" wrapText="1"/>
    </xf>
    <xf numFmtId="167" fontId="7" fillId="3" borderId="1" xfId="5" applyFont="1" applyFill="1" applyBorder="1" applyAlignment="1">
      <alignment horizontal="left" vertical="center" wrapText="1"/>
    </xf>
    <xf numFmtId="49" fontId="27" fillId="3" borderId="1" xfId="5" applyNumberFormat="1" applyFont="1" applyFill="1" applyBorder="1" applyAlignment="1">
      <alignment horizontal="left" vertical="center" wrapText="1"/>
    </xf>
    <xf numFmtId="49" fontId="34" fillId="16" borderId="1" xfId="5" applyNumberFormat="1" applyFont="1" applyFill="1" applyBorder="1" applyAlignment="1">
      <alignment vertical="center" wrapText="1"/>
    </xf>
    <xf numFmtId="1" fontId="27" fillId="0" borderId="2" xfId="4" applyNumberFormat="1" applyFont="1" applyBorder="1" applyAlignment="1">
      <alignment vertical="center"/>
    </xf>
    <xf numFmtId="197" fontId="27" fillId="0" borderId="2" xfId="38" applyNumberFormat="1" applyFont="1" applyBorder="1" applyAlignment="1">
      <alignment vertical="center"/>
    </xf>
    <xf numFmtId="167" fontId="27" fillId="0" borderId="1" xfId="5" applyFont="1" applyBorder="1" applyAlignment="1">
      <alignment vertical="center"/>
    </xf>
    <xf numFmtId="49" fontId="122" fillId="0" borderId="1" xfId="5" applyNumberFormat="1" applyFont="1" applyBorder="1" applyAlignment="1">
      <alignment vertical="center" wrapText="1"/>
    </xf>
    <xf numFmtId="1" fontId="125" fillId="0" borderId="54" xfId="0" applyNumberFormat="1" applyFont="1" applyBorder="1" applyAlignment="1">
      <alignment horizontal="center" vertical="center" wrapText="1"/>
    </xf>
    <xf numFmtId="195" fontId="27" fillId="0" borderId="1" xfId="201" applyNumberFormat="1" applyFont="1" applyBorder="1" applyAlignment="1">
      <alignment horizontal="left" vertical="center" wrapText="1"/>
    </xf>
    <xf numFmtId="49" fontId="13" fillId="56" borderId="2" xfId="2" applyNumberFormat="1" applyFont="1" applyFill="1" applyBorder="1" applyAlignment="1">
      <alignment horizontal="right" vertical="center" wrapText="1"/>
    </xf>
    <xf numFmtId="49" fontId="10" fillId="35" borderId="2" xfId="2" applyNumberFormat="1" applyFont="1" applyFill="1" applyBorder="1" applyAlignment="1">
      <alignment horizontal="right" vertical="center" wrapText="1"/>
    </xf>
    <xf numFmtId="0" fontId="10" fillId="28" borderId="2" xfId="2" applyFont="1" applyFill="1" applyBorder="1" applyAlignment="1">
      <alignment horizontal="right" vertical="center" wrapText="1"/>
    </xf>
    <xf numFmtId="0" fontId="0" fillId="0" borderId="0" xfId="0" applyAlignment="1">
      <alignment horizontal="right"/>
    </xf>
    <xf numFmtId="0" fontId="7" fillId="16" borderId="0" xfId="1" applyNumberFormat="1" applyFont="1" applyFill="1" applyBorder="1" applyAlignment="1">
      <alignment horizontal="center" vertical="center" wrapText="1"/>
    </xf>
    <xf numFmtId="0" fontId="6" fillId="28" borderId="0" xfId="0" applyFont="1" applyFill="1" applyAlignment="1">
      <alignment vertical="center" wrapText="1"/>
    </xf>
    <xf numFmtId="0" fontId="5" fillId="0" borderId="0" xfId="0" applyFont="1" applyAlignment="1">
      <alignment vertical="center" wrapText="1"/>
    </xf>
    <xf numFmtId="0" fontId="120" fillId="10" borderId="0" xfId="0" applyFont="1" applyFill="1" applyAlignment="1">
      <alignment horizontal="right" vertical="center"/>
    </xf>
    <xf numFmtId="0" fontId="4" fillId="27" borderId="0" xfId="0" applyFont="1" applyFill="1" applyAlignment="1">
      <alignment horizontal="right" vertical="center"/>
    </xf>
    <xf numFmtId="0" fontId="6" fillId="19" borderId="0" xfId="0" applyFont="1" applyFill="1" applyAlignment="1">
      <alignment horizontal="right" vertical="center"/>
    </xf>
    <xf numFmtId="0" fontId="6" fillId="28" borderId="0" xfId="0" applyFont="1" applyFill="1" applyAlignment="1">
      <alignment horizontal="right" vertical="center"/>
    </xf>
    <xf numFmtId="49" fontId="0" fillId="0" borderId="0" xfId="0" applyNumberFormat="1" applyAlignment="1">
      <alignment horizontal="right" vertical="center"/>
    </xf>
    <xf numFmtId="0" fontId="5" fillId="0" borderId="0" xfId="0" applyFont="1" applyAlignment="1">
      <alignment horizontal="right" vertical="center"/>
    </xf>
    <xf numFmtId="0" fontId="0" fillId="26" borderId="0" xfId="0" applyFill="1" applyAlignment="1">
      <alignment horizontal="right" vertical="center"/>
    </xf>
    <xf numFmtId="0" fontId="0" fillId="26" borderId="0" xfId="0" applyFill="1" applyAlignment="1">
      <alignment vertical="center" wrapText="1"/>
    </xf>
    <xf numFmtId="49" fontId="6" fillId="28" borderId="0" xfId="0" applyNumberFormat="1" applyFont="1" applyFill="1" applyAlignment="1">
      <alignment horizontal="right" vertical="center"/>
    </xf>
    <xf numFmtId="49" fontId="6" fillId="28" borderId="0" xfId="0" applyNumberFormat="1" applyFont="1" applyFill="1" applyAlignment="1">
      <alignment horizontal="left" vertical="center" wrapText="1"/>
    </xf>
    <xf numFmtId="49" fontId="5" fillId="0" borderId="0" xfId="0" applyNumberFormat="1" applyFont="1" applyAlignment="1">
      <alignment horizontal="right" vertical="center"/>
    </xf>
    <xf numFmtId="49" fontId="5" fillId="0" borderId="0" xfId="0" applyNumberFormat="1" applyFont="1" applyAlignment="1">
      <alignment horizontal="left" vertical="center" wrapText="1"/>
    </xf>
    <xf numFmtId="3" fontId="122" fillId="0" borderId="8" xfId="13" applyNumberFormat="1" applyFont="1" applyBorder="1" applyAlignment="1">
      <alignment horizontal="center" vertical="center" wrapText="1"/>
    </xf>
    <xf numFmtId="3" fontId="122" fillId="0" borderId="6" xfId="13" applyNumberFormat="1" applyFont="1" applyBorder="1" applyAlignment="1">
      <alignment horizontal="center" vertical="center" wrapText="1"/>
    </xf>
    <xf numFmtId="9" fontId="122" fillId="0" borderId="61" xfId="10" applyFont="1" applyBorder="1" applyAlignment="1">
      <alignment horizontal="center" vertical="center" wrapText="1"/>
    </xf>
    <xf numFmtId="0" fontId="122" fillId="0" borderId="61" xfId="14" applyFont="1" applyBorder="1" applyAlignment="1">
      <alignment horizontal="center" vertical="center" wrapText="1"/>
    </xf>
    <xf numFmtId="170" fontId="122" fillId="0" borderId="6" xfId="1" applyFont="1" applyBorder="1" applyAlignment="1">
      <alignment horizontal="center" vertical="center" wrapText="1"/>
    </xf>
    <xf numFmtId="0" fontId="128" fillId="62" borderId="75" xfId="13" applyFont="1" applyFill="1" applyBorder="1" applyAlignment="1">
      <alignment horizontal="center" vertical="center" wrapText="1"/>
    </xf>
    <xf numFmtId="0" fontId="64" fillId="62" borderId="75" xfId="13" applyFont="1" applyFill="1" applyBorder="1" applyAlignment="1">
      <alignment horizontal="center" vertical="center" wrapText="1"/>
    </xf>
    <xf numFmtId="10" fontId="64" fillId="62" borderId="75" xfId="13" applyNumberFormat="1" applyFont="1" applyFill="1" applyBorder="1" applyAlignment="1">
      <alignment horizontal="center" vertical="center" wrapText="1"/>
    </xf>
    <xf numFmtId="0" fontId="120" fillId="10" borderId="0" xfId="0" applyFont="1" applyFill="1" applyAlignment="1">
      <alignment horizontal="center" vertical="center" wrapText="1"/>
    </xf>
    <xf numFmtId="197" fontId="27" fillId="0" borderId="3" xfId="201" applyNumberFormat="1" applyFont="1" applyBorder="1" applyAlignment="1">
      <alignment horizontal="center" vertical="center" wrapText="1"/>
    </xf>
    <xf numFmtId="49" fontId="34" fillId="0" borderId="2" xfId="5" applyNumberFormat="1" applyFont="1" applyBorder="1" applyAlignment="1">
      <alignment horizontal="left" vertical="center" wrapText="1"/>
    </xf>
    <xf numFmtId="0" fontId="27" fillId="0" borderId="2" xfId="4" applyFont="1" applyBorder="1" applyAlignment="1">
      <alignment horizontal="left" vertical="center" wrapText="1"/>
    </xf>
    <xf numFmtId="197" fontId="27" fillId="0" borderId="3" xfId="201" applyNumberFormat="1" applyFont="1" applyBorder="1" applyAlignment="1">
      <alignment horizontal="center" vertical="center"/>
    </xf>
    <xf numFmtId="49" fontId="27" fillId="0" borderId="3" xfId="4" applyNumberFormat="1" applyFont="1" applyBorder="1" applyAlignment="1">
      <alignment horizontal="left" vertical="center" wrapText="1"/>
    </xf>
    <xf numFmtId="0" fontId="27" fillId="0" borderId="3" xfId="4" applyFont="1" applyBorder="1" applyAlignment="1">
      <alignment horizontal="left" vertical="center" wrapText="1"/>
    </xf>
    <xf numFmtId="1" fontId="27" fillId="0" borderId="2" xfId="4" applyNumberFormat="1" applyFont="1" applyBorder="1" applyAlignment="1">
      <alignment horizontal="center" vertical="center"/>
    </xf>
    <xf numFmtId="1" fontId="27" fillId="0" borderId="3" xfId="4" applyNumberFormat="1" applyFont="1" applyBorder="1" applyAlignment="1">
      <alignment horizontal="center" vertical="center"/>
    </xf>
    <xf numFmtId="0" fontId="27" fillId="0" borderId="3" xfId="4" applyFont="1" applyBorder="1" applyAlignment="1">
      <alignment horizontal="center" vertical="center" wrapText="1"/>
    </xf>
    <xf numFmtId="170" fontId="7" fillId="0" borderId="1" xfId="1" applyFont="1" applyBorder="1" applyAlignment="1">
      <alignment horizontal="center" vertical="center" wrapText="1"/>
    </xf>
    <xf numFmtId="170" fontId="122" fillId="0" borderId="7" xfId="1" applyFont="1" applyBorder="1" applyAlignment="1">
      <alignment vertical="center" wrapText="1"/>
    </xf>
    <xf numFmtId="1" fontId="123" fillId="0" borderId="1" xfId="4" applyNumberFormat="1" applyFont="1" applyBorder="1" applyAlignment="1">
      <alignment horizontal="center" vertical="center" wrapText="1"/>
    </xf>
    <xf numFmtId="49" fontId="34" fillId="0" borderId="1" xfId="5" applyNumberFormat="1" applyFont="1" applyFill="1" applyBorder="1" applyAlignment="1">
      <alignment horizontal="left" vertical="center"/>
    </xf>
    <xf numFmtId="49" fontId="122" fillId="0" borderId="1" xfId="4" applyNumberFormat="1" applyFont="1" applyBorder="1" applyAlignment="1">
      <alignment horizontal="left" vertical="center" wrapText="1"/>
    </xf>
    <xf numFmtId="0" fontId="86" fillId="0" borderId="60" xfId="0" applyFont="1" applyBorder="1" applyAlignment="1">
      <alignment vertical="center" wrapText="1"/>
    </xf>
    <xf numFmtId="0" fontId="88" fillId="25" borderId="60" xfId="0" applyFont="1" applyFill="1" applyBorder="1" applyAlignment="1">
      <alignment horizontal="center" vertical="center" wrapText="1"/>
    </xf>
    <xf numFmtId="0" fontId="34" fillId="0" borderId="60" xfId="0" applyFont="1" applyBorder="1" applyAlignment="1">
      <alignment horizontal="center" vertical="center" wrapText="1"/>
    </xf>
    <xf numFmtId="9" fontId="34" fillId="0" borderId="60" xfId="0" applyNumberFormat="1" applyFont="1" applyBorder="1" applyAlignment="1">
      <alignment horizontal="center" vertical="center" wrapText="1"/>
    </xf>
    <xf numFmtId="49" fontId="82" fillId="0" borderId="1" xfId="5" applyNumberFormat="1" applyFont="1" applyBorder="1" applyAlignment="1">
      <alignment vertical="center" wrapText="1"/>
    </xf>
    <xf numFmtId="49" fontId="27" fillId="50" borderId="1" xfId="4" applyNumberFormat="1" applyFont="1" applyFill="1" applyBorder="1" applyAlignment="1">
      <alignment horizontal="center" vertical="center"/>
    </xf>
    <xf numFmtId="49" fontId="27" fillId="50" borderId="1" xfId="4" applyNumberFormat="1" applyFont="1" applyFill="1" applyBorder="1" applyAlignment="1">
      <alignment horizontal="right" vertical="center"/>
    </xf>
    <xf numFmtId="4" fontId="64" fillId="62" borderId="6" xfId="13" applyNumberFormat="1" applyFont="1" applyFill="1" applyBorder="1" applyAlignment="1">
      <alignment horizontal="center" vertical="center" wrapText="1"/>
    </xf>
    <xf numFmtId="10" fontId="64" fillId="62" borderId="6" xfId="13" applyNumberFormat="1" applyFont="1" applyFill="1" applyBorder="1" applyAlignment="1">
      <alignment horizontal="center" vertical="center" wrapText="1"/>
    </xf>
    <xf numFmtId="0" fontId="64" fillId="62" borderId="6" xfId="13" applyFont="1" applyFill="1" applyBorder="1" applyAlignment="1">
      <alignment horizontal="center" vertical="center" wrapText="1"/>
    </xf>
    <xf numFmtId="0" fontId="122" fillId="0" borderId="7" xfId="13" applyFont="1" applyBorder="1" applyAlignment="1">
      <alignment vertical="center" wrapText="1"/>
    </xf>
    <xf numFmtId="9" fontId="122" fillId="0" borderId="7" xfId="10" applyFont="1" applyBorder="1" applyAlignment="1">
      <alignment vertical="center" wrapText="1"/>
    </xf>
    <xf numFmtId="9" fontId="122" fillId="0" borderId="0" xfId="10" applyFont="1" applyBorder="1" applyAlignment="1">
      <alignment horizontal="center" vertical="center" wrapText="1"/>
    </xf>
    <xf numFmtId="0" fontId="122" fillId="0" borderId="0" xfId="13" applyFont="1" applyAlignment="1">
      <alignment horizontal="center" vertical="center" wrapText="1"/>
    </xf>
    <xf numFmtId="169" fontId="122" fillId="0" borderId="0" xfId="201" applyNumberFormat="1" applyFont="1" applyBorder="1" applyAlignment="1">
      <alignment horizontal="left" vertical="center"/>
    </xf>
    <xf numFmtId="0" fontId="132" fillId="0" borderId="0" xfId="14" applyFont="1" applyAlignment="1">
      <alignment horizontal="left" vertical="center"/>
    </xf>
    <xf numFmtId="0" fontId="27" fillId="0" borderId="0" xfId="12" applyFont="1" applyAlignment="1">
      <alignment vertical="center"/>
    </xf>
    <xf numFmtId="0" fontId="27" fillId="0" borderId="0" xfId="13" applyFont="1" applyAlignment="1">
      <alignment vertical="center"/>
    </xf>
    <xf numFmtId="0" fontId="27" fillId="0" borderId="0" xfId="14" applyFont="1" applyAlignment="1">
      <alignment vertical="center"/>
    </xf>
    <xf numFmtId="0" fontId="27" fillId="0" borderId="0" xfId="13" applyFont="1" applyAlignment="1">
      <alignment horizontal="left" vertical="center"/>
    </xf>
    <xf numFmtId="0" fontId="122" fillId="0" borderId="0" xfId="14" applyFont="1" applyAlignment="1">
      <alignment horizontal="left" vertical="center"/>
    </xf>
    <xf numFmtId="169" fontId="122" fillId="0" borderId="0" xfId="14" applyNumberFormat="1" applyFont="1" applyAlignment="1">
      <alignment horizontal="left" vertical="center"/>
    </xf>
    <xf numFmtId="174" fontId="121" fillId="3" borderId="83" xfId="201" applyNumberFormat="1" applyFont="1" applyFill="1" applyBorder="1" applyAlignment="1">
      <alignment horizontal="center" vertical="center" wrapText="1"/>
    </xf>
    <xf numFmtId="0" fontId="122" fillId="3" borderId="83" xfId="13" applyFont="1" applyFill="1" applyBorder="1" applyAlignment="1">
      <alignment horizontal="center" vertical="center" wrapText="1"/>
    </xf>
    <xf numFmtId="0" fontId="122" fillId="3" borderId="83" xfId="13" applyFont="1" applyFill="1" applyBorder="1" applyAlignment="1">
      <alignment horizontal="right" vertical="center" wrapText="1"/>
    </xf>
    <xf numFmtId="199" fontId="122" fillId="3" borderId="83" xfId="13" applyNumberFormat="1" applyFont="1" applyFill="1" applyBorder="1" applyAlignment="1">
      <alignment horizontal="right" vertical="center" wrapText="1"/>
    </xf>
    <xf numFmtId="199" fontId="122" fillId="3" borderId="83" xfId="13" applyNumberFormat="1" applyFont="1" applyFill="1" applyBorder="1" applyAlignment="1">
      <alignment horizontal="center" vertical="center" wrapText="1"/>
    </xf>
    <xf numFmtId="0" fontId="122" fillId="3" borderId="83" xfId="13" applyFont="1" applyFill="1" applyBorder="1" applyAlignment="1">
      <alignment horizontal="left" vertical="center" wrapText="1"/>
    </xf>
    <xf numFmtId="0" fontId="122" fillId="3" borderId="84" xfId="13" applyFont="1" applyFill="1" applyBorder="1" applyAlignment="1">
      <alignment horizontal="left" vertical="center" wrapText="1"/>
    </xf>
    <xf numFmtId="0" fontId="131" fillId="0" borderId="0" xfId="16" applyFont="1" applyAlignment="1">
      <alignment vertical="center"/>
    </xf>
    <xf numFmtId="0" fontId="131" fillId="0" borderId="0" xfId="16" applyFont="1" applyAlignment="1">
      <alignment horizontal="left" vertical="center"/>
    </xf>
    <xf numFmtId="0" fontId="131" fillId="0" borderId="0" xfId="16" applyFont="1" applyAlignment="1">
      <alignment horizontal="right" vertical="center"/>
    </xf>
    <xf numFmtId="174" fontId="131" fillId="0" borderId="0" xfId="15" applyNumberFormat="1" applyFont="1" applyAlignment="1">
      <alignment horizontal="center" vertical="center"/>
    </xf>
    <xf numFmtId="0" fontId="131" fillId="0" borderId="0" xfId="16" applyFont="1" applyAlignment="1">
      <alignment horizontal="center" vertical="center"/>
    </xf>
    <xf numFmtId="199" fontId="131" fillId="0" borderId="0" xfId="16" applyNumberFormat="1" applyFont="1" applyAlignment="1">
      <alignment horizontal="right" vertical="center"/>
    </xf>
    <xf numFmtId="199" fontId="131" fillId="0" borderId="0" xfId="16" applyNumberFormat="1" applyFont="1" applyAlignment="1">
      <alignment horizontal="center" vertical="center"/>
    </xf>
    <xf numFmtId="0" fontId="122" fillId="0" borderId="0" xfId="13" applyFont="1" applyAlignment="1">
      <alignment horizontal="left" vertical="center"/>
    </xf>
    <xf numFmtId="0" fontId="130" fillId="0" borderId="0" xfId="13" applyFont="1" applyAlignment="1">
      <alignment horizontal="left" vertical="center"/>
    </xf>
    <xf numFmtId="0" fontId="122" fillId="0" borderId="0" xfId="13" applyFont="1" applyAlignment="1">
      <alignment vertical="center" wrapText="1"/>
    </xf>
    <xf numFmtId="0" fontId="122" fillId="0" borderId="0" xfId="13" applyFont="1" applyAlignment="1">
      <alignment horizontal="left" vertical="center" wrapText="1"/>
    </xf>
    <xf numFmtId="0" fontId="122" fillId="0" borderId="0" xfId="13" applyFont="1" applyAlignment="1">
      <alignment horizontal="right" vertical="center" wrapText="1"/>
    </xf>
    <xf numFmtId="174" fontId="122" fillId="0" borderId="0" xfId="15" applyNumberFormat="1" applyFont="1" applyBorder="1" applyAlignment="1">
      <alignment horizontal="center" vertical="center" wrapText="1"/>
    </xf>
    <xf numFmtId="199" fontId="122" fillId="0" borderId="0" xfId="13" applyNumberFormat="1" applyFont="1" applyAlignment="1">
      <alignment horizontal="right" vertical="center" wrapText="1"/>
    </xf>
    <xf numFmtId="199" fontId="122" fillId="0" borderId="0" xfId="13" applyNumberFormat="1" applyFont="1" applyAlignment="1">
      <alignment horizontal="center" vertical="center" wrapText="1"/>
    </xf>
    <xf numFmtId="0" fontId="122" fillId="0" borderId="0" xfId="14" applyFont="1" applyAlignment="1">
      <alignment horizontal="left" vertical="center" wrapText="1"/>
    </xf>
    <xf numFmtId="0" fontId="122" fillId="0" borderId="0" xfId="14" applyFont="1" applyAlignment="1">
      <alignment vertical="center"/>
    </xf>
    <xf numFmtId="0" fontId="130" fillId="0" borderId="0" xfId="14" applyFont="1" applyAlignment="1">
      <alignment vertical="center"/>
    </xf>
    <xf numFmtId="174" fontId="121" fillId="3" borderId="83" xfId="16" applyNumberFormat="1" applyFont="1" applyFill="1" applyBorder="1" applyAlignment="1">
      <alignment horizontal="center" vertical="center"/>
    </xf>
    <xf numFmtId="3" fontId="122" fillId="0" borderId="0" xfId="3" applyNumberFormat="1" applyFont="1" applyAlignment="1">
      <alignment horizontal="left" vertical="center"/>
    </xf>
    <xf numFmtId="3" fontId="122" fillId="0" borderId="0" xfId="13" applyNumberFormat="1" applyFont="1" applyAlignment="1">
      <alignment vertical="center" wrapText="1"/>
    </xf>
    <xf numFmtId="9" fontId="122" fillId="0" borderId="0" xfId="13" applyNumberFormat="1" applyFont="1" applyAlignment="1">
      <alignment horizontal="center" vertical="center" wrapText="1"/>
    </xf>
    <xf numFmtId="14" fontId="122" fillId="0" borderId="0" xfId="13" applyNumberFormat="1" applyFont="1" applyAlignment="1">
      <alignment horizontal="center" vertical="center" wrapText="1"/>
    </xf>
    <xf numFmtId="0" fontId="122" fillId="0" borderId="0" xfId="16" applyFont="1" applyAlignment="1">
      <alignment horizontal="left" vertical="center"/>
    </xf>
    <xf numFmtId="0" fontId="122" fillId="0" borderId="0" xfId="14" applyFont="1" applyAlignment="1">
      <alignment horizontal="right" vertical="center"/>
    </xf>
    <xf numFmtId="167" fontId="122" fillId="3" borderId="83" xfId="16" applyNumberFormat="1" applyFont="1" applyFill="1" applyBorder="1" applyAlignment="1">
      <alignment horizontal="center" vertical="center"/>
    </xf>
    <xf numFmtId="0" fontId="122" fillId="0" borderId="0" xfId="16" applyFont="1" applyAlignment="1">
      <alignment vertical="center"/>
    </xf>
    <xf numFmtId="0" fontId="122" fillId="0" borderId="0" xfId="16" applyFont="1" applyAlignment="1">
      <alignment horizontal="right" vertical="center"/>
    </xf>
    <xf numFmtId="199" fontId="122" fillId="0" borderId="0" xfId="16" applyNumberFormat="1" applyFont="1" applyAlignment="1">
      <alignment horizontal="right" vertical="center"/>
    </xf>
    <xf numFmtId="199" fontId="122" fillId="0" borderId="0" xfId="16" applyNumberFormat="1" applyFont="1" applyAlignment="1">
      <alignment horizontal="center" vertical="center"/>
    </xf>
    <xf numFmtId="170" fontId="122" fillId="0" borderId="0" xfId="1" applyFont="1" applyAlignment="1">
      <alignment horizontal="left" vertical="center"/>
    </xf>
    <xf numFmtId="49" fontId="122" fillId="0" borderId="1" xfId="14" applyNumberFormat="1" applyFont="1" applyBorder="1" applyAlignment="1">
      <alignment horizontal="left" vertical="center" wrapText="1"/>
    </xf>
    <xf numFmtId="195" fontId="122" fillId="0" borderId="1" xfId="201" applyNumberFormat="1" applyFont="1" applyBorder="1" applyAlignment="1">
      <alignment vertical="center"/>
    </xf>
    <xf numFmtId="195" fontId="121" fillId="0" borderId="0" xfId="201" applyNumberFormat="1" applyFont="1" applyAlignment="1">
      <alignment vertical="center"/>
    </xf>
    <xf numFmtId="174" fontId="121" fillId="0" borderId="0" xfId="15" applyNumberFormat="1" applyFont="1" applyBorder="1" applyAlignment="1">
      <alignment horizontal="center" vertical="center"/>
    </xf>
    <xf numFmtId="195" fontId="121" fillId="0" borderId="0" xfId="14" applyNumberFormat="1" applyFont="1" applyAlignment="1">
      <alignment horizontal="center" vertical="center"/>
    </xf>
    <xf numFmtId="174" fontId="7" fillId="0" borderId="0" xfId="14" applyNumberFormat="1" applyFont="1" applyAlignment="1">
      <alignment horizontal="center" vertical="center"/>
    </xf>
    <xf numFmtId="1" fontId="27" fillId="50" borderId="1" xfId="4" applyNumberFormat="1" applyFont="1" applyFill="1" applyBorder="1" applyAlignment="1">
      <alignment horizontal="center" vertical="center" wrapText="1"/>
    </xf>
    <xf numFmtId="2" fontId="122" fillId="0" borderId="63" xfId="13" applyNumberFormat="1" applyFont="1" applyBorder="1" applyAlignment="1">
      <alignment vertical="center" wrapText="1"/>
    </xf>
    <xf numFmtId="3" fontId="122" fillId="0" borderId="63" xfId="13" applyNumberFormat="1" applyFont="1" applyBorder="1" applyAlignment="1">
      <alignment horizontal="center" vertical="center" wrapText="1"/>
    </xf>
    <xf numFmtId="0" fontId="122" fillId="0" borderId="63" xfId="13" applyFont="1" applyBorder="1" applyAlignment="1">
      <alignment horizontal="center" vertical="center" wrapText="1"/>
    </xf>
    <xf numFmtId="167" fontId="122" fillId="0" borderId="63" xfId="17" applyFont="1" applyBorder="1" applyAlignment="1">
      <alignment horizontal="center" vertical="center" wrapText="1"/>
    </xf>
    <xf numFmtId="9" fontId="122" fillId="0" borderId="63" xfId="10" applyFont="1" applyBorder="1" applyAlignment="1">
      <alignment horizontal="center" vertical="center" wrapText="1"/>
    </xf>
    <xf numFmtId="170" fontId="122" fillId="0" borderId="63" xfId="1" applyFont="1" applyBorder="1" applyAlignment="1">
      <alignment vertical="center" wrapText="1"/>
    </xf>
    <xf numFmtId="9" fontId="122" fillId="0" borderId="63" xfId="10" applyFont="1" applyBorder="1" applyAlignment="1">
      <alignment vertical="center" wrapText="1"/>
    </xf>
    <xf numFmtId="15" fontId="131" fillId="0" borderId="64" xfId="191" applyNumberFormat="1" applyFont="1" applyBorder="1" applyAlignment="1">
      <alignment vertical="center" wrapText="1"/>
    </xf>
    <xf numFmtId="15" fontId="131" fillId="0" borderId="73" xfId="191" applyNumberFormat="1" applyFont="1" applyBorder="1" applyAlignment="1">
      <alignment vertical="center" wrapText="1"/>
    </xf>
    <xf numFmtId="1" fontId="27" fillId="0" borderId="0" xfId="4" applyNumberFormat="1" applyFont="1" applyAlignment="1">
      <alignment horizontal="center" vertical="center"/>
    </xf>
    <xf numFmtId="1" fontId="27" fillId="0" borderId="0" xfId="4" applyNumberFormat="1" applyFont="1" applyAlignment="1">
      <alignment horizontal="center" vertical="center" wrapText="1"/>
    </xf>
    <xf numFmtId="1" fontId="63" fillId="12" borderId="1" xfId="4" applyNumberFormat="1" applyFont="1" applyFill="1" applyBorder="1" applyAlignment="1">
      <alignment horizontal="center" vertical="center" wrapText="1"/>
    </xf>
    <xf numFmtId="1" fontId="7" fillId="19" borderId="1" xfId="4" applyNumberFormat="1" applyFont="1" applyFill="1" applyBorder="1" applyAlignment="1">
      <alignment horizontal="center" vertical="center" wrapText="1"/>
    </xf>
    <xf numFmtId="1" fontId="7" fillId="50" borderId="1" xfId="4" applyNumberFormat="1" applyFont="1" applyFill="1" applyBorder="1" applyAlignment="1">
      <alignment horizontal="center" vertical="center" wrapText="1"/>
    </xf>
    <xf numFmtId="1" fontId="27" fillId="0" borderId="2" xfId="4" applyNumberFormat="1" applyFont="1" applyBorder="1" applyAlignment="1">
      <alignment horizontal="center" vertical="center" wrapText="1"/>
    </xf>
    <xf numFmtId="1" fontId="7" fillId="0" borderId="1" xfId="4" applyNumberFormat="1" applyFont="1" applyBorder="1" applyAlignment="1">
      <alignment horizontal="center" vertical="center" wrapText="1"/>
    </xf>
    <xf numFmtId="1" fontId="27" fillId="28" borderId="1" xfId="4" applyNumberFormat="1" applyFont="1" applyFill="1" applyBorder="1" applyAlignment="1">
      <alignment horizontal="center" vertical="center" wrapText="1"/>
    </xf>
    <xf numFmtId="1" fontId="82" fillId="16" borderId="1" xfId="4" applyNumberFormat="1" applyFont="1" applyFill="1" applyBorder="1" applyAlignment="1">
      <alignment horizontal="center" vertical="center" wrapText="1"/>
    </xf>
    <xf numFmtId="1" fontId="27" fillId="0" borderId="1" xfId="14" applyNumberFormat="1" applyFont="1" applyBorder="1" applyAlignment="1">
      <alignment horizontal="center" vertical="center" wrapText="1"/>
    </xf>
    <xf numFmtId="1" fontId="113" fillId="3" borderId="1" xfId="4" applyNumberFormat="1" applyFont="1" applyFill="1" applyBorder="1" applyAlignment="1">
      <alignment horizontal="center" vertical="center" wrapText="1"/>
    </xf>
    <xf numFmtId="1" fontId="7" fillId="16" borderId="1" xfId="4" applyNumberFormat="1" applyFont="1" applyFill="1" applyBorder="1" applyAlignment="1">
      <alignment horizontal="center" vertical="center" wrapText="1"/>
    </xf>
    <xf numFmtId="1" fontId="64" fillId="20" borderId="1" xfId="4" applyNumberFormat="1" applyFont="1" applyFill="1" applyBorder="1" applyAlignment="1">
      <alignment horizontal="center" vertical="center" wrapText="1"/>
    </xf>
    <xf numFmtId="1" fontId="74" fillId="0" borderId="0" xfId="4" applyNumberFormat="1" applyFont="1" applyAlignment="1">
      <alignment horizontal="center" vertical="center"/>
    </xf>
    <xf numFmtId="1" fontId="74" fillId="0" borderId="0" xfId="4" applyNumberFormat="1" applyFont="1" applyAlignment="1">
      <alignment horizontal="center" vertical="center" wrapText="1"/>
    </xf>
    <xf numFmtId="0" fontId="79" fillId="0" borderId="12" xfId="4" applyFont="1" applyBorder="1" applyAlignment="1">
      <alignment horizontal="center" vertical="center"/>
    </xf>
    <xf numFmtId="49" fontId="79" fillId="0" borderId="12" xfId="4" applyNumberFormat="1" applyFont="1" applyBorder="1" applyAlignment="1">
      <alignment horizontal="center" vertical="center" wrapText="1"/>
    </xf>
    <xf numFmtId="49" fontId="81" fillId="0" borderId="12" xfId="4" applyNumberFormat="1" applyFont="1" applyBorder="1" applyAlignment="1">
      <alignment horizontal="left" vertical="center" wrapText="1"/>
    </xf>
    <xf numFmtId="49" fontId="79" fillId="0" borderId="12" xfId="4" applyNumberFormat="1" applyFont="1" applyBorder="1" applyAlignment="1">
      <alignment horizontal="left" vertical="center" wrapText="1"/>
    </xf>
    <xf numFmtId="2" fontId="124" fillId="0" borderId="12" xfId="4" applyNumberFormat="1" applyFont="1" applyBorder="1" applyAlignment="1">
      <alignment horizontal="left" vertical="center" wrapText="1"/>
    </xf>
    <xf numFmtId="2" fontId="77" fillId="0" borderId="12" xfId="4" applyNumberFormat="1" applyFont="1" applyBorder="1" applyAlignment="1">
      <alignment horizontal="left" vertical="center" wrapText="1"/>
    </xf>
    <xf numFmtId="49" fontId="27" fillId="0" borderId="12" xfId="1" applyNumberFormat="1" applyFont="1" applyBorder="1" applyAlignment="1">
      <alignment horizontal="left" vertical="center" wrapText="1"/>
    </xf>
    <xf numFmtId="0" fontId="27" fillId="0" borderId="12" xfId="4" applyFont="1" applyBorder="1" applyAlignment="1">
      <alignment vertical="center"/>
    </xf>
    <xf numFmtId="49" fontId="79" fillId="16" borderId="12" xfId="4" applyNumberFormat="1" applyFont="1" applyFill="1" applyBorder="1" applyAlignment="1">
      <alignment horizontal="left" vertical="center" wrapText="1"/>
    </xf>
    <xf numFmtId="0" fontId="82" fillId="0" borderId="12" xfId="4" applyFont="1" applyBorder="1" applyAlignment="1">
      <alignment vertical="center"/>
    </xf>
    <xf numFmtId="49" fontId="7" fillId="0" borderId="12" xfId="4" applyNumberFormat="1" applyFont="1" applyBorder="1" applyAlignment="1">
      <alignment horizontal="left" vertical="center" wrapText="1"/>
    </xf>
    <xf numFmtId="2" fontId="27" fillId="0" borderId="12" xfId="4" applyNumberFormat="1" applyFont="1" applyBorder="1" applyAlignment="1">
      <alignment horizontal="left" vertical="center" wrapText="1"/>
    </xf>
    <xf numFmtId="49" fontId="77" fillId="0" borderId="12" xfId="4" applyNumberFormat="1" applyFont="1" applyBorder="1" applyAlignment="1">
      <alignment horizontal="left" vertical="center" wrapText="1"/>
    </xf>
    <xf numFmtId="49" fontId="77" fillId="0" borderId="12" xfId="4" quotePrefix="1" applyNumberFormat="1" applyFont="1" applyBorder="1" applyAlignment="1">
      <alignment horizontal="left" vertical="center" wrapText="1"/>
    </xf>
    <xf numFmtId="49" fontId="83" fillId="0" borderId="12" xfId="4" quotePrefix="1" applyNumberFormat="1" applyFont="1" applyBorder="1" applyAlignment="1">
      <alignment horizontal="left" vertical="center" wrapText="1"/>
    </xf>
    <xf numFmtId="0" fontId="80" fillId="0" borderId="0" xfId="4" applyFont="1" applyAlignment="1">
      <alignment vertical="center"/>
    </xf>
    <xf numFmtId="0" fontId="75" fillId="0" borderId="0" xfId="4" applyFont="1" applyAlignment="1">
      <alignment vertical="center"/>
    </xf>
    <xf numFmtId="0" fontId="82" fillId="0" borderId="0" xfId="4" applyFont="1" applyAlignment="1">
      <alignment vertical="center"/>
    </xf>
    <xf numFmtId="49" fontId="27" fillId="0" borderId="0" xfId="1" applyNumberFormat="1" applyFont="1" applyBorder="1" applyAlignment="1">
      <alignment horizontal="left" vertical="center" wrapText="1"/>
    </xf>
    <xf numFmtId="0" fontId="27" fillId="16" borderId="0" xfId="4" applyFont="1" applyFill="1" applyAlignment="1">
      <alignment vertical="center"/>
    </xf>
    <xf numFmtId="0" fontId="74" fillId="16" borderId="0" xfId="4" applyFont="1" applyFill="1" applyAlignment="1">
      <alignment vertical="center"/>
    </xf>
    <xf numFmtId="0" fontId="7" fillId="16" borderId="0" xfId="4" applyFont="1" applyFill="1" applyAlignment="1">
      <alignment vertical="center"/>
    </xf>
    <xf numFmtId="49" fontId="27" fillId="0" borderId="0" xfId="4" applyNumberFormat="1" applyFont="1" applyAlignment="1">
      <alignment horizontal="left" vertical="center" wrapText="1"/>
    </xf>
    <xf numFmtId="49" fontId="74" fillId="0" borderId="0" xfId="4" applyNumberFormat="1" applyFont="1" applyAlignment="1">
      <alignment horizontal="left" vertical="center" wrapText="1"/>
    </xf>
    <xf numFmtId="49" fontId="122" fillId="0" borderId="1" xfId="14" applyNumberFormat="1" applyFont="1" applyBorder="1" applyAlignment="1">
      <alignment horizontal="right" vertical="center"/>
    </xf>
    <xf numFmtId="49" fontId="122" fillId="0" borderId="63" xfId="1" applyNumberFormat="1" applyFont="1" applyBorder="1" applyAlignment="1">
      <alignment horizontal="right" vertical="center" wrapText="1"/>
    </xf>
    <xf numFmtId="49" fontId="122" fillId="0" borderId="7" xfId="1" applyNumberFormat="1" applyFont="1" applyBorder="1" applyAlignment="1">
      <alignment horizontal="right" vertical="center" wrapText="1"/>
    </xf>
    <xf numFmtId="49" fontId="122" fillId="0" borderId="63" xfId="14" applyNumberFormat="1" applyFont="1" applyBorder="1" applyAlignment="1">
      <alignment horizontal="right" vertical="center" wrapText="1"/>
    </xf>
    <xf numFmtId="49" fontId="122" fillId="0" borderId="8" xfId="1" applyNumberFormat="1" applyFont="1" applyBorder="1" applyAlignment="1">
      <alignment horizontal="right" vertical="center" wrapText="1"/>
    </xf>
    <xf numFmtId="49" fontId="122" fillId="0" borderId="7" xfId="14" applyNumberFormat="1" applyFont="1" applyBorder="1" applyAlignment="1">
      <alignment horizontal="right" vertical="center" wrapText="1"/>
    </xf>
    <xf numFmtId="49" fontId="122" fillId="0" borderId="6" xfId="14" applyNumberFormat="1" applyFont="1" applyBorder="1" applyAlignment="1">
      <alignment horizontal="right" vertical="center" wrapText="1"/>
    </xf>
    <xf numFmtId="49" fontId="122" fillId="0" borderId="61" xfId="13" applyNumberFormat="1" applyFont="1" applyBorder="1" applyAlignment="1">
      <alignment horizontal="right" vertical="center" wrapText="1"/>
    </xf>
    <xf numFmtId="167" fontId="122" fillId="0" borderId="63" xfId="14" applyNumberFormat="1" applyFont="1" applyBorder="1" applyAlignment="1">
      <alignment vertical="center" wrapText="1"/>
    </xf>
    <xf numFmtId="0" fontId="122" fillId="0" borderId="63" xfId="14" applyFont="1" applyBorder="1" applyAlignment="1">
      <alignment horizontal="center" vertical="center" wrapText="1"/>
    </xf>
    <xf numFmtId="49" fontId="6" fillId="28" borderId="0" xfId="0" applyNumberFormat="1" applyFont="1" applyFill="1" applyAlignment="1">
      <alignment vertical="center" wrapText="1"/>
    </xf>
    <xf numFmtId="49" fontId="6" fillId="28" borderId="0" xfId="0" applyNumberFormat="1" applyFont="1" applyFill="1" applyAlignment="1">
      <alignment horizontal="right" vertical="center" wrapText="1"/>
    </xf>
    <xf numFmtId="49" fontId="5" fillId="61" borderId="0" xfId="0" applyNumberFormat="1" applyFont="1" applyFill="1" applyAlignment="1">
      <alignment vertical="center" wrapText="1"/>
    </xf>
    <xf numFmtId="0" fontId="0" fillId="54" borderId="0" xfId="0" applyFill="1" applyAlignment="1">
      <alignment vertical="center" wrapText="1"/>
    </xf>
    <xf numFmtId="197" fontId="22" fillId="16" borderId="0" xfId="201" applyNumberFormat="1" applyFont="1" applyFill="1" applyAlignment="1">
      <alignment horizontal="center" vertical="center" wrapText="1"/>
    </xf>
    <xf numFmtId="2" fontId="122" fillId="0" borderId="63" xfId="13" applyNumberFormat="1" applyFont="1" applyBorder="1" applyAlignment="1">
      <alignment horizontal="left" vertical="center" wrapText="1"/>
    </xf>
    <xf numFmtId="2" fontId="122" fillId="0" borderId="7" xfId="13" applyNumberFormat="1" applyFont="1" applyBorder="1" applyAlignment="1">
      <alignment horizontal="left" vertical="center" wrapText="1"/>
    </xf>
    <xf numFmtId="2" fontId="122" fillId="0" borderId="6" xfId="13" applyNumberFormat="1" applyFont="1" applyBorder="1" applyAlignment="1">
      <alignment horizontal="left" vertical="center" wrapText="1"/>
    </xf>
    <xf numFmtId="195" fontId="122" fillId="0" borderId="6" xfId="201" applyNumberFormat="1" applyFont="1" applyBorder="1" applyAlignment="1">
      <alignment horizontal="right" vertical="center" wrapText="1"/>
    </xf>
    <xf numFmtId="195" fontId="122" fillId="0" borderId="6" xfId="201" applyNumberFormat="1" applyFont="1" applyBorder="1" applyAlignment="1">
      <alignment horizontal="center" vertical="center" wrapText="1"/>
    </xf>
    <xf numFmtId="0" fontId="27" fillId="16" borderId="1" xfId="14" applyFont="1" applyFill="1" applyBorder="1" applyAlignment="1">
      <alignment horizontal="left" vertical="center" wrapText="1"/>
    </xf>
    <xf numFmtId="2" fontId="77" fillId="16" borderId="1" xfId="4" applyNumberFormat="1" applyFont="1" applyFill="1" applyBorder="1" applyAlignment="1">
      <alignment horizontal="left" vertical="center" wrapText="1"/>
    </xf>
    <xf numFmtId="170" fontId="27" fillId="16" borderId="1" xfId="1" applyFont="1" applyFill="1" applyBorder="1" applyAlignment="1">
      <alignment horizontal="left" vertical="center" wrapText="1"/>
    </xf>
    <xf numFmtId="1" fontId="7" fillId="28" borderId="2" xfId="4" applyNumberFormat="1" applyFont="1" applyFill="1" applyBorder="1" applyAlignment="1">
      <alignment horizontal="center" vertical="center" wrapText="1"/>
    </xf>
    <xf numFmtId="0" fontId="82" fillId="0" borderId="1" xfId="14" applyFont="1" applyBorder="1" applyAlignment="1">
      <alignment horizontal="left" vertical="center" wrapText="1"/>
    </xf>
    <xf numFmtId="170" fontId="82" fillId="0" borderId="1" xfId="1" applyFont="1" applyBorder="1" applyAlignment="1">
      <alignment horizontal="left" vertical="center" wrapText="1"/>
    </xf>
    <xf numFmtId="49" fontId="82" fillId="16" borderId="1" xfId="5" applyNumberFormat="1" applyFont="1" applyFill="1" applyBorder="1" applyAlignment="1">
      <alignment vertical="center" wrapText="1"/>
    </xf>
    <xf numFmtId="195" fontId="122" fillId="0" borderId="7" xfId="201" applyNumberFormat="1" applyFont="1" applyBorder="1" applyAlignment="1">
      <alignment horizontal="right" vertical="center" wrapText="1"/>
    </xf>
    <xf numFmtId="195" fontId="122" fillId="0" borderId="7" xfId="201" applyNumberFormat="1" applyFont="1" applyBorder="1" applyAlignment="1">
      <alignment horizontal="center" vertical="center" wrapText="1"/>
    </xf>
    <xf numFmtId="49" fontId="110" fillId="0" borderId="58" xfId="0" applyNumberFormat="1" applyFont="1" applyBorder="1" applyAlignment="1">
      <alignment horizontal="left" vertical="top" wrapText="1"/>
    </xf>
    <xf numFmtId="2" fontId="124" fillId="0" borderId="9" xfId="4" applyNumberFormat="1" applyFont="1" applyBorder="1" applyAlignment="1">
      <alignment horizontal="left" vertical="center" wrapText="1"/>
    </xf>
    <xf numFmtId="49" fontId="7" fillId="28" borderId="2" xfId="4" applyNumberFormat="1" applyFont="1" applyFill="1" applyBorder="1" applyAlignment="1">
      <alignment vertical="center" wrapText="1"/>
    </xf>
    <xf numFmtId="0" fontId="82" fillId="16" borderId="1" xfId="4" applyFont="1" applyFill="1" applyBorder="1" applyAlignment="1">
      <alignment vertical="center"/>
    </xf>
    <xf numFmtId="49" fontId="122" fillId="0" borderId="1" xfId="14" applyNumberFormat="1" applyFont="1" applyBorder="1" applyAlignment="1">
      <alignment horizontal="left" vertical="center"/>
    </xf>
    <xf numFmtId="49" fontId="122" fillId="16" borderId="1" xfId="4" applyNumberFormat="1" applyFont="1" applyFill="1" applyBorder="1" applyAlignment="1">
      <alignment vertical="center" wrapText="1"/>
    </xf>
    <xf numFmtId="49" fontId="122" fillId="0" borderId="23" xfId="1" applyNumberFormat="1" applyFont="1" applyBorder="1" applyAlignment="1">
      <alignment horizontal="right" vertical="center" wrapText="1"/>
    </xf>
    <xf numFmtId="49" fontId="122" fillId="0" borderId="7" xfId="10" applyNumberFormat="1" applyFont="1" applyBorder="1" applyAlignment="1">
      <alignment horizontal="right" vertical="center" wrapText="1"/>
    </xf>
    <xf numFmtId="49" fontId="122" fillId="0" borderId="1" xfId="14" applyNumberFormat="1" applyFont="1" applyBorder="1" applyAlignment="1">
      <alignment horizontal="right" vertical="center" wrapText="1"/>
    </xf>
    <xf numFmtId="195" fontId="122" fillId="0" borderId="1" xfId="201" applyNumberFormat="1" applyFont="1" applyBorder="1" applyAlignment="1">
      <alignment vertical="center" wrapText="1"/>
    </xf>
    <xf numFmtId="0" fontId="122" fillId="0" borderId="0" xfId="14" applyFont="1" applyAlignment="1">
      <alignment horizontal="center" vertical="center" wrapText="1"/>
    </xf>
    <xf numFmtId="0" fontId="122" fillId="0" borderId="0" xfId="14" applyFont="1" applyAlignment="1">
      <alignment horizontal="right" vertical="center" wrapText="1"/>
    </xf>
    <xf numFmtId="167" fontId="122" fillId="0" borderId="7" xfId="14" applyNumberFormat="1" applyFont="1" applyBorder="1" applyAlignment="1">
      <alignment vertical="center" wrapText="1"/>
    </xf>
    <xf numFmtId="49" fontId="122" fillId="0" borderId="7" xfId="13" applyNumberFormat="1" applyFont="1" applyBorder="1" applyAlignment="1">
      <alignment horizontal="center" vertical="center" wrapText="1"/>
    </xf>
    <xf numFmtId="49" fontId="122" fillId="0" borderId="6" xfId="13" applyNumberFormat="1" applyFont="1" applyBorder="1" applyAlignment="1">
      <alignment horizontal="center" vertical="center" wrapText="1"/>
    </xf>
    <xf numFmtId="0" fontId="63" fillId="10" borderId="1" xfId="14" applyFont="1" applyFill="1" applyBorder="1" applyAlignment="1">
      <alignment horizontal="center" vertical="center"/>
    </xf>
    <xf numFmtId="1" fontId="27" fillId="0" borderId="1" xfId="4" applyNumberFormat="1" applyFont="1" applyBorder="1" applyAlignment="1">
      <alignment vertical="center" wrapText="1"/>
    </xf>
    <xf numFmtId="49" fontId="122" fillId="50" borderId="1" xfId="5" applyNumberFormat="1" applyFont="1" applyFill="1" applyBorder="1" applyAlignment="1">
      <alignment horizontal="left" vertical="center" wrapText="1"/>
    </xf>
    <xf numFmtId="49" fontId="9" fillId="50" borderId="1" xfId="5" applyNumberFormat="1" applyFont="1" applyFill="1" applyBorder="1" applyAlignment="1">
      <alignment horizontal="left" vertical="center" wrapText="1"/>
    </xf>
    <xf numFmtId="49" fontId="122" fillId="0" borderId="1" xfId="4" applyNumberFormat="1" applyFont="1" applyBorder="1" applyAlignment="1">
      <alignment vertical="center" wrapText="1"/>
    </xf>
    <xf numFmtId="49" fontId="119" fillId="0" borderId="1" xfId="1" applyNumberFormat="1" applyFont="1" applyBorder="1" applyAlignment="1">
      <alignment horizontal="left" vertical="center" wrapText="1"/>
    </xf>
    <xf numFmtId="49" fontId="62" fillId="0" borderId="1" xfId="5" applyNumberFormat="1" applyFont="1" applyBorder="1" applyAlignment="1">
      <alignment vertical="center" wrapText="1"/>
    </xf>
    <xf numFmtId="49" fontId="34" fillId="0" borderId="1" xfId="5" applyNumberFormat="1" applyFont="1" applyBorder="1" applyAlignment="1">
      <alignment vertical="center" wrapText="1"/>
    </xf>
    <xf numFmtId="49" fontId="27" fillId="3" borderId="1" xfId="1" applyNumberFormat="1" applyFont="1" applyFill="1" applyBorder="1" applyAlignment="1">
      <alignment horizontal="left" vertical="center" wrapText="1"/>
    </xf>
    <xf numFmtId="49" fontId="35" fillId="0" borderId="1" xfId="5" applyNumberFormat="1" applyFont="1" applyFill="1" applyBorder="1" applyAlignment="1">
      <alignment horizontal="left" vertical="center" wrapText="1"/>
    </xf>
    <xf numFmtId="49" fontId="122" fillId="0" borderId="1" xfId="1" applyNumberFormat="1" applyFont="1" applyFill="1" applyBorder="1" applyAlignment="1">
      <alignment horizontal="left" vertical="center" wrapText="1"/>
    </xf>
    <xf numFmtId="49" fontId="27" fillId="16" borderId="1" xfId="1" applyNumberFormat="1" applyFont="1" applyFill="1" applyBorder="1" applyAlignment="1">
      <alignment horizontal="left" vertical="center" wrapText="1"/>
    </xf>
    <xf numFmtId="49" fontId="34" fillId="0" borderId="2" xfId="5" applyNumberFormat="1" applyFont="1" applyFill="1" applyBorder="1" applyAlignment="1">
      <alignment vertical="center" wrapText="1"/>
    </xf>
    <xf numFmtId="49" fontId="35" fillId="16" borderId="1" xfId="5" applyNumberFormat="1" applyFont="1" applyFill="1" applyBorder="1" applyAlignment="1">
      <alignment vertical="center" wrapText="1"/>
    </xf>
    <xf numFmtId="49" fontId="0" fillId="0" borderId="1" xfId="1" applyNumberFormat="1" applyFont="1" applyBorder="1" applyAlignment="1">
      <alignment horizontal="left" vertical="center"/>
    </xf>
    <xf numFmtId="49" fontId="0" fillId="0" borderId="1" xfId="1" applyNumberFormat="1" applyFont="1" applyBorder="1" applyAlignment="1">
      <alignment vertical="center"/>
    </xf>
    <xf numFmtId="49" fontId="63" fillId="20" borderId="1" xfId="4" applyNumberFormat="1" applyFont="1" applyFill="1" applyBorder="1" applyAlignment="1">
      <alignment horizontal="center" vertical="center" wrapText="1"/>
    </xf>
    <xf numFmtId="49" fontId="63" fillId="20" borderId="1" xfId="4" applyNumberFormat="1" applyFont="1" applyFill="1" applyBorder="1" applyAlignment="1">
      <alignment horizontal="right" vertical="center" wrapText="1"/>
    </xf>
    <xf numFmtId="49" fontId="63" fillId="20" borderId="1" xfId="1" applyNumberFormat="1" applyFont="1" applyFill="1" applyBorder="1" applyAlignment="1">
      <alignment horizontal="left" vertical="center" wrapText="1"/>
    </xf>
    <xf numFmtId="49" fontId="63" fillId="20" borderId="1" xfId="4" applyNumberFormat="1" applyFont="1" applyFill="1" applyBorder="1" applyAlignment="1">
      <alignment horizontal="left" vertical="center" wrapText="1"/>
    </xf>
    <xf numFmtId="174" fontId="122" fillId="0" borderId="0" xfId="14" applyNumberFormat="1" applyFont="1" applyAlignment="1">
      <alignment horizontal="center" vertical="center" wrapText="1"/>
    </xf>
    <xf numFmtId="1" fontId="27" fillId="0" borderId="3" xfId="4" applyNumberFormat="1" applyFont="1" applyBorder="1" applyAlignment="1">
      <alignment horizontal="center" vertical="center" wrapText="1"/>
    </xf>
    <xf numFmtId="195" fontId="122" fillId="0" borderId="3" xfId="201" applyNumberFormat="1" applyFont="1" applyBorder="1" applyAlignment="1">
      <alignment horizontal="center" vertical="center"/>
    </xf>
    <xf numFmtId="15" fontId="131" fillId="0" borderId="15" xfId="191" applyNumberFormat="1" applyFont="1" applyBorder="1" applyAlignment="1">
      <alignment horizontal="center" vertical="center" wrapText="1"/>
    </xf>
    <xf numFmtId="15" fontId="131" fillId="0" borderId="93" xfId="191" applyNumberFormat="1" applyFont="1" applyBorder="1" applyAlignment="1">
      <alignment horizontal="center" vertical="center" wrapText="1"/>
    </xf>
    <xf numFmtId="170" fontId="122" fillId="0" borderId="6" xfId="1" applyFont="1" applyBorder="1" applyAlignment="1">
      <alignment vertical="center" wrapText="1"/>
    </xf>
    <xf numFmtId="1" fontId="27" fillId="0" borderId="12" xfId="4" applyNumberFormat="1" applyFont="1" applyBorder="1" applyAlignment="1">
      <alignment horizontal="center" vertical="center" wrapText="1"/>
    </xf>
    <xf numFmtId="1" fontId="27" fillId="0" borderId="9" xfId="4" applyNumberFormat="1" applyFont="1" applyBorder="1" applyAlignment="1">
      <alignment horizontal="center" vertical="center" wrapText="1"/>
    </xf>
    <xf numFmtId="167" fontId="122" fillId="0" borderId="6" xfId="14" applyNumberFormat="1" applyFont="1" applyBorder="1" applyAlignment="1">
      <alignment vertical="center" wrapText="1"/>
    </xf>
    <xf numFmtId="9" fontId="122" fillId="0" borderId="6" xfId="10" applyFont="1" applyBorder="1" applyAlignment="1">
      <alignment vertical="center" wrapText="1"/>
    </xf>
    <xf numFmtId="15" fontId="131" fillId="0" borderId="66" xfId="191" applyNumberFormat="1" applyFont="1" applyBorder="1" applyAlignment="1">
      <alignment vertical="center" wrapText="1"/>
    </xf>
    <xf numFmtId="9" fontId="122" fillId="0" borderId="15" xfId="10" applyFont="1" applyBorder="1" applyAlignment="1">
      <alignment horizontal="center" vertical="center" wrapText="1"/>
    </xf>
    <xf numFmtId="49" fontId="122" fillId="0" borderId="15" xfId="1" applyNumberFormat="1" applyFont="1" applyBorder="1" applyAlignment="1">
      <alignment horizontal="right" vertical="center" wrapText="1"/>
    </xf>
    <xf numFmtId="49" fontId="122" fillId="0" borderId="20" xfId="1" applyNumberFormat="1" applyFont="1" applyBorder="1" applyAlignment="1">
      <alignment horizontal="right" vertical="center" wrapText="1"/>
    </xf>
    <xf numFmtId="170" fontId="122" fillId="0" borderId="8" xfId="1" applyFont="1" applyBorder="1" applyAlignment="1">
      <alignment vertical="center" wrapText="1"/>
    </xf>
    <xf numFmtId="195" fontId="27" fillId="0" borderId="0" xfId="5" applyNumberFormat="1" applyFont="1" applyAlignment="1">
      <alignment horizontal="center" vertical="center"/>
    </xf>
    <xf numFmtId="195" fontId="27" fillId="0" borderId="0" xfId="4" applyNumberFormat="1" applyFont="1" applyAlignment="1">
      <alignment horizontal="center" vertical="center"/>
    </xf>
    <xf numFmtId="195" fontId="27" fillId="0" borderId="0" xfId="4" applyNumberFormat="1" applyFont="1" applyAlignment="1">
      <alignment horizontal="right" vertical="center"/>
    </xf>
    <xf numFmtId="195" fontId="7" fillId="0" borderId="0" xfId="4" applyNumberFormat="1" applyFont="1" applyAlignment="1">
      <alignment vertical="center"/>
    </xf>
    <xf numFmtId="195" fontId="27" fillId="0" borderId="0" xfId="201" applyNumberFormat="1" applyFont="1" applyAlignment="1">
      <alignment horizontal="center" vertical="center" wrapText="1"/>
    </xf>
    <xf numFmtId="195" fontId="118" fillId="0" borderId="0" xfId="4" applyNumberFormat="1" applyFont="1" applyAlignment="1">
      <alignment vertical="center"/>
    </xf>
    <xf numFmtId="195" fontId="63" fillId="12" borderId="1" xfId="201" applyNumberFormat="1" applyFont="1" applyFill="1" applyBorder="1" applyAlignment="1">
      <alignment horizontal="center" vertical="center" wrapText="1"/>
    </xf>
    <xf numFmtId="195" fontId="63" fillId="12" borderId="1" xfId="201" applyNumberFormat="1" applyFont="1" applyFill="1" applyBorder="1" applyAlignment="1">
      <alignment horizontal="right" vertical="center" wrapText="1"/>
    </xf>
    <xf numFmtId="195" fontId="63" fillId="27" borderId="1" xfId="201" applyNumberFormat="1" applyFont="1" applyFill="1" applyBorder="1" applyAlignment="1">
      <alignment horizontal="left" vertical="center" wrapText="1"/>
    </xf>
    <xf numFmtId="195" fontId="63" fillId="27" borderId="1" xfId="201" applyNumberFormat="1" applyFont="1" applyFill="1" applyBorder="1" applyAlignment="1">
      <alignment horizontal="center" vertical="center" wrapText="1"/>
    </xf>
    <xf numFmtId="195" fontId="63" fillId="27" borderId="1" xfId="201" applyNumberFormat="1" applyFont="1" applyFill="1" applyBorder="1" applyAlignment="1">
      <alignment horizontal="right" vertical="center" wrapText="1"/>
    </xf>
    <xf numFmtId="195" fontId="7" fillId="19" borderId="1" xfId="201" applyNumberFormat="1" applyFont="1" applyFill="1" applyBorder="1" applyAlignment="1">
      <alignment horizontal="left" vertical="center" wrapText="1"/>
    </xf>
    <xf numFmtId="195" fontId="7" fillId="19" borderId="1" xfId="201" applyNumberFormat="1" applyFont="1" applyFill="1" applyBorder="1" applyAlignment="1">
      <alignment horizontal="center" vertical="center" wrapText="1"/>
    </xf>
    <xf numFmtId="195" fontId="7" fillId="19" borderId="1" xfId="201" applyNumberFormat="1" applyFont="1" applyFill="1" applyBorder="1" applyAlignment="1">
      <alignment horizontal="right" vertical="center" wrapText="1"/>
    </xf>
    <xf numFmtId="195" fontId="7" fillId="28" borderId="1" xfId="201" applyNumberFormat="1" applyFont="1" applyFill="1" applyBorder="1" applyAlignment="1">
      <alignment horizontal="left" vertical="center" wrapText="1"/>
    </xf>
    <xf numFmtId="195" fontId="7" fillId="28" borderId="1" xfId="201" applyNumberFormat="1" applyFont="1" applyFill="1" applyBorder="1" applyAlignment="1">
      <alignment horizontal="center" vertical="center" wrapText="1"/>
    </xf>
    <xf numFmtId="195" fontId="7" fillId="28" borderId="1" xfId="201" applyNumberFormat="1" applyFont="1" applyFill="1" applyBorder="1" applyAlignment="1">
      <alignment horizontal="right" vertical="center" wrapText="1"/>
    </xf>
    <xf numFmtId="195" fontId="82" fillId="0" borderId="1" xfId="201" applyNumberFormat="1" applyFont="1" applyBorder="1" applyAlignment="1">
      <alignment horizontal="left" vertical="center" wrapText="1"/>
    </xf>
    <xf numFmtId="195" fontId="82" fillId="0" borderId="1" xfId="201" applyNumberFormat="1" applyFont="1" applyBorder="1" applyAlignment="1">
      <alignment horizontal="center" vertical="center"/>
    </xf>
    <xf numFmtId="195" fontId="82" fillId="0" borderId="1" xfId="201" applyNumberFormat="1" applyFont="1" applyBorder="1" applyAlignment="1">
      <alignment horizontal="right" vertical="center"/>
    </xf>
    <xf numFmtId="195" fontId="82" fillId="0" borderId="1" xfId="201" applyNumberFormat="1" applyFont="1" applyBorder="1" applyAlignment="1">
      <alignment vertical="center"/>
    </xf>
    <xf numFmtId="195" fontId="27" fillId="0" borderId="1" xfId="201" applyNumberFormat="1" applyFont="1" applyBorder="1" applyAlignment="1">
      <alignment horizontal="center" vertical="center"/>
    </xf>
    <xf numFmtId="195" fontId="27" fillId="0" borderId="1" xfId="201" applyNumberFormat="1" applyFont="1" applyBorder="1" applyAlignment="1">
      <alignment horizontal="right" vertical="center"/>
    </xf>
    <xf numFmtId="195" fontId="27" fillId="0" borderId="2" xfId="201" applyNumberFormat="1" applyFont="1" applyBorder="1" applyAlignment="1">
      <alignment horizontal="center" vertical="center"/>
    </xf>
    <xf numFmtId="195" fontId="27" fillId="0" borderId="2" xfId="201" applyNumberFormat="1" applyFont="1" applyBorder="1" applyAlignment="1">
      <alignment horizontal="right" vertical="center"/>
    </xf>
    <xf numFmtId="195" fontId="27" fillId="0" borderId="2" xfId="201" applyNumberFormat="1" applyFont="1" applyBorder="1" applyAlignment="1">
      <alignment vertical="center"/>
    </xf>
    <xf numFmtId="195" fontId="27" fillId="0" borderId="1" xfId="201" applyNumberFormat="1" applyFont="1" applyBorder="1" applyAlignment="1">
      <alignment vertical="center"/>
    </xf>
    <xf numFmtId="195" fontId="7" fillId="50" borderId="1" xfId="201" applyNumberFormat="1" applyFont="1" applyFill="1" applyBorder="1" applyAlignment="1">
      <alignment horizontal="center" vertical="center" wrapText="1"/>
    </xf>
    <xf numFmtId="195" fontId="7" fillId="50" borderId="1" xfId="201" applyNumberFormat="1" applyFont="1" applyFill="1" applyBorder="1" applyAlignment="1">
      <alignment horizontal="right" vertical="center" wrapText="1"/>
    </xf>
    <xf numFmtId="195" fontId="7" fillId="50" borderId="1" xfId="201" applyNumberFormat="1" applyFont="1" applyFill="1" applyBorder="1" applyAlignment="1">
      <alignment horizontal="left" vertical="center" wrapText="1"/>
    </xf>
    <xf numFmtId="195" fontId="7" fillId="0" borderId="1" xfId="201" applyNumberFormat="1" applyFont="1" applyBorder="1" applyAlignment="1">
      <alignment horizontal="left" vertical="center" wrapText="1"/>
    </xf>
    <xf numFmtId="195" fontId="7" fillId="0" borderId="1" xfId="201" applyNumberFormat="1" applyFont="1" applyBorder="1" applyAlignment="1">
      <alignment horizontal="center" vertical="center" wrapText="1"/>
    </xf>
    <xf numFmtId="195" fontId="7" fillId="0" borderId="1" xfId="201" applyNumberFormat="1" applyFont="1" applyBorder="1" applyAlignment="1">
      <alignment horizontal="right" vertical="center" wrapText="1"/>
    </xf>
    <xf numFmtId="195" fontId="110" fillId="0" borderId="1" xfId="201" applyNumberFormat="1" applyFont="1" applyBorder="1" applyAlignment="1">
      <alignment vertical="center" wrapText="1"/>
    </xf>
    <xf numFmtId="195" fontId="27" fillId="0" borderId="3" xfId="201" applyNumberFormat="1" applyFont="1" applyBorder="1" applyAlignment="1">
      <alignment horizontal="center" vertical="center" wrapText="1"/>
    </xf>
    <xf numFmtId="195" fontId="27" fillId="0" borderId="1" xfId="201" applyNumberFormat="1" applyFont="1" applyBorder="1" applyAlignment="1">
      <alignment vertical="center" wrapText="1"/>
    </xf>
    <xf numFmtId="195" fontId="27" fillId="0" borderId="1" xfId="201" applyNumberFormat="1" applyFont="1" applyBorder="1" applyAlignment="1">
      <alignment horizontal="center" vertical="center" wrapText="1"/>
    </xf>
    <xf numFmtId="195" fontId="27" fillId="16" borderId="1" xfId="201" applyNumberFormat="1" applyFont="1" applyFill="1" applyBorder="1" applyAlignment="1">
      <alignment horizontal="left" vertical="center" wrapText="1"/>
    </xf>
    <xf numFmtId="195" fontId="27" fillId="16" borderId="1" xfId="201" applyNumberFormat="1" applyFont="1" applyFill="1" applyBorder="1" applyAlignment="1">
      <alignment horizontal="center" vertical="center"/>
    </xf>
    <xf numFmtId="195" fontId="27" fillId="16" borderId="1" xfId="201" applyNumberFormat="1" applyFont="1" applyFill="1" applyBorder="1" applyAlignment="1">
      <alignment horizontal="right" vertical="center"/>
    </xf>
    <xf numFmtId="195" fontId="27" fillId="0" borderId="3" xfId="201" applyNumberFormat="1" applyFont="1" applyBorder="1" applyAlignment="1">
      <alignment horizontal="center" vertical="center"/>
    </xf>
    <xf numFmtId="195" fontId="27" fillId="0" borderId="1" xfId="201" applyNumberFormat="1" applyFont="1" applyFill="1" applyBorder="1" applyAlignment="1">
      <alignment horizontal="left" vertical="center" wrapText="1"/>
    </xf>
    <xf numFmtId="195" fontId="27" fillId="0" borderId="1" xfId="201" applyNumberFormat="1" applyFont="1" applyFill="1" applyBorder="1" applyAlignment="1">
      <alignment vertical="center"/>
    </xf>
    <xf numFmtId="195" fontId="7" fillId="3" borderId="1" xfId="201" applyNumberFormat="1" applyFont="1" applyFill="1" applyBorder="1" applyAlignment="1">
      <alignment horizontal="center" vertical="center" wrapText="1"/>
    </xf>
    <xf numFmtId="195" fontId="7" fillId="3" borderId="1" xfId="201" applyNumberFormat="1" applyFont="1" applyFill="1" applyBorder="1" applyAlignment="1">
      <alignment horizontal="right" vertical="center" wrapText="1"/>
    </xf>
    <xf numFmtId="195" fontId="7" fillId="3" borderId="1" xfId="201" applyNumberFormat="1" applyFont="1" applyFill="1" applyBorder="1" applyAlignment="1">
      <alignment horizontal="left" vertical="center" wrapText="1"/>
    </xf>
    <xf numFmtId="195" fontId="7" fillId="16" borderId="1" xfId="201" applyNumberFormat="1" applyFont="1" applyFill="1" applyBorder="1" applyAlignment="1">
      <alignment horizontal="center" vertical="center" wrapText="1"/>
    </xf>
    <xf numFmtId="195" fontId="7" fillId="16" borderId="1" xfId="201" applyNumberFormat="1" applyFont="1" applyFill="1" applyBorder="1" applyAlignment="1">
      <alignment horizontal="right" vertical="center" wrapText="1"/>
    </xf>
    <xf numFmtId="195" fontId="7" fillId="16" borderId="1" xfId="201" applyNumberFormat="1" applyFont="1" applyFill="1" applyBorder="1" applyAlignment="1">
      <alignment horizontal="left" vertical="center" wrapText="1"/>
    </xf>
    <xf numFmtId="195" fontId="78" fillId="50" borderId="1" xfId="201" applyNumberFormat="1" applyFont="1" applyFill="1" applyBorder="1" applyAlignment="1">
      <alignment horizontal="left" vertical="center" wrapText="1"/>
    </xf>
    <xf numFmtId="195" fontId="27" fillId="0" borderId="1" xfId="201" applyNumberFormat="1" applyFont="1" applyFill="1" applyBorder="1" applyAlignment="1">
      <alignment horizontal="center" vertical="center"/>
    </xf>
    <xf numFmtId="195" fontId="82" fillId="16" borderId="1" xfId="201" applyNumberFormat="1" applyFont="1" applyFill="1" applyBorder="1" applyAlignment="1">
      <alignment horizontal="right" vertical="center"/>
    </xf>
    <xf numFmtId="195" fontId="82" fillId="16" borderId="1" xfId="201" applyNumberFormat="1" applyFont="1" applyFill="1" applyBorder="1" applyAlignment="1">
      <alignment horizontal="center" vertical="center"/>
    </xf>
    <xf numFmtId="195" fontId="7" fillId="26" borderId="1" xfId="201" applyNumberFormat="1" applyFont="1" applyFill="1" applyBorder="1" applyAlignment="1">
      <alignment horizontal="left" vertical="center" wrapText="1"/>
    </xf>
    <xf numFmtId="195" fontId="7" fillId="26" borderId="1" xfId="201" applyNumberFormat="1" applyFont="1" applyFill="1" applyBorder="1" applyAlignment="1">
      <alignment horizontal="center" vertical="center" wrapText="1"/>
    </xf>
    <xf numFmtId="195" fontId="7" fillId="26" borderId="1" xfId="201" applyNumberFormat="1" applyFont="1" applyFill="1" applyBorder="1" applyAlignment="1">
      <alignment horizontal="right" vertical="center" wrapText="1"/>
    </xf>
    <xf numFmtId="195" fontId="7" fillId="26" borderId="1" xfId="5" applyNumberFormat="1" applyFont="1" applyFill="1" applyBorder="1" applyAlignment="1">
      <alignment horizontal="left" vertical="center" wrapText="1"/>
    </xf>
    <xf numFmtId="195" fontId="27" fillId="16" borderId="1" xfId="1" applyNumberFormat="1" applyFont="1" applyFill="1" applyBorder="1" applyAlignment="1">
      <alignment horizontal="center" vertical="center"/>
    </xf>
    <xf numFmtId="195" fontId="0" fillId="0" borderId="1" xfId="201" applyNumberFormat="1" applyFont="1" applyBorder="1" applyAlignment="1">
      <alignment vertical="center"/>
    </xf>
    <xf numFmtId="195" fontId="64" fillId="20" borderId="1" xfId="201" applyNumberFormat="1" applyFont="1" applyFill="1" applyBorder="1" applyAlignment="1">
      <alignment horizontal="center" vertical="center"/>
    </xf>
    <xf numFmtId="195" fontId="64" fillId="20" borderId="1" xfId="201" applyNumberFormat="1" applyFont="1" applyFill="1" applyBorder="1" applyAlignment="1">
      <alignment horizontal="right" vertical="center"/>
    </xf>
    <xf numFmtId="195" fontId="82" fillId="0" borderId="0" xfId="4" applyNumberFormat="1" applyFont="1" applyAlignment="1">
      <alignment horizontal="right" vertical="center"/>
    </xf>
    <xf numFmtId="195" fontId="27" fillId="0" borderId="0" xfId="4" applyNumberFormat="1" applyFont="1" applyAlignment="1">
      <alignment vertical="center"/>
    </xf>
    <xf numFmtId="195" fontId="74" fillId="0" borderId="0" xfId="4" applyNumberFormat="1" applyFont="1" applyAlignment="1">
      <alignment horizontal="center" vertical="center"/>
    </xf>
    <xf numFmtId="195" fontId="74" fillId="0" borderId="0" xfId="4" applyNumberFormat="1" applyFont="1" applyAlignment="1">
      <alignment horizontal="right" vertical="center"/>
    </xf>
    <xf numFmtId="195" fontId="74" fillId="0" borderId="0" xfId="4" applyNumberFormat="1" applyFont="1" applyAlignment="1">
      <alignment vertical="center"/>
    </xf>
    <xf numFmtId="195" fontId="27" fillId="0" borderId="1" xfId="201" applyNumberFormat="1" applyFont="1" applyFill="1" applyBorder="1" applyAlignment="1">
      <alignment horizontal="right" vertical="center"/>
    </xf>
    <xf numFmtId="167" fontId="2" fillId="0" borderId="1" xfId="5" applyFont="1" applyBorder="1" applyAlignment="1">
      <alignment vertical="center"/>
    </xf>
    <xf numFmtId="195" fontId="27" fillId="0" borderId="1" xfId="201" applyNumberFormat="1" applyFont="1" applyFill="1" applyBorder="1" applyAlignment="1">
      <alignment horizontal="center" vertical="center" wrapText="1"/>
    </xf>
    <xf numFmtId="195" fontId="27" fillId="0" borderId="1" xfId="201" applyNumberFormat="1" applyFont="1" applyFill="1" applyBorder="1" applyAlignment="1">
      <alignment horizontal="right" vertical="center" wrapText="1"/>
    </xf>
    <xf numFmtId="4" fontId="18" fillId="0" borderId="7" xfId="5" applyNumberFormat="1" applyFont="1" applyBorder="1" applyAlignment="1">
      <alignment horizontal="center"/>
    </xf>
    <xf numFmtId="4" fontId="14" fillId="0" borderId="7" xfId="5" applyNumberFormat="1" applyFont="1" applyBorder="1" applyAlignment="1">
      <alignment horizontal="center"/>
    </xf>
    <xf numFmtId="0" fontId="2" fillId="0" borderId="0" xfId="0" applyFont="1"/>
    <xf numFmtId="195" fontId="2" fillId="0" borderId="1" xfId="201" applyNumberFormat="1" applyFont="1" applyBorder="1" applyAlignment="1">
      <alignment vertical="center"/>
    </xf>
    <xf numFmtId="167" fontId="2" fillId="0" borderId="2" xfId="5" applyFont="1" applyBorder="1" applyAlignment="1">
      <alignment vertical="center"/>
    </xf>
    <xf numFmtId="195" fontId="2" fillId="0" borderId="2" xfId="201" applyNumberFormat="1" applyFont="1" applyBorder="1" applyAlignment="1">
      <alignment vertical="center"/>
    </xf>
    <xf numFmtId="167" fontId="2" fillId="0" borderId="1" xfId="5" applyFont="1" applyBorder="1" applyAlignment="1">
      <alignment horizontal="left" vertical="center"/>
    </xf>
    <xf numFmtId="49" fontId="2" fillId="0" borderId="1" xfId="5" applyNumberFormat="1" applyFont="1" applyBorder="1" applyAlignment="1">
      <alignment vertical="center"/>
    </xf>
    <xf numFmtId="49" fontId="2" fillId="16" borderId="1" xfId="5" applyNumberFormat="1" applyFont="1" applyFill="1" applyBorder="1" applyAlignment="1">
      <alignment vertical="center"/>
    </xf>
    <xf numFmtId="195" fontId="2" fillId="0" borderId="1" xfId="201" applyNumberFormat="1" applyFont="1" applyFill="1" applyBorder="1" applyAlignment="1">
      <alignment vertical="center"/>
    </xf>
    <xf numFmtId="49" fontId="2" fillId="0" borderId="3" xfId="5" applyNumberFormat="1" applyFont="1" applyBorder="1" applyAlignment="1">
      <alignment vertical="center"/>
    </xf>
    <xf numFmtId="0" fontId="2" fillId="0" borderId="1" xfId="0" applyFont="1" applyBorder="1" applyAlignment="1">
      <alignment vertical="center"/>
    </xf>
    <xf numFmtId="170" fontId="2" fillId="0" borderId="1" xfId="1" applyFont="1" applyBorder="1" applyAlignment="1">
      <alignment vertical="center"/>
    </xf>
    <xf numFmtId="167" fontId="2" fillId="0" borderId="1" xfId="5" applyFont="1" applyFill="1" applyBorder="1" applyAlignment="1">
      <alignment vertical="center"/>
    </xf>
    <xf numFmtId="49" fontId="2" fillId="0" borderId="1" xfId="1" applyNumberFormat="1" applyFont="1" applyFill="1" applyBorder="1" applyAlignment="1">
      <alignment horizontal="left" vertical="center"/>
    </xf>
    <xf numFmtId="0" fontId="2" fillId="0" borderId="1" xfId="0" applyFont="1" applyBorder="1" applyAlignment="1">
      <alignment horizontal="center" vertical="center"/>
    </xf>
    <xf numFmtId="9" fontId="2" fillId="16" borderId="1" xfId="210" applyFont="1" applyFill="1" applyBorder="1" applyAlignment="1">
      <alignment vertical="center"/>
    </xf>
    <xf numFmtId="195" fontId="2" fillId="0" borderId="1" xfId="201" applyNumberFormat="1" applyFont="1" applyBorder="1" applyAlignment="1">
      <alignment horizontal="center" vertical="center"/>
    </xf>
    <xf numFmtId="167" fontId="2" fillId="0" borderId="1" xfId="5" applyFont="1" applyFill="1" applyBorder="1" applyAlignment="1">
      <alignment horizontal="left" vertical="center"/>
    </xf>
    <xf numFmtId="49" fontId="2" fillId="0" borderId="1" xfId="5" applyNumberFormat="1" applyFont="1" applyFill="1" applyBorder="1" applyAlignment="1">
      <alignment horizontal="left" vertical="center"/>
    </xf>
    <xf numFmtId="195" fontId="2" fillId="0" borderId="1" xfId="201" applyNumberFormat="1" applyFont="1" applyFill="1" applyBorder="1" applyAlignment="1">
      <alignment horizontal="left" vertical="center"/>
    </xf>
    <xf numFmtId="9" fontId="2" fillId="0" borderId="1" xfId="210" applyFont="1" applyBorder="1" applyAlignment="1">
      <alignment vertical="center"/>
    </xf>
    <xf numFmtId="195" fontId="2" fillId="0" borderId="1" xfId="201" applyNumberFormat="1" applyFont="1" applyBorder="1" applyAlignment="1">
      <alignment horizontal="left" vertical="center"/>
    </xf>
    <xf numFmtId="49" fontId="2" fillId="0" borderId="1" xfId="5" applyNumberFormat="1" applyFont="1" applyBorder="1" applyAlignment="1">
      <alignment horizontal="left" vertical="center"/>
    </xf>
    <xf numFmtId="49" fontId="2" fillId="0" borderId="1" xfId="5" applyNumberFormat="1" applyFont="1" applyFill="1" applyBorder="1" applyAlignment="1">
      <alignment vertical="center"/>
    </xf>
    <xf numFmtId="49" fontId="2" fillId="0" borderId="1" xfId="1" applyNumberFormat="1" applyFont="1" applyBorder="1" applyAlignment="1">
      <alignment horizontal="left" vertical="center"/>
    </xf>
    <xf numFmtId="0" fontId="2" fillId="0" borderId="0" xfId="0" applyFont="1" applyAlignment="1">
      <alignment vertical="center"/>
    </xf>
    <xf numFmtId="0" fontId="2" fillId="0" borderId="0" xfId="0" applyFont="1" applyAlignment="1">
      <alignment horizontal="right" vertical="center"/>
    </xf>
    <xf numFmtId="0" fontId="2" fillId="0" borderId="0" xfId="0" applyFont="1" applyAlignment="1">
      <alignment horizontal="left" vertical="center"/>
    </xf>
    <xf numFmtId="49" fontId="2" fillId="0" borderId="0" xfId="0" applyNumberFormat="1" applyFont="1" applyAlignment="1">
      <alignment vertical="center"/>
    </xf>
    <xf numFmtId="0" fontId="2" fillId="0" borderId="0" xfId="0" applyFont="1" applyAlignment="1">
      <alignment horizontal="left" vertical="center" wrapText="1"/>
    </xf>
    <xf numFmtId="0" fontId="2" fillId="0" borderId="0" xfId="0" applyFont="1" applyAlignment="1">
      <alignment vertical="center" wrapText="1"/>
    </xf>
    <xf numFmtId="0" fontId="137" fillId="10" borderId="7" xfId="0" applyFont="1" applyFill="1" applyBorder="1" applyAlignment="1">
      <alignment horizontal="center" vertical="center" wrapText="1"/>
    </xf>
    <xf numFmtId="0" fontId="137" fillId="63" borderId="7" xfId="0" applyFont="1" applyFill="1" applyBorder="1" applyAlignment="1">
      <alignment vertical="center" wrapText="1"/>
    </xf>
    <xf numFmtId="0" fontId="135" fillId="0" borderId="7" xfId="0" applyFont="1" applyBorder="1" applyAlignment="1">
      <alignment vertical="center" wrapText="1"/>
    </xf>
    <xf numFmtId="49" fontId="27" fillId="0" borderId="1" xfId="1" applyNumberFormat="1" applyFont="1" applyBorder="1" applyAlignment="1">
      <alignment horizontal="left" vertical="center" wrapText="1" indent="2"/>
    </xf>
    <xf numFmtId="49" fontId="34" fillId="0" borderId="1" xfId="5" applyNumberFormat="1" applyFont="1" applyBorder="1" applyAlignment="1">
      <alignment vertical="top" wrapText="1"/>
    </xf>
    <xf numFmtId="0" fontId="27" fillId="0" borderId="1" xfId="4" applyFont="1" applyBorder="1" applyAlignment="1">
      <alignment horizontal="left" vertical="top" wrapText="1"/>
    </xf>
    <xf numFmtId="1" fontId="122" fillId="0" borderId="8" xfId="210" applyNumberFormat="1" applyFont="1" applyBorder="1" applyAlignment="1">
      <alignment horizontal="center" vertical="center" wrapText="1"/>
    </xf>
    <xf numFmtId="0" fontId="84" fillId="0" borderId="0" xfId="14" applyFont="1" applyAlignment="1">
      <alignment horizontal="left" vertical="center"/>
    </xf>
    <xf numFmtId="0" fontId="122" fillId="0" borderId="0" xfId="201" applyNumberFormat="1" applyFont="1" applyAlignment="1">
      <alignment horizontal="left" vertical="center" wrapText="1"/>
    </xf>
    <xf numFmtId="0" fontId="84" fillId="0" borderId="0" xfId="14" applyFont="1" applyAlignment="1">
      <alignment vertical="center"/>
    </xf>
    <xf numFmtId="49" fontId="122" fillId="0" borderId="1" xfId="4" applyNumberFormat="1" applyFont="1" applyBorder="1" applyAlignment="1">
      <alignment vertical="top" wrapText="1"/>
    </xf>
    <xf numFmtId="49" fontId="27" fillId="50" borderId="1" xfId="4" applyNumberFormat="1" applyFont="1" applyFill="1" applyBorder="1" applyAlignment="1">
      <alignment horizontal="left" vertical="top" wrapText="1"/>
    </xf>
    <xf numFmtId="49" fontId="27" fillId="0" borderId="1" xfId="4" applyNumberFormat="1" applyFont="1" applyBorder="1" applyAlignment="1">
      <alignment vertical="top" wrapText="1"/>
    </xf>
    <xf numFmtId="49" fontId="27" fillId="0" borderId="1" xfId="1" applyNumberFormat="1" applyFont="1" applyBorder="1" applyAlignment="1">
      <alignment horizontal="right" vertical="center" wrapText="1"/>
    </xf>
    <xf numFmtId="0" fontId="71" fillId="0" borderId="0" xfId="4" applyFont="1" applyAlignment="1">
      <alignment horizontal="right" vertical="center"/>
    </xf>
    <xf numFmtId="0" fontId="22" fillId="0" borderId="0" xfId="4" applyFont="1" applyAlignment="1">
      <alignment horizontal="left" vertical="center"/>
    </xf>
    <xf numFmtId="2" fontId="135" fillId="0" borderId="7" xfId="0" applyNumberFormat="1" applyFont="1" applyBorder="1" applyAlignment="1">
      <alignment vertical="center" wrapText="1"/>
    </xf>
    <xf numFmtId="195" fontId="135" fillId="0" borderId="7" xfId="201" applyNumberFormat="1" applyFont="1" applyBorder="1" applyAlignment="1">
      <alignment vertical="center" wrapText="1"/>
    </xf>
    <xf numFmtId="0" fontId="122" fillId="0" borderId="67" xfId="13" applyFont="1" applyBorder="1" applyAlignment="1">
      <alignment horizontal="left" vertical="center" wrapText="1"/>
    </xf>
    <xf numFmtId="0" fontId="63" fillId="10" borderId="1" xfId="14" applyFont="1" applyFill="1" applyBorder="1" applyAlignment="1">
      <alignment horizontal="left" vertical="center"/>
    </xf>
    <xf numFmtId="0" fontId="122" fillId="53" borderId="96" xfId="13" applyFont="1" applyFill="1" applyBorder="1" applyAlignment="1">
      <alignment horizontal="left" vertical="center" wrapText="1"/>
    </xf>
    <xf numFmtId="195" fontId="0" fillId="0" borderId="0" xfId="201" applyNumberFormat="1" applyFont="1"/>
    <xf numFmtId="195" fontId="137" fillId="10" borderId="7" xfId="201" applyNumberFormat="1" applyFont="1" applyFill="1" applyBorder="1" applyAlignment="1">
      <alignment horizontal="center" vertical="center" wrapText="1"/>
    </xf>
    <xf numFmtId="195" fontId="137" fillId="63" borderId="7" xfId="201" applyNumberFormat="1" applyFont="1" applyFill="1" applyBorder="1" applyAlignment="1">
      <alignment vertical="center" wrapText="1"/>
    </xf>
    <xf numFmtId="0" fontId="122" fillId="53" borderId="65" xfId="13" applyFont="1" applyFill="1" applyBorder="1" applyAlignment="1">
      <alignment horizontal="left" vertical="center" wrapText="1"/>
    </xf>
    <xf numFmtId="195" fontId="122" fillId="0" borderId="17" xfId="201" applyNumberFormat="1" applyFont="1" applyBorder="1" applyAlignment="1">
      <alignment horizontal="right" vertical="center" wrapText="1"/>
    </xf>
    <xf numFmtId="1" fontId="122" fillId="0" borderId="6" xfId="210" applyNumberFormat="1" applyFont="1" applyBorder="1" applyAlignment="1">
      <alignment horizontal="center" vertical="center" wrapText="1"/>
    </xf>
    <xf numFmtId="0" fontId="122" fillId="53" borderId="72" xfId="13" applyFont="1" applyFill="1" applyBorder="1" applyAlignment="1">
      <alignment horizontal="left" vertical="center" wrapText="1"/>
    </xf>
    <xf numFmtId="0" fontId="138" fillId="0" borderId="7" xfId="0" applyFont="1" applyBorder="1" applyAlignment="1">
      <alignment vertical="center" wrapText="1"/>
    </xf>
    <xf numFmtId="195" fontId="138" fillId="0" borderId="7" xfId="201" applyNumberFormat="1" applyFont="1" applyBorder="1" applyAlignment="1">
      <alignment vertical="center" wrapText="1"/>
    </xf>
    <xf numFmtId="0" fontId="116" fillId="0" borderId="0" xfId="0" applyFont="1"/>
    <xf numFmtId="0" fontId="122" fillId="53" borderId="62" xfId="13" applyFont="1" applyFill="1" applyBorder="1" applyAlignment="1">
      <alignment horizontal="left" vertical="center" wrapText="1"/>
    </xf>
    <xf numFmtId="0" fontId="122" fillId="53" borderId="86" xfId="13" applyFont="1" applyFill="1" applyBorder="1" applyAlignment="1">
      <alignment horizontal="left" vertical="center" wrapText="1"/>
    </xf>
    <xf numFmtId="195" fontId="122" fillId="0" borderId="8" xfId="1" applyNumberFormat="1" applyFont="1" applyFill="1" applyBorder="1" applyAlignment="1">
      <alignment horizontal="center" vertical="center" wrapText="1"/>
    </xf>
    <xf numFmtId="195" fontId="122" fillId="0" borderId="7" xfId="1" applyNumberFormat="1" applyFont="1" applyFill="1" applyBorder="1" applyAlignment="1">
      <alignment horizontal="center" vertical="center" wrapText="1"/>
    </xf>
    <xf numFmtId="195" fontId="122" fillId="0" borderId="7" xfId="201" applyNumberFormat="1" applyFont="1" applyFill="1" applyBorder="1" applyAlignment="1">
      <alignment horizontal="center" vertical="center" wrapText="1"/>
    </xf>
    <xf numFmtId="195" fontId="122" fillId="0" borderId="6" xfId="201" applyNumberFormat="1" applyFont="1" applyFill="1" applyBorder="1" applyAlignment="1">
      <alignment horizontal="center" vertical="center" wrapText="1"/>
    </xf>
    <xf numFmtId="1" fontId="34" fillId="0" borderId="54" xfId="201" applyNumberFormat="1" applyFont="1" applyBorder="1" applyAlignment="1">
      <alignment horizontal="center" vertical="center" wrapText="1"/>
    </xf>
    <xf numFmtId="167" fontId="32" fillId="0" borderId="1" xfId="5" applyFont="1" applyBorder="1" applyAlignment="1">
      <alignment vertical="center"/>
    </xf>
    <xf numFmtId="167" fontId="78" fillId="12" borderId="1" xfId="5" applyFont="1" applyFill="1" applyBorder="1" applyAlignment="1">
      <alignment horizontal="center" vertical="center" wrapText="1"/>
    </xf>
    <xf numFmtId="0" fontId="87" fillId="0" borderId="0" xfId="0" applyFont="1" applyAlignment="1">
      <alignment horizontal="left" vertical="center" wrapText="1"/>
    </xf>
    <xf numFmtId="0" fontId="34" fillId="0" borderId="0" xfId="0" applyFont="1" applyAlignment="1">
      <alignment vertical="center"/>
    </xf>
    <xf numFmtId="49" fontId="9" fillId="0" borderId="54" xfId="0" applyNumberFormat="1" applyFont="1" applyBorder="1" applyAlignment="1">
      <alignment horizontal="left" vertical="center" wrapText="1"/>
    </xf>
    <xf numFmtId="10" fontId="19" fillId="0" borderId="7" xfId="210" applyNumberFormat="1" applyFont="1" applyFill="1" applyBorder="1" applyAlignment="1">
      <alignment horizontal="center"/>
    </xf>
    <xf numFmtId="49" fontId="27" fillId="0" borderId="0" xfId="1" applyNumberFormat="1" applyFont="1" applyFill="1" applyBorder="1" applyAlignment="1">
      <alignment horizontal="left" vertical="center" wrapText="1"/>
    </xf>
    <xf numFmtId="195" fontId="7" fillId="28" borderId="1" xfId="0" applyNumberFormat="1" applyFont="1" applyFill="1" applyBorder="1" applyAlignment="1">
      <alignment horizontal="center" vertical="center" wrapText="1"/>
    </xf>
    <xf numFmtId="49" fontId="7" fillId="64" borderId="1" xfId="4" applyNumberFormat="1" applyFont="1" applyFill="1" applyBorder="1" applyAlignment="1">
      <alignment horizontal="center" vertical="center"/>
    </xf>
    <xf numFmtId="49" fontId="7" fillId="64" borderId="1" xfId="4" applyNumberFormat="1" applyFont="1" applyFill="1" applyBorder="1" applyAlignment="1">
      <alignment horizontal="right" vertical="center"/>
    </xf>
    <xf numFmtId="49" fontId="7" fillId="64" borderId="1" xfId="1" applyNumberFormat="1" applyFont="1" applyFill="1" applyBorder="1" applyAlignment="1">
      <alignment horizontal="left" vertical="center" wrapText="1"/>
    </xf>
    <xf numFmtId="49" fontId="7" fillId="64" borderId="1" xfId="4" applyNumberFormat="1" applyFont="1" applyFill="1" applyBorder="1" applyAlignment="1">
      <alignment horizontal="left" vertical="center" wrapText="1"/>
    </xf>
    <xf numFmtId="49" fontId="7" fillId="64" borderId="1" xfId="4" applyNumberFormat="1" applyFont="1" applyFill="1" applyBorder="1" applyAlignment="1">
      <alignment horizontal="center" vertical="center" wrapText="1"/>
    </xf>
    <xf numFmtId="49" fontId="7" fillId="64" borderId="1" xfId="4" applyNumberFormat="1" applyFont="1" applyFill="1" applyBorder="1" applyAlignment="1">
      <alignment horizontal="right" vertical="center" wrapText="1"/>
    </xf>
    <xf numFmtId="167" fontId="7" fillId="64" borderId="1" xfId="5" applyFont="1" applyFill="1" applyBorder="1" applyAlignment="1">
      <alignment horizontal="left" vertical="center" wrapText="1"/>
    </xf>
    <xf numFmtId="49" fontId="7" fillId="64" borderId="1" xfId="5" applyNumberFormat="1" applyFont="1" applyFill="1" applyBorder="1" applyAlignment="1">
      <alignment horizontal="left" vertical="center" wrapText="1"/>
    </xf>
    <xf numFmtId="195" fontId="7" fillId="64" borderId="1" xfId="201" applyNumberFormat="1" applyFont="1" applyFill="1" applyBorder="1" applyAlignment="1">
      <alignment horizontal="center" vertical="center" wrapText="1"/>
    </xf>
    <xf numFmtId="170" fontId="3" fillId="0" borderId="0" xfId="1" applyFont="1"/>
    <xf numFmtId="167" fontId="78" fillId="28" borderId="1" xfId="5" applyFont="1" applyFill="1" applyBorder="1" applyAlignment="1">
      <alignment horizontal="left" vertical="center" wrapText="1"/>
    </xf>
    <xf numFmtId="167" fontId="32" fillId="0" borderId="1" xfId="5" applyFont="1" applyFill="1" applyBorder="1" applyAlignment="1">
      <alignment vertical="center"/>
    </xf>
    <xf numFmtId="49" fontId="27" fillId="0" borderId="1" xfId="1" applyNumberFormat="1" applyFont="1" applyFill="1" applyBorder="1" applyAlignment="1">
      <alignment horizontal="left" vertical="center" wrapText="1" indent="2"/>
    </xf>
    <xf numFmtId="49" fontId="119" fillId="0" borderId="1" xfId="1" applyNumberFormat="1" applyFont="1" applyFill="1" applyBorder="1" applyAlignment="1">
      <alignment horizontal="left" vertical="center" wrapText="1"/>
    </xf>
    <xf numFmtId="49" fontId="122" fillId="0" borderId="3" xfId="4" applyNumberFormat="1" applyFont="1" applyBorder="1" applyAlignment="1">
      <alignment vertical="center" wrapText="1"/>
    </xf>
    <xf numFmtId="170" fontId="27" fillId="0" borderId="1" xfId="1" applyFont="1" applyFill="1" applyBorder="1" applyAlignment="1">
      <alignment horizontal="left" vertical="center" wrapText="1"/>
    </xf>
    <xf numFmtId="0" fontId="140" fillId="25" borderId="42" xfId="0" applyFont="1" applyFill="1" applyBorder="1" applyAlignment="1">
      <alignment horizontal="center" vertical="center" wrapText="1"/>
    </xf>
    <xf numFmtId="0" fontId="141" fillId="0" borderId="36" xfId="0" applyFont="1" applyBorder="1" applyAlignment="1">
      <alignment horizontal="center" vertical="center" wrapText="1"/>
    </xf>
    <xf numFmtId="0" fontId="139" fillId="0" borderId="36" xfId="0" applyFont="1" applyBorder="1" applyAlignment="1">
      <alignment horizontal="center" vertical="center" wrapText="1"/>
    </xf>
    <xf numFmtId="14" fontId="27" fillId="0" borderId="75" xfId="12" applyNumberFormat="1" applyFont="1" applyBorder="1" applyAlignment="1">
      <alignment horizontal="center" vertical="center" wrapText="1"/>
    </xf>
    <xf numFmtId="14" fontId="27" fillId="0" borderId="76" xfId="12" applyNumberFormat="1" applyFont="1" applyBorder="1" applyAlignment="1">
      <alignment horizontal="center" vertical="center" wrapText="1"/>
    </xf>
    <xf numFmtId="0" fontId="135" fillId="0" borderId="7" xfId="0" applyFont="1" applyBorder="1" applyAlignment="1">
      <alignment horizontal="center" vertical="center" wrapText="1"/>
    </xf>
    <xf numFmtId="0" fontId="138" fillId="0" borderId="7" xfId="0" applyFont="1" applyBorder="1" applyAlignment="1">
      <alignment horizontal="center" vertical="center" wrapText="1"/>
    </xf>
    <xf numFmtId="15" fontId="135" fillId="0" borderId="7" xfId="0" applyNumberFormat="1" applyFont="1" applyBorder="1" applyAlignment="1">
      <alignment horizontal="center" vertical="center" wrapText="1"/>
    </xf>
    <xf numFmtId="0" fontId="10" fillId="3" borderId="1" xfId="2" applyFont="1" applyFill="1" applyBorder="1" applyAlignment="1">
      <alignment horizontal="center" vertical="center" wrapText="1"/>
    </xf>
    <xf numFmtId="9" fontId="13" fillId="12" borderId="1" xfId="210" applyFont="1" applyFill="1" applyBorder="1" applyAlignment="1">
      <alignment horizontal="left" vertical="center" wrapText="1" indent="1"/>
    </xf>
    <xf numFmtId="0" fontId="139" fillId="25" borderId="41" xfId="0" applyFont="1" applyFill="1" applyBorder="1" applyAlignment="1">
      <alignment horizontal="center" vertical="center" wrapText="1"/>
    </xf>
    <xf numFmtId="0" fontId="11" fillId="0" borderId="0" xfId="4" applyAlignment="1">
      <alignment horizontal="center" vertical="center"/>
    </xf>
    <xf numFmtId="0" fontId="141" fillId="0" borderId="100" xfId="0" applyFont="1" applyBorder="1" applyAlignment="1">
      <alignment horizontal="center" vertical="center" wrapText="1"/>
    </xf>
    <xf numFmtId="0" fontId="139" fillId="0" borderId="100" xfId="0" applyFont="1" applyBorder="1" applyAlignment="1">
      <alignment horizontal="center" vertical="center" wrapText="1"/>
    </xf>
    <xf numFmtId="10" fontId="11" fillId="0" borderId="0" xfId="210" applyNumberFormat="1" applyFont="1" applyAlignment="1">
      <alignment horizontal="center" vertical="center"/>
    </xf>
    <xf numFmtId="170" fontId="122" fillId="0" borderId="63" xfId="1" applyFont="1" applyFill="1" applyBorder="1" applyAlignment="1">
      <alignment horizontal="center" vertical="center" wrapText="1"/>
    </xf>
    <xf numFmtId="170" fontId="122" fillId="0" borderId="7" xfId="1" applyFont="1" applyFill="1" applyBorder="1" applyAlignment="1">
      <alignment horizontal="center" vertical="center" wrapText="1"/>
    </xf>
    <xf numFmtId="170" fontId="122" fillId="0" borderId="6" xfId="1" applyFont="1" applyFill="1" applyBorder="1" applyAlignment="1">
      <alignment horizontal="center" vertical="center" wrapText="1"/>
    </xf>
    <xf numFmtId="0" fontId="122" fillId="0" borderId="17" xfId="14" applyFont="1" applyBorder="1" applyAlignment="1">
      <alignment horizontal="center" vertical="center" wrapText="1"/>
    </xf>
    <xf numFmtId="49" fontId="34" fillId="0" borderId="99" xfId="1" applyNumberFormat="1" applyFont="1" applyBorder="1" applyAlignment="1">
      <alignment horizontal="left" vertical="center" wrapText="1"/>
    </xf>
    <xf numFmtId="49" fontId="82" fillId="0" borderId="1" xfId="1" applyNumberFormat="1" applyFont="1" applyBorder="1" applyAlignment="1">
      <alignment horizontal="left" vertical="top" wrapText="1"/>
    </xf>
    <xf numFmtId="0" fontId="137" fillId="63" borderId="7" xfId="0" applyFont="1" applyFill="1" applyBorder="1" applyAlignment="1">
      <alignment horizontal="center" vertical="center" wrapText="1"/>
    </xf>
    <xf numFmtId="1" fontId="34" fillId="0" borderId="56" xfId="0" applyNumberFormat="1" applyFont="1" applyBorder="1" applyAlignment="1">
      <alignment horizontal="center" vertical="center" wrapText="1"/>
    </xf>
    <xf numFmtId="49" fontId="27" fillId="61" borderId="1" xfId="1" applyNumberFormat="1" applyFont="1" applyFill="1" applyBorder="1" applyAlignment="1">
      <alignment horizontal="left" vertical="center" wrapText="1"/>
    </xf>
    <xf numFmtId="0" fontId="0" fillId="0" borderId="7" xfId="0" applyBorder="1"/>
    <xf numFmtId="17" fontId="0" fillId="0" borderId="7" xfId="0" applyNumberFormat="1" applyBorder="1"/>
    <xf numFmtId="0" fontId="0" fillId="0" borderId="63" xfId="0" applyBorder="1"/>
    <xf numFmtId="17" fontId="0" fillId="0" borderId="64" xfId="0" applyNumberFormat="1" applyBorder="1"/>
    <xf numFmtId="17" fontId="0" fillId="0" borderId="73" xfId="0" applyNumberFormat="1" applyBorder="1"/>
    <xf numFmtId="0" fontId="0" fillId="0" borderId="75" xfId="0" applyBorder="1"/>
    <xf numFmtId="17" fontId="0" fillId="0" borderId="75" xfId="0" applyNumberFormat="1" applyBorder="1"/>
    <xf numFmtId="0" fontId="6" fillId="0" borderId="0" xfId="0" applyFont="1"/>
    <xf numFmtId="17" fontId="6" fillId="0" borderId="63" xfId="0" applyNumberFormat="1" applyFont="1" applyBorder="1"/>
    <xf numFmtId="17" fontId="6" fillId="0" borderId="76" xfId="0" applyNumberFormat="1" applyFont="1" applyBorder="1"/>
    <xf numFmtId="15" fontId="131" fillId="0" borderId="7" xfId="191" applyNumberFormat="1" applyFont="1" applyBorder="1" applyAlignment="1">
      <alignment horizontal="center" vertical="center" wrapText="1"/>
    </xf>
    <xf numFmtId="9" fontId="122" fillId="3" borderId="0" xfId="10" applyFont="1" applyFill="1" applyBorder="1" applyAlignment="1">
      <alignment horizontal="center" vertical="center" wrapText="1"/>
    </xf>
    <xf numFmtId="0" fontId="64" fillId="62" borderId="7" xfId="13" applyFont="1" applyFill="1" applyBorder="1" applyAlignment="1">
      <alignment horizontal="center" vertical="center" wrapText="1"/>
    </xf>
    <xf numFmtId="49" fontId="131" fillId="0" borderId="7" xfId="191" applyNumberFormat="1" applyFont="1" applyBorder="1" applyAlignment="1">
      <alignment horizontal="center" vertical="center" wrapText="1"/>
    </xf>
    <xf numFmtId="49" fontId="122" fillId="0" borderId="6" xfId="14" applyNumberFormat="1" applyFont="1" applyBorder="1" applyAlignment="1">
      <alignment horizontal="center" vertical="center" wrapText="1"/>
    </xf>
    <xf numFmtId="49" fontId="122" fillId="0" borderId="15" xfId="14" applyNumberFormat="1" applyFont="1" applyBorder="1" applyAlignment="1">
      <alignment horizontal="center" vertical="center" wrapText="1"/>
    </xf>
    <xf numFmtId="49" fontId="122" fillId="0" borderId="7" xfId="14" applyNumberFormat="1" applyFont="1" applyBorder="1" applyAlignment="1">
      <alignment horizontal="center" vertical="center" wrapText="1"/>
    </xf>
    <xf numFmtId="49" fontId="27" fillId="0" borderId="0" xfId="4" applyNumberFormat="1" applyFont="1" applyAlignment="1">
      <alignment horizontal="right" vertical="center" wrapText="1"/>
    </xf>
    <xf numFmtId="49" fontId="63" fillId="12" borderId="0" xfId="4" applyNumberFormat="1" applyFont="1" applyFill="1" applyAlignment="1">
      <alignment horizontal="right" vertical="center"/>
    </xf>
    <xf numFmtId="49" fontId="63" fillId="27" borderId="0" xfId="4" applyNumberFormat="1" applyFont="1" applyFill="1" applyAlignment="1">
      <alignment horizontal="right" vertical="center"/>
    </xf>
    <xf numFmtId="49" fontId="7" fillId="28" borderId="0" xfId="4" applyNumberFormat="1" applyFont="1" applyFill="1" applyAlignment="1">
      <alignment horizontal="right" vertical="center"/>
    </xf>
    <xf numFmtId="49" fontId="7" fillId="50" borderId="0" xfId="4" applyNumberFormat="1" applyFont="1" applyFill="1" applyAlignment="1">
      <alignment horizontal="right" vertical="center"/>
    </xf>
    <xf numFmtId="49" fontId="63" fillId="20" borderId="0" xfId="4" applyNumberFormat="1" applyFont="1" applyFill="1" applyAlignment="1">
      <alignment horizontal="right" vertical="center" wrapText="1"/>
    </xf>
    <xf numFmtId="49" fontId="7" fillId="51" borderId="1" xfId="4" applyNumberFormat="1" applyFont="1" applyFill="1" applyBorder="1" applyAlignment="1">
      <alignment horizontal="left" vertical="center" wrapText="1"/>
    </xf>
    <xf numFmtId="0" fontId="2" fillId="0" borderId="7" xfId="0" applyFont="1" applyBorder="1"/>
    <xf numFmtId="170" fontId="2" fillId="0" borderId="7" xfId="1" applyFont="1" applyBorder="1"/>
    <xf numFmtId="2" fontId="2" fillId="0" borderId="7" xfId="0" applyNumberFormat="1" applyFont="1" applyBorder="1"/>
    <xf numFmtId="0" fontId="144" fillId="66" borderId="41" xfId="0" applyFont="1" applyFill="1" applyBorder="1" applyAlignment="1">
      <alignment horizontal="center" vertical="center" wrapText="1"/>
    </xf>
    <xf numFmtId="0" fontId="144" fillId="66" borderId="42" xfId="0" applyFont="1" applyFill="1" applyBorder="1" applyAlignment="1">
      <alignment horizontal="center" vertical="center" wrapText="1"/>
    </xf>
    <xf numFmtId="0" fontId="145" fillId="65" borderId="42" xfId="206" applyFont="1" applyBorder="1" applyAlignment="1">
      <alignment horizontal="center" vertical="center" wrapText="1"/>
    </xf>
    <xf numFmtId="0" fontId="144" fillId="66" borderId="27" xfId="0" applyFont="1" applyFill="1" applyBorder="1" applyAlignment="1">
      <alignment horizontal="center" vertical="center" wrapText="1"/>
    </xf>
    <xf numFmtId="0" fontId="144" fillId="60" borderId="41" xfId="0" applyFont="1" applyFill="1" applyBorder="1" applyAlignment="1">
      <alignment horizontal="center" vertical="center" wrapText="1"/>
    </xf>
    <xf numFmtId="0" fontId="146" fillId="0" borderId="100" xfId="0" applyFont="1" applyBorder="1" applyAlignment="1">
      <alignment horizontal="center" vertical="center" wrapText="1"/>
    </xf>
    <xf numFmtId="0" fontId="146" fillId="0" borderId="36" xfId="0" applyFont="1" applyBorder="1" applyAlignment="1">
      <alignment horizontal="center" vertical="center" wrapText="1"/>
    </xf>
    <xf numFmtId="2" fontId="143" fillId="65" borderId="36" xfId="206" applyNumberFormat="1" applyBorder="1" applyAlignment="1">
      <alignment horizontal="center" vertical="center" wrapText="1"/>
    </xf>
    <xf numFmtId="200" fontId="146" fillId="0" borderId="32" xfId="0" applyNumberFormat="1" applyFont="1" applyBorder="1" applyAlignment="1">
      <alignment horizontal="center" vertical="center" wrapText="1"/>
    </xf>
    <xf numFmtId="2" fontId="0" fillId="0" borderId="41" xfId="0" applyNumberFormat="1" applyBorder="1"/>
    <xf numFmtId="1" fontId="27" fillId="0" borderId="10" xfId="4" applyNumberFormat="1" applyFont="1" applyBorder="1" applyAlignment="1">
      <alignment horizontal="center" vertical="center" wrapText="1"/>
    </xf>
    <xf numFmtId="1" fontId="27" fillId="16" borderId="3" xfId="4" applyNumberFormat="1" applyFont="1" applyFill="1" applyBorder="1" applyAlignment="1">
      <alignment horizontal="center" vertical="center" wrapText="1"/>
    </xf>
    <xf numFmtId="1" fontId="27" fillId="0" borderId="2" xfId="14" applyNumberFormat="1" applyFont="1" applyBorder="1" applyAlignment="1">
      <alignment horizontal="center" vertical="center" wrapText="1"/>
    </xf>
    <xf numFmtId="1" fontId="27" fillId="0" borderId="3" xfId="14" applyNumberFormat="1" applyFont="1" applyBorder="1" applyAlignment="1">
      <alignment horizontal="center" vertical="center" wrapText="1"/>
    </xf>
    <xf numFmtId="195" fontId="27" fillId="0" borderId="2" xfId="201" applyNumberFormat="1" applyFont="1" applyFill="1" applyBorder="1" applyAlignment="1">
      <alignment horizontal="center" vertical="center"/>
    </xf>
    <xf numFmtId="1" fontId="27" fillId="0" borderId="2" xfId="1" applyNumberFormat="1" applyFont="1" applyFill="1" applyBorder="1" applyAlignment="1">
      <alignment horizontal="center" vertical="center" wrapText="1"/>
    </xf>
    <xf numFmtId="1" fontId="34" fillId="54" borderId="54" xfId="201" applyNumberFormat="1" applyFont="1" applyFill="1" applyBorder="1" applyAlignment="1">
      <alignment horizontal="center" vertical="center" wrapText="1"/>
    </xf>
    <xf numFmtId="1" fontId="34" fillId="54" borderId="54" xfId="0" applyNumberFormat="1" applyFont="1" applyFill="1" applyBorder="1" applyAlignment="1">
      <alignment horizontal="center" vertical="center" wrapText="1"/>
    </xf>
    <xf numFmtId="49" fontId="125" fillId="54" borderId="54" xfId="0" applyNumberFormat="1" applyFont="1" applyFill="1" applyBorder="1" applyAlignment="1">
      <alignment horizontal="center" vertical="center" wrapText="1"/>
    </xf>
    <xf numFmtId="1" fontId="111" fillId="54" borderId="54" xfId="0" applyNumberFormat="1" applyFont="1" applyFill="1" applyBorder="1" applyAlignment="1">
      <alignment horizontal="center" vertical="center" wrapText="1"/>
    </xf>
    <xf numFmtId="1" fontId="35" fillId="54" borderId="54" xfId="0" applyNumberFormat="1" applyFont="1" applyFill="1" applyBorder="1" applyAlignment="1">
      <alignment horizontal="center" vertical="center" wrapText="1"/>
    </xf>
    <xf numFmtId="49" fontId="35" fillId="54" borderId="54" xfId="0" applyNumberFormat="1" applyFont="1" applyFill="1" applyBorder="1" applyAlignment="1">
      <alignment horizontal="center" vertical="center" wrapText="1"/>
    </xf>
    <xf numFmtId="49" fontId="82" fillId="0" borderId="1" xfId="1" applyNumberFormat="1" applyFont="1" applyFill="1" applyBorder="1" applyAlignment="1">
      <alignment horizontal="left" vertical="center" wrapText="1"/>
    </xf>
    <xf numFmtId="1" fontId="147" fillId="54" borderId="54" xfId="0" applyNumberFormat="1" applyFont="1" applyFill="1" applyBorder="1" applyAlignment="1">
      <alignment horizontal="center" vertical="center" wrapText="1"/>
    </xf>
    <xf numFmtId="49" fontId="122" fillId="54" borderId="99" xfId="1" applyNumberFormat="1" applyFont="1" applyFill="1" applyBorder="1" applyAlignment="1">
      <alignment horizontal="left" vertical="center" wrapText="1"/>
    </xf>
    <xf numFmtId="49" fontId="62" fillId="54" borderId="99" xfId="0" applyNumberFormat="1" applyFont="1" applyFill="1" applyBorder="1" applyAlignment="1">
      <alignment horizontal="left" vertical="top" wrapText="1"/>
    </xf>
    <xf numFmtId="49" fontId="10" fillId="28" borderId="2" xfId="1" applyNumberFormat="1" applyFont="1" applyFill="1" applyBorder="1" applyAlignment="1">
      <alignment horizontal="right" vertical="center" wrapText="1"/>
    </xf>
    <xf numFmtId="1" fontId="7" fillId="0" borderId="2" xfId="4" applyNumberFormat="1" applyFont="1" applyBorder="1" applyAlignment="1">
      <alignment horizontal="center" vertical="center" wrapText="1"/>
    </xf>
    <xf numFmtId="0" fontId="34" fillId="51" borderId="60" xfId="0" applyFont="1" applyFill="1" applyBorder="1" applyAlignment="1">
      <alignment horizontal="center" vertical="center" wrapText="1"/>
    </xf>
    <xf numFmtId="49" fontId="27" fillId="0" borderId="2" xfId="1" applyNumberFormat="1" applyFont="1" applyFill="1" applyBorder="1" applyAlignment="1">
      <alignment vertical="center" wrapText="1"/>
    </xf>
    <xf numFmtId="49" fontId="27" fillId="0" borderId="9" xfId="1" applyNumberFormat="1" applyFont="1" applyFill="1" applyBorder="1" applyAlignment="1">
      <alignment horizontal="left" vertical="center" wrapText="1"/>
    </xf>
    <xf numFmtId="49" fontId="27" fillId="0" borderId="1" xfId="1" applyNumberFormat="1" applyFont="1" applyFill="1" applyBorder="1" applyAlignment="1">
      <alignment vertical="center" wrapText="1"/>
    </xf>
    <xf numFmtId="1" fontId="27" fillId="0" borderId="2" xfId="1" applyNumberFormat="1" applyFont="1" applyFill="1" applyBorder="1" applyAlignment="1">
      <alignment vertical="center" wrapText="1"/>
    </xf>
    <xf numFmtId="1" fontId="27" fillId="0" borderId="1" xfId="1" applyNumberFormat="1" applyFont="1" applyFill="1" applyBorder="1" applyAlignment="1">
      <alignment vertical="center" wrapText="1"/>
    </xf>
    <xf numFmtId="1" fontId="35" fillId="68" borderId="54" xfId="0" applyNumberFormat="1" applyFont="1" applyFill="1" applyBorder="1" applyAlignment="1">
      <alignment horizontal="center" vertical="center" wrapText="1"/>
    </xf>
    <xf numFmtId="1" fontId="34" fillId="67" borderId="54" xfId="0" applyNumberFormat="1" applyFont="1" applyFill="1" applyBorder="1" applyAlignment="1">
      <alignment horizontal="center" vertical="center" wrapText="1"/>
    </xf>
    <xf numFmtId="49" fontId="147" fillId="54" borderId="54" xfId="0" applyNumberFormat="1" applyFont="1" applyFill="1" applyBorder="1" applyAlignment="1">
      <alignment horizontal="center" vertical="center" wrapText="1"/>
    </xf>
    <xf numFmtId="1" fontId="111" fillId="54" borderId="54" xfId="201" applyNumberFormat="1" applyFont="1" applyFill="1" applyBorder="1" applyAlignment="1">
      <alignment horizontal="center" vertical="center" wrapText="1"/>
    </xf>
    <xf numFmtId="1" fontId="111" fillId="67" borderId="54" xfId="0" applyNumberFormat="1" applyFont="1" applyFill="1" applyBorder="1" applyAlignment="1">
      <alignment horizontal="center" vertical="center" wrapText="1"/>
    </xf>
    <xf numFmtId="1" fontId="147" fillId="68" borderId="54" xfId="0" applyNumberFormat="1" applyFont="1" applyFill="1" applyBorder="1" applyAlignment="1">
      <alignment horizontal="center" vertical="center" wrapText="1"/>
    </xf>
    <xf numFmtId="0" fontId="111" fillId="0" borderId="109" xfId="0" applyFont="1" applyBorder="1" applyAlignment="1">
      <alignment horizontal="left" vertical="center" wrapText="1"/>
    </xf>
    <xf numFmtId="0" fontId="111" fillId="0" borderId="110" xfId="0" applyFont="1" applyBorder="1" applyAlignment="1">
      <alignment horizontal="left" vertical="center" wrapText="1"/>
    </xf>
    <xf numFmtId="49" fontId="112" fillId="0" borderId="108" xfId="0" applyNumberFormat="1" applyFont="1" applyBorder="1" applyAlignment="1">
      <alignment horizontal="left" vertical="center" wrapText="1"/>
    </xf>
    <xf numFmtId="1" fontId="34" fillId="68" borderId="54" xfId="0" applyNumberFormat="1" applyFont="1" applyFill="1" applyBorder="1" applyAlignment="1">
      <alignment horizontal="center" vertical="center" wrapText="1"/>
    </xf>
    <xf numFmtId="49" fontId="150" fillId="0" borderId="54" xfId="0" applyNumberFormat="1" applyFont="1" applyBorder="1" applyAlignment="1">
      <alignment horizontal="center" vertical="center" wrapText="1"/>
    </xf>
    <xf numFmtId="1" fontId="151" fillId="0" borderId="54" xfId="201" applyNumberFormat="1" applyFont="1" applyBorder="1" applyAlignment="1">
      <alignment horizontal="center" vertical="center" wrapText="1"/>
    </xf>
    <xf numFmtId="1" fontId="152" fillId="0" borderId="54" xfId="0" applyNumberFormat="1" applyFont="1" applyBorder="1" applyAlignment="1">
      <alignment horizontal="center" vertical="center" wrapText="1"/>
    </xf>
    <xf numFmtId="1" fontId="151" fillId="0" borderId="54" xfId="0" applyNumberFormat="1" applyFont="1" applyBorder="1" applyAlignment="1">
      <alignment horizontal="center" vertical="center" wrapText="1"/>
    </xf>
    <xf numFmtId="0" fontId="152" fillId="0" borderId="0" xfId="0" applyFont="1"/>
    <xf numFmtId="49" fontId="150" fillId="54" borderId="54" xfId="0" applyNumberFormat="1" applyFont="1" applyFill="1" applyBorder="1" applyAlignment="1">
      <alignment horizontal="center" vertical="center" wrapText="1"/>
    </xf>
    <xf numFmtId="1" fontId="151" fillId="54" borderId="54" xfId="201" applyNumberFormat="1" applyFont="1" applyFill="1" applyBorder="1" applyAlignment="1">
      <alignment horizontal="center" vertical="center" wrapText="1"/>
    </xf>
    <xf numFmtId="1" fontId="152" fillId="54" borderId="54" xfId="0" applyNumberFormat="1" applyFont="1" applyFill="1" applyBorder="1" applyAlignment="1">
      <alignment horizontal="center" vertical="center" wrapText="1"/>
    </xf>
    <xf numFmtId="1" fontId="151" fillId="54" borderId="54" xfId="0" applyNumberFormat="1" applyFont="1" applyFill="1" applyBorder="1" applyAlignment="1">
      <alignment horizontal="center" vertical="center" wrapText="1"/>
    </xf>
    <xf numFmtId="1" fontId="149" fillId="54" borderId="54" xfId="0" applyNumberFormat="1" applyFont="1" applyFill="1" applyBorder="1" applyAlignment="1">
      <alignment horizontal="center" vertical="center" wrapText="1"/>
    </xf>
    <xf numFmtId="49" fontId="7" fillId="0" borderId="2" xfId="4" applyNumberFormat="1" applyFont="1" applyBorder="1" applyAlignment="1">
      <alignment vertical="center" wrapText="1"/>
    </xf>
    <xf numFmtId="49" fontId="27" fillId="0" borderId="2" xfId="5" applyNumberFormat="1" applyFont="1" applyFill="1" applyBorder="1" applyAlignment="1">
      <alignment horizontal="left" vertical="center" wrapText="1"/>
    </xf>
    <xf numFmtId="195" fontId="27" fillId="0" borderId="2" xfId="201" applyNumberFormat="1" applyFont="1" applyFill="1" applyBorder="1" applyAlignment="1">
      <alignment horizontal="right" vertical="center"/>
    </xf>
    <xf numFmtId="195" fontId="2" fillId="0" borderId="2" xfId="201" applyNumberFormat="1" applyFont="1" applyFill="1" applyBorder="1" applyAlignment="1">
      <alignment vertical="center"/>
    </xf>
    <xf numFmtId="49" fontId="27" fillId="67" borderId="1" xfId="1" applyNumberFormat="1" applyFont="1" applyFill="1" applyBorder="1" applyAlignment="1">
      <alignment horizontal="left" vertical="center" wrapText="1"/>
    </xf>
    <xf numFmtId="1" fontId="78" fillId="67" borderId="2" xfId="4" applyNumberFormat="1" applyFont="1" applyFill="1" applyBorder="1" applyAlignment="1">
      <alignment horizontal="center" vertical="center" wrapText="1"/>
    </xf>
    <xf numFmtId="167" fontId="2" fillId="67" borderId="2" xfId="5" applyFont="1" applyFill="1" applyBorder="1" applyAlignment="1">
      <alignment vertical="center"/>
    </xf>
    <xf numFmtId="167" fontId="27" fillId="67" borderId="1" xfId="5" applyFont="1" applyFill="1" applyBorder="1" applyAlignment="1">
      <alignment vertical="center"/>
    </xf>
    <xf numFmtId="49" fontId="82" fillId="67" borderId="1" xfId="1" applyNumberFormat="1" applyFont="1" applyFill="1" applyBorder="1" applyAlignment="1">
      <alignment horizontal="left" vertical="center" wrapText="1"/>
    </xf>
    <xf numFmtId="167" fontId="82" fillId="67" borderId="1" xfId="5" applyFont="1" applyFill="1" applyBorder="1" applyAlignment="1">
      <alignment vertical="center"/>
    </xf>
    <xf numFmtId="1" fontId="82" fillId="67" borderId="1" xfId="4" applyNumberFormat="1" applyFont="1" applyFill="1" applyBorder="1" applyAlignment="1">
      <alignment horizontal="center" vertical="center" wrapText="1"/>
    </xf>
    <xf numFmtId="0" fontId="125" fillId="0" borderId="108" xfId="1" applyNumberFormat="1" applyFont="1" applyFill="1" applyBorder="1" applyAlignment="1">
      <alignment horizontal="left" vertical="center" wrapText="1" indent="1"/>
    </xf>
    <xf numFmtId="1" fontId="34" fillId="69" borderId="54" xfId="0" applyNumberFormat="1" applyFont="1" applyFill="1" applyBorder="1" applyAlignment="1">
      <alignment horizontal="center" vertical="center" wrapText="1"/>
    </xf>
    <xf numFmtId="1" fontId="111" fillId="69" borderId="54" xfId="0" applyNumberFormat="1" applyFont="1" applyFill="1" applyBorder="1" applyAlignment="1">
      <alignment horizontal="center" vertical="center" wrapText="1"/>
    </xf>
    <xf numFmtId="1" fontId="35" fillId="69" borderId="54" xfId="0" applyNumberFormat="1" applyFont="1" applyFill="1" applyBorder="1" applyAlignment="1">
      <alignment horizontal="center" vertical="center" wrapText="1"/>
    </xf>
    <xf numFmtId="49" fontId="7" fillId="50" borderId="1" xfId="1" applyNumberFormat="1" applyFont="1" applyFill="1" applyBorder="1" applyAlignment="1">
      <alignment horizontal="left" vertical="center" wrapText="1"/>
    </xf>
    <xf numFmtId="49" fontId="7" fillId="50" borderId="1" xfId="4" applyNumberFormat="1" applyFont="1" applyFill="1" applyBorder="1" applyAlignment="1">
      <alignment horizontal="left" vertical="center" wrapText="1"/>
    </xf>
    <xf numFmtId="167" fontId="2" fillId="53" borderId="1" xfId="5" applyFont="1" applyFill="1" applyBorder="1" applyAlignment="1">
      <alignment vertical="center" wrapText="1"/>
    </xf>
    <xf numFmtId="170" fontId="27" fillId="53" borderId="2" xfId="1" applyFont="1" applyFill="1" applyBorder="1" applyAlignment="1">
      <alignment vertical="center" wrapText="1"/>
    </xf>
    <xf numFmtId="170" fontId="27" fillId="0" borderId="2" xfId="1" applyFont="1" applyBorder="1" applyAlignment="1">
      <alignment vertical="center" wrapText="1"/>
    </xf>
    <xf numFmtId="49" fontId="113" fillId="50" borderId="2" xfId="4" applyNumberFormat="1" applyFont="1" applyFill="1" applyBorder="1" applyAlignment="1">
      <alignment horizontal="left" vertical="center" wrapText="1"/>
    </xf>
    <xf numFmtId="49" fontId="7" fillId="50" borderId="2" xfId="4" applyNumberFormat="1" applyFont="1" applyFill="1" applyBorder="1" applyAlignment="1">
      <alignment horizontal="center" vertical="center" wrapText="1"/>
    </xf>
    <xf numFmtId="49" fontId="7" fillId="50" borderId="2" xfId="4" applyNumberFormat="1" applyFont="1" applyFill="1" applyBorder="1" applyAlignment="1">
      <alignment horizontal="right" vertical="center" wrapText="1"/>
    </xf>
    <xf numFmtId="167" fontId="7" fillId="50" borderId="2" xfId="5" applyFont="1" applyFill="1" applyBorder="1" applyAlignment="1">
      <alignment horizontal="left" vertical="center" wrapText="1"/>
    </xf>
    <xf numFmtId="49" fontId="7" fillId="50" borderId="2" xfId="5" applyNumberFormat="1" applyFont="1" applyFill="1" applyBorder="1" applyAlignment="1">
      <alignment horizontal="left" vertical="center" wrapText="1"/>
    </xf>
    <xf numFmtId="49" fontId="79" fillId="0" borderId="2" xfId="4" applyNumberFormat="1" applyFont="1" applyBorder="1" applyAlignment="1">
      <alignment horizontal="left" vertical="center" wrapText="1"/>
    </xf>
    <xf numFmtId="49" fontId="113" fillId="50" borderId="3" xfId="4" applyNumberFormat="1" applyFont="1" applyFill="1" applyBorder="1" applyAlignment="1">
      <alignment horizontal="left" vertical="center" wrapText="1"/>
    </xf>
    <xf numFmtId="49" fontId="7" fillId="50" borderId="3" xfId="4" applyNumberFormat="1" applyFont="1" applyFill="1" applyBorder="1" applyAlignment="1">
      <alignment horizontal="center" vertical="center" wrapText="1"/>
    </xf>
    <xf numFmtId="49" fontId="7" fillId="50" borderId="3" xfId="4" applyNumberFormat="1" applyFont="1" applyFill="1" applyBorder="1" applyAlignment="1">
      <alignment horizontal="right" vertical="center" wrapText="1"/>
    </xf>
    <xf numFmtId="167" fontId="7" fillId="50" borderId="3" xfId="5" applyFont="1" applyFill="1" applyBorder="1" applyAlignment="1">
      <alignment horizontal="left" vertical="center" wrapText="1"/>
    </xf>
    <xf numFmtId="49" fontId="7" fillId="50" borderId="3" xfId="5" applyNumberFormat="1" applyFont="1" applyFill="1" applyBorder="1" applyAlignment="1">
      <alignment horizontal="left" vertical="center" wrapText="1"/>
    </xf>
    <xf numFmtId="49" fontId="79" fillId="0" borderId="3" xfId="4" applyNumberFormat="1" applyFont="1" applyBorder="1" applyAlignment="1">
      <alignment horizontal="left" vertical="center" wrapText="1"/>
    </xf>
    <xf numFmtId="0" fontId="154" fillId="0" borderId="1" xfId="14" applyFont="1" applyBorder="1" applyAlignment="1">
      <alignment horizontal="left" vertical="center" wrapText="1"/>
    </xf>
    <xf numFmtId="49" fontId="2" fillId="16" borderId="1" xfId="5" applyNumberFormat="1" applyFont="1" applyFill="1" applyBorder="1" applyAlignment="1">
      <alignment vertical="center" wrapText="1"/>
    </xf>
    <xf numFmtId="49" fontId="10" fillId="50" borderId="1" xfId="4" applyNumberFormat="1" applyFont="1" applyFill="1" applyBorder="1" applyAlignment="1">
      <alignment horizontal="left" vertical="center" wrapText="1"/>
    </xf>
    <xf numFmtId="49" fontId="2" fillId="70" borderId="1" xfId="5" applyNumberFormat="1" applyFont="1" applyFill="1" applyBorder="1" applyAlignment="1">
      <alignment vertical="center" wrapText="1"/>
    </xf>
    <xf numFmtId="1" fontId="27" fillId="53" borderId="1" xfId="4" applyNumberFormat="1" applyFont="1" applyFill="1" applyBorder="1" applyAlignment="1">
      <alignment horizontal="center" vertical="center" wrapText="1"/>
    </xf>
    <xf numFmtId="0" fontId="18" fillId="0" borderId="31" xfId="0" applyFont="1" applyBorder="1" applyAlignment="1">
      <alignment wrapText="1"/>
    </xf>
    <xf numFmtId="43" fontId="27" fillId="16" borderId="10" xfId="201" applyFont="1" applyFill="1" applyBorder="1" applyAlignment="1">
      <alignment horizontal="center" vertical="center" wrapText="1"/>
    </xf>
    <xf numFmtId="1" fontId="27" fillId="16" borderId="10" xfId="4" applyNumberFormat="1" applyFont="1" applyFill="1" applyBorder="1" applyAlignment="1">
      <alignment horizontal="center" vertical="center" wrapText="1"/>
    </xf>
    <xf numFmtId="1" fontId="82" fillId="16" borderId="10" xfId="14" applyNumberFormat="1" applyFont="1" applyFill="1" applyBorder="1" applyAlignment="1">
      <alignment horizontal="center" vertical="center" wrapText="1"/>
    </xf>
    <xf numFmtId="49" fontId="122" fillId="16" borderId="2" xfId="4" applyNumberFormat="1" applyFont="1" applyFill="1" applyBorder="1" applyAlignment="1">
      <alignment vertical="center" wrapText="1"/>
    </xf>
    <xf numFmtId="1" fontId="27" fillId="16" borderId="3" xfId="4" applyNumberFormat="1" applyFont="1" applyFill="1" applyBorder="1" applyAlignment="1">
      <alignment vertical="center" wrapText="1"/>
    </xf>
    <xf numFmtId="1" fontId="82" fillId="16" borderId="3" xfId="14" applyNumberFormat="1" applyFont="1" applyFill="1" applyBorder="1" applyAlignment="1">
      <alignment vertical="center" wrapText="1"/>
    </xf>
    <xf numFmtId="43" fontId="27" fillId="16" borderId="3" xfId="201" applyFont="1" applyFill="1" applyBorder="1" applyAlignment="1">
      <alignment vertical="center" wrapText="1"/>
    </xf>
    <xf numFmtId="170" fontId="27" fillId="0" borderId="2" xfId="1" applyFont="1" applyFill="1" applyBorder="1" applyAlignment="1">
      <alignment vertical="center" wrapText="1"/>
    </xf>
    <xf numFmtId="0" fontId="14" fillId="71" borderId="31" xfId="0" applyFont="1" applyFill="1" applyBorder="1" applyAlignment="1">
      <alignment wrapText="1"/>
    </xf>
    <xf numFmtId="3" fontId="18" fillId="0" borderId="31" xfId="0" applyNumberFormat="1" applyFont="1" applyBorder="1" applyAlignment="1">
      <alignment wrapText="1"/>
    </xf>
    <xf numFmtId="3" fontId="14" fillId="71" borderId="31" xfId="0" applyNumberFormat="1" applyFont="1" applyFill="1" applyBorder="1" applyAlignment="1">
      <alignment wrapText="1"/>
    </xf>
    <xf numFmtId="0" fontId="18" fillId="0" borderId="31" xfId="0" applyFont="1" applyBorder="1" applyAlignment="1">
      <alignment horizontal="left" vertical="center" wrapText="1"/>
    </xf>
    <xf numFmtId="1" fontId="82" fillId="0" borderId="1" xfId="14" applyNumberFormat="1" applyFont="1" applyBorder="1" applyAlignment="1">
      <alignment vertical="center" wrapText="1"/>
    </xf>
    <xf numFmtId="1" fontId="27" fillId="53" borderId="1" xfId="4" applyNumberFormat="1" applyFont="1" applyFill="1" applyBorder="1" applyAlignment="1">
      <alignment vertical="center" wrapText="1"/>
    </xf>
    <xf numFmtId="1" fontId="82" fillId="53" borderId="1" xfId="14" applyNumberFormat="1" applyFont="1" applyFill="1" applyBorder="1" applyAlignment="1">
      <alignment vertical="center" wrapText="1"/>
    </xf>
    <xf numFmtId="49" fontId="122" fillId="53" borderId="1" xfId="4" applyNumberFormat="1" applyFont="1" applyFill="1" applyBorder="1" applyAlignment="1">
      <alignment vertical="center" wrapText="1"/>
    </xf>
    <xf numFmtId="1" fontId="27" fillId="53" borderId="1" xfId="14" applyNumberFormat="1" applyFont="1" applyFill="1" applyBorder="1" applyAlignment="1">
      <alignment horizontal="center" vertical="center" wrapText="1"/>
    </xf>
    <xf numFmtId="0" fontId="27" fillId="53" borderId="1" xfId="14" applyFont="1" applyFill="1" applyBorder="1" applyAlignment="1">
      <alignment horizontal="center" vertical="center" wrapText="1"/>
    </xf>
    <xf numFmtId="0" fontId="34" fillId="54" borderId="60" xfId="0" applyFont="1" applyFill="1" applyBorder="1" applyAlignment="1">
      <alignment horizontal="center" vertical="center" wrapText="1"/>
    </xf>
    <xf numFmtId="43" fontId="27" fillId="16" borderId="1" xfId="201" applyFont="1" applyFill="1" applyBorder="1" applyAlignment="1">
      <alignment horizontal="center" vertical="center" wrapText="1"/>
    </xf>
    <xf numFmtId="1" fontId="82" fillId="16" borderId="1" xfId="14" applyNumberFormat="1" applyFont="1" applyFill="1" applyBorder="1" applyAlignment="1">
      <alignment horizontal="center" vertical="center" wrapText="1"/>
    </xf>
    <xf numFmtId="195" fontId="27" fillId="0" borderId="2" xfId="201" applyNumberFormat="1" applyFont="1" applyBorder="1" applyAlignment="1">
      <alignment vertical="center" wrapText="1"/>
    </xf>
    <xf numFmtId="195" fontId="7" fillId="0" borderId="1" xfId="201" applyNumberFormat="1" applyFont="1" applyFill="1" applyBorder="1" applyAlignment="1">
      <alignment horizontal="center" vertical="center" wrapText="1"/>
    </xf>
    <xf numFmtId="195" fontId="27" fillId="0" borderId="1" xfId="201" applyNumberFormat="1" applyFont="1" applyFill="1" applyBorder="1" applyAlignment="1">
      <alignment vertical="center" wrapText="1"/>
    </xf>
    <xf numFmtId="0" fontId="14" fillId="72" borderId="1" xfId="0" applyFont="1" applyFill="1" applyBorder="1" applyAlignment="1">
      <alignment wrapText="1"/>
    </xf>
    <xf numFmtId="3" fontId="14" fillId="72" borderId="9" xfId="0" applyNumberFormat="1" applyFont="1" applyFill="1" applyBorder="1" applyAlignment="1">
      <alignment wrapText="1"/>
    </xf>
    <xf numFmtId="0" fontId="14" fillId="71" borderId="3" xfId="0" applyFont="1" applyFill="1" applyBorder="1" applyAlignment="1">
      <alignment wrapText="1"/>
    </xf>
    <xf numFmtId="0" fontId="18" fillId="0" borderId="3" xfId="0" applyFont="1" applyBorder="1"/>
    <xf numFmtId="3" fontId="18" fillId="0" borderId="31" xfId="0" applyNumberFormat="1" applyFont="1" applyBorder="1"/>
    <xf numFmtId="0" fontId="18" fillId="0" borderId="31" xfId="0" applyFont="1" applyBorder="1"/>
    <xf numFmtId="0" fontId="155" fillId="0" borderId="31" xfId="0" applyFont="1" applyBorder="1"/>
    <xf numFmtId="49" fontId="82" fillId="0" borderId="1" xfId="1" applyNumberFormat="1" applyFont="1" applyBorder="1" applyAlignment="1">
      <alignment horizontal="left" vertical="center" wrapText="1" indent="2"/>
    </xf>
    <xf numFmtId="49" fontId="122" fillId="54" borderId="54" xfId="0" applyNumberFormat="1" applyFont="1" applyFill="1" applyBorder="1" applyAlignment="1">
      <alignment horizontal="center" vertical="center" wrapText="1"/>
    </xf>
    <xf numFmtId="1" fontId="122" fillId="54" borderId="54" xfId="0" applyNumberFormat="1" applyFont="1" applyFill="1" applyBorder="1" applyAlignment="1">
      <alignment horizontal="center" vertical="center" wrapText="1"/>
    </xf>
    <xf numFmtId="170" fontId="34" fillId="54" borderId="54" xfId="1" applyFont="1" applyFill="1" applyBorder="1" applyAlignment="1">
      <alignment horizontal="center" vertical="center" wrapText="1"/>
    </xf>
    <xf numFmtId="170" fontId="27" fillId="0" borderId="2" xfId="1" applyFont="1" applyBorder="1" applyAlignment="1">
      <alignment horizontal="center" vertical="center"/>
    </xf>
    <xf numFmtId="170" fontId="27" fillId="0" borderId="2" xfId="1" applyFont="1" applyBorder="1" applyAlignment="1">
      <alignment horizontal="center" vertical="center" wrapText="1"/>
    </xf>
    <xf numFmtId="0" fontId="27" fillId="0" borderId="10" xfId="4" applyFont="1" applyBorder="1" applyAlignment="1">
      <alignment vertical="center" wrapText="1"/>
    </xf>
    <xf numFmtId="0" fontId="27" fillId="0" borderId="3" xfId="4" applyFont="1" applyBorder="1" applyAlignment="1">
      <alignment vertical="center" wrapText="1"/>
    </xf>
    <xf numFmtId="1" fontId="27" fillId="0" borderId="10" xfId="4" applyNumberFormat="1" applyFont="1" applyBorder="1" applyAlignment="1">
      <alignment vertical="center"/>
    </xf>
    <xf numFmtId="1" fontId="27" fillId="0" borderId="3" xfId="4" applyNumberFormat="1" applyFont="1" applyBorder="1" applyAlignment="1">
      <alignment vertical="center"/>
    </xf>
    <xf numFmtId="167" fontId="2" fillId="0" borderId="10" xfId="5" applyFont="1" applyBorder="1" applyAlignment="1">
      <alignment vertical="center"/>
    </xf>
    <xf numFmtId="167" fontId="2" fillId="0" borderId="3" xfId="5" applyFont="1" applyBorder="1" applyAlignment="1">
      <alignment vertical="center"/>
    </xf>
    <xf numFmtId="0" fontId="27" fillId="0" borderId="10" xfId="4" applyFont="1" applyBorder="1" applyAlignment="1">
      <alignment vertical="center"/>
    </xf>
    <xf numFmtId="0" fontId="27" fillId="0" borderId="3" xfId="4" applyFont="1" applyBorder="1" applyAlignment="1">
      <alignment vertical="center"/>
    </xf>
    <xf numFmtId="167" fontId="2" fillId="0" borderId="2" xfId="5" applyFont="1" applyFill="1" applyBorder="1" applyAlignment="1">
      <alignment vertical="center"/>
    </xf>
    <xf numFmtId="49" fontId="27" fillId="0" borderId="2" xfId="4" applyNumberFormat="1" applyFont="1" applyBorder="1" applyAlignment="1">
      <alignment horizontal="center" vertical="center" wrapText="1"/>
    </xf>
    <xf numFmtId="1" fontId="82" fillId="7" borderId="2" xfId="4" applyNumberFormat="1" applyFont="1" applyFill="1" applyBorder="1" applyAlignment="1">
      <alignment horizontal="center" vertical="center" wrapText="1"/>
    </xf>
    <xf numFmtId="167" fontId="82" fillId="7" borderId="2" xfId="5" applyFont="1" applyFill="1" applyBorder="1" applyAlignment="1">
      <alignment vertical="center"/>
    </xf>
    <xf numFmtId="49" fontId="82" fillId="7" borderId="1" xfId="1" applyNumberFormat="1" applyFont="1" applyFill="1" applyBorder="1" applyAlignment="1">
      <alignment horizontal="left" vertical="center" wrapText="1"/>
    </xf>
    <xf numFmtId="1" fontId="82" fillId="0" borderId="1" xfId="1" applyNumberFormat="1" applyFont="1" applyFill="1" applyBorder="1" applyAlignment="1">
      <alignment horizontal="center" vertical="center" wrapText="1"/>
    </xf>
    <xf numFmtId="1" fontId="82" fillId="0" borderId="2" xfId="4" applyNumberFormat="1" applyFont="1" applyBorder="1" applyAlignment="1">
      <alignment horizontal="center" vertical="center" wrapText="1"/>
    </xf>
    <xf numFmtId="49" fontId="82" fillId="0" borderId="2" xfId="4" applyNumberFormat="1" applyFont="1" applyBorder="1" applyAlignment="1">
      <alignment vertical="center" wrapText="1"/>
    </xf>
    <xf numFmtId="0" fontId="82" fillId="0" borderId="2" xfId="4" applyFont="1" applyBorder="1" applyAlignment="1">
      <alignment horizontal="left" vertical="center" wrapText="1"/>
    </xf>
    <xf numFmtId="1" fontId="82" fillId="0" borderId="2" xfId="4" applyNumberFormat="1" applyFont="1" applyBorder="1" applyAlignment="1">
      <alignment horizontal="center" vertical="center"/>
    </xf>
    <xf numFmtId="0" fontId="82" fillId="0" borderId="2" xfId="4" applyFont="1" applyBorder="1" applyAlignment="1">
      <alignment horizontal="center" vertical="center"/>
    </xf>
    <xf numFmtId="0" fontId="82" fillId="0" borderId="2" xfId="4" applyFont="1" applyBorder="1" applyAlignment="1">
      <alignment horizontal="right" vertical="center"/>
    </xf>
    <xf numFmtId="167" fontId="82" fillId="0" borderId="2" xfId="5" applyFont="1" applyFill="1" applyBorder="1" applyAlignment="1">
      <alignment vertical="center"/>
    </xf>
    <xf numFmtId="49" fontId="35" fillId="0" borderId="2" xfId="5" applyNumberFormat="1" applyFont="1" applyFill="1" applyBorder="1" applyAlignment="1">
      <alignment vertical="center" wrapText="1"/>
    </xf>
    <xf numFmtId="167" fontId="82" fillId="0" borderId="2" xfId="5" applyFont="1" applyFill="1" applyBorder="1" applyAlignment="1">
      <alignment horizontal="left" vertical="center"/>
    </xf>
    <xf numFmtId="195" fontId="82" fillId="0" borderId="2" xfId="201" applyNumberFormat="1" applyFont="1" applyFill="1" applyBorder="1" applyAlignment="1">
      <alignment horizontal="center" vertical="center"/>
    </xf>
    <xf numFmtId="195" fontId="82" fillId="0" borderId="2" xfId="201" applyNumberFormat="1" applyFont="1" applyFill="1" applyBorder="1" applyAlignment="1">
      <alignment horizontal="right" vertical="center"/>
    </xf>
    <xf numFmtId="195" fontId="82" fillId="0" borderId="2" xfId="201" applyNumberFormat="1" applyFont="1" applyFill="1" applyBorder="1" applyAlignment="1">
      <alignment vertical="center"/>
    </xf>
    <xf numFmtId="1" fontId="27" fillId="0" borderId="2" xfId="4" applyNumberFormat="1" applyFont="1" applyBorder="1" applyAlignment="1">
      <alignment vertical="center" wrapText="1"/>
    </xf>
    <xf numFmtId="1" fontId="27" fillId="0" borderId="10" xfId="4" applyNumberFormat="1" applyFont="1" applyBorder="1" applyAlignment="1">
      <alignment vertical="center" wrapText="1"/>
    </xf>
    <xf numFmtId="1" fontId="7" fillId="50" borderId="12" xfId="4" applyNumberFormat="1" applyFont="1" applyFill="1" applyBorder="1" applyAlignment="1">
      <alignment horizontal="center" vertical="center" wrapText="1"/>
    </xf>
    <xf numFmtId="1" fontId="7" fillId="50" borderId="9" xfId="4" applyNumberFormat="1" applyFont="1" applyFill="1" applyBorder="1" applyAlignment="1">
      <alignment horizontal="center" vertical="center" wrapText="1"/>
    </xf>
    <xf numFmtId="49" fontId="27" fillId="7" borderId="1" xfId="1" applyNumberFormat="1" applyFont="1" applyFill="1" applyBorder="1" applyAlignment="1">
      <alignment horizontal="left" vertical="center" wrapText="1"/>
    </xf>
    <xf numFmtId="167" fontId="2" fillId="7" borderId="1" xfId="5" applyFont="1" applyFill="1" applyBorder="1" applyAlignment="1">
      <alignment vertical="center"/>
    </xf>
    <xf numFmtId="1" fontId="27" fillId="7" borderId="2" xfId="4" applyNumberFormat="1" applyFont="1" applyFill="1" applyBorder="1" applyAlignment="1">
      <alignment horizontal="center" vertical="center" wrapText="1"/>
    </xf>
    <xf numFmtId="49" fontId="122" fillId="0" borderId="2" xfId="5" applyNumberFormat="1" applyFont="1" applyBorder="1" applyAlignment="1">
      <alignment vertical="center" wrapText="1"/>
    </xf>
    <xf numFmtId="167" fontId="27" fillId="0" borderId="2" xfId="5" applyFont="1" applyBorder="1" applyAlignment="1">
      <alignment vertical="center"/>
    </xf>
    <xf numFmtId="167" fontId="27" fillId="0" borderId="2" xfId="5" applyFont="1" applyBorder="1" applyAlignment="1">
      <alignment horizontal="left" vertical="center"/>
    </xf>
    <xf numFmtId="1" fontId="82" fillId="7" borderId="2" xfId="4" applyNumberFormat="1" applyFont="1" applyFill="1" applyBorder="1" applyAlignment="1">
      <alignment horizontal="center" vertical="center"/>
    </xf>
    <xf numFmtId="0" fontId="82" fillId="7" borderId="2" xfId="4" applyFont="1" applyFill="1" applyBorder="1" applyAlignment="1">
      <alignment horizontal="left" vertical="center" wrapText="1"/>
    </xf>
    <xf numFmtId="49" fontId="27" fillId="64" borderId="1" xfId="4" applyNumberFormat="1" applyFont="1" applyFill="1" applyBorder="1" applyAlignment="1">
      <alignment horizontal="right" vertical="center"/>
    </xf>
    <xf numFmtId="170" fontId="27" fillId="0" borderId="1" xfId="1" applyFont="1" applyBorder="1" applyAlignment="1">
      <alignment vertical="center"/>
    </xf>
    <xf numFmtId="170" fontId="2" fillId="7" borderId="1" xfId="1" applyFont="1" applyFill="1" applyBorder="1" applyAlignment="1">
      <alignment vertical="center"/>
    </xf>
    <xf numFmtId="1" fontId="27" fillId="7" borderId="1" xfId="4" applyNumberFormat="1" applyFont="1" applyFill="1" applyBorder="1" applyAlignment="1">
      <alignment horizontal="center" vertical="center" wrapText="1"/>
    </xf>
    <xf numFmtId="49" fontId="27" fillId="0" borderId="1" xfId="1" applyNumberFormat="1" applyFont="1" applyBorder="1" applyAlignment="1">
      <alignment horizontal="left" vertical="center" wrapText="1" indent="1"/>
    </xf>
    <xf numFmtId="170" fontId="2" fillId="7" borderId="2" xfId="1" applyFont="1" applyFill="1" applyBorder="1" applyAlignment="1">
      <alignment horizontal="center" vertical="center"/>
    </xf>
    <xf numFmtId="1" fontId="122" fillId="67" borderId="54" xfId="0" applyNumberFormat="1" applyFont="1" applyFill="1" applyBorder="1" applyAlignment="1">
      <alignment horizontal="center" vertical="center" wrapText="1"/>
    </xf>
    <xf numFmtId="1" fontId="122" fillId="73" borderId="54" xfId="0" applyNumberFormat="1" applyFont="1" applyFill="1" applyBorder="1" applyAlignment="1">
      <alignment horizontal="center" vertical="center" wrapText="1"/>
    </xf>
    <xf numFmtId="49" fontId="2" fillId="0" borderId="2" xfId="5" applyNumberFormat="1" applyFont="1" applyBorder="1" applyAlignment="1">
      <alignment vertical="center"/>
    </xf>
    <xf numFmtId="167" fontId="2" fillId="0" borderId="2" xfId="5" applyFont="1" applyBorder="1" applyAlignment="1">
      <alignment horizontal="left" vertical="center"/>
    </xf>
    <xf numFmtId="1" fontId="125" fillId="67" borderId="54" xfId="0" applyNumberFormat="1" applyFont="1" applyFill="1" applyBorder="1" applyAlignment="1">
      <alignment horizontal="center" vertical="center" wrapText="1"/>
    </xf>
    <xf numFmtId="1" fontId="125" fillId="73" borderId="54" xfId="0" applyNumberFormat="1" applyFont="1" applyFill="1" applyBorder="1" applyAlignment="1">
      <alignment horizontal="center" vertical="center" wrapText="1"/>
    </xf>
    <xf numFmtId="1" fontId="125" fillId="54" borderId="54" xfId="0" applyNumberFormat="1" applyFont="1" applyFill="1" applyBorder="1" applyAlignment="1">
      <alignment horizontal="center" vertical="center" wrapText="1"/>
    </xf>
    <xf numFmtId="49" fontId="156" fillId="0" borderId="108" xfId="0" applyNumberFormat="1" applyFont="1" applyBorder="1" applyAlignment="1">
      <alignment horizontal="left" vertical="top" wrapText="1"/>
    </xf>
    <xf numFmtId="0" fontId="125" fillId="0" borderId="0" xfId="0" applyFont="1"/>
    <xf numFmtId="0" fontId="111" fillId="7" borderId="108" xfId="1" applyNumberFormat="1" applyFont="1" applyFill="1" applyBorder="1" applyAlignment="1">
      <alignment horizontal="left" vertical="center" wrapText="1" indent="2"/>
    </xf>
    <xf numFmtId="1" fontId="122" fillId="73" borderId="58" xfId="0" applyNumberFormat="1" applyFont="1" applyFill="1" applyBorder="1" applyAlignment="1">
      <alignment horizontal="center" vertical="center" wrapText="1"/>
    </xf>
    <xf numFmtId="1" fontId="122" fillId="73" borderId="56" xfId="0" applyNumberFormat="1" applyFont="1" applyFill="1" applyBorder="1" applyAlignment="1">
      <alignment vertical="center" wrapText="1"/>
    </xf>
    <xf numFmtId="49" fontId="122" fillId="54" borderId="99" xfId="0" applyNumberFormat="1" applyFont="1" applyFill="1" applyBorder="1" applyAlignment="1">
      <alignment horizontal="center" vertical="center" wrapText="1"/>
    </xf>
    <xf numFmtId="1" fontId="34" fillId="54" borderId="99" xfId="201" applyNumberFormat="1" applyFont="1" applyFill="1" applyBorder="1" applyAlignment="1">
      <alignment horizontal="center" vertical="center" wrapText="1"/>
    </xf>
    <xf numFmtId="1" fontId="34" fillId="54" borderId="99" xfId="0" applyNumberFormat="1" applyFont="1" applyFill="1" applyBorder="1" applyAlignment="1">
      <alignment horizontal="center" vertical="center" wrapText="1"/>
    </xf>
    <xf numFmtId="1" fontId="122" fillId="54" borderId="99" xfId="0" applyNumberFormat="1" applyFont="1" applyFill="1" applyBorder="1" applyAlignment="1">
      <alignment horizontal="center" vertical="center" wrapText="1"/>
    </xf>
    <xf numFmtId="170" fontId="34" fillId="54" borderId="99" xfId="1" applyFont="1" applyFill="1" applyBorder="1" applyAlignment="1">
      <alignment horizontal="center" vertical="center" wrapText="1"/>
    </xf>
    <xf numFmtId="49" fontId="9" fillId="7" borderId="54" xfId="0" applyNumberFormat="1" applyFont="1" applyFill="1" applyBorder="1" applyAlignment="1">
      <alignment horizontal="left" vertical="center" wrapText="1"/>
    </xf>
    <xf numFmtId="49" fontId="122" fillId="7" borderId="54" xfId="0" applyNumberFormat="1" applyFont="1" applyFill="1" applyBorder="1" applyAlignment="1">
      <alignment horizontal="center" vertical="center" wrapText="1"/>
    </xf>
    <xf numFmtId="49" fontId="2" fillId="0" borderId="1" xfId="4" applyNumberFormat="1" applyFont="1" applyBorder="1" applyAlignment="1">
      <alignment horizontal="center" vertical="center"/>
    </xf>
    <xf numFmtId="49" fontId="2" fillId="0" borderId="1" xfId="4" applyNumberFormat="1" applyFont="1" applyBorder="1" applyAlignment="1">
      <alignment horizontal="right" vertical="center"/>
    </xf>
    <xf numFmtId="49" fontId="2" fillId="0" borderId="1" xfId="1" applyNumberFormat="1" applyFont="1" applyFill="1" applyBorder="1" applyAlignment="1">
      <alignment horizontal="left" vertical="center" wrapText="1"/>
    </xf>
    <xf numFmtId="2" fontId="2" fillId="0" borderId="1" xfId="4" applyNumberFormat="1" applyFont="1" applyBorder="1" applyAlignment="1">
      <alignment horizontal="left" vertical="center" wrapText="1"/>
    </xf>
    <xf numFmtId="2" fontId="157" fillId="0" borderId="1" xfId="4" applyNumberFormat="1" applyFont="1" applyBorder="1" applyAlignment="1">
      <alignment horizontal="left" vertical="center" wrapText="1"/>
    </xf>
    <xf numFmtId="1" fontId="62" fillId="0" borderId="1" xfId="4" applyNumberFormat="1" applyFont="1" applyBorder="1" applyAlignment="1">
      <alignment horizontal="center" vertical="center" wrapText="1"/>
    </xf>
    <xf numFmtId="1" fontId="2" fillId="0" borderId="1" xfId="4" applyNumberFormat="1" applyFont="1" applyBorder="1" applyAlignment="1">
      <alignment horizontal="center" vertical="center" wrapText="1"/>
    </xf>
    <xf numFmtId="1" fontId="2" fillId="0" borderId="1" xfId="1" applyNumberFormat="1" applyFont="1" applyFill="1" applyBorder="1" applyAlignment="1">
      <alignment horizontal="center" vertical="center" wrapText="1"/>
    </xf>
    <xf numFmtId="49" fontId="2" fillId="0" borderId="1" xfId="4" applyNumberFormat="1" applyFont="1" applyBorder="1" applyAlignment="1">
      <alignment vertical="center" wrapText="1"/>
    </xf>
    <xf numFmtId="0" fontId="2" fillId="0" borderId="1" xfId="4" applyFont="1" applyBorder="1" applyAlignment="1">
      <alignment horizontal="left" vertical="center" wrapText="1"/>
    </xf>
    <xf numFmtId="1" fontId="2" fillId="0" borderId="1" xfId="4" applyNumberFormat="1" applyFont="1" applyBorder="1" applyAlignment="1">
      <alignment horizontal="center" vertical="center"/>
    </xf>
    <xf numFmtId="0" fontId="2" fillId="0" borderId="1" xfId="4" applyFont="1" applyBorder="1" applyAlignment="1">
      <alignment horizontal="center" vertical="center"/>
    </xf>
    <xf numFmtId="0" fontId="2" fillId="0" borderId="1" xfId="4" applyFont="1" applyBorder="1" applyAlignment="1">
      <alignment horizontal="right" vertical="center"/>
    </xf>
    <xf numFmtId="2" fontId="157" fillId="0" borderId="12" xfId="4" applyNumberFormat="1" applyFont="1" applyBorder="1" applyAlignment="1">
      <alignment horizontal="left" vertical="center" wrapText="1"/>
    </xf>
    <xf numFmtId="195" fontId="2" fillId="0" borderId="1" xfId="201" applyNumberFormat="1" applyFont="1" applyFill="1" applyBorder="1" applyAlignment="1">
      <alignment horizontal="center" vertical="center"/>
    </xf>
    <xf numFmtId="195" fontId="2" fillId="0" borderId="1" xfId="201" applyNumberFormat="1" applyFont="1" applyFill="1" applyBorder="1" applyAlignment="1">
      <alignment horizontal="right" vertical="center"/>
    </xf>
    <xf numFmtId="0" fontId="2" fillId="0" borderId="0" xfId="4" applyFont="1" applyAlignment="1">
      <alignment vertical="center"/>
    </xf>
    <xf numFmtId="195" fontId="2" fillId="0" borderId="0" xfId="4" applyNumberFormat="1" applyFont="1" applyAlignment="1">
      <alignment vertical="center"/>
    </xf>
    <xf numFmtId="1" fontId="34" fillId="73" borderId="54" xfId="0" applyNumberFormat="1" applyFont="1" applyFill="1" applyBorder="1" applyAlignment="1">
      <alignment horizontal="center" vertical="center" wrapText="1"/>
    </xf>
    <xf numFmtId="167" fontId="7" fillId="7" borderId="1" xfId="5" applyFont="1" applyFill="1" applyBorder="1" applyAlignment="1">
      <alignment horizontal="left" vertical="center" wrapText="1"/>
    </xf>
    <xf numFmtId="49" fontId="2" fillId="0" borderId="1" xfId="4" applyNumberFormat="1" applyFont="1" applyBorder="1" applyAlignment="1">
      <alignment horizontal="right" vertical="center" wrapText="1"/>
    </xf>
    <xf numFmtId="49" fontId="119" fillId="0" borderId="1" xfId="1" applyNumberFormat="1" applyFont="1" applyBorder="1" applyAlignment="1">
      <alignment horizontal="left" vertical="center" wrapText="1" indent="2"/>
    </xf>
    <xf numFmtId="170" fontId="27" fillId="7" borderId="1" xfId="1" applyFont="1" applyFill="1" applyBorder="1" applyAlignment="1">
      <alignment vertical="center" wrapText="1"/>
    </xf>
    <xf numFmtId="1" fontId="27" fillId="7" borderId="1" xfId="4" applyNumberFormat="1" applyFont="1" applyFill="1" applyBorder="1" applyAlignment="1">
      <alignment horizontal="center" vertical="center"/>
    </xf>
    <xf numFmtId="49" fontId="119" fillId="7" borderId="1" xfId="1" applyNumberFormat="1" applyFont="1" applyFill="1" applyBorder="1" applyAlignment="1">
      <alignment horizontal="left" vertical="center" wrapText="1" indent="2"/>
    </xf>
    <xf numFmtId="49" fontId="27" fillId="7" borderId="1" xfId="1" applyNumberFormat="1" applyFont="1" applyFill="1" applyBorder="1" applyAlignment="1">
      <alignment horizontal="left" vertical="center" wrapText="1" indent="2"/>
    </xf>
    <xf numFmtId="170" fontId="27" fillId="7" borderId="2" xfId="1" applyFont="1" applyFill="1" applyBorder="1" applyAlignment="1">
      <alignment vertical="center" wrapText="1"/>
    </xf>
    <xf numFmtId="49" fontId="2" fillId="0" borderId="1" xfId="5" applyNumberFormat="1" applyFont="1" applyFill="1" applyBorder="1" applyAlignment="1">
      <alignment vertical="center" wrapText="1"/>
    </xf>
    <xf numFmtId="167" fontId="2" fillId="0" borderId="1" xfId="5" applyFont="1" applyFill="1" applyBorder="1" applyAlignment="1">
      <alignment vertical="center" wrapText="1"/>
    </xf>
    <xf numFmtId="49" fontId="82" fillId="7" borderId="1" xfId="4" applyNumberFormat="1" applyFont="1" applyFill="1" applyBorder="1" applyAlignment="1">
      <alignment vertical="center" wrapText="1"/>
    </xf>
    <xf numFmtId="167" fontId="82" fillId="7" borderId="1" xfId="5" applyFont="1" applyFill="1" applyBorder="1" applyAlignment="1">
      <alignment vertical="center" wrapText="1"/>
    </xf>
    <xf numFmtId="167" fontId="82" fillId="0" borderId="10" xfId="5" applyFont="1" applyBorder="1" applyAlignment="1">
      <alignment vertical="center"/>
    </xf>
    <xf numFmtId="167" fontId="82" fillId="0" borderId="3" xfId="5" applyFont="1" applyBorder="1" applyAlignment="1">
      <alignment vertical="center"/>
    </xf>
    <xf numFmtId="197" fontId="27" fillId="0" borderId="2" xfId="201" applyNumberFormat="1" applyFont="1" applyFill="1" applyBorder="1" applyAlignment="1">
      <alignment horizontal="center" vertical="center"/>
    </xf>
    <xf numFmtId="9" fontId="27" fillId="0" borderId="3" xfId="210" applyFont="1" applyBorder="1" applyAlignment="1">
      <alignment horizontal="center" vertical="center" wrapText="1"/>
    </xf>
    <xf numFmtId="167" fontId="2" fillId="0" borderId="3" xfId="5" applyFont="1" applyBorder="1" applyAlignment="1">
      <alignment horizontal="center" vertical="center"/>
    </xf>
    <xf numFmtId="0" fontId="34" fillId="0" borderId="112" xfId="1" applyNumberFormat="1" applyFont="1" applyFill="1" applyBorder="1" applyAlignment="1">
      <alignment horizontal="left" vertical="center" wrapText="1"/>
    </xf>
    <xf numFmtId="49" fontId="122" fillId="0" borderId="57" xfId="0" applyNumberFormat="1" applyFont="1" applyBorder="1" applyAlignment="1">
      <alignment horizontal="center" vertical="center" wrapText="1"/>
    </xf>
    <xf numFmtId="1" fontId="34" fillId="0" borderId="57" xfId="201" applyNumberFormat="1" applyFont="1" applyFill="1" applyBorder="1" applyAlignment="1">
      <alignment horizontal="center" vertical="center" wrapText="1"/>
    </xf>
    <xf numFmtId="1" fontId="34" fillId="0" borderId="57" xfId="0" applyNumberFormat="1" applyFont="1" applyBorder="1" applyAlignment="1">
      <alignment horizontal="center" vertical="center" wrapText="1"/>
    </xf>
    <xf numFmtId="1" fontId="122" fillId="0" borderId="57" xfId="0" applyNumberFormat="1" applyFont="1" applyBorder="1" applyAlignment="1">
      <alignment horizontal="center" vertical="center" wrapText="1"/>
    </xf>
    <xf numFmtId="170" fontId="34" fillId="0" borderId="57" xfId="1" applyFont="1" applyFill="1" applyBorder="1" applyAlignment="1">
      <alignment horizontal="center" vertical="center" wrapText="1"/>
    </xf>
    <xf numFmtId="0" fontId="34" fillId="0" borderId="112" xfId="0" applyFont="1" applyBorder="1" applyAlignment="1">
      <alignment horizontal="left" vertical="center" wrapText="1"/>
    </xf>
    <xf numFmtId="49" fontId="9" fillId="0" borderId="112" xfId="0" applyNumberFormat="1" applyFont="1" applyBorder="1" applyAlignment="1">
      <alignment horizontal="left" vertical="top" wrapText="1"/>
    </xf>
    <xf numFmtId="1" fontId="111" fillId="0" borderId="57" xfId="0" applyNumberFormat="1" applyFont="1" applyBorder="1" applyAlignment="1">
      <alignment horizontal="left" vertical="center" wrapText="1" indent="1"/>
    </xf>
    <xf numFmtId="1" fontId="34" fillId="0" borderId="57" xfId="201" applyNumberFormat="1" applyFont="1" applyBorder="1" applyAlignment="1">
      <alignment horizontal="center" vertical="center" wrapText="1"/>
    </xf>
    <xf numFmtId="1" fontId="111" fillId="0" borderId="57" xfId="0" applyNumberFormat="1" applyFont="1" applyBorder="1" applyAlignment="1">
      <alignment horizontal="center" vertical="center" wrapText="1"/>
    </xf>
    <xf numFmtId="0" fontId="111" fillId="0" borderId="113" xfId="0" applyFont="1" applyBorder="1" applyAlignment="1">
      <alignment horizontal="left" vertical="center" wrapText="1"/>
    </xf>
    <xf numFmtId="49" fontId="112" fillId="0" borderId="57" xfId="0" applyNumberFormat="1" applyFont="1" applyBorder="1" applyAlignment="1">
      <alignment horizontal="left" vertical="top" wrapText="1"/>
    </xf>
    <xf numFmtId="0" fontId="111" fillId="0" borderId="57" xfId="0" applyFont="1" applyBorder="1" applyAlignment="1">
      <alignment horizontal="left" vertical="center" wrapText="1" indent="2"/>
    </xf>
    <xf numFmtId="49" fontId="112" fillId="0" borderId="57" xfId="0" applyNumberFormat="1" applyFont="1" applyBorder="1" applyAlignment="1">
      <alignment horizontal="left" vertical="center" wrapText="1"/>
    </xf>
    <xf numFmtId="49" fontId="122" fillId="0" borderId="57" xfId="1" applyNumberFormat="1" applyFont="1" applyBorder="1" applyAlignment="1">
      <alignment vertical="center" wrapText="1"/>
    </xf>
    <xf numFmtId="49" fontId="34" fillId="0" borderId="57" xfId="0" applyNumberFormat="1" applyFont="1" applyBorder="1" applyAlignment="1">
      <alignment horizontal="center" vertical="center" wrapText="1"/>
    </xf>
    <xf numFmtId="0" fontId="34" fillId="0" borderId="113" xfId="0" applyFont="1" applyBorder="1" applyAlignment="1">
      <alignment horizontal="left" vertical="center" wrapText="1"/>
    </xf>
    <xf numFmtId="49" fontId="62" fillId="0" borderId="58" xfId="0" applyNumberFormat="1" applyFont="1" applyBorder="1" applyAlignment="1">
      <alignment horizontal="left" vertical="top" wrapText="1"/>
    </xf>
    <xf numFmtId="49" fontId="62" fillId="0" borderId="58" xfId="0" applyNumberFormat="1" applyFont="1" applyBorder="1" applyAlignment="1">
      <alignment horizontal="left" vertical="center" wrapText="1"/>
    </xf>
    <xf numFmtId="1" fontId="111" fillId="0" borderId="54" xfId="201" applyNumberFormat="1" applyFont="1" applyBorder="1" applyAlignment="1">
      <alignment horizontal="center" vertical="center" wrapText="1"/>
    </xf>
    <xf numFmtId="49" fontId="125" fillId="54" borderId="99" xfId="0" applyNumberFormat="1" applyFont="1" applyFill="1" applyBorder="1" applyAlignment="1">
      <alignment horizontal="center" vertical="center" wrapText="1"/>
    </xf>
    <xf numFmtId="1" fontId="111" fillId="54" borderId="99" xfId="201" applyNumberFormat="1" applyFont="1" applyFill="1" applyBorder="1" applyAlignment="1">
      <alignment horizontal="center" vertical="center" wrapText="1"/>
    </xf>
    <xf numFmtId="1" fontId="111" fillId="54" borderId="99" xfId="0" applyNumberFormat="1" applyFont="1" applyFill="1" applyBorder="1" applyAlignment="1">
      <alignment horizontal="center" vertical="center" wrapText="1"/>
    </xf>
    <xf numFmtId="1" fontId="125" fillId="54" borderId="99" xfId="0" applyNumberFormat="1" applyFont="1" applyFill="1" applyBorder="1" applyAlignment="1">
      <alignment horizontal="center" vertical="center" wrapText="1"/>
    </xf>
    <xf numFmtId="170" fontId="111" fillId="54" borderId="99" xfId="1" applyFont="1" applyFill="1" applyBorder="1" applyAlignment="1">
      <alignment horizontal="center" vertical="center" wrapText="1"/>
    </xf>
    <xf numFmtId="167" fontId="82" fillId="0" borderId="2" xfId="5" applyFont="1" applyBorder="1" applyAlignment="1">
      <alignment vertical="center"/>
    </xf>
    <xf numFmtId="170" fontId="27" fillId="16" borderId="2" xfId="1" applyFont="1" applyFill="1" applyBorder="1" applyAlignment="1">
      <alignment horizontal="center" vertical="center"/>
    </xf>
    <xf numFmtId="195" fontId="82" fillId="0" borderId="2" xfId="201" applyNumberFormat="1" applyFont="1" applyBorder="1" applyAlignment="1">
      <alignment horizontal="center" vertical="center"/>
    </xf>
    <xf numFmtId="195" fontId="82" fillId="0" borderId="2" xfId="201" applyNumberFormat="1" applyFont="1" applyBorder="1" applyAlignment="1">
      <alignment horizontal="right" vertical="center"/>
    </xf>
    <xf numFmtId="195" fontId="82" fillId="0" borderId="2" xfId="201" applyNumberFormat="1" applyFont="1" applyBorder="1" applyAlignment="1">
      <alignment vertical="center"/>
    </xf>
    <xf numFmtId="49" fontId="27" fillId="0" borderId="1" xfId="1" applyNumberFormat="1" applyFont="1" applyFill="1" applyBorder="1" applyAlignment="1">
      <alignment horizontal="left" vertical="center" wrapText="1" indent="1"/>
    </xf>
    <xf numFmtId="49" fontId="35" fillId="0" borderId="9" xfId="5" applyNumberFormat="1" applyFont="1" applyBorder="1" applyAlignment="1">
      <alignment vertical="center" wrapText="1"/>
    </xf>
    <xf numFmtId="2" fontId="124" fillId="0" borderId="2" xfId="4" applyNumberFormat="1" applyFont="1" applyBorder="1" applyAlignment="1">
      <alignment horizontal="left" vertical="center" wrapText="1"/>
    </xf>
    <xf numFmtId="197" fontId="27" fillId="0" borderId="1" xfId="201" applyNumberFormat="1" applyFont="1" applyFill="1" applyBorder="1" applyAlignment="1">
      <alignment horizontal="center" vertical="center"/>
    </xf>
    <xf numFmtId="167" fontId="2" fillId="0" borderId="1" xfId="5" applyFont="1" applyBorder="1" applyAlignment="1">
      <alignment horizontal="center" vertical="center"/>
    </xf>
    <xf numFmtId="49" fontId="27" fillId="0" borderId="2" xfId="4" applyNumberFormat="1" applyFont="1" applyBorder="1" applyAlignment="1">
      <alignment horizontal="left" vertical="center" wrapText="1"/>
    </xf>
    <xf numFmtId="195" fontId="27" fillId="0" borderId="10" xfId="201" applyNumberFormat="1" applyFont="1" applyBorder="1" applyAlignment="1">
      <alignment horizontal="center" vertical="center"/>
    </xf>
    <xf numFmtId="2" fontId="77" fillId="0" borderId="9" xfId="4" applyNumberFormat="1" applyFont="1" applyBorder="1" applyAlignment="1">
      <alignment horizontal="left" vertical="center" wrapText="1"/>
    </xf>
    <xf numFmtId="49" fontId="35" fillId="0" borderId="30" xfId="5" applyNumberFormat="1" applyFont="1" applyBorder="1" applyAlignment="1">
      <alignment vertical="center" wrapText="1"/>
    </xf>
    <xf numFmtId="49" fontId="7" fillId="28" borderId="3" xfId="4" applyNumberFormat="1" applyFont="1" applyFill="1" applyBorder="1" applyAlignment="1">
      <alignment horizontal="left" vertical="center" wrapText="1"/>
    </xf>
    <xf numFmtId="49" fontId="7" fillId="28" borderId="3" xfId="4" applyNumberFormat="1" applyFont="1" applyFill="1" applyBorder="1" applyAlignment="1">
      <alignment horizontal="center" vertical="center" wrapText="1"/>
    </xf>
    <xf numFmtId="49" fontId="7" fillId="28" borderId="3" xfId="4" applyNumberFormat="1" applyFont="1" applyFill="1" applyBorder="1" applyAlignment="1">
      <alignment horizontal="right" vertical="center" wrapText="1"/>
    </xf>
    <xf numFmtId="167" fontId="7" fillId="28" borderId="3" xfId="5" applyFont="1" applyFill="1" applyBorder="1" applyAlignment="1">
      <alignment horizontal="left" vertical="center" wrapText="1"/>
    </xf>
    <xf numFmtId="49" fontId="7" fillId="28" borderId="3" xfId="5" applyNumberFormat="1" applyFont="1" applyFill="1" applyBorder="1" applyAlignment="1">
      <alignment horizontal="left" vertical="center" wrapText="1"/>
    </xf>
    <xf numFmtId="1" fontId="27" fillId="0" borderId="1" xfId="4" applyNumberFormat="1" applyFont="1" applyBorder="1" applyAlignment="1">
      <alignment vertical="center"/>
    </xf>
    <xf numFmtId="197" fontId="27" fillId="0" borderId="1" xfId="201" applyNumberFormat="1" applyFont="1" applyFill="1" applyBorder="1" applyAlignment="1">
      <alignment horizontal="right" vertical="center" wrapText="1"/>
    </xf>
    <xf numFmtId="197" fontId="27" fillId="0" borderId="1" xfId="201" applyNumberFormat="1" applyFont="1" applyBorder="1" applyAlignment="1">
      <alignment vertical="center"/>
    </xf>
    <xf numFmtId="170" fontId="2" fillId="0" borderId="1" xfId="1" applyFont="1" applyFill="1" applyBorder="1" applyAlignment="1">
      <alignment horizontal="center" vertical="center"/>
    </xf>
    <xf numFmtId="0" fontId="0" fillId="0" borderId="3" xfId="0" applyBorder="1" applyAlignment="1">
      <alignment vertical="center"/>
    </xf>
    <xf numFmtId="170" fontId="7" fillId="50" borderId="1" xfId="1" applyFont="1" applyFill="1" applyBorder="1" applyAlignment="1">
      <alignment horizontal="left" vertical="center" wrapText="1"/>
    </xf>
    <xf numFmtId="0" fontId="27" fillId="0" borderId="1" xfId="4" applyFont="1" applyBorder="1" applyAlignment="1">
      <alignment vertical="center" wrapText="1"/>
    </xf>
    <xf numFmtId="49" fontId="34" fillId="0" borderId="1" xfId="5" applyNumberFormat="1" applyFont="1" applyFill="1" applyBorder="1" applyAlignment="1">
      <alignment vertical="center"/>
    </xf>
    <xf numFmtId="0" fontId="2" fillId="0" borderId="3" xfId="4" applyFont="1" applyBorder="1" applyAlignment="1">
      <alignment horizontal="center" vertical="center" wrapText="1"/>
    </xf>
    <xf numFmtId="0" fontId="34" fillId="0" borderId="3" xfId="4" applyFont="1" applyBorder="1" applyAlignment="1">
      <alignment horizontal="left" vertical="center" wrapText="1"/>
    </xf>
    <xf numFmtId="167" fontId="2" fillId="0" borderId="1" xfId="5" applyFont="1" applyFill="1" applyBorder="1" applyAlignment="1">
      <alignment horizontal="center" vertical="center"/>
    </xf>
    <xf numFmtId="49" fontId="27" fillId="0" borderId="1" xfId="194" applyNumberFormat="1" applyFont="1" applyBorder="1" applyAlignment="1">
      <alignment horizontal="left" vertical="center" wrapText="1" indent="1"/>
    </xf>
    <xf numFmtId="49" fontId="27" fillId="0" borderId="1" xfId="194" applyNumberFormat="1" applyFont="1" applyBorder="1" applyAlignment="1">
      <alignment horizontal="left" vertical="center" wrapText="1"/>
    </xf>
    <xf numFmtId="49" fontId="7" fillId="74" borderId="0" xfId="1" applyNumberFormat="1" applyFont="1" applyFill="1" applyBorder="1" applyAlignment="1">
      <alignment horizontal="left" vertical="center" wrapText="1"/>
    </xf>
    <xf numFmtId="49" fontId="7" fillId="74" borderId="1" xfId="1" applyNumberFormat="1" applyFont="1" applyFill="1" applyBorder="1" applyAlignment="1">
      <alignment horizontal="left" vertical="center" wrapText="1"/>
    </xf>
    <xf numFmtId="195" fontId="7" fillId="0" borderId="1" xfId="201" applyNumberFormat="1" applyFont="1" applyFill="1" applyBorder="1" applyAlignment="1">
      <alignment horizontal="left" vertical="center" wrapText="1"/>
    </xf>
    <xf numFmtId="49" fontId="34" fillId="0" borderId="3" xfId="5" applyNumberFormat="1" applyFont="1" applyFill="1" applyBorder="1" applyAlignment="1">
      <alignment horizontal="left" vertical="center" wrapText="1"/>
    </xf>
    <xf numFmtId="49" fontId="154" fillId="16" borderId="1" xfId="1" applyNumberFormat="1" applyFont="1" applyFill="1" applyBorder="1" applyAlignment="1">
      <alignment horizontal="left" vertical="center" wrapText="1"/>
    </xf>
    <xf numFmtId="2" fontId="79" fillId="0" borderId="1" xfId="4" applyNumberFormat="1" applyFont="1" applyBorder="1" applyAlignment="1">
      <alignment horizontal="left" vertical="center" wrapText="1"/>
    </xf>
    <xf numFmtId="0" fontId="7" fillId="0" borderId="1" xfId="4" applyFont="1" applyBorder="1" applyAlignment="1">
      <alignment vertical="center"/>
    </xf>
    <xf numFmtId="49" fontId="2" fillId="0" borderId="1" xfId="5" applyNumberFormat="1" applyFont="1" applyFill="1" applyBorder="1" applyAlignment="1">
      <alignment horizontal="center" vertical="center"/>
    </xf>
    <xf numFmtId="49" fontId="2" fillId="0" borderId="3" xfId="5" applyNumberFormat="1" applyFont="1" applyBorder="1" applyAlignment="1">
      <alignment horizontal="left" vertical="center"/>
    </xf>
    <xf numFmtId="0" fontId="34" fillId="0" borderId="91" xfId="0" applyFont="1" applyBorder="1" applyAlignment="1">
      <alignment horizontal="left" vertical="center" wrapText="1"/>
    </xf>
    <xf numFmtId="0" fontId="34" fillId="0" borderId="92" xfId="0" applyFont="1" applyBorder="1" applyAlignment="1">
      <alignment horizontal="left" vertical="center" wrapText="1"/>
    </xf>
    <xf numFmtId="49" fontId="9" fillId="0" borderId="99" xfId="0" applyNumberFormat="1" applyFont="1" applyBorder="1" applyAlignment="1">
      <alignment horizontal="left" vertical="top" wrapText="1"/>
    </xf>
    <xf numFmtId="49" fontId="156" fillId="0" borderId="99" xfId="0" applyNumberFormat="1" applyFont="1" applyBorder="1" applyAlignment="1">
      <alignment horizontal="left" vertical="top" wrapText="1"/>
    </xf>
    <xf numFmtId="0" fontId="27" fillId="0" borderId="10" xfId="4" applyFont="1" applyBorder="1" applyAlignment="1">
      <alignment horizontal="center" vertical="center" wrapText="1"/>
    </xf>
    <xf numFmtId="49" fontId="27" fillId="0" borderId="3" xfId="4" applyNumberFormat="1" applyFont="1" applyBorder="1" applyAlignment="1">
      <alignment horizontal="center" vertical="center" wrapText="1"/>
    </xf>
    <xf numFmtId="1" fontId="7" fillId="0" borderId="3" xfId="4" applyNumberFormat="1" applyFont="1" applyBorder="1" applyAlignment="1">
      <alignment horizontal="center" vertical="center" wrapText="1"/>
    </xf>
    <xf numFmtId="0" fontId="27" fillId="0" borderId="3" xfId="4" applyFont="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right" vertical="center" wrapText="1"/>
    </xf>
    <xf numFmtId="0" fontId="0" fillId="0" borderId="3" xfId="0" applyBorder="1" applyAlignment="1">
      <alignment horizontal="left" vertical="center" wrapText="1"/>
    </xf>
    <xf numFmtId="0" fontId="0" fillId="0" borderId="3" xfId="0" applyBorder="1" applyAlignment="1">
      <alignment horizontal="center" vertical="center" wrapText="1"/>
    </xf>
    <xf numFmtId="49" fontId="10" fillId="50" borderId="1" xfId="5" applyNumberFormat="1" applyFont="1" applyFill="1" applyBorder="1" applyAlignment="1">
      <alignment horizontal="left" vertical="center" wrapText="1"/>
    </xf>
    <xf numFmtId="1" fontId="7" fillId="50" borderId="3" xfId="4" applyNumberFormat="1" applyFont="1" applyFill="1" applyBorder="1" applyAlignment="1">
      <alignment horizontal="center" vertical="center" wrapText="1"/>
    </xf>
    <xf numFmtId="49" fontId="7" fillId="50" borderId="3" xfId="4" applyNumberFormat="1" applyFont="1" applyFill="1" applyBorder="1" applyAlignment="1">
      <alignment horizontal="left" vertical="center" wrapText="1"/>
    </xf>
    <xf numFmtId="49" fontId="27" fillId="0" borderId="2" xfId="4" applyNumberFormat="1" applyFont="1" applyBorder="1" applyAlignment="1">
      <alignment horizontal="right" vertical="center" wrapText="1"/>
    </xf>
    <xf numFmtId="49" fontId="27" fillId="0" borderId="2" xfId="1" applyNumberFormat="1" applyFont="1" applyBorder="1" applyAlignment="1">
      <alignment horizontal="left" vertical="center" wrapText="1" indent="2"/>
    </xf>
    <xf numFmtId="49" fontId="27" fillId="0" borderId="2" xfId="1" applyNumberFormat="1" applyFont="1" applyBorder="1" applyAlignment="1">
      <alignment horizontal="left" vertical="center" wrapText="1"/>
    </xf>
    <xf numFmtId="2" fontId="77" fillId="0" borderId="2" xfId="4" applyNumberFormat="1" applyFont="1" applyBorder="1" applyAlignment="1">
      <alignment horizontal="left" vertical="center" wrapText="1"/>
    </xf>
    <xf numFmtId="1" fontId="9" fillId="0" borderId="2" xfId="4" applyNumberFormat="1" applyFont="1" applyBorder="1" applyAlignment="1">
      <alignment horizontal="center" vertical="center" wrapText="1"/>
    </xf>
    <xf numFmtId="2" fontId="7" fillId="0" borderId="1" xfId="4" applyNumberFormat="1" applyFont="1" applyBorder="1" applyAlignment="1">
      <alignment horizontal="left" vertical="center" wrapText="1"/>
    </xf>
    <xf numFmtId="1" fontId="7" fillId="0" borderId="1" xfId="1" applyNumberFormat="1" applyFont="1" applyBorder="1" applyAlignment="1">
      <alignment horizontal="center" vertical="center" wrapText="1"/>
    </xf>
    <xf numFmtId="2" fontId="79" fillId="0" borderId="12" xfId="4" applyNumberFormat="1" applyFont="1" applyBorder="1" applyAlignment="1">
      <alignment horizontal="left" vertical="center" wrapText="1"/>
    </xf>
    <xf numFmtId="195" fontId="32" fillId="0" borderId="1" xfId="201" applyNumberFormat="1" applyFont="1" applyBorder="1" applyAlignment="1">
      <alignment vertical="center"/>
    </xf>
    <xf numFmtId="49" fontId="156" fillId="0" borderId="1" xfId="4" applyNumberFormat="1" applyFont="1" applyBorder="1" applyAlignment="1">
      <alignment horizontal="left" vertical="center" wrapText="1"/>
    </xf>
    <xf numFmtId="49" fontId="9" fillId="0" borderId="2" xfId="5" applyNumberFormat="1" applyFont="1" applyFill="1" applyBorder="1" applyAlignment="1">
      <alignment horizontal="left" vertical="center" wrapText="1"/>
    </xf>
    <xf numFmtId="1" fontId="122" fillId="67" borderId="99" xfId="0" applyNumberFormat="1" applyFont="1" applyFill="1" applyBorder="1" applyAlignment="1">
      <alignment horizontal="center" vertical="center" wrapText="1"/>
    </xf>
    <xf numFmtId="1" fontId="122" fillId="68" borderId="99" xfId="0" applyNumberFormat="1" applyFont="1" applyFill="1" applyBorder="1" applyAlignment="1">
      <alignment horizontal="center" vertical="center" wrapText="1"/>
    </xf>
    <xf numFmtId="49" fontId="35" fillId="0" borderId="54" xfId="0" applyNumberFormat="1" applyFont="1" applyBorder="1" applyAlignment="1">
      <alignment horizontal="center" vertical="center" wrapText="1"/>
    </xf>
    <xf numFmtId="1" fontId="35" fillId="0" borderId="54" xfId="201" applyNumberFormat="1" applyFont="1" applyBorder="1" applyAlignment="1">
      <alignment horizontal="center" vertical="center" wrapText="1"/>
    </xf>
    <xf numFmtId="1" fontId="35" fillId="0" borderId="54" xfId="0" applyNumberFormat="1" applyFont="1" applyBorder="1" applyAlignment="1">
      <alignment horizontal="center" vertical="center" wrapText="1"/>
    </xf>
    <xf numFmtId="0" fontId="35" fillId="0" borderId="0" xfId="0" applyFont="1"/>
    <xf numFmtId="49" fontId="35" fillId="54" borderId="99" xfId="0" applyNumberFormat="1" applyFont="1" applyFill="1" applyBorder="1" applyAlignment="1">
      <alignment horizontal="center" vertical="center" wrapText="1"/>
    </xf>
    <xf numFmtId="1" fontId="35" fillId="54" borderId="99" xfId="201" applyNumberFormat="1" applyFont="1" applyFill="1" applyBorder="1" applyAlignment="1">
      <alignment horizontal="center" vertical="center" wrapText="1"/>
    </xf>
    <xf numFmtId="1" fontId="35" fillId="54" borderId="99" xfId="0" applyNumberFormat="1" applyFont="1" applyFill="1" applyBorder="1" applyAlignment="1">
      <alignment horizontal="center" vertical="center" wrapText="1"/>
    </xf>
    <xf numFmtId="170" fontId="35" fillId="54" borderId="99" xfId="1" applyFont="1" applyFill="1" applyBorder="1" applyAlignment="1">
      <alignment horizontal="center" vertical="center" wrapText="1"/>
    </xf>
    <xf numFmtId="1" fontId="35" fillId="7" borderId="99" xfId="0" applyNumberFormat="1" applyFont="1" applyFill="1" applyBorder="1" applyAlignment="1">
      <alignment horizontal="center" vertical="center" wrapText="1"/>
    </xf>
    <xf numFmtId="1" fontId="27" fillId="0" borderId="3" xfId="4" applyNumberFormat="1" applyFont="1" applyBorder="1" applyAlignment="1">
      <alignment vertical="center" wrapText="1"/>
    </xf>
    <xf numFmtId="1" fontId="7" fillId="7" borderId="2" xfId="4" applyNumberFormat="1" applyFont="1" applyFill="1" applyBorder="1" applyAlignment="1">
      <alignment horizontal="center" vertical="center" wrapText="1"/>
    </xf>
    <xf numFmtId="49" fontId="162" fillId="0" borderId="54" xfId="0" applyNumberFormat="1" applyFont="1" applyBorder="1" applyAlignment="1">
      <alignment horizontal="center" vertical="center" wrapText="1"/>
    </xf>
    <xf numFmtId="1" fontId="162" fillId="0" borderId="54" xfId="201" applyNumberFormat="1" applyFont="1" applyBorder="1" applyAlignment="1">
      <alignment horizontal="center" vertical="center" wrapText="1"/>
    </xf>
    <xf numFmtId="1" fontId="162" fillId="0" borderId="54" xfId="0" applyNumberFormat="1" applyFont="1" applyBorder="1" applyAlignment="1">
      <alignment horizontal="center" vertical="center" wrapText="1"/>
    </xf>
    <xf numFmtId="0" fontId="162" fillId="0" borderId="0" xfId="0" applyFont="1"/>
    <xf numFmtId="49" fontId="162" fillId="54" borderId="99" xfId="0" applyNumberFormat="1" applyFont="1" applyFill="1" applyBorder="1" applyAlignment="1">
      <alignment horizontal="center" vertical="center" wrapText="1"/>
    </xf>
    <xf numFmtId="1" fontId="162" fillId="54" borderId="99" xfId="201" applyNumberFormat="1" applyFont="1" applyFill="1" applyBorder="1" applyAlignment="1">
      <alignment horizontal="center" vertical="center" wrapText="1"/>
    </xf>
    <xf numFmtId="1" fontId="162" fillId="54" borderId="99" xfId="0" applyNumberFormat="1" applyFont="1" applyFill="1" applyBorder="1" applyAlignment="1">
      <alignment horizontal="center" vertical="center" wrapText="1"/>
    </xf>
    <xf numFmtId="1" fontId="162" fillId="67" borderId="99" xfId="0" applyNumberFormat="1" applyFont="1" applyFill="1" applyBorder="1" applyAlignment="1">
      <alignment horizontal="center" vertical="center" wrapText="1"/>
    </xf>
    <xf numFmtId="1" fontId="162" fillId="68" borderId="99" xfId="0" applyNumberFormat="1" applyFont="1" applyFill="1" applyBorder="1" applyAlignment="1">
      <alignment horizontal="center" vertical="center" wrapText="1"/>
    </xf>
    <xf numFmtId="170" fontId="162" fillId="54" borderId="99" xfId="1" applyFont="1" applyFill="1" applyBorder="1" applyAlignment="1">
      <alignment horizontal="center" vertical="center" wrapText="1"/>
    </xf>
    <xf numFmtId="49" fontId="27" fillId="7" borderId="1" xfId="4" applyNumberFormat="1" applyFont="1" applyFill="1" applyBorder="1" applyAlignment="1">
      <alignment horizontal="left" vertical="center" wrapText="1"/>
    </xf>
    <xf numFmtId="49" fontId="27" fillId="7" borderId="1" xfId="4" applyNumberFormat="1" applyFont="1" applyFill="1" applyBorder="1" applyAlignment="1">
      <alignment horizontal="center" vertical="center" wrapText="1"/>
    </xf>
    <xf numFmtId="167" fontId="27" fillId="7" borderId="1" xfId="5" applyFont="1" applyFill="1" applyBorder="1" applyAlignment="1">
      <alignment horizontal="left" vertical="center" wrapText="1"/>
    </xf>
    <xf numFmtId="49" fontId="62" fillId="0" borderId="99" xfId="0" applyNumberFormat="1" applyFont="1" applyBorder="1" applyAlignment="1">
      <alignment horizontal="left" vertical="top" wrapText="1"/>
    </xf>
    <xf numFmtId="170" fontId="10" fillId="28" borderId="2" xfId="1" applyFont="1" applyFill="1" applyBorder="1" applyAlignment="1">
      <alignment horizontal="left" vertical="center" wrapText="1"/>
    </xf>
    <xf numFmtId="170" fontId="7" fillId="28" borderId="1" xfId="1" applyFont="1" applyFill="1" applyBorder="1" applyAlignment="1">
      <alignment horizontal="center" vertical="center" wrapText="1"/>
    </xf>
    <xf numFmtId="49" fontId="2" fillId="0" borderId="1" xfId="5" applyNumberFormat="1" applyFont="1" applyBorder="1" applyAlignment="1">
      <alignment vertical="center" wrapText="1"/>
    </xf>
    <xf numFmtId="49" fontId="122" fillId="0" borderId="58" xfId="0" applyNumberFormat="1" applyFont="1" applyBorder="1" applyAlignment="1">
      <alignment horizontal="center" vertical="center" wrapText="1"/>
    </xf>
    <xf numFmtId="49" fontId="122" fillId="54" borderId="92" xfId="0" applyNumberFormat="1" applyFont="1" applyFill="1" applyBorder="1" applyAlignment="1">
      <alignment horizontal="center" vertical="center" wrapText="1"/>
    </xf>
    <xf numFmtId="49" fontId="125" fillId="0" borderId="58" xfId="0" applyNumberFormat="1" applyFont="1" applyBorder="1" applyAlignment="1">
      <alignment horizontal="center" vertical="center" wrapText="1"/>
    </xf>
    <xf numFmtId="0" fontId="111" fillId="0" borderId="1" xfId="1" applyNumberFormat="1" applyFont="1" applyBorder="1" applyAlignment="1">
      <alignment vertical="center" wrapText="1"/>
    </xf>
    <xf numFmtId="49" fontId="34" fillId="0" borderId="1" xfId="1" applyNumberFormat="1" applyFont="1" applyBorder="1" applyAlignment="1">
      <alignment vertical="center" wrapText="1"/>
    </xf>
    <xf numFmtId="0" fontId="34" fillId="54" borderId="1" xfId="1" applyNumberFormat="1" applyFont="1" applyFill="1" applyBorder="1" applyAlignment="1">
      <alignment vertical="center" wrapText="1"/>
    </xf>
    <xf numFmtId="0" fontId="122" fillId="0" borderId="1" xfId="0" applyFont="1" applyBorder="1" applyAlignment="1">
      <alignment wrapText="1"/>
    </xf>
    <xf numFmtId="49" fontId="9" fillId="0" borderId="99" xfId="0" applyNumberFormat="1" applyFont="1" applyBorder="1" applyAlignment="1">
      <alignment vertical="top" wrapText="1"/>
    </xf>
    <xf numFmtId="0" fontId="34" fillId="54" borderId="102" xfId="0" applyFont="1" applyFill="1" applyBorder="1" applyAlignment="1">
      <alignment vertical="center" wrapText="1"/>
    </xf>
    <xf numFmtId="0" fontId="34" fillId="54" borderId="103" xfId="0" applyFont="1" applyFill="1" applyBorder="1" applyAlignment="1">
      <alignment vertical="center" wrapText="1"/>
    </xf>
    <xf numFmtId="49" fontId="9" fillId="54" borderId="101" xfId="0" applyNumberFormat="1" applyFont="1" applyFill="1" applyBorder="1" applyAlignment="1">
      <alignment vertical="top" wrapText="1"/>
    </xf>
    <xf numFmtId="0" fontId="34" fillId="54" borderId="102" xfId="0" applyFont="1" applyFill="1" applyBorder="1" applyAlignment="1">
      <alignment horizontal="left" vertical="center" wrapText="1"/>
    </xf>
    <xf numFmtId="0" fontId="34" fillId="54" borderId="103" xfId="0" applyFont="1" applyFill="1" applyBorder="1" applyAlignment="1">
      <alignment horizontal="left" vertical="center" wrapText="1"/>
    </xf>
    <xf numFmtId="49" fontId="9" fillId="54" borderId="101" xfId="0" applyNumberFormat="1" applyFont="1" applyFill="1" applyBorder="1" applyAlignment="1">
      <alignment horizontal="left" vertical="top" wrapText="1"/>
    </xf>
    <xf numFmtId="0" fontId="122" fillId="0" borderId="1" xfId="0" applyFont="1" applyBorder="1" applyAlignment="1">
      <alignment horizontal="left" vertical="center" wrapText="1"/>
    </xf>
    <xf numFmtId="0" fontId="122" fillId="0" borderId="1" xfId="0" applyFont="1" applyBorder="1" applyAlignment="1">
      <alignment horizontal="left" wrapText="1"/>
    </xf>
    <xf numFmtId="49" fontId="7" fillId="0" borderId="1" xfId="1" applyNumberFormat="1" applyFont="1" applyFill="1" applyBorder="1" applyAlignment="1">
      <alignment horizontal="left" vertical="center" wrapText="1"/>
    </xf>
    <xf numFmtId="49" fontId="7" fillId="0" borderId="2" xfId="4" applyNumberFormat="1" applyFont="1" applyBorder="1" applyAlignment="1">
      <alignment horizontal="left" vertical="center" wrapText="1"/>
    </xf>
    <xf numFmtId="49" fontId="7" fillId="0" borderId="2" xfId="4" applyNumberFormat="1" applyFont="1" applyBorder="1" applyAlignment="1">
      <alignment horizontal="center" vertical="center" wrapText="1"/>
    </xf>
    <xf numFmtId="49" fontId="7" fillId="0" borderId="2" xfId="4" applyNumberFormat="1" applyFont="1" applyBorder="1" applyAlignment="1">
      <alignment horizontal="right" vertical="center" wrapText="1"/>
    </xf>
    <xf numFmtId="167" fontId="7" fillId="0" borderId="2" xfId="5" applyFont="1" applyFill="1" applyBorder="1" applyAlignment="1">
      <alignment horizontal="left" vertical="center" wrapText="1"/>
    </xf>
    <xf numFmtId="49" fontId="77" fillId="0" borderId="2" xfId="4" applyNumberFormat="1" applyFont="1" applyBorder="1" applyAlignment="1">
      <alignment horizontal="left" vertical="center" wrapText="1"/>
    </xf>
    <xf numFmtId="167" fontId="27" fillId="0" borderId="2" xfId="5" applyFont="1" applyFill="1" applyBorder="1" applyAlignment="1">
      <alignment horizontal="left" vertical="center" wrapText="1"/>
    </xf>
    <xf numFmtId="0" fontId="2" fillId="0" borderId="3" xfId="0" applyFont="1" applyBorder="1" applyAlignment="1">
      <alignment horizontal="center" vertical="center"/>
    </xf>
    <xf numFmtId="0" fontId="27" fillId="16" borderId="3" xfId="4" applyFont="1" applyFill="1" applyBorder="1" applyAlignment="1">
      <alignment horizontal="right" vertical="center"/>
    </xf>
    <xf numFmtId="170" fontId="2" fillId="0" borderId="3" xfId="1" applyFont="1" applyFill="1" applyBorder="1" applyAlignment="1">
      <alignment horizontal="center" vertical="center"/>
    </xf>
    <xf numFmtId="195" fontId="82" fillId="0" borderId="10" xfId="201" applyNumberFormat="1" applyFont="1" applyBorder="1" applyAlignment="1">
      <alignment horizontal="center" vertical="center"/>
    </xf>
    <xf numFmtId="195" fontId="82" fillId="0" borderId="10" xfId="201" applyNumberFormat="1" applyFont="1" applyBorder="1" applyAlignment="1">
      <alignment horizontal="right" vertical="center"/>
    </xf>
    <xf numFmtId="195" fontId="82" fillId="0" borderId="10" xfId="201" applyNumberFormat="1" applyFont="1" applyBorder="1" applyAlignment="1">
      <alignment vertical="center"/>
    </xf>
    <xf numFmtId="1" fontId="78" fillId="0" borderId="1" xfId="4" applyNumberFormat="1" applyFont="1" applyBorder="1" applyAlignment="1">
      <alignment horizontal="center" vertical="center" wrapText="1"/>
    </xf>
    <xf numFmtId="49" fontId="78" fillId="0" borderId="1" xfId="4" applyNumberFormat="1" applyFont="1" applyBorder="1" applyAlignment="1">
      <alignment vertical="center" wrapText="1"/>
    </xf>
    <xf numFmtId="0" fontId="7" fillId="0" borderId="1" xfId="4" applyFont="1" applyBorder="1" applyAlignment="1">
      <alignment horizontal="left" vertical="center" wrapText="1"/>
    </xf>
    <xf numFmtId="0" fontId="32" fillId="0" borderId="1" xfId="0" applyFont="1" applyBorder="1" applyAlignment="1">
      <alignment horizontal="center" vertical="center"/>
    </xf>
    <xf numFmtId="0" fontId="7" fillId="16" borderId="1" xfId="4" applyFont="1" applyFill="1" applyBorder="1" applyAlignment="1">
      <alignment horizontal="right" vertical="center"/>
    </xf>
    <xf numFmtId="170" fontId="32" fillId="0" borderId="1" xfId="1" applyFont="1" applyFill="1" applyBorder="1" applyAlignment="1">
      <alignment horizontal="center" vertical="center"/>
    </xf>
    <xf numFmtId="197" fontId="7" fillId="0" borderId="1" xfId="201" applyNumberFormat="1" applyFont="1" applyBorder="1" applyAlignment="1">
      <alignment vertical="center"/>
    </xf>
    <xf numFmtId="49" fontId="32" fillId="0" borderId="1" xfId="5" applyNumberFormat="1" applyFont="1" applyBorder="1" applyAlignment="1">
      <alignment vertical="center"/>
    </xf>
    <xf numFmtId="2" fontId="79" fillId="0" borderId="9" xfId="4" applyNumberFormat="1" applyFont="1" applyBorder="1" applyAlignment="1">
      <alignment horizontal="left" vertical="center" wrapText="1"/>
    </xf>
    <xf numFmtId="167" fontId="78" fillId="0" borderId="2" xfId="5" applyFont="1" applyBorder="1" applyAlignment="1">
      <alignment vertical="center"/>
    </xf>
    <xf numFmtId="167" fontId="32" fillId="0" borderId="1" xfId="5" applyFont="1" applyBorder="1" applyAlignment="1">
      <alignment horizontal="left" vertical="center"/>
    </xf>
    <xf numFmtId="195" fontId="78" fillId="0" borderId="2" xfId="201" applyNumberFormat="1" applyFont="1" applyBorder="1" applyAlignment="1">
      <alignment horizontal="center" vertical="center"/>
    </xf>
    <xf numFmtId="195" fontId="78" fillId="0" borderId="2" xfId="201" applyNumberFormat="1" applyFont="1" applyBorder="1" applyAlignment="1">
      <alignment horizontal="right" vertical="center"/>
    </xf>
    <xf numFmtId="195" fontId="78" fillId="0" borderId="2" xfId="201" applyNumberFormat="1" applyFont="1" applyBorder="1" applyAlignment="1">
      <alignment vertical="center"/>
    </xf>
    <xf numFmtId="195" fontId="7" fillId="16" borderId="1" xfId="201" applyNumberFormat="1" applyFont="1" applyFill="1" applyBorder="1" applyAlignment="1">
      <alignment horizontal="center" vertical="center"/>
    </xf>
    <xf numFmtId="49" fontId="27" fillId="0" borderId="3" xfId="4" applyNumberFormat="1" applyFont="1" applyBorder="1" applyAlignment="1">
      <alignment horizontal="right" vertical="center" wrapText="1"/>
    </xf>
    <xf numFmtId="167" fontId="27" fillId="0" borderId="3" xfId="5" applyFont="1" applyFill="1" applyBorder="1" applyAlignment="1">
      <alignment horizontal="left" vertical="center" wrapText="1"/>
    </xf>
    <xf numFmtId="49" fontId="27" fillId="0" borderId="3" xfId="5" applyNumberFormat="1" applyFont="1" applyFill="1" applyBorder="1" applyAlignment="1">
      <alignment horizontal="left" vertical="center" wrapText="1"/>
    </xf>
    <xf numFmtId="1" fontId="122" fillId="7" borderId="99" xfId="0" applyNumberFormat="1" applyFont="1" applyFill="1" applyBorder="1" applyAlignment="1">
      <alignment horizontal="center" vertical="center" wrapText="1"/>
    </xf>
    <xf numFmtId="167" fontId="27" fillId="7" borderId="3" xfId="5" applyFont="1" applyFill="1" applyBorder="1" applyAlignment="1">
      <alignment horizontal="left" vertical="center" wrapText="1"/>
    </xf>
    <xf numFmtId="49" fontId="7" fillId="0" borderId="2" xfId="5" applyNumberFormat="1" applyFont="1" applyFill="1" applyBorder="1" applyAlignment="1">
      <alignment horizontal="left" vertical="center" wrapText="1"/>
    </xf>
    <xf numFmtId="195" fontId="7" fillId="0" borderId="2" xfId="201" applyNumberFormat="1" applyFont="1" applyFill="1" applyBorder="1" applyAlignment="1">
      <alignment horizontal="left" vertical="center" wrapText="1"/>
    </xf>
    <xf numFmtId="170" fontId="27" fillId="0" borderId="2" xfId="1" applyFont="1" applyFill="1" applyBorder="1" applyAlignment="1">
      <alignment horizontal="center" vertical="center" wrapText="1"/>
    </xf>
    <xf numFmtId="195" fontId="27" fillId="0" borderId="2" xfId="201" applyNumberFormat="1" applyFont="1" applyFill="1" applyBorder="1" applyAlignment="1">
      <alignment horizontal="left" vertical="center" wrapText="1"/>
    </xf>
    <xf numFmtId="167" fontId="2" fillId="0" borderId="1" xfId="5" applyFont="1" applyBorder="1" applyAlignment="1">
      <alignment vertical="center" wrapText="1"/>
    </xf>
    <xf numFmtId="167" fontId="27" fillId="7" borderId="2" xfId="5" applyFont="1" applyFill="1" applyBorder="1" applyAlignment="1">
      <alignment horizontal="left" vertical="center" wrapText="1"/>
    </xf>
    <xf numFmtId="170" fontId="27" fillId="7" borderId="2" xfId="1" applyFont="1" applyFill="1" applyBorder="1" applyAlignment="1">
      <alignment horizontal="center" vertical="center" wrapText="1"/>
    </xf>
    <xf numFmtId="49" fontId="27" fillId="7" borderId="2" xfId="4" applyNumberFormat="1" applyFont="1" applyFill="1" applyBorder="1" applyAlignment="1">
      <alignment horizontal="center" vertical="center" wrapText="1"/>
    </xf>
    <xf numFmtId="49" fontId="122" fillId="7" borderId="99" xfId="0" applyNumberFormat="1" applyFont="1" applyFill="1" applyBorder="1" applyAlignment="1">
      <alignment horizontal="center" vertical="center" wrapText="1"/>
    </xf>
    <xf numFmtId="49" fontId="7" fillId="7" borderId="1" xfId="4" applyNumberFormat="1" applyFont="1" applyFill="1" applyBorder="1" applyAlignment="1">
      <alignment horizontal="left" vertical="center" wrapText="1"/>
    </xf>
    <xf numFmtId="49" fontId="79" fillId="0" borderId="28" xfId="4" applyNumberFormat="1" applyFont="1" applyBorder="1" applyAlignment="1">
      <alignment horizontal="left" vertical="center" wrapText="1"/>
    </xf>
    <xf numFmtId="195" fontId="7" fillId="0" borderId="2" xfId="201" applyNumberFormat="1" applyFont="1" applyFill="1" applyBorder="1" applyAlignment="1">
      <alignment horizontal="center" vertical="center" wrapText="1"/>
    </xf>
    <xf numFmtId="195" fontId="7" fillId="0" borderId="2" xfId="201" applyNumberFormat="1" applyFont="1" applyFill="1" applyBorder="1" applyAlignment="1">
      <alignment horizontal="right" vertical="center" wrapText="1"/>
    </xf>
    <xf numFmtId="1" fontId="152" fillId="0" borderId="54" xfId="201" applyNumberFormat="1" applyFont="1" applyBorder="1" applyAlignment="1">
      <alignment horizontal="center" vertical="center" wrapText="1"/>
    </xf>
    <xf numFmtId="1" fontId="150" fillId="0" borderId="54" xfId="0" applyNumberFormat="1" applyFont="1" applyBorder="1" applyAlignment="1">
      <alignment horizontal="center" vertical="center" wrapText="1"/>
    </xf>
    <xf numFmtId="0" fontId="150" fillId="0" borderId="0" xfId="0" applyFont="1"/>
    <xf numFmtId="49" fontId="150" fillId="54" borderId="99" xfId="0" applyNumberFormat="1" applyFont="1" applyFill="1" applyBorder="1" applyAlignment="1">
      <alignment horizontal="center" vertical="center" wrapText="1"/>
    </xf>
    <xf numFmtId="1" fontId="152" fillId="54" borderId="99" xfId="201" applyNumberFormat="1" applyFont="1" applyFill="1" applyBorder="1" applyAlignment="1">
      <alignment horizontal="center" vertical="center" wrapText="1"/>
    </xf>
    <xf numFmtId="1" fontId="152" fillId="54" borderId="99" xfId="0" applyNumberFormat="1" applyFont="1" applyFill="1" applyBorder="1" applyAlignment="1">
      <alignment horizontal="center" vertical="center" wrapText="1"/>
    </xf>
    <xf numFmtId="1" fontId="150" fillId="54" borderId="99" xfId="0" applyNumberFormat="1" applyFont="1" applyFill="1" applyBorder="1" applyAlignment="1">
      <alignment horizontal="center" vertical="center" wrapText="1"/>
    </xf>
    <xf numFmtId="170" fontId="152" fillId="54" borderId="99" xfId="1" applyFont="1" applyFill="1" applyBorder="1" applyAlignment="1">
      <alignment horizontal="center" vertical="center" wrapText="1"/>
    </xf>
    <xf numFmtId="49" fontId="7" fillId="7" borderId="1" xfId="1" applyNumberFormat="1" applyFont="1" applyFill="1" applyBorder="1" applyAlignment="1">
      <alignment horizontal="left" vertical="center" wrapText="1"/>
    </xf>
    <xf numFmtId="167" fontId="2" fillId="7" borderId="1" xfId="5" applyFont="1" applyFill="1" applyBorder="1" applyAlignment="1">
      <alignment horizontal="left" vertical="center"/>
    </xf>
    <xf numFmtId="0" fontId="27" fillId="7" borderId="1" xfId="4" applyFont="1" applyFill="1" applyBorder="1" applyAlignment="1">
      <alignment horizontal="left" vertical="center" wrapText="1"/>
    </xf>
    <xf numFmtId="1" fontId="125" fillId="7" borderId="99" xfId="0" applyNumberFormat="1" applyFont="1" applyFill="1" applyBorder="1" applyAlignment="1">
      <alignment horizontal="center" vertical="center" wrapText="1"/>
    </xf>
    <xf numFmtId="1" fontId="27" fillId="7" borderId="1" xfId="4" applyNumberFormat="1" applyFont="1" applyFill="1" applyBorder="1" applyAlignment="1">
      <alignment horizontal="left" vertical="center" wrapText="1"/>
    </xf>
    <xf numFmtId="1" fontId="82" fillId="7" borderId="1" xfId="4" applyNumberFormat="1" applyFont="1" applyFill="1" applyBorder="1" applyAlignment="1">
      <alignment horizontal="center" vertical="center" wrapText="1"/>
    </xf>
    <xf numFmtId="1" fontId="27" fillId="7" borderId="2" xfId="4" applyNumberFormat="1" applyFont="1" applyFill="1" applyBorder="1" applyAlignment="1">
      <alignment horizontal="left" vertical="center" wrapText="1"/>
    </xf>
    <xf numFmtId="170" fontId="35" fillId="7" borderId="99" xfId="1" applyFont="1" applyFill="1" applyBorder="1" applyAlignment="1">
      <alignment horizontal="center" vertical="center" wrapText="1"/>
    </xf>
    <xf numFmtId="49" fontId="2" fillId="0" borderId="1" xfId="1" applyNumberFormat="1" applyFont="1" applyFill="1" applyBorder="1" applyAlignment="1">
      <alignment horizontal="left" vertical="center" wrapText="1" indent="2"/>
    </xf>
    <xf numFmtId="49" fontId="2" fillId="7" borderId="1" xfId="1" applyNumberFormat="1" applyFont="1" applyFill="1" applyBorder="1" applyAlignment="1">
      <alignment horizontal="left" vertical="center" wrapText="1" indent="2"/>
    </xf>
    <xf numFmtId="49" fontId="2" fillId="51" borderId="1" xfId="1" applyNumberFormat="1" applyFont="1" applyFill="1" applyBorder="1" applyAlignment="1">
      <alignment horizontal="left" vertical="center" wrapText="1"/>
    </xf>
    <xf numFmtId="49" fontId="148" fillId="0" borderId="1" xfId="4" applyNumberFormat="1" applyFont="1" applyBorder="1" applyAlignment="1">
      <alignment horizontal="center" vertical="center" wrapText="1"/>
    </xf>
    <xf numFmtId="49" fontId="148" fillId="0" borderId="1" xfId="4" applyNumberFormat="1" applyFont="1" applyBorder="1" applyAlignment="1">
      <alignment horizontal="right" vertical="center"/>
    </xf>
    <xf numFmtId="49" fontId="148" fillId="7" borderId="1" xfId="1" applyNumberFormat="1" applyFont="1" applyFill="1" applyBorder="1" applyAlignment="1">
      <alignment horizontal="left" vertical="center" wrapText="1"/>
    </xf>
    <xf numFmtId="49" fontId="148" fillId="0" borderId="1" xfId="1" applyNumberFormat="1" applyFont="1" applyBorder="1" applyAlignment="1">
      <alignment horizontal="left" vertical="center" wrapText="1"/>
    </xf>
    <xf numFmtId="2" fontId="148" fillId="0" borderId="1" xfId="4" applyNumberFormat="1" applyFont="1" applyBorder="1" applyAlignment="1">
      <alignment horizontal="left" vertical="center" wrapText="1"/>
    </xf>
    <xf numFmtId="2" fontId="165" fillId="0" borderId="1" xfId="4" applyNumberFormat="1" applyFont="1" applyBorder="1" applyAlignment="1">
      <alignment horizontal="left" vertical="center" wrapText="1"/>
    </xf>
    <xf numFmtId="1" fontId="166" fillId="0" borderId="1" xfId="4" applyNumberFormat="1" applyFont="1" applyBorder="1" applyAlignment="1">
      <alignment horizontal="center" vertical="center" wrapText="1"/>
    </xf>
    <xf numFmtId="1" fontId="148" fillId="0" borderId="1" xfId="4" applyNumberFormat="1" applyFont="1" applyBorder="1" applyAlignment="1">
      <alignment horizontal="center" vertical="center" wrapText="1"/>
    </xf>
    <xf numFmtId="1" fontId="148" fillId="0" borderId="1" xfId="1" applyNumberFormat="1" applyFont="1" applyFill="1" applyBorder="1" applyAlignment="1">
      <alignment horizontal="center" vertical="center" wrapText="1"/>
    </xf>
    <xf numFmtId="1" fontId="148" fillId="7" borderId="1" xfId="4" applyNumberFormat="1" applyFont="1" applyFill="1" applyBorder="1" applyAlignment="1">
      <alignment horizontal="center" vertical="center" wrapText="1"/>
    </xf>
    <xf numFmtId="49" fontId="148" fillId="0" borderId="1" xfId="4" applyNumberFormat="1" applyFont="1" applyBorder="1" applyAlignment="1">
      <alignment horizontal="left" vertical="center" wrapText="1"/>
    </xf>
    <xf numFmtId="0" fontId="148" fillId="7" borderId="1" xfId="4" applyFont="1" applyFill="1" applyBorder="1" applyAlignment="1">
      <alignment horizontal="left" vertical="center" wrapText="1"/>
    </xf>
    <xf numFmtId="1" fontId="148" fillId="7" borderId="1" xfId="4" applyNumberFormat="1" applyFont="1" applyFill="1" applyBorder="1" applyAlignment="1">
      <alignment horizontal="center" vertical="center"/>
    </xf>
    <xf numFmtId="0" fontId="148" fillId="7" borderId="1" xfId="4" applyFont="1" applyFill="1" applyBorder="1" applyAlignment="1">
      <alignment horizontal="center" vertical="center"/>
    </xf>
    <xf numFmtId="0" fontId="148" fillId="0" borderId="1" xfId="4" applyFont="1" applyBorder="1" applyAlignment="1">
      <alignment horizontal="center" vertical="center"/>
    </xf>
    <xf numFmtId="167" fontId="167" fillId="7" borderId="1" xfId="5" applyFont="1" applyFill="1" applyBorder="1" applyAlignment="1">
      <alignment horizontal="left" vertical="center"/>
    </xf>
    <xf numFmtId="167" fontId="167" fillId="0" borderId="1" xfId="5" applyFont="1" applyBorder="1" applyAlignment="1">
      <alignment vertical="center"/>
    </xf>
    <xf numFmtId="49" fontId="167" fillId="0" borderId="1" xfId="5" applyNumberFormat="1" applyFont="1" applyFill="1" applyBorder="1" applyAlignment="1">
      <alignment horizontal="left" vertical="center"/>
    </xf>
    <xf numFmtId="167" fontId="167" fillId="0" borderId="1" xfId="5" applyFont="1" applyBorder="1" applyAlignment="1">
      <alignment horizontal="left" vertical="center"/>
    </xf>
    <xf numFmtId="167" fontId="167" fillId="0" borderId="1" xfId="5" applyFont="1" applyFill="1" applyBorder="1" applyAlignment="1">
      <alignment vertical="center"/>
    </xf>
    <xf numFmtId="2" fontId="165" fillId="0" borderId="12" xfId="4" applyNumberFormat="1" applyFont="1" applyBorder="1" applyAlignment="1">
      <alignment horizontal="left" vertical="center" wrapText="1"/>
    </xf>
    <xf numFmtId="195" fontId="148" fillId="0" borderId="1" xfId="201" applyNumberFormat="1" applyFont="1" applyBorder="1" applyAlignment="1">
      <alignment horizontal="center" vertical="center"/>
    </xf>
    <xf numFmtId="195" fontId="167" fillId="0" borderId="1" xfId="201" applyNumberFormat="1" applyFont="1" applyFill="1" applyBorder="1" applyAlignment="1">
      <alignment horizontal="left" vertical="center"/>
    </xf>
    <xf numFmtId="195" fontId="167" fillId="0" borderId="1" xfId="201" applyNumberFormat="1" applyFont="1" applyBorder="1" applyAlignment="1">
      <alignment vertical="center"/>
    </xf>
    <xf numFmtId="0" fontId="148" fillId="0" borderId="0" xfId="4" applyFont="1" applyAlignment="1">
      <alignment horizontal="left" vertical="center"/>
    </xf>
    <xf numFmtId="195" fontId="148" fillId="0" borderId="0" xfId="4" applyNumberFormat="1" applyFont="1" applyAlignment="1">
      <alignment vertical="center"/>
    </xf>
    <xf numFmtId="167" fontId="2" fillId="51" borderId="1" xfId="5" applyFont="1" applyFill="1" applyBorder="1" applyAlignment="1">
      <alignment vertical="center"/>
    </xf>
    <xf numFmtId="49" fontId="154" fillId="7" borderId="1" xfId="1" applyNumberFormat="1" applyFont="1" applyFill="1" applyBorder="1" applyAlignment="1">
      <alignment horizontal="left" vertical="center" wrapText="1"/>
    </xf>
    <xf numFmtId="1" fontId="63" fillId="0" borderId="3" xfId="4" applyNumberFormat="1" applyFont="1" applyBorder="1" applyAlignment="1">
      <alignment horizontal="center" vertical="center" wrapText="1"/>
    </xf>
    <xf numFmtId="49" fontId="7" fillId="19" borderId="12" xfId="4" applyNumberFormat="1" applyFont="1" applyFill="1" applyBorder="1" applyAlignment="1">
      <alignment horizontal="right" vertical="center"/>
    </xf>
    <xf numFmtId="49" fontId="7" fillId="28" borderId="12" xfId="4" applyNumberFormat="1" applyFont="1" applyFill="1" applyBorder="1" applyAlignment="1">
      <alignment horizontal="right" vertical="center" wrapText="1"/>
    </xf>
    <xf numFmtId="49" fontId="27" fillId="0" borderId="12" xfId="4" applyNumberFormat="1" applyFont="1" applyBorder="1" applyAlignment="1">
      <alignment horizontal="right" vertical="center" wrapText="1"/>
    </xf>
    <xf numFmtId="49" fontId="27" fillId="50" borderId="12" xfId="4" applyNumberFormat="1" applyFont="1" applyFill="1" applyBorder="1" applyAlignment="1">
      <alignment horizontal="right" vertical="center" wrapText="1"/>
    </xf>
    <xf numFmtId="49" fontId="27" fillId="0" borderId="12" xfId="4" applyNumberFormat="1" applyFont="1" applyBorder="1" applyAlignment="1">
      <alignment horizontal="right" vertical="center"/>
    </xf>
    <xf numFmtId="49" fontId="7" fillId="19" borderId="9" xfId="1" applyNumberFormat="1" applyFont="1" applyFill="1" applyBorder="1" applyAlignment="1">
      <alignment horizontal="left" vertical="center" wrapText="1"/>
    </xf>
    <xf numFmtId="49" fontId="7" fillId="28" borderId="9" xfId="1" applyNumberFormat="1" applyFont="1" applyFill="1" applyBorder="1" applyAlignment="1">
      <alignment horizontal="left" vertical="center" wrapText="1"/>
    </xf>
    <xf numFmtId="49" fontId="82" fillId="0" borderId="9" xfId="1" applyNumberFormat="1" applyFont="1" applyBorder="1" applyAlignment="1">
      <alignment horizontal="left" vertical="center" wrapText="1"/>
    </xf>
    <xf numFmtId="49" fontId="27" fillId="50" borderId="9" xfId="1" applyNumberFormat="1" applyFont="1" applyFill="1" applyBorder="1" applyAlignment="1">
      <alignment horizontal="left" vertical="center" wrapText="1"/>
    </xf>
    <xf numFmtId="49" fontId="27" fillId="0" borderId="9" xfId="1" applyNumberFormat="1" applyFont="1" applyBorder="1" applyAlignment="1">
      <alignment horizontal="left" vertical="center" wrapText="1"/>
    </xf>
    <xf numFmtId="49" fontId="63" fillId="27" borderId="2" xfId="1" applyNumberFormat="1" applyFont="1" applyFill="1" applyBorder="1" applyAlignment="1">
      <alignment horizontal="left" vertical="center" wrapText="1"/>
    </xf>
    <xf numFmtId="0" fontId="168" fillId="76" borderId="1" xfId="0" applyFont="1" applyFill="1" applyBorder="1" applyAlignment="1">
      <alignment horizontal="left" vertical="center" wrapText="1"/>
    </xf>
    <xf numFmtId="49" fontId="170" fillId="0" borderId="1" xfId="4" applyNumberFormat="1" applyFont="1" applyBorder="1" applyAlignment="1">
      <alignment horizontal="left" vertical="center" wrapText="1"/>
    </xf>
    <xf numFmtId="49" fontId="170" fillId="0" borderId="12" xfId="4" applyNumberFormat="1" applyFont="1" applyBorder="1" applyAlignment="1">
      <alignment horizontal="left" vertical="center" wrapText="1"/>
    </xf>
    <xf numFmtId="0" fontId="169" fillId="0" borderId="0" xfId="4" applyFont="1" applyAlignment="1">
      <alignment vertical="center"/>
    </xf>
    <xf numFmtId="49" fontId="148" fillId="0" borderId="1" xfId="4" applyNumberFormat="1" applyFont="1" applyBorder="1" applyAlignment="1">
      <alignment horizontal="right" vertical="center" wrapText="1"/>
    </xf>
    <xf numFmtId="49" fontId="148" fillId="0" borderId="12" xfId="4" applyNumberFormat="1" applyFont="1" applyBorder="1" applyAlignment="1">
      <alignment horizontal="right" vertical="center" wrapText="1"/>
    </xf>
    <xf numFmtId="49" fontId="148" fillId="0" borderId="1" xfId="1" applyNumberFormat="1" applyFont="1" applyFill="1" applyBorder="1" applyAlignment="1">
      <alignment horizontal="left" vertical="center" wrapText="1"/>
    </xf>
    <xf numFmtId="49" fontId="148" fillId="0" borderId="9" xfId="1" applyNumberFormat="1" applyFont="1" applyFill="1" applyBorder="1" applyAlignment="1">
      <alignment horizontal="left" vertical="center" wrapText="1"/>
    </xf>
    <xf numFmtId="1" fontId="171" fillId="0" borderId="1" xfId="4" applyNumberFormat="1" applyFont="1" applyBorder="1" applyAlignment="1">
      <alignment horizontal="center" vertical="center" wrapText="1"/>
    </xf>
    <xf numFmtId="1" fontId="169" fillId="0" borderId="1" xfId="1" applyNumberFormat="1" applyFont="1" applyFill="1" applyBorder="1" applyAlignment="1">
      <alignment horizontal="center" vertical="center" wrapText="1"/>
    </xf>
    <xf numFmtId="1" fontId="148" fillId="0" borderId="2" xfId="4" applyNumberFormat="1" applyFont="1" applyBorder="1" applyAlignment="1">
      <alignment horizontal="center" vertical="center" wrapText="1"/>
    </xf>
    <xf numFmtId="0" fontId="148" fillId="0" borderId="1" xfId="4" applyFont="1" applyBorder="1" applyAlignment="1">
      <alignment horizontal="left" vertical="center" wrapText="1"/>
    </xf>
    <xf numFmtId="1" fontId="148" fillId="0" borderId="1" xfId="4" applyNumberFormat="1" applyFont="1" applyBorder="1" applyAlignment="1">
      <alignment horizontal="center" vertical="center"/>
    </xf>
    <xf numFmtId="49" fontId="169" fillId="0" borderId="1" xfId="4" applyNumberFormat="1" applyFont="1" applyBorder="1" applyAlignment="1">
      <alignment horizontal="center" vertical="center" wrapText="1"/>
    </xf>
    <xf numFmtId="49" fontId="169" fillId="0" borderId="1" xfId="4" applyNumberFormat="1" applyFont="1" applyBorder="1" applyAlignment="1">
      <alignment horizontal="right" vertical="center" wrapText="1"/>
    </xf>
    <xf numFmtId="167" fontId="148" fillId="0" borderId="1" xfId="5" applyFont="1" applyFill="1" applyBorder="1" applyAlignment="1">
      <alignment horizontal="left" vertical="center" wrapText="1"/>
    </xf>
    <xf numFmtId="49" fontId="167" fillId="0" borderId="1" xfId="5" applyNumberFormat="1" applyFont="1" applyFill="1" applyBorder="1" applyAlignment="1">
      <alignment vertical="center"/>
    </xf>
    <xf numFmtId="195" fontId="148" fillId="0" borderId="1" xfId="201" applyNumberFormat="1" applyFont="1" applyFill="1" applyBorder="1" applyAlignment="1">
      <alignment horizontal="center" vertical="center"/>
    </xf>
    <xf numFmtId="195" fontId="148" fillId="0" borderId="1" xfId="201" applyNumberFormat="1" applyFont="1" applyFill="1" applyBorder="1" applyAlignment="1">
      <alignment horizontal="center" vertical="center" wrapText="1"/>
    </xf>
    <xf numFmtId="195" fontId="148" fillId="0" borderId="1" xfId="201" applyNumberFormat="1" applyFont="1" applyFill="1" applyBorder="1" applyAlignment="1">
      <alignment horizontal="right" vertical="center" wrapText="1"/>
    </xf>
    <xf numFmtId="195" fontId="148" fillId="0" borderId="1" xfId="201" applyNumberFormat="1" applyFont="1" applyFill="1" applyBorder="1" applyAlignment="1">
      <alignment horizontal="left" vertical="center" wrapText="1"/>
    </xf>
    <xf numFmtId="195" fontId="167" fillId="0" borderId="1" xfId="201" applyNumberFormat="1" applyFont="1" applyFill="1" applyBorder="1" applyAlignment="1">
      <alignment vertical="center"/>
    </xf>
    <xf numFmtId="1" fontId="148" fillId="0" borderId="10" xfId="4" applyNumberFormat="1" applyFont="1" applyBorder="1" applyAlignment="1">
      <alignment horizontal="center" vertical="center" wrapText="1"/>
    </xf>
    <xf numFmtId="49" fontId="151" fillId="0" borderId="1" xfId="5" applyNumberFormat="1" applyFont="1" applyFill="1" applyBorder="1" applyAlignment="1">
      <alignment vertical="center" wrapText="1"/>
    </xf>
    <xf numFmtId="1" fontId="148" fillId="0" borderId="3" xfId="4" applyNumberFormat="1" applyFont="1" applyBorder="1" applyAlignment="1">
      <alignment horizontal="center" vertical="center" wrapText="1"/>
    </xf>
    <xf numFmtId="170" fontId="123" fillId="35" borderId="2" xfId="1" applyFont="1" applyFill="1" applyBorder="1" applyAlignment="1">
      <alignment horizontal="center" vertical="center" wrapText="1"/>
    </xf>
    <xf numFmtId="49" fontId="172" fillId="28" borderId="1" xfId="4" applyNumberFormat="1" applyFont="1" applyFill="1" applyBorder="1" applyAlignment="1">
      <alignment horizontal="center" vertical="center" wrapText="1"/>
    </xf>
    <xf numFmtId="49" fontId="172" fillId="28" borderId="1" xfId="4" applyNumberFormat="1" applyFont="1" applyFill="1" applyBorder="1" applyAlignment="1">
      <alignment horizontal="right" vertical="center" wrapText="1"/>
    </xf>
    <xf numFmtId="49" fontId="172" fillId="28" borderId="12" xfId="4" applyNumberFormat="1" applyFont="1" applyFill="1" applyBorder="1" applyAlignment="1">
      <alignment horizontal="right" vertical="center" wrapText="1"/>
    </xf>
    <xf numFmtId="49" fontId="172" fillId="28" borderId="1" xfId="1" applyNumberFormat="1" applyFont="1" applyFill="1" applyBorder="1" applyAlignment="1">
      <alignment horizontal="left" vertical="center" wrapText="1"/>
    </xf>
    <xf numFmtId="49" fontId="172" fillId="28" borderId="9" xfId="1" applyNumberFormat="1" applyFont="1" applyFill="1" applyBorder="1" applyAlignment="1">
      <alignment horizontal="left" vertical="center" wrapText="1"/>
    </xf>
    <xf numFmtId="49" fontId="172" fillId="28" borderId="1" xfId="4" applyNumberFormat="1" applyFont="1" applyFill="1" applyBorder="1" applyAlignment="1">
      <alignment horizontal="left" vertical="center" wrapText="1"/>
    </xf>
    <xf numFmtId="49" fontId="173" fillId="0" borderId="1" xfId="4" applyNumberFormat="1" applyFont="1" applyBorder="1" applyAlignment="1">
      <alignment horizontal="left" vertical="center" wrapText="1"/>
    </xf>
    <xf numFmtId="1" fontId="174" fillId="28" borderId="1" xfId="4" applyNumberFormat="1" applyFont="1" applyFill="1" applyBorder="1" applyAlignment="1">
      <alignment horizontal="center" vertical="center" wrapText="1"/>
    </xf>
    <xf numFmtId="1" fontId="175" fillId="28" borderId="1" xfId="4" applyNumberFormat="1" applyFont="1" applyFill="1" applyBorder="1" applyAlignment="1">
      <alignment horizontal="center" vertical="center" wrapText="1"/>
    </xf>
    <xf numFmtId="1" fontId="172" fillId="28" borderId="1" xfId="4" applyNumberFormat="1" applyFont="1" applyFill="1" applyBorder="1" applyAlignment="1">
      <alignment horizontal="center" vertical="center" wrapText="1"/>
    </xf>
    <xf numFmtId="167" fontId="172" fillId="28" borderId="1" xfId="5" applyFont="1" applyFill="1" applyBorder="1" applyAlignment="1">
      <alignment horizontal="left" vertical="center" wrapText="1"/>
    </xf>
    <xf numFmtId="49" fontId="172" fillId="28" borderId="1" xfId="5" applyNumberFormat="1" applyFont="1" applyFill="1" applyBorder="1" applyAlignment="1">
      <alignment horizontal="left" vertical="center" wrapText="1"/>
    </xf>
    <xf numFmtId="49" fontId="173" fillId="0" borderId="12" xfId="4" applyNumberFormat="1" applyFont="1" applyBorder="1" applyAlignment="1">
      <alignment horizontal="left" vertical="center" wrapText="1"/>
    </xf>
    <xf numFmtId="195" fontId="172" fillId="28" borderId="1" xfId="201" applyNumberFormat="1" applyFont="1" applyFill="1" applyBorder="1" applyAlignment="1">
      <alignment horizontal="center" vertical="center" wrapText="1"/>
    </xf>
    <xf numFmtId="195" fontId="172" fillId="28" borderId="1" xfId="201" applyNumberFormat="1" applyFont="1" applyFill="1" applyBorder="1" applyAlignment="1">
      <alignment horizontal="right" vertical="center" wrapText="1"/>
    </xf>
    <xf numFmtId="195" fontId="172" fillId="28" borderId="1" xfId="201" applyNumberFormat="1" applyFont="1" applyFill="1" applyBorder="1" applyAlignment="1">
      <alignment horizontal="left" vertical="center" wrapText="1"/>
    </xf>
    <xf numFmtId="0" fontId="172" fillId="0" borderId="0" xfId="4" applyFont="1" applyAlignment="1">
      <alignment vertical="center"/>
    </xf>
    <xf numFmtId="195" fontId="175" fillId="0" borderId="0" xfId="4" applyNumberFormat="1" applyFont="1" applyAlignment="1">
      <alignment vertical="center"/>
    </xf>
    <xf numFmtId="1" fontId="122" fillId="68" borderId="54" xfId="0" applyNumberFormat="1" applyFont="1" applyFill="1" applyBorder="1" applyAlignment="1">
      <alignment horizontal="center" vertical="center" wrapText="1"/>
    </xf>
    <xf numFmtId="1" fontId="111" fillId="68" borderId="54" xfId="0" applyNumberFormat="1" applyFont="1" applyFill="1" applyBorder="1" applyAlignment="1">
      <alignment horizontal="center" vertical="center" wrapText="1"/>
    </xf>
    <xf numFmtId="1" fontId="111" fillId="77" borderId="54" xfId="0" applyNumberFormat="1" applyFont="1" applyFill="1" applyBorder="1" applyAlignment="1">
      <alignment horizontal="center" vertical="center" wrapText="1"/>
    </xf>
    <xf numFmtId="1" fontId="125" fillId="54" borderId="101" xfId="0" applyNumberFormat="1" applyFont="1" applyFill="1" applyBorder="1" applyAlignment="1">
      <alignment horizontal="left" vertical="center" wrapText="1"/>
    </xf>
    <xf numFmtId="49" fontId="156" fillId="0" borderId="54" xfId="0" applyNumberFormat="1" applyFont="1" applyBorder="1" applyAlignment="1">
      <alignment horizontal="left" vertical="top" wrapText="1"/>
    </xf>
    <xf numFmtId="1" fontId="149" fillId="0" borderId="54" xfId="0" applyNumberFormat="1" applyFont="1" applyBorder="1" applyAlignment="1">
      <alignment horizontal="left" vertical="center" wrapText="1" indent="1"/>
    </xf>
    <xf numFmtId="49" fontId="149" fillId="0" borderId="54" xfId="0" applyNumberFormat="1" applyFont="1" applyBorder="1" applyAlignment="1">
      <alignment horizontal="center" vertical="center" wrapText="1"/>
    </xf>
    <xf numFmtId="1" fontId="149" fillId="0" borderId="54" xfId="0" applyNumberFormat="1" applyFont="1" applyBorder="1" applyAlignment="1">
      <alignment horizontal="center" vertical="center" wrapText="1"/>
    </xf>
    <xf numFmtId="49" fontId="176" fillId="0" borderId="54" xfId="0" applyNumberFormat="1" applyFont="1" applyBorder="1" applyAlignment="1">
      <alignment horizontal="left" vertical="top" wrapText="1"/>
    </xf>
    <xf numFmtId="0" fontId="149" fillId="0" borderId="0" xfId="0" applyFont="1"/>
    <xf numFmtId="1" fontId="162" fillId="0" borderId="54" xfId="0" applyNumberFormat="1" applyFont="1" applyBorder="1" applyAlignment="1">
      <alignment vertical="center" wrapText="1"/>
    </xf>
    <xf numFmtId="49" fontId="163" fillId="0" borderId="54" xfId="0" applyNumberFormat="1" applyFont="1" applyBorder="1" applyAlignment="1">
      <alignment horizontal="left" vertical="center" wrapText="1"/>
    </xf>
    <xf numFmtId="49" fontId="122" fillId="0" borderId="99" xfId="0" applyNumberFormat="1" applyFont="1" applyBorder="1" applyAlignment="1">
      <alignment horizontal="center" vertical="center" wrapText="1"/>
    </xf>
    <xf numFmtId="1" fontId="34" fillId="0" borderId="99" xfId="201" applyNumberFormat="1" applyFont="1" applyBorder="1" applyAlignment="1">
      <alignment horizontal="center" vertical="center" wrapText="1"/>
    </xf>
    <xf numFmtId="1" fontId="34" fillId="0" borderId="99" xfId="0" applyNumberFormat="1" applyFont="1" applyBorder="1" applyAlignment="1">
      <alignment horizontal="center" vertical="center" wrapText="1"/>
    </xf>
    <xf numFmtId="1" fontId="111" fillId="0" borderId="99" xfId="0" applyNumberFormat="1" applyFont="1" applyBorder="1" applyAlignment="1">
      <alignment horizontal="center" vertical="center" wrapText="1"/>
    </xf>
    <xf numFmtId="49" fontId="62" fillId="0" borderId="1" xfId="0" applyNumberFormat="1" applyFont="1" applyBorder="1" applyAlignment="1">
      <alignment horizontal="left" vertical="top" wrapText="1"/>
    </xf>
    <xf numFmtId="49" fontId="122" fillId="54" borderId="1" xfId="0" applyNumberFormat="1" applyFont="1" applyFill="1" applyBorder="1" applyAlignment="1">
      <alignment horizontal="center" vertical="center" wrapText="1"/>
    </xf>
    <xf numFmtId="1" fontId="34" fillId="54" borderId="1" xfId="201" applyNumberFormat="1" applyFont="1" applyFill="1" applyBorder="1" applyAlignment="1">
      <alignment horizontal="center" vertical="center" wrapText="1"/>
    </xf>
    <xf numFmtId="1" fontId="34" fillId="54" borderId="1" xfId="0" applyNumberFormat="1" applyFont="1" applyFill="1" applyBorder="1" applyAlignment="1">
      <alignment horizontal="center" vertical="center" wrapText="1"/>
    </xf>
    <xf numFmtId="1" fontId="111" fillId="54" borderId="1" xfId="0" applyNumberFormat="1" applyFont="1" applyFill="1" applyBorder="1" applyAlignment="1">
      <alignment horizontal="center" vertical="center" wrapText="1"/>
    </xf>
    <xf numFmtId="1" fontId="111" fillId="68" borderId="1" xfId="0" applyNumberFormat="1" applyFont="1" applyFill="1" applyBorder="1" applyAlignment="1">
      <alignment horizontal="center" vertical="center" wrapText="1"/>
    </xf>
    <xf numFmtId="0" fontId="34" fillId="7" borderId="60" xfId="0" applyFont="1" applyFill="1" applyBorder="1" applyAlignment="1">
      <alignment horizontal="center" vertical="center" wrapText="1"/>
    </xf>
    <xf numFmtId="49" fontId="34" fillId="54" borderId="54" xfId="0" applyNumberFormat="1" applyFont="1" applyFill="1" applyBorder="1" applyAlignment="1">
      <alignment horizontal="center" vertical="center" wrapText="1"/>
    </xf>
    <xf numFmtId="49" fontId="110" fillId="7" borderId="54" xfId="0" applyNumberFormat="1" applyFont="1" applyFill="1" applyBorder="1" applyAlignment="1">
      <alignment horizontal="left" vertical="top" wrapText="1"/>
    </xf>
    <xf numFmtId="49" fontId="27" fillId="8" borderId="1" xfId="4" applyNumberFormat="1" applyFont="1" applyFill="1" applyBorder="1" applyAlignment="1">
      <alignment horizontal="right" vertical="center" wrapText="1"/>
    </xf>
    <xf numFmtId="49" fontId="27" fillId="78" borderId="1" xfId="4" applyNumberFormat="1" applyFont="1" applyFill="1" applyBorder="1" applyAlignment="1">
      <alignment horizontal="right" vertical="center"/>
    </xf>
    <xf numFmtId="170" fontId="35" fillId="7" borderId="99" xfId="1" applyFont="1" applyFill="1" applyBorder="1" applyAlignment="1">
      <alignment vertical="center" wrapText="1"/>
    </xf>
    <xf numFmtId="49" fontId="34" fillId="0" borderId="1" xfId="1" applyNumberFormat="1" applyFont="1" applyBorder="1" applyAlignment="1">
      <alignment horizontal="left" vertical="center" wrapText="1"/>
    </xf>
    <xf numFmtId="1" fontId="122" fillId="7" borderId="1" xfId="0" applyNumberFormat="1" applyFont="1" applyFill="1" applyBorder="1" applyAlignment="1">
      <alignment horizontal="center" vertical="center" wrapText="1"/>
    </xf>
    <xf numFmtId="1" fontId="125" fillId="7" borderId="1" xfId="0" applyNumberFormat="1" applyFont="1" applyFill="1" applyBorder="1" applyAlignment="1">
      <alignment horizontal="center" vertical="center" wrapText="1"/>
    </xf>
    <xf numFmtId="170" fontId="34" fillId="7" borderId="1" xfId="1" applyFont="1" applyFill="1" applyBorder="1" applyAlignment="1">
      <alignment horizontal="center" vertical="center" wrapText="1"/>
    </xf>
    <xf numFmtId="49" fontId="9" fillId="7" borderId="1" xfId="0" applyNumberFormat="1" applyFont="1" applyFill="1" applyBorder="1" applyAlignment="1">
      <alignment horizontal="left" vertical="top" wrapText="1"/>
    </xf>
    <xf numFmtId="49" fontId="122" fillId="0" borderId="112" xfId="1" applyNumberFormat="1" applyFont="1" applyBorder="1" applyAlignment="1">
      <alignment vertical="center" wrapText="1"/>
    </xf>
    <xf numFmtId="49" fontId="34" fillId="0" borderId="112" xfId="0" applyNumberFormat="1" applyFont="1" applyBorder="1" applyAlignment="1">
      <alignment horizontal="center" vertical="center" wrapText="1"/>
    </xf>
    <xf numFmtId="1" fontId="34" fillId="0" borderId="112" xfId="201" applyNumberFormat="1" applyFont="1" applyBorder="1" applyAlignment="1">
      <alignment horizontal="center" vertical="center" wrapText="1"/>
    </xf>
    <xf numFmtId="1" fontId="34" fillId="0" borderId="112" xfId="0" applyNumberFormat="1" applyFont="1" applyBorder="1" applyAlignment="1">
      <alignment horizontal="center" vertical="center" wrapText="1"/>
    </xf>
    <xf numFmtId="1" fontId="122" fillId="0" borderId="112" xfId="0" applyNumberFormat="1" applyFont="1" applyBorder="1" applyAlignment="1">
      <alignment horizontal="center" vertical="center" wrapText="1"/>
    </xf>
    <xf numFmtId="49" fontId="62" fillId="0" borderId="103" xfId="0" applyNumberFormat="1" applyFont="1" applyBorder="1" applyAlignment="1">
      <alignment horizontal="left" vertical="top" wrapText="1"/>
    </xf>
    <xf numFmtId="1" fontId="122" fillId="77" borderId="99" xfId="0" applyNumberFormat="1" applyFont="1" applyFill="1" applyBorder="1" applyAlignment="1">
      <alignment horizontal="center" vertical="center" wrapText="1"/>
    </xf>
    <xf numFmtId="0" fontId="34" fillId="0" borderId="4" xfId="1" applyNumberFormat="1" applyFont="1" applyFill="1" applyBorder="1" applyAlignment="1">
      <alignment vertical="center" wrapText="1"/>
    </xf>
    <xf numFmtId="49" fontId="122" fillId="0" borderId="113" xfId="0" applyNumberFormat="1" applyFont="1" applyBorder="1" applyAlignment="1">
      <alignment horizontal="center" vertical="center" wrapText="1"/>
    </xf>
    <xf numFmtId="1" fontId="34" fillId="0" borderId="113" xfId="201" applyNumberFormat="1" applyFont="1" applyFill="1" applyBorder="1" applyAlignment="1">
      <alignment horizontal="center" vertical="center" wrapText="1"/>
    </xf>
    <xf numFmtId="1" fontId="34" fillId="0" borderId="113" xfId="0" applyNumberFormat="1" applyFont="1" applyBorder="1" applyAlignment="1">
      <alignment horizontal="center" vertical="center" wrapText="1"/>
    </xf>
    <xf numFmtId="1" fontId="122" fillId="0" borderId="113" xfId="0" applyNumberFormat="1" applyFont="1" applyBorder="1" applyAlignment="1">
      <alignment horizontal="center" vertical="center" wrapText="1"/>
    </xf>
    <xf numFmtId="170" fontId="34" fillId="0" borderId="113" xfId="1" applyFont="1" applyFill="1" applyBorder="1" applyAlignment="1">
      <alignment horizontal="center" vertical="center" wrapText="1"/>
    </xf>
    <xf numFmtId="49" fontId="9" fillId="0" borderId="103" xfId="0" applyNumberFormat="1" applyFont="1" applyBorder="1" applyAlignment="1">
      <alignment horizontal="left" vertical="top" wrapText="1"/>
    </xf>
    <xf numFmtId="0" fontId="0" fillId="0" borderId="0" xfId="0" applyAlignment="1">
      <alignment horizontal="left" vertical="center" wrapText="1"/>
    </xf>
    <xf numFmtId="195" fontId="7" fillId="0" borderId="1" xfId="201" applyNumberFormat="1" applyFont="1" applyFill="1" applyBorder="1" applyAlignment="1">
      <alignment horizontal="right" vertical="center" wrapText="1"/>
    </xf>
    <xf numFmtId="0" fontId="119" fillId="0" borderId="1" xfId="0" applyFont="1" applyBorder="1" applyAlignment="1">
      <alignment vertical="center" wrapText="1"/>
    </xf>
    <xf numFmtId="167" fontId="27" fillId="0" borderId="1" xfId="5" applyFont="1" applyFill="1" applyBorder="1" applyAlignment="1">
      <alignment vertical="center"/>
    </xf>
    <xf numFmtId="167" fontId="27" fillId="0" borderId="1" xfId="5" applyFont="1" applyFill="1" applyBorder="1" applyAlignment="1">
      <alignment horizontal="left" vertical="center"/>
    </xf>
    <xf numFmtId="167" fontId="27" fillId="0" borderId="1" xfId="5" applyFont="1" applyBorder="1" applyAlignment="1">
      <alignment horizontal="left" vertical="center"/>
    </xf>
    <xf numFmtId="0" fontId="2" fillId="0" borderId="1" xfId="0" applyFont="1" applyBorder="1" applyAlignment="1">
      <alignment vertical="center" wrapText="1"/>
    </xf>
    <xf numFmtId="0" fontId="119" fillId="0" borderId="1" xfId="0" applyFont="1" applyBorder="1" applyAlignment="1">
      <alignment horizontal="left" vertical="center" wrapText="1"/>
    </xf>
    <xf numFmtId="1" fontId="7" fillId="0" borderId="1" xfId="4" applyNumberFormat="1" applyFont="1" applyBorder="1" applyAlignment="1">
      <alignment horizontal="center" vertical="center"/>
    </xf>
    <xf numFmtId="197" fontId="27" fillId="0" borderId="1" xfId="201" applyNumberFormat="1" applyFont="1" applyFill="1" applyBorder="1" applyAlignment="1">
      <alignment vertical="center"/>
    </xf>
    <xf numFmtId="0" fontId="34" fillId="0" borderId="1" xfId="0" applyFont="1" applyBorder="1" applyAlignment="1">
      <alignment horizontal="center" vertical="center" wrapText="1"/>
    </xf>
    <xf numFmtId="49" fontId="7" fillId="52" borderId="0" xfId="4" applyNumberFormat="1" applyFont="1" applyFill="1" applyAlignment="1">
      <alignment vertical="center" wrapText="1"/>
    </xf>
    <xf numFmtId="49" fontId="7" fillId="0" borderId="0" xfId="4" applyNumberFormat="1" applyFont="1" applyAlignment="1">
      <alignment vertical="center" wrapText="1"/>
    </xf>
    <xf numFmtId="49" fontId="118" fillId="52" borderId="0" xfId="4" applyNumberFormat="1" applyFont="1" applyFill="1" applyAlignment="1">
      <alignment vertical="center" wrapText="1"/>
    </xf>
    <xf numFmtId="0" fontId="7" fillId="0" borderId="1" xfId="4" applyFont="1" applyBorder="1" applyAlignment="1">
      <alignment vertical="center" wrapText="1"/>
    </xf>
    <xf numFmtId="49" fontId="2" fillId="0" borderId="1" xfId="5" applyNumberFormat="1" applyFont="1" applyFill="1" applyBorder="1" applyAlignment="1">
      <alignment horizontal="center" vertical="center" wrapText="1"/>
    </xf>
    <xf numFmtId="49" fontId="2" fillId="0" borderId="3" xfId="5" applyNumberFormat="1" applyFont="1" applyBorder="1" applyAlignment="1">
      <alignment horizontal="left" vertical="center" wrapText="1"/>
    </xf>
    <xf numFmtId="49" fontId="2" fillId="0" borderId="3" xfId="5" applyNumberFormat="1" applyFont="1" applyBorder="1" applyAlignment="1">
      <alignment vertical="center" wrapText="1"/>
    </xf>
    <xf numFmtId="167" fontId="2" fillId="0" borderId="2" xfId="5" applyFont="1" applyFill="1" applyBorder="1" applyAlignment="1">
      <alignment vertical="center" wrapText="1"/>
    </xf>
    <xf numFmtId="49" fontId="2" fillId="0" borderId="1" xfId="5" applyNumberFormat="1" applyFont="1" applyFill="1" applyBorder="1" applyAlignment="1">
      <alignment horizontal="left" vertical="center" wrapText="1"/>
    </xf>
    <xf numFmtId="49" fontId="2" fillId="0" borderId="1" xfId="5" applyNumberFormat="1" applyFont="1" applyBorder="1" applyAlignment="1">
      <alignment horizontal="left" vertical="center" wrapText="1"/>
    </xf>
    <xf numFmtId="49" fontId="27" fillId="0" borderId="0" xfId="4" applyNumberFormat="1" applyFont="1" applyAlignment="1">
      <alignment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49" fontId="27" fillId="50" borderId="1" xfId="1" applyNumberFormat="1" applyFont="1" applyFill="1" applyBorder="1" applyAlignment="1">
      <alignment horizontal="right" vertical="center" wrapText="1"/>
    </xf>
    <xf numFmtId="0" fontId="6" fillId="0" borderId="0" xfId="0" applyFont="1" applyAlignment="1">
      <alignment horizontal="left" vertical="center" wrapText="1"/>
    </xf>
    <xf numFmtId="170" fontId="0" fillId="0" borderId="0" xfId="1" applyFont="1" applyAlignment="1">
      <alignment horizontal="left" vertical="center" wrapText="1"/>
    </xf>
    <xf numFmtId="0" fontId="0" fillId="0" borderId="54" xfId="0" applyBorder="1"/>
    <xf numFmtId="0" fontId="0" fillId="0" borderId="54" xfId="0" applyBorder="1" applyAlignment="1">
      <alignment vertical="center" wrapText="1"/>
    </xf>
    <xf numFmtId="0" fontId="0" fillId="0" borderId="54" xfId="0" applyBorder="1" applyAlignment="1">
      <alignment horizontal="center" vertical="center" wrapText="1"/>
    </xf>
    <xf numFmtId="167" fontId="0" fillId="0" borderId="54" xfId="0" applyNumberFormat="1" applyBorder="1" applyAlignment="1">
      <alignment vertical="center"/>
    </xf>
    <xf numFmtId="49" fontId="9" fillId="0" borderId="54" xfId="0" applyNumberFormat="1" applyFont="1" applyBorder="1" applyAlignment="1">
      <alignment horizontal="center" vertical="center" wrapText="1"/>
    </xf>
    <xf numFmtId="1" fontId="62" fillId="0" borderId="54" xfId="201" applyNumberFormat="1" applyFont="1" applyBorder="1" applyAlignment="1">
      <alignment horizontal="center" vertical="center" wrapText="1"/>
    </xf>
    <xf numFmtId="1" fontId="62" fillId="0" borderId="54" xfId="0" applyNumberFormat="1" applyFont="1" applyBorder="1" applyAlignment="1">
      <alignment horizontal="center" vertical="center" wrapText="1"/>
    </xf>
    <xf numFmtId="1" fontId="112" fillId="0" borderId="54" xfId="0" applyNumberFormat="1" applyFont="1" applyBorder="1" applyAlignment="1">
      <alignment horizontal="center" vertical="center" wrapText="1"/>
    </xf>
    <xf numFmtId="49" fontId="156" fillId="0" borderId="54" xfId="0" applyNumberFormat="1" applyFont="1" applyBorder="1" applyAlignment="1">
      <alignment horizontal="center" vertical="center" wrapText="1"/>
    </xf>
    <xf numFmtId="1" fontId="9" fillId="0" borderId="54" xfId="0" applyNumberFormat="1" applyFont="1" applyBorder="1" applyAlignment="1">
      <alignment horizontal="center" vertical="center" wrapText="1"/>
    </xf>
    <xf numFmtId="49" fontId="62" fillId="0" borderId="99" xfId="1" applyNumberFormat="1" applyFont="1" applyBorder="1" applyAlignment="1">
      <alignment horizontal="left" vertical="center" wrapText="1"/>
    </xf>
    <xf numFmtId="1" fontId="110" fillId="0" borderId="54" xfId="0" applyNumberFormat="1" applyFont="1" applyBorder="1" applyAlignment="1">
      <alignment horizontal="center" vertical="center" wrapText="1"/>
    </xf>
    <xf numFmtId="1" fontId="156" fillId="0" borderId="54" xfId="0" applyNumberFormat="1" applyFont="1" applyBorder="1" applyAlignment="1">
      <alignment horizontal="center" vertical="center" wrapText="1"/>
    </xf>
    <xf numFmtId="1" fontId="112" fillId="0" borderId="54" xfId="201" applyNumberFormat="1" applyFont="1" applyBorder="1" applyAlignment="1">
      <alignment horizontal="center" vertical="center" wrapText="1"/>
    </xf>
    <xf numFmtId="49" fontId="9" fillId="0" borderId="99" xfId="0" applyNumberFormat="1" applyFont="1" applyBorder="1" applyAlignment="1">
      <alignment horizontal="center" vertical="center" wrapText="1"/>
    </xf>
    <xf numFmtId="1" fontId="62" fillId="0" borderId="99" xfId="201" applyNumberFormat="1" applyFont="1" applyBorder="1" applyAlignment="1">
      <alignment horizontal="center" vertical="center" wrapText="1"/>
    </xf>
    <xf numFmtId="1" fontId="62" fillId="0" borderId="99" xfId="0" applyNumberFormat="1" applyFont="1" applyBorder="1" applyAlignment="1">
      <alignment horizontal="center" vertical="center" wrapText="1"/>
    </xf>
    <xf numFmtId="1" fontId="112" fillId="0" borderId="99" xfId="0" applyNumberFormat="1" applyFont="1" applyBorder="1" applyAlignment="1">
      <alignment horizontal="center" vertical="center" wrapText="1"/>
    </xf>
    <xf numFmtId="49" fontId="62" fillId="0" borderId="54" xfId="0" applyNumberFormat="1" applyFont="1" applyBorder="1" applyAlignment="1">
      <alignment horizontal="center" vertical="center" wrapText="1"/>
    </xf>
    <xf numFmtId="1" fontId="62" fillId="0" borderId="54" xfId="0" applyNumberFormat="1" applyFont="1" applyBorder="1" applyAlignment="1">
      <alignment vertical="center" wrapText="1"/>
    </xf>
    <xf numFmtId="1" fontId="112" fillId="0" borderId="54" xfId="0" applyNumberFormat="1" applyFont="1" applyBorder="1" applyAlignment="1">
      <alignment horizontal="left" vertical="center" wrapText="1" indent="1"/>
    </xf>
    <xf numFmtId="49" fontId="112" fillId="0" borderId="54" xfId="0" applyNumberFormat="1" applyFont="1" applyBorder="1" applyAlignment="1">
      <alignment horizontal="center" vertical="center" wrapText="1"/>
    </xf>
    <xf numFmtId="0" fontId="0" fillId="0" borderId="58" xfId="0" applyBorder="1" applyAlignment="1">
      <alignment horizontal="center" vertical="center" wrapText="1"/>
    </xf>
    <xf numFmtId="0" fontId="0" fillId="0" borderId="1" xfId="0" applyBorder="1" applyAlignment="1">
      <alignment vertical="center" wrapText="1"/>
    </xf>
    <xf numFmtId="0" fontId="5" fillId="0" borderId="1" xfId="0" applyFont="1" applyBorder="1" applyAlignment="1">
      <alignment vertical="center" wrapText="1"/>
    </xf>
    <xf numFmtId="0" fontId="0" fillId="0" borderId="0" xfId="0" applyAlignment="1">
      <alignment wrapText="1"/>
    </xf>
    <xf numFmtId="0" fontId="4" fillId="10" borderId="110" xfId="0" applyFont="1" applyFill="1" applyBorder="1" applyAlignment="1">
      <alignment horizontal="center"/>
    </xf>
    <xf numFmtId="0" fontId="4" fillId="10" borderId="54" xfId="0" applyFont="1" applyFill="1" applyBorder="1" applyAlignment="1">
      <alignment horizontal="center" vertical="center" wrapText="1"/>
    </xf>
    <xf numFmtId="0" fontId="4" fillId="10" borderId="54" xfId="0" applyFont="1" applyFill="1" applyBorder="1" applyAlignment="1">
      <alignment vertical="center" wrapText="1"/>
    </xf>
    <xf numFmtId="0" fontId="4" fillId="33" borderId="0" xfId="0" applyFont="1" applyFill="1" applyAlignment="1">
      <alignment horizontal="center" vertical="center" wrapText="1"/>
    </xf>
    <xf numFmtId="0" fontId="4" fillId="10" borderId="1" xfId="0" applyFont="1" applyFill="1" applyBorder="1" applyAlignment="1">
      <alignment vertical="center" wrapText="1"/>
    </xf>
    <xf numFmtId="0" fontId="4" fillId="10" borderId="1" xfId="0" applyFont="1" applyFill="1" applyBorder="1" applyAlignment="1">
      <alignment horizontal="center" vertical="center" wrapText="1"/>
    </xf>
    <xf numFmtId="14" fontId="0" fillId="0" borderId="1" xfId="0" applyNumberFormat="1" applyBorder="1" applyAlignment="1">
      <alignment vertical="center" wrapText="1"/>
    </xf>
    <xf numFmtId="0" fontId="65" fillId="10" borderId="0" xfId="0" applyFont="1" applyFill="1" applyAlignment="1">
      <alignment horizontal="center" vertical="center" wrapText="1"/>
    </xf>
    <xf numFmtId="14" fontId="0" fillId="0" borderId="1" xfId="0" applyNumberFormat="1" applyBorder="1" applyAlignment="1">
      <alignment horizontal="right" vertical="center" wrapText="1"/>
    </xf>
    <xf numFmtId="0" fontId="5" fillId="0" borderId="0" xfId="0" applyFont="1"/>
    <xf numFmtId="0" fontId="62" fillId="0" borderId="60" xfId="0" applyFont="1" applyBorder="1" applyAlignment="1">
      <alignment horizontal="center" vertical="center" wrapText="1"/>
    </xf>
    <xf numFmtId="9" fontId="62" fillId="0" borderId="60" xfId="0" applyNumberFormat="1"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left" vertical="center" wrapText="1"/>
    </xf>
    <xf numFmtId="0" fontId="5" fillId="0" borderId="0" xfId="0" applyFont="1" applyAlignment="1">
      <alignment horizontal="left" vertical="center" wrapText="1"/>
    </xf>
    <xf numFmtId="14" fontId="0" fillId="0" borderId="0" xfId="0" applyNumberFormat="1"/>
    <xf numFmtId="0" fontId="80" fillId="0" borderId="1" xfId="0" applyFont="1" applyBorder="1" applyAlignment="1">
      <alignment vertical="center" wrapText="1"/>
    </xf>
    <xf numFmtId="0" fontId="4" fillId="10" borderId="3" xfId="0" applyFont="1" applyFill="1" applyBorder="1" applyAlignment="1">
      <alignment horizontal="center"/>
    </xf>
    <xf numFmtId="0" fontId="4" fillId="10" borderId="3" xfId="0" applyFont="1" applyFill="1" applyBorder="1" applyAlignment="1">
      <alignment horizontal="center" wrapText="1"/>
    </xf>
    <xf numFmtId="0" fontId="4" fillId="10" borderId="103" xfId="0" applyFont="1" applyFill="1" applyBorder="1" applyAlignment="1">
      <alignment horizontal="center"/>
    </xf>
    <xf numFmtId="0" fontId="4" fillId="10" borderId="101" xfId="0" applyFont="1" applyFill="1" applyBorder="1" applyAlignment="1">
      <alignment horizontal="center"/>
    </xf>
    <xf numFmtId="0" fontId="4" fillId="10" borderId="101" xfId="0" applyFont="1" applyFill="1" applyBorder="1"/>
    <xf numFmtId="0" fontId="4" fillId="20" borderId="1" xfId="0" applyFont="1" applyFill="1" applyBorder="1" applyAlignment="1">
      <alignment horizontal="center" vertical="center" wrapText="1"/>
    </xf>
    <xf numFmtId="0" fontId="4" fillId="79" borderId="1" xfId="0" applyFont="1" applyFill="1" applyBorder="1" applyAlignment="1">
      <alignment horizontal="center" vertical="center" wrapText="1"/>
    </xf>
    <xf numFmtId="0" fontId="0" fillId="53" borderId="2" xfId="0" applyFill="1" applyBorder="1" applyAlignment="1">
      <alignment horizontal="center" vertical="center"/>
    </xf>
    <xf numFmtId="0" fontId="0" fillId="53" borderId="2" xfId="0" applyFill="1" applyBorder="1" applyAlignment="1">
      <alignment horizontal="left" vertical="center" wrapText="1"/>
    </xf>
    <xf numFmtId="0" fontId="0" fillId="53" borderId="1" xfId="0" applyFill="1" applyBorder="1" applyAlignment="1">
      <alignment vertical="center" wrapText="1"/>
    </xf>
    <xf numFmtId="0" fontId="0" fillId="53" borderId="58" xfId="0" applyFill="1" applyBorder="1" applyAlignment="1">
      <alignment horizontal="center" vertical="center" wrapText="1"/>
    </xf>
    <xf numFmtId="0" fontId="0" fillId="53" borderId="54" xfId="0" applyFill="1" applyBorder="1"/>
    <xf numFmtId="167" fontId="0" fillId="53" borderId="54" xfId="0" applyNumberFormat="1" applyFill="1" applyBorder="1" applyAlignment="1">
      <alignment vertical="center"/>
    </xf>
    <xf numFmtId="0" fontId="80" fillId="53" borderId="1" xfId="0" applyFont="1" applyFill="1" applyBorder="1" applyAlignment="1">
      <alignment vertical="center" wrapText="1"/>
    </xf>
    <xf numFmtId="0" fontId="0" fillId="53" borderId="1" xfId="0" applyFill="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left" vertical="center" wrapText="1"/>
    </xf>
    <xf numFmtId="0" fontId="5" fillId="0" borderId="58" xfId="0" applyFont="1" applyBorder="1" applyAlignment="1">
      <alignment horizontal="center" vertical="center" wrapText="1"/>
    </xf>
    <xf numFmtId="0" fontId="5" fillId="0" borderId="54" xfId="0" applyFont="1" applyBorder="1"/>
    <xf numFmtId="167" fontId="5" fillId="0" borderId="54" xfId="0" applyNumberFormat="1" applyFont="1" applyBorder="1" applyAlignment="1">
      <alignment vertical="center"/>
    </xf>
    <xf numFmtId="0" fontId="34" fillId="0" borderId="1" xfId="0" applyFont="1" applyBorder="1" applyAlignment="1">
      <alignment horizontal="right" vertical="center" wrapText="1"/>
    </xf>
    <xf numFmtId="0" fontId="0" fillId="68" borderId="1" xfId="0" applyFill="1" applyBorder="1" applyAlignment="1">
      <alignment horizontal="center" vertical="center" wrapText="1"/>
    </xf>
    <xf numFmtId="170" fontId="27" fillId="0" borderId="1" xfId="1" applyFont="1" applyBorder="1" applyAlignment="1">
      <alignment horizontal="center" vertical="center"/>
    </xf>
    <xf numFmtId="14" fontId="0" fillId="80" borderId="1" xfId="0" applyNumberFormat="1" applyFill="1" applyBorder="1" applyAlignment="1">
      <alignment horizontal="right" vertical="center" wrapText="1"/>
    </xf>
    <xf numFmtId="0" fontId="62" fillId="0" borderId="99" xfId="1" applyNumberFormat="1" applyFont="1" applyBorder="1" applyAlignment="1">
      <alignment horizontal="left" vertical="center" wrapText="1"/>
    </xf>
    <xf numFmtId="49" fontId="110" fillId="0" borderId="99" xfId="0" applyNumberFormat="1" applyFont="1" applyBorder="1" applyAlignment="1">
      <alignment horizontal="left" vertical="top" wrapText="1"/>
    </xf>
    <xf numFmtId="0" fontId="9" fillId="0" borderId="99" xfId="1" applyNumberFormat="1" applyFont="1" applyFill="1" applyBorder="1" applyAlignment="1">
      <alignment horizontal="left" vertical="center" wrapText="1"/>
    </xf>
    <xf numFmtId="1" fontId="62" fillId="0" borderId="113" xfId="0" applyNumberFormat="1" applyFont="1" applyBorder="1" applyAlignment="1">
      <alignment horizontal="left" vertical="center" wrapText="1"/>
    </xf>
    <xf numFmtId="1" fontId="62" fillId="0" borderId="99" xfId="0" applyNumberFormat="1" applyFont="1" applyBorder="1" applyAlignment="1">
      <alignment horizontal="left" vertical="center" wrapText="1"/>
    </xf>
    <xf numFmtId="0" fontId="9" fillId="0" borderId="99" xfId="1" applyNumberFormat="1" applyFont="1" applyFill="1" applyBorder="1" applyAlignment="1">
      <alignment horizontal="left" vertical="center" wrapText="1" indent="2"/>
    </xf>
    <xf numFmtId="0" fontId="9" fillId="0" borderId="99" xfId="1" applyNumberFormat="1" applyFont="1" applyBorder="1" applyAlignment="1">
      <alignment horizontal="left" vertical="center" wrapText="1" indent="2"/>
    </xf>
    <xf numFmtId="0" fontId="62" fillId="0" borderId="99" xfId="1" applyNumberFormat="1" applyFont="1" applyFill="1" applyBorder="1" applyAlignment="1">
      <alignment horizontal="left" vertical="center" wrapText="1"/>
    </xf>
    <xf numFmtId="0" fontId="112" fillId="0" borderId="99" xfId="1" applyNumberFormat="1" applyFont="1" applyBorder="1" applyAlignment="1">
      <alignment horizontal="left" vertical="center" wrapText="1" indent="2"/>
    </xf>
    <xf numFmtId="0" fontId="62" fillId="0" borderId="108" xfId="1" applyNumberFormat="1" applyFont="1" applyBorder="1" applyAlignment="1">
      <alignment horizontal="left" vertical="center" wrapText="1"/>
    </xf>
    <xf numFmtId="170" fontId="7" fillId="50" borderId="1" xfId="1" applyFont="1" applyFill="1" applyBorder="1" applyAlignment="1">
      <alignment horizontal="center" vertical="center" wrapText="1"/>
    </xf>
    <xf numFmtId="170" fontId="7" fillId="50" borderId="1" xfId="1" applyFont="1" applyFill="1" applyBorder="1" applyAlignment="1">
      <alignment horizontal="right" vertical="center" wrapText="1"/>
    </xf>
    <xf numFmtId="170" fontId="27" fillId="0" borderId="1" xfId="1" applyFont="1" applyBorder="1" applyAlignment="1">
      <alignment horizontal="right" vertical="center"/>
    </xf>
    <xf numFmtId="49" fontId="9" fillId="0" borderId="101" xfId="0" applyNumberFormat="1" applyFont="1" applyBorder="1" applyAlignment="1">
      <alignment horizontal="center" vertical="center" wrapText="1"/>
    </xf>
    <xf numFmtId="1" fontId="62" fillId="0" borderId="101" xfId="201" applyNumberFormat="1" applyFont="1" applyBorder="1" applyAlignment="1">
      <alignment horizontal="center" vertical="center" wrapText="1"/>
    </xf>
    <xf numFmtId="1" fontId="62" fillId="0" borderId="101" xfId="0" applyNumberFormat="1" applyFont="1" applyBorder="1" applyAlignment="1">
      <alignment horizontal="center" vertical="center" wrapText="1"/>
    </xf>
    <xf numFmtId="1" fontId="9" fillId="0" borderId="101" xfId="0" applyNumberFormat="1" applyFont="1" applyBorder="1" applyAlignment="1">
      <alignment horizontal="center" vertical="center" wrapText="1"/>
    </xf>
    <xf numFmtId="0" fontId="112" fillId="0" borderId="115" xfId="1" applyNumberFormat="1" applyFont="1" applyFill="1" applyBorder="1" applyAlignment="1">
      <alignment horizontal="left" vertical="center" wrapText="1" indent="2"/>
    </xf>
    <xf numFmtId="49" fontId="156" fillId="0" borderId="115" xfId="0" applyNumberFormat="1" applyFont="1" applyBorder="1" applyAlignment="1">
      <alignment horizontal="center" vertical="center" wrapText="1"/>
    </xf>
    <xf numFmtId="1" fontId="112" fillId="0" borderId="115" xfId="201" applyNumberFormat="1" applyFont="1" applyFill="1" applyBorder="1" applyAlignment="1">
      <alignment horizontal="center" vertical="center" wrapText="1"/>
    </xf>
    <xf numFmtId="1" fontId="112" fillId="0" borderId="115" xfId="0" applyNumberFormat="1" applyFont="1" applyBorder="1" applyAlignment="1">
      <alignment horizontal="center" vertical="center" wrapText="1"/>
    </xf>
    <xf numFmtId="1" fontId="156" fillId="0" borderId="115" xfId="0" applyNumberFormat="1" applyFont="1" applyBorder="1" applyAlignment="1">
      <alignment horizontal="center" vertical="center" wrapText="1"/>
    </xf>
    <xf numFmtId="49" fontId="156" fillId="0" borderId="115" xfId="0" applyNumberFormat="1" applyFont="1" applyBorder="1" applyAlignment="1">
      <alignment horizontal="left" vertical="top" wrapText="1"/>
    </xf>
    <xf numFmtId="0" fontId="112" fillId="0" borderId="115" xfId="1" applyNumberFormat="1" applyFont="1" applyBorder="1" applyAlignment="1">
      <alignment horizontal="left" vertical="center" wrapText="1" indent="2"/>
    </xf>
    <xf numFmtId="1" fontId="112" fillId="0" borderId="101" xfId="0" applyNumberFormat="1" applyFont="1" applyBorder="1" applyAlignment="1">
      <alignment horizontal="center" vertical="center" wrapText="1"/>
    </xf>
    <xf numFmtId="1" fontId="156" fillId="16" borderId="54" xfId="0" applyNumberFormat="1" applyFont="1" applyFill="1" applyBorder="1" applyAlignment="1">
      <alignment horizontal="center" vertical="center" wrapText="1"/>
    </xf>
    <xf numFmtId="0" fontId="0" fillId="0" borderId="58" xfId="0" applyBorder="1" applyAlignment="1">
      <alignment vertical="center" wrapText="1"/>
    </xf>
    <xf numFmtId="49" fontId="112" fillId="0" borderId="99" xfId="4" applyNumberFormat="1" applyFont="1" applyBorder="1" applyAlignment="1">
      <alignment horizontal="left" vertical="top" wrapText="1"/>
    </xf>
    <xf numFmtId="49" fontId="62" fillId="0" borderId="99" xfId="4" applyNumberFormat="1" applyFont="1" applyBorder="1" applyAlignment="1">
      <alignment horizontal="left" vertical="top" wrapText="1"/>
    </xf>
    <xf numFmtId="49" fontId="9" fillId="0" borderId="54" xfId="4" applyNumberFormat="1" applyFont="1" applyBorder="1" applyAlignment="1">
      <alignment horizontal="left" vertical="center" wrapText="1"/>
    </xf>
    <xf numFmtId="1" fontId="34" fillId="0" borderId="54" xfId="201" applyNumberFormat="1" applyFont="1" applyFill="1" applyBorder="1" applyAlignment="1">
      <alignment horizontal="center" vertical="center" wrapText="1"/>
    </xf>
    <xf numFmtId="49" fontId="9" fillId="0" borderId="58" xfId="0" applyNumberFormat="1" applyFont="1" applyBorder="1" applyAlignment="1">
      <alignment horizontal="left" vertical="top" wrapText="1"/>
    </xf>
    <xf numFmtId="49" fontId="111" fillId="0" borderId="99" xfId="0" applyNumberFormat="1" applyFont="1" applyBorder="1" applyAlignment="1">
      <alignment horizontal="left" vertical="top" wrapText="1"/>
    </xf>
    <xf numFmtId="1" fontId="62" fillId="0" borderId="54" xfId="0" applyNumberFormat="1" applyFont="1" applyBorder="1" applyAlignment="1">
      <alignment horizontal="left" vertical="center" wrapText="1" indent="2"/>
    </xf>
    <xf numFmtId="49" fontId="9" fillId="0" borderId="54" xfId="4" applyNumberFormat="1" applyFont="1" applyBorder="1" applyAlignment="1">
      <alignment horizontal="left" vertical="top" wrapText="1"/>
    </xf>
    <xf numFmtId="0" fontId="178" fillId="0" borderId="1" xfId="0" applyFont="1" applyBorder="1" applyAlignment="1">
      <alignment horizontal="center" vertical="center" wrapText="1"/>
    </xf>
    <xf numFmtId="49" fontId="9" fillId="0" borderId="101" xfId="0" applyNumberFormat="1" applyFont="1" applyBorder="1" applyAlignment="1">
      <alignment horizontal="left" vertical="top" wrapText="1"/>
    </xf>
    <xf numFmtId="1" fontId="62" fillId="0" borderId="54" xfId="201" applyNumberFormat="1" applyFont="1" applyFill="1" applyBorder="1" applyAlignment="1">
      <alignment horizontal="center" vertical="center" wrapText="1"/>
    </xf>
    <xf numFmtId="49" fontId="9" fillId="0" borderId="99" xfId="1" applyNumberFormat="1" applyFont="1" applyFill="1" applyBorder="1" applyAlignment="1">
      <alignment horizontal="left" vertical="center" wrapText="1"/>
    </xf>
    <xf numFmtId="0" fontId="156" fillId="0" borderId="108" xfId="1" applyNumberFormat="1" applyFont="1" applyFill="1" applyBorder="1" applyAlignment="1">
      <alignment horizontal="left" vertical="center" wrapText="1" indent="2"/>
    </xf>
    <xf numFmtId="49" fontId="156" fillId="0" borderId="101" xfId="0" applyNumberFormat="1" applyFont="1" applyBorder="1" applyAlignment="1">
      <alignment horizontal="center" vertical="center" wrapText="1"/>
    </xf>
    <xf numFmtId="1" fontId="62" fillId="0" borderId="101" xfId="201" applyNumberFormat="1" applyFont="1" applyFill="1" applyBorder="1" applyAlignment="1">
      <alignment horizontal="center" vertical="center" wrapText="1"/>
    </xf>
    <xf numFmtId="1" fontId="179" fillId="0" borderId="101" xfId="0" applyNumberFormat="1" applyFont="1" applyBorder="1" applyAlignment="1">
      <alignment horizontal="center" vertical="center" wrapText="1"/>
    </xf>
    <xf numFmtId="49" fontId="112" fillId="0" borderId="108" xfId="0" applyNumberFormat="1" applyFont="1" applyBorder="1" applyAlignment="1">
      <alignment horizontal="left" vertical="top" wrapText="1"/>
    </xf>
    <xf numFmtId="0" fontId="9" fillId="0" borderId="115" xfId="1" applyNumberFormat="1" applyFont="1" applyFill="1" applyBorder="1" applyAlignment="1">
      <alignment horizontal="left" vertical="center" wrapText="1"/>
    </xf>
    <xf numFmtId="49" fontId="9" fillId="0" borderId="115" xfId="0" applyNumberFormat="1" applyFont="1" applyBorder="1" applyAlignment="1">
      <alignment horizontal="center" vertical="center" wrapText="1"/>
    </xf>
    <xf numFmtId="1" fontId="62" fillId="0" borderId="115" xfId="201" applyNumberFormat="1" applyFont="1" applyFill="1" applyBorder="1" applyAlignment="1">
      <alignment horizontal="center" vertical="center" wrapText="1"/>
    </xf>
    <xf numFmtId="1" fontId="62" fillId="0" borderId="115" xfId="0" applyNumberFormat="1" applyFont="1" applyBorder="1" applyAlignment="1">
      <alignment horizontal="center" vertical="center" wrapText="1"/>
    </xf>
    <xf numFmtId="1" fontId="110" fillId="0" borderId="115" xfId="0" applyNumberFormat="1" applyFont="1" applyBorder="1" applyAlignment="1">
      <alignment horizontal="center" vertical="center" wrapText="1"/>
    </xf>
    <xf numFmtId="49" fontId="62" fillId="0" borderId="115" xfId="0" applyNumberFormat="1" applyFont="1" applyBorder="1" applyAlignment="1">
      <alignment horizontal="left" vertical="center" wrapText="1"/>
    </xf>
    <xf numFmtId="0" fontId="156" fillId="0" borderId="115" xfId="1" applyNumberFormat="1" applyFont="1" applyFill="1" applyBorder="1" applyAlignment="1">
      <alignment horizontal="left" vertical="center" wrapText="1" indent="1"/>
    </xf>
    <xf numFmtId="49" fontId="112" fillId="0" borderId="115" xfId="0" applyNumberFormat="1" applyFont="1" applyBorder="1" applyAlignment="1">
      <alignment horizontal="left" vertical="center" wrapText="1"/>
    </xf>
    <xf numFmtId="49" fontId="62" fillId="0" borderId="115" xfId="1" applyNumberFormat="1" applyFont="1" applyFill="1" applyBorder="1" applyAlignment="1">
      <alignment horizontal="left" vertical="center" wrapText="1"/>
    </xf>
    <xf numFmtId="49" fontId="62" fillId="0" borderId="115" xfId="0" applyNumberFormat="1" applyFont="1" applyBorder="1" applyAlignment="1">
      <alignment horizontal="left" vertical="top" wrapText="1"/>
    </xf>
    <xf numFmtId="1" fontId="9" fillId="0" borderId="99" xfId="0" applyNumberFormat="1" applyFont="1" applyBorder="1" applyAlignment="1">
      <alignment horizontal="center" vertical="center" wrapText="1"/>
    </xf>
    <xf numFmtId="1" fontId="62" fillId="0" borderId="99" xfId="1" applyNumberFormat="1" applyFont="1" applyFill="1" applyBorder="1" applyAlignment="1">
      <alignment horizontal="center" vertical="center" wrapText="1"/>
    </xf>
    <xf numFmtId="170" fontId="62" fillId="0" borderId="54" xfId="1" applyFont="1" applyFill="1" applyBorder="1" applyAlignment="1">
      <alignment horizontal="center" vertical="center" wrapText="1"/>
    </xf>
    <xf numFmtId="1" fontId="9" fillId="0" borderId="115" xfId="0" applyNumberFormat="1" applyFont="1" applyBorder="1" applyAlignment="1">
      <alignment horizontal="center" vertical="center" wrapText="1"/>
    </xf>
    <xf numFmtId="170" fontId="62" fillId="0" borderId="99" xfId="1" applyFont="1" applyFill="1" applyBorder="1" applyAlignment="1">
      <alignment horizontal="center" vertical="center" wrapText="1"/>
    </xf>
    <xf numFmtId="0" fontId="62" fillId="0" borderId="99" xfId="1" applyNumberFormat="1" applyFont="1" applyFill="1" applyBorder="1" applyAlignment="1">
      <alignment horizontal="left" vertical="center" wrapText="1" indent="1"/>
    </xf>
    <xf numFmtId="0" fontId="62" fillId="0" borderId="1" xfId="1" applyNumberFormat="1" applyFont="1" applyFill="1" applyBorder="1" applyAlignment="1">
      <alignment vertical="center" wrapText="1"/>
    </xf>
    <xf numFmtId="49" fontId="9" fillId="0" borderId="92" xfId="0" applyNumberFormat="1" applyFont="1" applyBorder="1" applyAlignment="1">
      <alignment horizontal="center" vertical="center" wrapText="1"/>
    </xf>
    <xf numFmtId="49" fontId="9" fillId="0" borderId="101" xfId="0" applyNumberFormat="1" applyFont="1" applyBorder="1" applyAlignment="1">
      <alignment vertical="top" wrapText="1"/>
    </xf>
    <xf numFmtId="1" fontId="156" fillId="0" borderId="99" xfId="0" applyNumberFormat="1" applyFont="1" applyBorder="1" applyAlignment="1">
      <alignment horizontal="center" vertical="center" wrapText="1"/>
    </xf>
    <xf numFmtId="0" fontId="62" fillId="0" borderId="115" xfId="1" applyNumberFormat="1" applyFont="1" applyFill="1" applyBorder="1" applyAlignment="1">
      <alignment vertical="center" wrapText="1"/>
    </xf>
    <xf numFmtId="49" fontId="9" fillId="0" borderId="115" xfId="0" applyNumberFormat="1" applyFont="1" applyBorder="1" applyAlignment="1">
      <alignment vertical="top" wrapText="1"/>
    </xf>
    <xf numFmtId="1" fontId="62" fillId="0" borderId="54" xfId="4" applyNumberFormat="1" applyFont="1" applyBorder="1" applyAlignment="1">
      <alignment horizontal="center" vertical="center" wrapText="1"/>
    </xf>
    <xf numFmtId="1" fontId="112" fillId="0" borderId="54" xfId="4" applyNumberFormat="1" applyFont="1" applyBorder="1" applyAlignment="1">
      <alignment horizontal="center" vertical="center" wrapText="1"/>
    </xf>
    <xf numFmtId="1" fontId="62" fillId="0" borderId="58" xfId="0" applyNumberFormat="1" applyFont="1" applyBorder="1" applyAlignment="1">
      <alignment horizontal="center" vertical="center" wrapText="1"/>
    </xf>
    <xf numFmtId="1" fontId="9" fillId="0" borderId="108" xfId="0" applyNumberFormat="1" applyFont="1" applyBorder="1" applyAlignment="1">
      <alignment horizontal="left" vertical="center" wrapText="1"/>
    </xf>
    <xf numFmtId="1" fontId="9" fillId="0" borderId="115" xfId="0" applyNumberFormat="1" applyFont="1" applyBorder="1" applyAlignment="1">
      <alignment horizontal="left" vertical="center" wrapText="1"/>
    </xf>
    <xf numFmtId="1" fontId="62" fillId="0" borderId="115" xfId="201" applyNumberFormat="1" applyFont="1" applyBorder="1" applyAlignment="1">
      <alignment horizontal="center" vertical="center" wrapText="1"/>
    </xf>
    <xf numFmtId="1" fontId="156" fillId="0" borderId="115" xfId="0" applyNumberFormat="1" applyFont="1" applyBorder="1" applyAlignment="1">
      <alignment horizontal="left" vertical="center" wrapText="1"/>
    </xf>
    <xf numFmtId="2" fontId="182" fillId="35" borderId="2" xfId="2" applyNumberFormat="1" applyFont="1" applyFill="1" applyBorder="1" applyAlignment="1">
      <alignment horizontal="left" vertical="center" wrapText="1"/>
    </xf>
    <xf numFmtId="49" fontId="27" fillId="51" borderId="1" xfId="1" applyNumberFormat="1" applyFont="1" applyFill="1" applyBorder="1" applyAlignment="1">
      <alignment horizontal="left" vertical="center" wrapText="1"/>
    </xf>
    <xf numFmtId="0" fontId="119" fillId="51" borderId="1" xfId="0" applyFont="1" applyFill="1" applyBorder="1" applyAlignment="1">
      <alignment vertical="center" wrapText="1"/>
    </xf>
    <xf numFmtId="197" fontId="7" fillId="0" borderId="2" xfId="38" applyNumberFormat="1" applyFont="1" applyBorder="1" applyAlignment="1">
      <alignment vertical="center"/>
    </xf>
    <xf numFmtId="195" fontId="7" fillId="0" borderId="2" xfId="201" applyNumberFormat="1" applyFont="1" applyBorder="1" applyAlignment="1">
      <alignment vertical="center"/>
    </xf>
    <xf numFmtId="0" fontId="117" fillId="0" borderId="0" xfId="0" applyFont="1" applyAlignment="1">
      <alignment horizontal="left" vertical="center" wrapText="1"/>
    </xf>
    <xf numFmtId="170" fontId="10" fillId="28" borderId="2" xfId="1" applyFont="1" applyFill="1" applyBorder="1" applyAlignment="1">
      <alignment horizontal="right" vertical="center" wrapText="1"/>
    </xf>
    <xf numFmtId="49" fontId="183" fillId="0" borderId="1" xfId="4" applyNumberFormat="1" applyFont="1" applyBorder="1" applyAlignment="1">
      <alignment horizontal="center" vertical="center"/>
    </xf>
    <xf numFmtId="49" fontId="183" fillId="0" borderId="1" xfId="4" applyNumberFormat="1" applyFont="1" applyBorder="1" applyAlignment="1">
      <alignment horizontal="right" vertical="center"/>
    </xf>
    <xf numFmtId="49" fontId="183" fillId="0" borderId="1" xfId="1" applyNumberFormat="1" applyFont="1" applyBorder="1" applyAlignment="1">
      <alignment horizontal="left" vertical="center" wrapText="1"/>
    </xf>
    <xf numFmtId="2" fontId="183" fillId="0" borderId="1" xfId="4" applyNumberFormat="1" applyFont="1" applyBorder="1" applyAlignment="1">
      <alignment horizontal="left" vertical="center" wrapText="1"/>
    </xf>
    <xf numFmtId="197" fontId="183" fillId="0" borderId="2" xfId="38" applyNumberFormat="1" applyFont="1" applyBorder="1" applyAlignment="1">
      <alignment vertical="center"/>
    </xf>
    <xf numFmtId="49" fontId="183" fillId="0" borderId="2" xfId="4" applyNumberFormat="1" applyFont="1" applyBorder="1" applyAlignment="1">
      <alignment vertical="center" wrapText="1"/>
    </xf>
    <xf numFmtId="195" fontId="183" fillId="0" borderId="2" xfId="201" applyNumberFormat="1" applyFont="1" applyBorder="1" applyAlignment="1">
      <alignment vertical="center"/>
    </xf>
    <xf numFmtId="0" fontId="183" fillId="0" borderId="0" xfId="4" applyFont="1" applyAlignment="1">
      <alignment vertical="center"/>
    </xf>
    <xf numFmtId="1" fontId="7" fillId="0" borderId="10" xfId="4" applyNumberFormat="1" applyFont="1" applyBorder="1" applyAlignment="1">
      <alignment horizontal="center" vertical="center" wrapText="1"/>
    </xf>
    <xf numFmtId="167" fontId="2" fillId="0" borderId="3" xfId="5" applyFont="1" applyFill="1" applyBorder="1" applyAlignment="1">
      <alignment horizontal="center" vertical="center"/>
    </xf>
    <xf numFmtId="0" fontId="7" fillId="0" borderId="3" xfId="4" applyFont="1" applyBorder="1" applyAlignment="1">
      <alignment horizontal="center" vertical="center"/>
    </xf>
    <xf numFmtId="49" fontId="27" fillId="0" borderId="1" xfId="5" applyNumberFormat="1" applyFont="1" applyBorder="1" applyAlignment="1">
      <alignment vertical="center" wrapText="1"/>
    </xf>
    <xf numFmtId="170" fontId="27" fillId="0" borderId="3" xfId="1" applyFont="1" applyFill="1" applyBorder="1" applyAlignment="1">
      <alignment horizontal="center" vertical="center"/>
    </xf>
    <xf numFmtId="1" fontId="7" fillId="0" borderId="10" xfId="4" applyNumberFormat="1" applyFont="1" applyBorder="1" applyAlignment="1">
      <alignment vertical="center" wrapText="1"/>
    </xf>
    <xf numFmtId="167" fontId="32" fillId="0" borderId="3" xfId="5" applyFont="1" applyBorder="1" applyAlignment="1">
      <alignment horizontal="center" vertical="center"/>
    </xf>
    <xf numFmtId="167" fontId="6" fillId="0" borderId="3" xfId="0" applyNumberFormat="1" applyFont="1" applyBorder="1" applyAlignment="1">
      <alignment vertical="center"/>
    </xf>
    <xf numFmtId="167" fontId="27" fillId="0" borderId="2" xfId="5" applyFont="1" applyFill="1" applyBorder="1" applyAlignment="1">
      <alignment vertical="center"/>
    </xf>
    <xf numFmtId="170" fontId="7" fillId="28" borderId="1" xfId="1" applyFont="1" applyFill="1" applyBorder="1" applyAlignment="1">
      <alignment horizontal="right" vertical="center" wrapText="1"/>
    </xf>
    <xf numFmtId="1" fontId="0" fillId="35" borderId="6" xfId="0" applyNumberFormat="1" applyFill="1" applyBorder="1" applyAlignment="1">
      <alignment horizontal="center" vertical="center"/>
    </xf>
    <xf numFmtId="0" fontId="6" fillId="0" borderId="6" xfId="0" applyFont="1" applyBorder="1" applyAlignment="1">
      <alignment horizontal="center" vertical="center"/>
    </xf>
    <xf numFmtId="0" fontId="6" fillId="0" borderId="6" xfId="0" applyFont="1" applyBorder="1" applyAlignment="1">
      <alignment horizontal="center" vertical="center" wrapText="1"/>
    </xf>
    <xf numFmtId="170" fontId="80" fillId="47" borderId="6" xfId="1" applyFont="1" applyFill="1" applyBorder="1" applyAlignment="1">
      <alignment vertical="center" wrapText="1"/>
    </xf>
    <xf numFmtId="0" fontId="80" fillId="0" borderId="0" xfId="0" applyFont="1" applyAlignment="1">
      <alignment vertical="center"/>
    </xf>
    <xf numFmtId="0" fontId="106" fillId="0" borderId="0" xfId="0" applyFont="1" applyAlignment="1">
      <alignment vertical="center"/>
    </xf>
    <xf numFmtId="0" fontId="107" fillId="0" borderId="0" xfId="0" applyFont="1" applyAlignment="1">
      <alignment vertical="center"/>
    </xf>
    <xf numFmtId="0" fontId="108" fillId="0" borderId="0" xfId="0" applyFont="1" applyAlignment="1">
      <alignment vertical="center"/>
    </xf>
    <xf numFmtId="0" fontId="106" fillId="44" borderId="0" xfId="0" applyFont="1" applyFill="1" applyAlignment="1">
      <alignment vertical="center"/>
    </xf>
    <xf numFmtId="1" fontId="0" fillId="0" borderId="0" xfId="0" applyNumberFormat="1" applyAlignment="1">
      <alignment vertical="center"/>
    </xf>
    <xf numFmtId="1" fontId="65" fillId="0" borderId="0" xfId="0" applyNumberFormat="1" applyFont="1" applyAlignment="1">
      <alignment vertical="center"/>
    </xf>
    <xf numFmtId="1" fontId="80" fillId="0" borderId="0" xfId="0" applyNumberFormat="1" applyFont="1" applyAlignment="1">
      <alignment vertical="center"/>
    </xf>
    <xf numFmtId="0" fontId="6" fillId="0" borderId="7" xfId="0" applyFont="1" applyBorder="1" applyAlignment="1">
      <alignment horizontal="center" vertical="center"/>
    </xf>
    <xf numFmtId="196" fontId="6" fillId="47" borderId="48" xfId="0" applyNumberFormat="1" applyFont="1" applyFill="1" applyBorder="1" applyAlignment="1">
      <alignment horizontal="right" vertical="center"/>
    </xf>
    <xf numFmtId="1" fontId="0" fillId="0" borderId="0" xfId="0" applyNumberFormat="1" applyAlignment="1" applyProtection="1">
      <alignment vertical="center"/>
      <protection locked="0"/>
    </xf>
    <xf numFmtId="1" fontId="65" fillId="0" borderId="0" xfId="0" applyNumberFormat="1" applyFont="1" applyAlignment="1" applyProtection="1">
      <alignment vertical="center"/>
      <protection locked="0"/>
    </xf>
    <xf numFmtId="1" fontId="80" fillId="0" borderId="0" xfId="0" applyNumberFormat="1" applyFont="1" applyAlignment="1" applyProtection="1">
      <alignment vertical="center"/>
      <protection locked="0"/>
    </xf>
    <xf numFmtId="0" fontId="65" fillId="0" borderId="0" xfId="0" applyFont="1" applyAlignment="1" applyProtection="1">
      <alignment vertical="center"/>
      <protection locked="0"/>
    </xf>
    <xf numFmtId="0" fontId="80" fillId="0" borderId="0" xfId="0" applyFont="1" applyAlignment="1" applyProtection="1">
      <alignment vertical="center"/>
      <protection locked="0"/>
    </xf>
    <xf numFmtId="0" fontId="0" fillId="35" borderId="7" xfId="0" applyFill="1" applyBorder="1" applyAlignment="1">
      <alignment vertical="center"/>
    </xf>
    <xf numFmtId="170" fontId="6" fillId="47" borderId="7" xfId="0" applyNumberFormat="1" applyFont="1" applyFill="1" applyBorder="1" applyAlignment="1">
      <alignment vertical="center"/>
    </xf>
    <xf numFmtId="1" fontId="80" fillId="35" borderId="6" xfId="0" applyNumberFormat="1" applyFont="1" applyFill="1" applyBorder="1" applyAlignment="1">
      <alignment horizontal="center" vertical="center" wrapText="1"/>
    </xf>
    <xf numFmtId="1" fontId="80" fillId="51" borderId="6" xfId="0" applyNumberFormat="1" applyFont="1" applyFill="1" applyBorder="1" applyAlignment="1">
      <alignment horizontal="center" vertical="center" wrapText="1"/>
    </xf>
    <xf numFmtId="1" fontId="80" fillId="35" borderId="7" xfId="0" applyNumberFormat="1" applyFont="1" applyFill="1" applyBorder="1" applyAlignment="1">
      <alignment horizontal="center" vertical="center" wrapText="1"/>
    </xf>
    <xf numFmtId="1" fontId="80" fillId="35" borderId="7" xfId="0" applyNumberFormat="1" applyFont="1" applyFill="1" applyBorder="1" applyAlignment="1">
      <alignment horizontal="center" vertical="center"/>
    </xf>
    <xf numFmtId="1" fontId="80" fillId="51" borderId="7" xfId="0" applyNumberFormat="1" applyFont="1" applyFill="1" applyBorder="1" applyAlignment="1">
      <alignment horizontal="center" vertical="center"/>
    </xf>
    <xf numFmtId="1" fontId="80" fillId="51" borderId="7" xfId="0" applyNumberFormat="1" applyFont="1" applyFill="1" applyBorder="1" applyAlignment="1">
      <alignment horizontal="center" vertical="center" wrapText="1"/>
    </xf>
    <xf numFmtId="1" fontId="80" fillId="35" borderId="7" xfId="0" applyNumberFormat="1" applyFont="1" applyFill="1" applyBorder="1" applyAlignment="1">
      <alignment horizontal="left" vertical="center" wrapText="1"/>
    </xf>
    <xf numFmtId="170" fontId="3" fillId="47" borderId="7" xfId="1" applyFont="1" applyFill="1" applyBorder="1" applyAlignment="1" applyProtection="1">
      <alignment vertical="center"/>
      <protection locked="0"/>
    </xf>
    <xf numFmtId="49" fontId="0" fillId="35" borderId="7" xfId="0" applyNumberFormat="1" applyFill="1" applyBorder="1" applyAlignment="1">
      <alignment horizontal="right" vertical="center"/>
    </xf>
    <xf numFmtId="49" fontId="0" fillId="35" borderId="7" xfId="1" applyNumberFormat="1" applyFont="1" applyFill="1" applyBorder="1" applyAlignment="1">
      <alignment horizontal="right" vertical="center"/>
    </xf>
    <xf numFmtId="1" fontId="0" fillId="35" borderId="7" xfId="0" applyNumberFormat="1" applyFill="1" applyBorder="1" applyAlignment="1">
      <alignment horizontal="right" vertical="center"/>
    </xf>
    <xf numFmtId="0" fontId="0" fillId="51" borderId="7" xfId="0" applyFill="1" applyBorder="1" applyAlignment="1">
      <alignment horizontal="center" vertical="center" wrapText="1"/>
    </xf>
    <xf numFmtId="170" fontId="0" fillId="35" borderId="7" xfId="1" applyFont="1" applyFill="1" applyBorder="1" applyAlignment="1">
      <alignment horizontal="right" vertical="center"/>
    </xf>
    <xf numFmtId="170" fontId="80" fillId="47" borderId="7" xfId="1" applyFont="1" applyFill="1" applyBorder="1" applyAlignment="1">
      <alignment horizontal="right" vertical="center" wrapText="1"/>
    </xf>
    <xf numFmtId="1" fontId="0" fillId="35" borderId="23" xfId="0" applyNumberFormat="1" applyFill="1" applyBorder="1" applyAlignment="1">
      <alignment horizontal="center" vertical="center"/>
    </xf>
    <xf numFmtId="49" fontId="0" fillId="35" borderId="124" xfId="0" applyNumberFormat="1" applyFill="1" applyBorder="1" applyAlignment="1">
      <alignment horizontal="center" vertical="center"/>
    </xf>
    <xf numFmtId="0" fontId="0" fillId="35" borderId="6" xfId="0" applyFill="1" applyBorder="1" applyAlignment="1">
      <alignment horizontal="left" vertical="center" wrapText="1"/>
    </xf>
    <xf numFmtId="0" fontId="0" fillId="35" borderId="8" xfId="0" applyFill="1" applyBorder="1" applyAlignment="1">
      <alignment horizontal="left" vertical="center" wrapText="1"/>
    </xf>
    <xf numFmtId="0" fontId="0" fillId="35" borderId="125" xfId="0" applyFill="1" applyBorder="1" applyAlignment="1">
      <alignment horizontal="left" vertical="center" wrapText="1"/>
    </xf>
    <xf numFmtId="0" fontId="0" fillId="35" borderId="127" xfId="0" applyFill="1" applyBorder="1" applyAlignment="1">
      <alignment horizontal="left" vertical="center" wrapText="1"/>
    </xf>
    <xf numFmtId="0" fontId="0" fillId="35" borderId="126" xfId="0" applyFill="1" applyBorder="1" applyAlignment="1">
      <alignment horizontal="left" vertical="center" wrapText="1"/>
    </xf>
    <xf numFmtId="0" fontId="0" fillId="35" borderId="61" xfId="0" applyFill="1" applyBorder="1" applyAlignment="1">
      <alignment horizontal="left" vertical="center" wrapText="1"/>
    </xf>
    <xf numFmtId="1" fontId="0" fillId="51" borderId="7" xfId="0" applyNumberFormat="1" applyFill="1" applyBorder="1" applyAlignment="1">
      <alignment horizontal="center" vertical="center"/>
    </xf>
    <xf numFmtId="170" fontId="0" fillId="47" borderId="7" xfId="1" applyFont="1" applyFill="1" applyBorder="1" applyAlignment="1">
      <alignment horizontal="right" vertical="center"/>
    </xf>
    <xf numFmtId="170" fontId="27" fillId="47" borderId="7" xfId="1" applyFont="1" applyFill="1" applyBorder="1" applyAlignment="1">
      <alignment horizontal="right" vertical="center" wrapText="1"/>
    </xf>
    <xf numFmtId="0" fontId="0" fillId="51" borderId="7" xfId="0" applyFill="1" applyBorder="1" applyAlignment="1">
      <alignment horizontal="center" vertical="center"/>
    </xf>
    <xf numFmtId="49" fontId="0" fillId="47" borderId="7" xfId="0" applyNumberFormat="1" applyFill="1" applyBorder="1" applyAlignment="1">
      <alignment horizontal="right" vertical="center"/>
    </xf>
    <xf numFmtId="170" fontId="80" fillId="47" borderId="8" xfId="1" applyFont="1" applyFill="1" applyBorder="1" applyAlignment="1">
      <alignment horizontal="center" vertical="center" wrapText="1"/>
    </xf>
    <xf numFmtId="0" fontId="0" fillId="35" borderId="8" xfId="0" applyFill="1" applyBorder="1" applyAlignment="1">
      <alignment horizontal="center" vertical="center" wrapText="1"/>
    </xf>
    <xf numFmtId="3" fontId="0" fillId="0" borderId="0" xfId="0" applyNumberFormat="1" applyAlignment="1" applyProtection="1">
      <alignment vertical="center" wrapText="1"/>
      <protection locked="0"/>
    </xf>
    <xf numFmtId="0" fontId="0" fillId="35" borderId="6" xfId="0" applyFill="1" applyBorder="1" applyAlignment="1">
      <alignment vertical="center"/>
    </xf>
    <xf numFmtId="170" fontId="0" fillId="0" borderId="0" xfId="1" applyFont="1" applyAlignment="1" applyProtection="1">
      <alignment vertical="center" wrapText="1"/>
      <protection locked="0"/>
    </xf>
    <xf numFmtId="0" fontId="102" fillId="45" borderId="131" xfId="0" applyFont="1" applyFill="1" applyBorder="1" applyAlignment="1">
      <alignment horizontal="center" vertical="center" wrapText="1"/>
    </xf>
    <xf numFmtId="2" fontId="102" fillId="45" borderId="131" xfId="0" applyNumberFormat="1" applyFont="1" applyFill="1" applyBorder="1" applyAlignment="1">
      <alignment horizontal="center" vertical="center" wrapText="1"/>
    </xf>
    <xf numFmtId="1" fontId="0" fillId="35" borderId="8" xfId="0" applyNumberFormat="1" applyFill="1" applyBorder="1" applyAlignment="1">
      <alignment horizontal="left" vertical="center" wrapText="1"/>
    </xf>
    <xf numFmtId="49" fontId="0" fillId="35" borderId="47" xfId="0" applyNumberFormat="1" applyFill="1" applyBorder="1" applyAlignment="1">
      <alignment horizontal="center" vertical="center" wrapText="1"/>
    </xf>
    <xf numFmtId="195" fontId="0" fillId="35" borderId="47" xfId="190" applyNumberFormat="1" applyFont="1" applyFill="1" applyBorder="1" applyAlignment="1">
      <alignment horizontal="center" vertical="center" wrapText="1"/>
    </xf>
    <xf numFmtId="9" fontId="0" fillId="35" borderId="47" xfId="210" applyFont="1" applyFill="1" applyBorder="1" applyAlignment="1">
      <alignment horizontal="center" vertical="center" wrapText="1"/>
    </xf>
    <xf numFmtId="0" fontId="6" fillId="0" borderId="47" xfId="0" applyFont="1" applyBorder="1" applyAlignment="1">
      <alignment horizontal="center" vertical="center" wrapText="1"/>
    </xf>
    <xf numFmtId="0" fontId="0" fillId="35" borderId="47" xfId="0" applyFill="1" applyBorder="1" applyAlignment="1">
      <alignment horizontal="center" vertical="center" wrapText="1"/>
    </xf>
    <xf numFmtId="1" fontId="0" fillId="35" borderId="8" xfId="0" applyNumberFormat="1" applyFill="1" applyBorder="1" applyAlignment="1">
      <alignment horizontal="center" vertical="center" wrapText="1"/>
    </xf>
    <xf numFmtId="49" fontId="0" fillId="35" borderId="8" xfId="0" applyNumberFormat="1" applyFill="1" applyBorder="1" applyAlignment="1">
      <alignment horizontal="center" vertical="center" wrapText="1"/>
    </xf>
    <xf numFmtId="195" fontId="0" fillId="35" borderId="8" xfId="190" applyNumberFormat="1" applyFont="1" applyFill="1" applyBorder="1" applyAlignment="1">
      <alignment horizontal="center" vertical="center" wrapText="1"/>
    </xf>
    <xf numFmtId="170" fontId="27" fillId="47" borderId="8" xfId="1" applyFont="1" applyFill="1" applyBorder="1" applyAlignment="1">
      <alignment horizontal="center" vertical="center" wrapText="1"/>
    </xf>
    <xf numFmtId="9" fontId="0" fillId="35" borderId="8" xfId="210" applyFont="1" applyFill="1" applyBorder="1" applyAlignment="1">
      <alignment horizontal="center" vertical="center" wrapText="1"/>
    </xf>
    <xf numFmtId="0" fontId="0" fillId="35" borderId="48" xfId="0" applyFill="1" applyBorder="1" applyAlignment="1">
      <alignment horizontal="center" vertical="center" wrapText="1"/>
    </xf>
    <xf numFmtId="0" fontId="0" fillId="35" borderId="47" xfId="0" applyFill="1" applyBorder="1" applyAlignment="1">
      <alignment vertical="center" wrapText="1"/>
    </xf>
    <xf numFmtId="195" fontId="7" fillId="0" borderId="1" xfId="4" applyNumberFormat="1" applyFont="1" applyBorder="1" applyAlignment="1">
      <alignment horizontal="center" vertical="center" wrapText="1"/>
    </xf>
    <xf numFmtId="170" fontId="27" fillId="0" borderId="1" xfId="1" applyFont="1" applyBorder="1" applyAlignment="1">
      <alignment horizontal="center" vertical="center" wrapText="1"/>
    </xf>
    <xf numFmtId="170" fontId="27" fillId="50" borderId="1" xfId="1" applyFont="1" applyFill="1" applyBorder="1" applyAlignment="1">
      <alignment horizontal="left" vertical="center" wrapText="1"/>
    </xf>
    <xf numFmtId="170" fontId="27" fillId="50" borderId="1" xfId="1" applyFont="1" applyFill="1" applyBorder="1" applyAlignment="1">
      <alignment horizontal="center" vertical="center" wrapText="1"/>
    </xf>
    <xf numFmtId="195" fontId="32" fillId="0" borderId="2" xfId="201" applyNumberFormat="1" applyFont="1" applyBorder="1" applyAlignment="1">
      <alignment vertical="center"/>
    </xf>
    <xf numFmtId="195" fontId="7" fillId="0" borderId="1" xfId="201" applyNumberFormat="1" applyFont="1" applyBorder="1" applyAlignment="1">
      <alignment vertical="center"/>
    </xf>
    <xf numFmtId="195" fontId="184" fillId="0" borderId="2" xfId="201" applyNumberFormat="1" applyFont="1" applyBorder="1" applyAlignment="1">
      <alignment vertical="center"/>
    </xf>
    <xf numFmtId="195" fontId="32" fillId="0" borderId="2" xfId="201" applyNumberFormat="1" applyFont="1" applyFill="1" applyBorder="1" applyAlignment="1">
      <alignment vertical="center"/>
    </xf>
    <xf numFmtId="195" fontId="7" fillId="0" borderId="1" xfId="201" applyNumberFormat="1" applyFont="1" applyBorder="1" applyAlignment="1">
      <alignment horizontal="center" vertical="center"/>
    </xf>
    <xf numFmtId="195" fontId="78" fillId="0" borderId="1" xfId="201" applyNumberFormat="1" applyFont="1" applyBorder="1" applyAlignment="1">
      <alignment vertical="center"/>
    </xf>
    <xf numFmtId="195" fontId="7" fillId="0" borderId="2" xfId="201" applyNumberFormat="1" applyFont="1" applyBorder="1" applyAlignment="1">
      <alignment vertical="center" wrapText="1"/>
    </xf>
    <xf numFmtId="195" fontId="7" fillId="0" borderId="1" xfId="201" applyNumberFormat="1" applyFont="1" applyBorder="1" applyAlignment="1">
      <alignment horizontal="right" vertical="center"/>
    </xf>
    <xf numFmtId="170" fontId="7" fillId="0" borderId="1" xfId="1" applyFont="1" applyBorder="1" applyAlignment="1">
      <alignment horizontal="left" vertical="center" wrapText="1"/>
    </xf>
    <xf numFmtId="195" fontId="78" fillId="0" borderId="2" xfId="201" applyNumberFormat="1" applyFont="1" applyFill="1" applyBorder="1" applyAlignment="1">
      <alignment horizontal="center" vertical="center"/>
    </xf>
    <xf numFmtId="195" fontId="32" fillId="0" borderId="1" xfId="201" applyNumberFormat="1" applyFont="1" applyFill="1" applyBorder="1" applyAlignment="1">
      <alignment vertical="center"/>
    </xf>
    <xf numFmtId="195" fontId="78" fillId="0" borderId="1" xfId="201" applyNumberFormat="1" applyFont="1" applyBorder="1" applyAlignment="1">
      <alignment horizontal="center" vertical="center"/>
    </xf>
    <xf numFmtId="167" fontId="7" fillId="0" borderId="3" xfId="5" applyFont="1" applyFill="1" applyBorder="1" applyAlignment="1">
      <alignment horizontal="left" vertical="center" wrapText="1"/>
    </xf>
    <xf numFmtId="195" fontId="7" fillId="0" borderId="3" xfId="201" applyNumberFormat="1" applyFont="1" applyBorder="1" applyAlignment="1">
      <alignment horizontal="center" vertical="center" wrapText="1"/>
    </xf>
    <xf numFmtId="195" fontId="7" fillId="0" borderId="3" xfId="201" applyNumberFormat="1" applyFont="1" applyBorder="1" applyAlignment="1">
      <alignment horizontal="center" vertical="center"/>
    </xf>
    <xf numFmtId="195" fontId="32" fillId="0" borderId="1" xfId="201" applyNumberFormat="1" applyFont="1" applyFill="1" applyBorder="1" applyAlignment="1">
      <alignment horizontal="left" vertical="center"/>
    </xf>
    <xf numFmtId="195" fontId="7" fillId="0" borderId="1" xfId="201" applyNumberFormat="1" applyFont="1" applyFill="1" applyBorder="1" applyAlignment="1">
      <alignment horizontal="left" vertical="center"/>
    </xf>
    <xf numFmtId="195" fontId="32" fillId="0" borderId="1" xfId="201" applyNumberFormat="1" applyFont="1" applyBorder="1" applyAlignment="1">
      <alignment horizontal="left" vertical="center"/>
    </xf>
    <xf numFmtId="195" fontId="7" fillId="0" borderId="1" xfId="201" applyNumberFormat="1" applyFont="1" applyBorder="1" applyAlignment="1">
      <alignment horizontal="left" vertical="center"/>
    </xf>
    <xf numFmtId="195" fontId="7" fillId="0" borderId="1" xfId="201" applyNumberFormat="1" applyFont="1" applyFill="1" applyBorder="1" applyAlignment="1">
      <alignment horizontal="center" vertical="center"/>
    </xf>
    <xf numFmtId="195" fontId="7" fillId="0" borderId="2" xfId="201" applyNumberFormat="1" applyFont="1" applyFill="1" applyBorder="1" applyAlignment="1">
      <alignment horizontal="center" vertical="center"/>
    </xf>
    <xf numFmtId="195" fontId="7" fillId="16" borderId="1" xfId="1" applyNumberFormat="1" applyFont="1" applyFill="1" applyBorder="1" applyAlignment="1">
      <alignment horizontal="center" vertical="center"/>
    </xf>
    <xf numFmtId="195" fontId="6" fillId="0" borderId="1" xfId="201" applyNumberFormat="1" applyFont="1" applyBorder="1" applyAlignment="1">
      <alignment vertical="center"/>
    </xf>
    <xf numFmtId="195" fontId="63" fillId="20" borderId="1" xfId="201" applyNumberFormat="1" applyFont="1" applyFill="1" applyBorder="1" applyAlignment="1">
      <alignment horizontal="center" vertical="center"/>
    </xf>
    <xf numFmtId="195" fontId="7" fillId="0" borderId="0" xfId="4" applyNumberFormat="1" applyFont="1" applyAlignment="1">
      <alignment horizontal="right" vertical="center"/>
    </xf>
    <xf numFmtId="195" fontId="7" fillId="0" borderId="2" xfId="201" applyNumberFormat="1" applyFont="1" applyBorder="1" applyAlignment="1">
      <alignment horizontal="right" vertical="center"/>
    </xf>
    <xf numFmtId="195" fontId="7" fillId="0" borderId="2" xfId="201" applyNumberFormat="1" applyFont="1" applyFill="1" applyBorder="1" applyAlignment="1">
      <alignment horizontal="right" vertical="center"/>
    </xf>
    <xf numFmtId="195" fontId="78" fillId="0" borderId="1" xfId="201" applyNumberFormat="1" applyFont="1" applyBorder="1" applyAlignment="1">
      <alignment horizontal="right" vertical="center"/>
    </xf>
    <xf numFmtId="195" fontId="7" fillId="0" borderId="1" xfId="201" applyNumberFormat="1" applyFont="1" applyFill="1" applyBorder="1" applyAlignment="1">
      <alignment horizontal="right" vertical="center"/>
    </xf>
    <xf numFmtId="170" fontId="7" fillId="0" borderId="1" xfId="1" applyFont="1" applyBorder="1" applyAlignment="1">
      <alignment horizontal="right" vertical="center"/>
    </xf>
    <xf numFmtId="195" fontId="78" fillId="16" borderId="1" xfId="201" applyNumberFormat="1" applyFont="1" applyFill="1" applyBorder="1" applyAlignment="1">
      <alignment horizontal="right" vertical="center"/>
    </xf>
    <xf numFmtId="195" fontId="7" fillId="16" borderId="1" xfId="201" applyNumberFormat="1" applyFont="1" applyFill="1" applyBorder="1" applyAlignment="1">
      <alignment horizontal="right" vertical="center"/>
    </xf>
    <xf numFmtId="195" fontId="63" fillId="20" borderId="1" xfId="201" applyNumberFormat="1" applyFont="1" applyFill="1" applyBorder="1" applyAlignment="1">
      <alignment horizontal="right" vertical="center"/>
    </xf>
    <xf numFmtId="170" fontId="27" fillId="50" borderId="1" xfId="1" applyFont="1" applyFill="1" applyBorder="1" applyAlignment="1">
      <alignment horizontal="right" vertical="center" wrapText="1"/>
    </xf>
    <xf numFmtId="195" fontId="7" fillId="0" borderId="0" xfId="4" applyNumberFormat="1" applyFont="1" applyAlignment="1">
      <alignment horizontal="center" vertical="center"/>
    </xf>
    <xf numFmtId="195" fontId="7" fillId="0" borderId="0" xfId="201" applyNumberFormat="1" applyFont="1" applyAlignment="1">
      <alignment horizontal="center" vertical="center" wrapText="1"/>
    </xf>
    <xf numFmtId="195" fontId="7" fillId="0" borderId="2" xfId="201" applyNumberFormat="1" applyFont="1" applyBorder="1" applyAlignment="1">
      <alignment horizontal="center" vertical="center"/>
    </xf>
    <xf numFmtId="170" fontId="7" fillId="0" borderId="1" xfId="1" applyFont="1" applyBorder="1" applyAlignment="1">
      <alignment horizontal="center" vertical="center"/>
    </xf>
    <xf numFmtId="195" fontId="7" fillId="0" borderId="0" xfId="5" applyNumberFormat="1" applyFont="1" applyAlignment="1">
      <alignment horizontal="center" vertical="center"/>
    </xf>
    <xf numFmtId="195" fontId="7" fillId="0" borderId="1" xfId="201" applyNumberFormat="1" applyFont="1" applyFill="1" applyBorder="1" applyAlignment="1">
      <alignment vertical="center"/>
    </xf>
    <xf numFmtId="170" fontId="7" fillId="0" borderId="2" xfId="1" applyFont="1" applyBorder="1" applyAlignment="1">
      <alignment vertical="center" wrapText="1"/>
    </xf>
    <xf numFmtId="14" fontId="27" fillId="0" borderId="2" xfId="201" applyNumberFormat="1" applyFont="1" applyBorder="1" applyAlignment="1">
      <alignment horizontal="center" vertical="center"/>
    </xf>
    <xf numFmtId="170" fontId="7" fillId="28" borderId="1" xfId="1" applyFont="1" applyFill="1" applyBorder="1" applyAlignment="1">
      <alignment horizontal="left" vertical="center" wrapText="1"/>
    </xf>
    <xf numFmtId="170" fontId="7" fillId="0" borderId="0" xfId="1" applyFont="1" applyAlignment="1">
      <alignment vertical="center"/>
    </xf>
    <xf numFmtId="170" fontId="27" fillId="0" borderId="0" xfId="1" applyFont="1" applyAlignment="1">
      <alignment vertical="center"/>
    </xf>
    <xf numFmtId="170" fontId="75" fillId="0" borderId="0" xfId="1" applyFont="1" applyAlignment="1">
      <alignment vertical="center"/>
    </xf>
    <xf numFmtId="170" fontId="119" fillId="0" borderId="1" xfId="1" applyFont="1" applyBorder="1" applyAlignment="1">
      <alignment horizontal="left" vertical="center" wrapText="1"/>
    </xf>
    <xf numFmtId="170" fontId="27" fillId="16" borderId="0" xfId="1" applyFont="1" applyFill="1" applyAlignment="1">
      <alignment vertical="center"/>
    </xf>
    <xf numFmtId="170" fontId="74" fillId="16" borderId="0" xfId="1" applyFont="1" applyFill="1" applyAlignment="1">
      <alignment vertical="center"/>
    </xf>
    <xf numFmtId="170" fontId="18" fillId="0" borderId="31" xfId="1" applyFont="1" applyBorder="1" applyAlignment="1">
      <alignment horizontal="left" vertical="center" wrapText="1"/>
    </xf>
    <xf numFmtId="170" fontId="7" fillId="16" borderId="1" xfId="1" applyFont="1" applyFill="1" applyBorder="1" applyAlignment="1">
      <alignment horizontal="center" vertical="center"/>
    </xf>
    <xf numFmtId="170" fontId="74" fillId="0" borderId="0" xfId="1" applyFont="1" applyAlignment="1">
      <alignment vertical="center"/>
    </xf>
    <xf numFmtId="170" fontId="27" fillId="0" borderId="1" xfId="1" applyFont="1" applyBorder="1" applyAlignment="1">
      <alignment horizontal="right" vertical="center" wrapText="1"/>
    </xf>
    <xf numFmtId="170" fontId="7" fillId="0" borderId="1" xfId="1" applyFont="1" applyFill="1" applyBorder="1" applyAlignment="1">
      <alignment horizontal="left" vertical="center" wrapText="1"/>
    </xf>
    <xf numFmtId="170" fontId="32" fillId="0" borderId="1" xfId="1" applyFont="1" applyBorder="1" applyAlignment="1">
      <alignment vertical="center"/>
    </xf>
    <xf numFmtId="170" fontId="14" fillId="72" borderId="1" xfId="1" applyFont="1" applyFill="1" applyBorder="1" applyAlignment="1">
      <alignment vertical="center" wrapText="1"/>
    </xf>
    <xf numFmtId="170" fontId="14" fillId="72" borderId="9" xfId="1" applyFont="1" applyFill="1" applyBorder="1" applyAlignment="1">
      <alignment vertical="center" wrapText="1"/>
    </xf>
    <xf numFmtId="170" fontId="14" fillId="71" borderId="3" xfId="1" applyFont="1" applyFill="1" applyBorder="1" applyAlignment="1">
      <alignment vertical="center" wrapText="1"/>
    </xf>
    <xf numFmtId="170" fontId="14" fillId="71" borderId="31" xfId="1" applyFont="1" applyFill="1" applyBorder="1" applyAlignment="1">
      <alignment vertical="center" wrapText="1"/>
    </xf>
    <xf numFmtId="170" fontId="18" fillId="0" borderId="3" xfId="1" applyFont="1" applyBorder="1" applyAlignment="1">
      <alignment vertical="center"/>
    </xf>
    <xf numFmtId="170" fontId="14" fillId="0" borderId="3" xfId="1" applyFont="1" applyBorder="1" applyAlignment="1">
      <alignment vertical="center"/>
    </xf>
    <xf numFmtId="170" fontId="14" fillId="0" borderId="31" xfId="1" applyFont="1" applyBorder="1" applyAlignment="1">
      <alignment vertical="center"/>
    </xf>
    <xf numFmtId="170" fontId="14" fillId="0" borderId="31" xfId="1" applyFont="1" applyBorder="1" applyAlignment="1">
      <alignment vertical="center" wrapText="1"/>
    </xf>
    <xf numFmtId="170" fontId="185" fillId="0" borderId="31" xfId="1" applyFont="1" applyBorder="1" applyAlignment="1">
      <alignment vertical="center"/>
    </xf>
    <xf numFmtId="49" fontId="2" fillId="7" borderId="1" xfId="1" applyNumberFormat="1" applyFont="1" applyFill="1" applyBorder="1" applyAlignment="1">
      <alignment horizontal="left" vertical="center" wrapText="1"/>
    </xf>
    <xf numFmtId="170" fontId="14" fillId="71" borderId="10" xfId="1" applyFont="1" applyFill="1" applyBorder="1" applyAlignment="1">
      <alignment vertical="center" wrapText="1"/>
    </xf>
    <xf numFmtId="195" fontId="7" fillId="0" borderId="2" xfId="201" applyNumberFormat="1" applyFont="1" applyFill="1" applyBorder="1" applyAlignment="1">
      <alignment vertical="center"/>
    </xf>
    <xf numFmtId="167" fontId="2" fillId="0" borderId="2" xfId="5" applyFont="1" applyBorder="1" applyAlignment="1">
      <alignment horizontal="center" vertical="center"/>
    </xf>
    <xf numFmtId="167" fontId="2" fillId="0" borderId="10" xfId="5" applyFont="1" applyBorder="1" applyAlignment="1">
      <alignment horizontal="center" vertical="center"/>
    </xf>
    <xf numFmtId="0" fontId="0" fillId="0" borderId="0" xfId="0" quotePrefix="1"/>
    <xf numFmtId="0" fontId="154" fillId="83" borderId="1" xfId="0" applyFont="1" applyFill="1" applyBorder="1" applyAlignment="1">
      <alignment horizontal="left" vertical="center"/>
    </xf>
    <xf numFmtId="195" fontId="7" fillId="0" borderId="10" xfId="201" applyNumberFormat="1" applyFont="1" applyBorder="1" applyAlignment="1">
      <alignment horizontal="center" vertical="center"/>
    </xf>
    <xf numFmtId="195" fontId="7" fillId="0" borderId="10" xfId="201" applyNumberFormat="1" applyFont="1" applyBorder="1" applyAlignment="1">
      <alignment horizontal="right" vertical="center"/>
    </xf>
    <xf numFmtId="195" fontId="7" fillId="0" borderId="10" xfId="201" applyNumberFormat="1" applyFont="1" applyBorder="1" applyAlignment="1">
      <alignment vertical="center"/>
    </xf>
    <xf numFmtId="9" fontId="27" fillId="0" borderId="0" xfId="4" applyNumberFormat="1" applyFont="1" applyAlignment="1">
      <alignment horizontal="center" vertical="center"/>
    </xf>
    <xf numFmtId="1" fontId="9" fillId="0" borderId="115" xfId="201" applyNumberFormat="1" applyFont="1" applyFill="1" applyBorder="1" applyAlignment="1">
      <alignment horizontal="center" vertical="center" wrapText="1"/>
    </xf>
    <xf numFmtId="0" fontId="62" fillId="0" borderId="115" xfId="0" applyFont="1" applyBorder="1" applyAlignment="1">
      <alignment horizontal="center" vertical="center" wrapText="1"/>
    </xf>
    <xf numFmtId="0" fontId="122" fillId="0" borderId="0" xfId="0" applyFont="1" applyAlignment="1">
      <alignment vertical="center"/>
    </xf>
    <xf numFmtId="1" fontId="34" fillId="0" borderId="0" xfId="201" applyNumberFormat="1" applyFont="1" applyFill="1" applyBorder="1" applyAlignment="1">
      <alignment horizontal="center" vertical="center" wrapText="1"/>
    </xf>
    <xf numFmtId="170" fontId="34" fillId="0" borderId="0" xfId="1" applyFont="1" applyFill="1" applyBorder="1" applyAlignment="1">
      <alignment horizontal="center" vertical="center" wrapText="1"/>
    </xf>
    <xf numFmtId="0" fontId="62" fillId="0" borderId="115" xfId="1" applyNumberFormat="1" applyFont="1" applyFill="1" applyBorder="1" applyAlignment="1">
      <alignment horizontal="left" vertical="center" wrapText="1"/>
    </xf>
    <xf numFmtId="0" fontId="9" fillId="0" borderId="115" xfId="0" applyFont="1" applyBorder="1" applyAlignment="1">
      <alignment vertical="center"/>
    </xf>
    <xf numFmtId="170" fontId="62" fillId="0" borderId="115" xfId="1" applyFont="1" applyFill="1" applyBorder="1" applyAlignment="1">
      <alignment horizontal="center" vertical="center" wrapText="1"/>
    </xf>
    <xf numFmtId="49" fontId="9" fillId="0" borderId="115" xfId="0" applyNumberFormat="1" applyFont="1" applyBorder="1" applyAlignment="1">
      <alignment horizontal="left" vertical="top" wrapText="1"/>
    </xf>
    <xf numFmtId="0" fontId="62" fillId="0" borderId="115" xfId="1" applyNumberFormat="1" applyFont="1" applyBorder="1" applyAlignment="1">
      <alignment horizontal="left" vertical="center" wrapText="1"/>
    </xf>
    <xf numFmtId="49" fontId="112" fillId="0" borderId="115" xfId="4" applyNumberFormat="1" applyFont="1" applyBorder="1" applyAlignment="1">
      <alignment horizontal="left" vertical="top" wrapText="1"/>
    </xf>
    <xf numFmtId="1" fontId="62" fillId="0" borderId="115" xfId="0" applyNumberFormat="1" applyFont="1" applyBorder="1" applyAlignment="1">
      <alignment horizontal="left" vertical="center" wrapText="1"/>
    </xf>
    <xf numFmtId="49" fontId="62" fillId="0" borderId="115" xfId="4" applyNumberFormat="1" applyFont="1" applyBorder="1" applyAlignment="1">
      <alignment horizontal="left" vertical="top" wrapText="1"/>
    </xf>
    <xf numFmtId="49" fontId="111" fillId="0" borderId="115" xfId="0" applyNumberFormat="1" applyFont="1" applyBorder="1" applyAlignment="1">
      <alignment horizontal="left" vertical="top" wrapText="1"/>
    </xf>
    <xf numFmtId="49" fontId="62" fillId="0" borderId="115" xfId="0" applyNumberFormat="1" applyFont="1" applyBorder="1" applyAlignment="1">
      <alignment horizontal="center" vertical="center" wrapText="1"/>
    </xf>
    <xf numFmtId="1" fontId="62" fillId="0" borderId="115" xfId="0" applyNumberFormat="1" applyFont="1" applyBorder="1" applyAlignment="1">
      <alignment vertical="center" wrapText="1"/>
    </xf>
    <xf numFmtId="14" fontId="5" fillId="0" borderId="1" xfId="0" applyNumberFormat="1" applyFont="1" applyBorder="1" applyAlignment="1">
      <alignment vertical="center" wrapText="1"/>
    </xf>
    <xf numFmtId="14" fontId="80" fillId="0" borderId="1" xfId="0" applyNumberFormat="1" applyFont="1" applyBorder="1" applyAlignment="1">
      <alignment horizontal="center" vertical="center" wrapText="1"/>
    </xf>
    <xf numFmtId="0" fontId="22" fillId="11" borderId="0" xfId="6" applyFont="1" applyFill="1" applyAlignment="1">
      <alignment horizontal="center" wrapText="1"/>
    </xf>
    <xf numFmtId="17" fontId="3" fillId="0" borderId="0" xfId="6" applyNumberFormat="1"/>
    <xf numFmtId="0" fontId="111" fillId="0" borderId="0" xfId="0" applyFont="1" applyAlignment="1">
      <alignment horizontal="left" vertical="center" wrapText="1"/>
    </xf>
    <xf numFmtId="0" fontId="86" fillId="25" borderId="115" xfId="0" applyFont="1" applyFill="1" applyBorder="1" applyAlignment="1">
      <alignment horizontal="center" vertical="center"/>
    </xf>
    <xf numFmtId="0" fontId="86" fillId="25" borderId="115" xfId="0" applyFont="1" applyFill="1" applyBorder="1" applyAlignment="1">
      <alignment horizontal="center" vertical="center" wrapText="1"/>
    </xf>
    <xf numFmtId="1" fontId="111" fillId="0" borderId="0" xfId="0" applyNumberFormat="1" applyFont="1" applyAlignment="1">
      <alignment horizontal="left" vertical="center" wrapText="1" indent="1"/>
    </xf>
    <xf numFmtId="49" fontId="122" fillId="0" borderId="0" xfId="0" applyNumberFormat="1" applyFont="1" applyAlignment="1">
      <alignment horizontal="center" vertical="center" wrapText="1"/>
    </xf>
    <xf numFmtId="1" fontId="34" fillId="0" borderId="0" xfId="201" applyNumberFormat="1" applyFont="1" applyBorder="1" applyAlignment="1">
      <alignment horizontal="center" vertical="center" wrapText="1"/>
    </xf>
    <xf numFmtId="1" fontId="111" fillId="0" borderId="0" xfId="0" applyNumberFormat="1" applyFont="1" applyAlignment="1">
      <alignment horizontal="center" vertical="center" wrapText="1"/>
    </xf>
    <xf numFmtId="1" fontId="34" fillId="0" borderId="0" xfId="0" applyNumberFormat="1" applyFont="1" applyAlignment="1">
      <alignment horizontal="center" vertical="center" wrapText="1"/>
    </xf>
    <xf numFmtId="49" fontId="112" fillId="0" borderId="0" xfId="0" applyNumberFormat="1" applyFont="1" applyAlignment="1">
      <alignment horizontal="left" vertical="top" wrapText="1"/>
    </xf>
    <xf numFmtId="1" fontId="122" fillId="0" borderId="0" xfId="0" applyNumberFormat="1" applyFont="1" applyAlignment="1">
      <alignment horizontal="center" vertical="center" wrapText="1"/>
    </xf>
    <xf numFmtId="49" fontId="9" fillId="7" borderId="115" xfId="0" applyNumberFormat="1" applyFont="1" applyFill="1" applyBorder="1" applyAlignment="1">
      <alignment horizontal="left" vertical="top" wrapText="1"/>
    </xf>
    <xf numFmtId="49" fontId="9" fillId="0" borderId="110" xfId="0" applyNumberFormat="1" applyFont="1" applyBorder="1" applyAlignment="1">
      <alignment horizontal="left" vertical="top" wrapText="1"/>
    </xf>
    <xf numFmtId="0" fontId="86" fillId="25" borderId="115" xfId="0" applyFont="1" applyFill="1" applyBorder="1" applyAlignment="1">
      <alignment horizontal="left" vertical="top" wrapText="1"/>
    </xf>
    <xf numFmtId="49" fontId="9" fillId="0" borderId="115" xfId="4" applyNumberFormat="1" applyFont="1" applyBorder="1" applyAlignment="1">
      <alignment horizontal="left" vertical="top" wrapText="1"/>
    </xf>
    <xf numFmtId="170" fontId="18" fillId="0" borderId="7" xfId="1" applyFont="1" applyBorder="1" applyAlignment="1">
      <alignment horizontal="center"/>
    </xf>
    <xf numFmtId="49" fontId="0" fillId="3" borderId="0" xfId="0" applyNumberFormat="1" applyFill="1" applyAlignment="1">
      <alignment horizontal="right" vertical="center" wrapText="1"/>
    </xf>
    <xf numFmtId="0" fontId="6" fillId="3" borderId="0" xfId="0" applyFont="1" applyFill="1" applyAlignment="1">
      <alignment horizontal="right" vertical="center" wrapText="1"/>
    </xf>
    <xf numFmtId="170" fontId="6" fillId="3" borderId="0" xfId="1" applyFont="1" applyFill="1" applyAlignment="1">
      <alignment horizontal="right" vertical="center" wrapText="1"/>
    </xf>
    <xf numFmtId="170" fontId="27" fillId="0" borderId="1" xfId="1" applyFont="1" applyFill="1" applyBorder="1" applyAlignment="1">
      <alignment horizontal="left" vertical="center" wrapText="1" indent="1"/>
    </xf>
    <xf numFmtId="170" fontId="119" fillId="0" borderId="1" xfId="1" applyFont="1" applyFill="1" applyBorder="1" applyAlignment="1">
      <alignment horizontal="left" vertical="center" wrapText="1" indent="1"/>
    </xf>
    <xf numFmtId="1" fontId="186" fillId="0" borderId="115" xfId="0" applyNumberFormat="1" applyFont="1" applyBorder="1" applyAlignment="1">
      <alignment horizontal="center" vertical="center" wrapText="1"/>
    </xf>
    <xf numFmtId="167" fontId="188" fillId="0" borderId="2" xfId="5" applyFont="1" applyFill="1" applyBorder="1" applyAlignment="1">
      <alignment vertical="center"/>
    </xf>
    <xf numFmtId="49" fontId="187" fillId="0" borderId="1" xfId="1" applyNumberFormat="1" applyFont="1" applyFill="1" applyBorder="1" applyAlignment="1">
      <alignment horizontal="left" vertical="center" wrapText="1"/>
    </xf>
    <xf numFmtId="0" fontId="189" fillId="0" borderId="3" xfId="0" applyFont="1" applyBorder="1" applyAlignment="1">
      <alignment horizontal="left" vertical="center" wrapText="1" indent="1"/>
    </xf>
    <xf numFmtId="170" fontId="2" fillId="0" borderId="1" xfId="1" applyFont="1" applyFill="1" applyBorder="1" applyAlignment="1">
      <alignment horizontal="left" vertical="center" wrapText="1"/>
    </xf>
    <xf numFmtId="14" fontId="0" fillId="0" borderId="7" xfId="0" applyNumberFormat="1" applyBorder="1" applyAlignment="1">
      <alignment horizontal="center" vertical="center" wrapText="1"/>
    </xf>
    <xf numFmtId="195" fontId="7" fillId="0" borderId="2" xfId="201" applyNumberFormat="1" applyFont="1" applyBorder="1" applyAlignment="1">
      <alignment horizontal="center" vertical="center" wrapText="1"/>
    </xf>
    <xf numFmtId="170" fontId="14" fillId="0" borderId="3" xfId="1" applyFont="1" applyBorder="1" applyAlignment="1">
      <alignment vertical="center" wrapText="1"/>
    </xf>
    <xf numFmtId="167" fontId="27" fillId="0" borderId="3" xfId="5" applyFont="1" applyBorder="1" applyAlignment="1">
      <alignment horizontal="left" vertical="center" wrapText="1"/>
    </xf>
    <xf numFmtId="167" fontId="7" fillId="0" borderId="3" xfId="5" applyFont="1" applyBorder="1" applyAlignment="1">
      <alignment horizontal="left" vertical="center" wrapText="1"/>
    </xf>
    <xf numFmtId="167" fontId="27" fillId="0" borderId="2" xfId="5" applyFont="1" applyBorder="1" applyAlignment="1">
      <alignment horizontal="left" vertical="center" wrapText="1"/>
    </xf>
    <xf numFmtId="167" fontId="7" fillId="0" borderId="2" xfId="5" applyFont="1" applyBorder="1" applyAlignment="1">
      <alignment horizontal="left" vertical="center" wrapText="1"/>
    </xf>
    <xf numFmtId="195" fontId="7" fillId="0" borderId="2" xfId="201" applyNumberFormat="1" applyFont="1" applyBorder="1" applyAlignment="1">
      <alignment horizontal="right" vertical="center" wrapText="1"/>
    </xf>
    <xf numFmtId="195" fontId="7" fillId="0" borderId="2" xfId="201" applyNumberFormat="1" applyFont="1" applyBorder="1" applyAlignment="1">
      <alignment horizontal="left" vertical="center" wrapText="1"/>
    </xf>
    <xf numFmtId="14" fontId="0" fillId="0" borderId="6" xfId="0" applyNumberFormat="1" applyBorder="1" applyAlignment="1">
      <alignment horizontal="center" vertical="center" wrapText="1"/>
    </xf>
    <xf numFmtId="0" fontId="27" fillId="79" borderId="1" xfId="0" applyFont="1" applyFill="1" applyBorder="1" applyAlignment="1">
      <alignment horizontal="right"/>
    </xf>
    <xf numFmtId="0" fontId="27" fillId="3" borderId="1" xfId="0" applyFont="1" applyFill="1" applyBorder="1" applyAlignment="1">
      <alignment vertical="center"/>
    </xf>
    <xf numFmtId="0" fontId="71" fillId="0" borderId="1" xfId="0" applyFont="1" applyBorder="1" applyAlignment="1">
      <alignment horizontal="center" vertical="center" wrapText="1"/>
    </xf>
    <xf numFmtId="0" fontId="71" fillId="0" borderId="1" xfId="0" applyFont="1" applyBorder="1" applyAlignment="1">
      <alignment horizontal="left" vertical="center" wrapText="1"/>
    </xf>
    <xf numFmtId="0" fontId="58" fillId="0" borderId="1" xfId="219" applyFont="1" applyFill="1" applyBorder="1" applyAlignment="1">
      <alignment horizontal="left" vertical="center" wrapText="1"/>
    </xf>
    <xf numFmtId="0" fontId="27" fillId="12" borderId="1" xfId="0" applyFont="1" applyFill="1" applyBorder="1" applyAlignment="1">
      <alignment horizontal="right"/>
    </xf>
    <xf numFmtId="0" fontId="8" fillId="84" borderId="1" xfId="0" applyFont="1" applyFill="1" applyBorder="1" applyAlignment="1">
      <alignment horizontal="center" vertical="center" wrapText="1"/>
    </xf>
    <xf numFmtId="1" fontId="0" fillId="35" borderId="15" xfId="0" applyNumberFormat="1" applyFill="1" applyBorder="1" applyAlignment="1">
      <alignment horizontal="center" vertical="center"/>
    </xf>
    <xf numFmtId="1" fontId="0" fillId="35" borderId="124" xfId="0" applyNumberFormat="1" applyFill="1" applyBorder="1" applyAlignment="1">
      <alignment horizontal="center" vertical="center"/>
    </xf>
    <xf numFmtId="0" fontId="10" fillId="39" borderId="12" xfId="14" applyFont="1" applyFill="1" applyBorder="1" applyAlignment="1">
      <alignment horizontal="center" vertical="center" wrapText="1"/>
    </xf>
    <xf numFmtId="0" fontId="9" fillId="39" borderId="1" xfId="14" applyFont="1" applyFill="1" applyBorder="1" applyAlignment="1">
      <alignment horizontal="center" vertical="center" wrapText="1"/>
    </xf>
    <xf numFmtId="0" fontId="10" fillId="39" borderId="1" xfId="14" applyFont="1" applyFill="1" applyBorder="1" applyAlignment="1">
      <alignment vertical="center" wrapText="1"/>
    </xf>
    <xf numFmtId="14" fontId="0" fillId="0" borderId="47" xfId="0" applyNumberFormat="1" applyBorder="1" applyAlignment="1">
      <alignment horizontal="center" vertical="center" wrapText="1"/>
    </xf>
    <xf numFmtId="49" fontId="94" fillId="85" borderId="1" xfId="14" applyNumberFormat="1" applyFont="1" applyFill="1" applyBorder="1" applyAlignment="1">
      <alignment horizontal="right" vertical="center"/>
    </xf>
    <xf numFmtId="1" fontId="94" fillId="85" borderId="14" xfId="1" applyNumberFormat="1" applyFont="1" applyFill="1" applyBorder="1" applyAlignment="1">
      <alignment vertical="center"/>
    </xf>
    <xf numFmtId="0" fontId="94" fillId="85" borderId="13" xfId="14" applyFont="1" applyFill="1" applyBorder="1" applyAlignment="1">
      <alignment vertical="center"/>
    </xf>
    <xf numFmtId="1" fontId="94" fillId="85" borderId="13" xfId="14" applyNumberFormat="1" applyFont="1" applyFill="1" applyBorder="1" applyAlignment="1">
      <alignment horizontal="center" vertical="center"/>
    </xf>
    <xf numFmtId="0" fontId="18" fillId="0" borderId="1" xfId="0" applyFont="1" applyBorder="1" applyAlignment="1">
      <alignment horizontal="left" vertical="center" wrapText="1" indent="1"/>
    </xf>
    <xf numFmtId="0" fontId="18" fillId="0" borderId="3" xfId="0" applyFont="1" applyBorder="1" applyAlignment="1">
      <alignment horizontal="left" vertical="center" wrapText="1" indent="1"/>
    </xf>
    <xf numFmtId="0" fontId="4" fillId="33" borderId="46" xfId="0" applyFont="1" applyFill="1" applyBorder="1" applyAlignment="1">
      <alignment horizontal="center" vertical="center" wrapText="1"/>
    </xf>
    <xf numFmtId="170" fontId="4" fillId="33" borderId="46" xfId="1" applyFont="1" applyFill="1" applyBorder="1" applyAlignment="1">
      <alignment horizontal="center" vertical="center" wrapText="1"/>
    </xf>
    <xf numFmtId="0" fontId="4" fillId="12" borderId="46" xfId="0" applyFont="1" applyFill="1" applyBorder="1" applyAlignment="1">
      <alignment horizontal="center" vertical="center" wrapText="1"/>
    </xf>
    <xf numFmtId="0" fontId="4" fillId="12" borderId="46" xfId="0" applyFont="1" applyFill="1" applyBorder="1" applyAlignment="1">
      <alignment horizontal="right" vertical="center" wrapText="1"/>
    </xf>
    <xf numFmtId="49" fontId="4" fillId="12" borderId="46" xfId="0" applyNumberFormat="1" applyFont="1" applyFill="1" applyBorder="1" applyAlignment="1">
      <alignment horizontal="left" vertical="center" wrapText="1"/>
    </xf>
    <xf numFmtId="170" fontId="4" fillId="12" borderId="46" xfId="1" applyFont="1" applyFill="1" applyBorder="1" applyAlignment="1">
      <alignment horizontal="left" vertical="center" wrapText="1"/>
    </xf>
    <xf numFmtId="0" fontId="4" fillId="55" borderId="46" xfId="0" applyFont="1" applyFill="1" applyBorder="1" applyAlignment="1">
      <alignment horizontal="center" vertical="center" wrapText="1"/>
    </xf>
    <xf numFmtId="0" fontId="4" fillId="55" borderId="46" xfId="0" applyFont="1" applyFill="1" applyBorder="1" applyAlignment="1">
      <alignment horizontal="right" vertical="center" wrapText="1"/>
    </xf>
    <xf numFmtId="0" fontId="4" fillId="55" borderId="46" xfId="0" applyFont="1" applyFill="1" applyBorder="1" applyAlignment="1">
      <alignment horizontal="left" vertical="center" wrapText="1"/>
    </xf>
    <xf numFmtId="170" fontId="4" fillId="55" borderId="46" xfId="1" applyFont="1" applyFill="1" applyBorder="1" applyAlignment="1">
      <alignment horizontal="left" vertical="center" wrapText="1"/>
    </xf>
    <xf numFmtId="0" fontId="6" fillId="18" borderId="46" xfId="0" applyFont="1" applyFill="1" applyBorder="1" applyAlignment="1">
      <alignment horizontal="center" vertical="center" wrapText="1"/>
    </xf>
    <xf numFmtId="0" fontId="6" fillId="18" borderId="46" xfId="0" applyFont="1" applyFill="1" applyBorder="1" applyAlignment="1">
      <alignment horizontal="right" vertical="center" wrapText="1"/>
    </xf>
    <xf numFmtId="0" fontId="6" fillId="18" borderId="46" xfId="0" applyFont="1" applyFill="1" applyBorder="1" applyAlignment="1">
      <alignment horizontal="left" vertical="center" wrapText="1"/>
    </xf>
    <xf numFmtId="170" fontId="6" fillId="18" borderId="46" xfId="1" applyFont="1" applyFill="1" applyBorder="1" applyAlignment="1">
      <alignment horizontal="left" vertical="center" wrapText="1"/>
    </xf>
    <xf numFmtId="49" fontId="6" fillId="28" borderId="46" xfId="0" applyNumberFormat="1" applyFont="1" applyFill="1" applyBorder="1" applyAlignment="1">
      <alignment horizontal="center" vertical="center" wrapText="1"/>
    </xf>
    <xf numFmtId="49" fontId="6" fillId="28" borderId="46" xfId="0" applyNumberFormat="1" applyFont="1" applyFill="1" applyBorder="1" applyAlignment="1">
      <alignment horizontal="right" vertical="center" wrapText="1"/>
    </xf>
    <xf numFmtId="49" fontId="6" fillId="28" borderId="46" xfId="0" applyNumberFormat="1" applyFont="1" applyFill="1" applyBorder="1" applyAlignment="1">
      <alignment horizontal="left" vertical="center" wrapText="1"/>
    </xf>
    <xf numFmtId="0" fontId="6" fillId="28" borderId="46" xfId="0" applyFont="1" applyFill="1" applyBorder="1" applyAlignment="1">
      <alignment horizontal="center" vertical="center" wrapText="1"/>
    </xf>
    <xf numFmtId="170" fontId="6" fillId="28" borderId="46" xfId="1" applyFont="1" applyFill="1" applyBorder="1" applyAlignment="1">
      <alignment horizontal="left" vertical="center" wrapText="1"/>
    </xf>
    <xf numFmtId="49" fontId="0" fillId="0" borderId="46" xfId="0" applyNumberFormat="1" applyBorder="1" applyAlignment="1">
      <alignment horizontal="center" vertical="center" wrapText="1"/>
    </xf>
    <xf numFmtId="49" fontId="0" fillId="0" borderId="46" xfId="0" applyNumberFormat="1" applyBorder="1" applyAlignment="1">
      <alignment horizontal="right" vertical="center" wrapText="1"/>
    </xf>
    <xf numFmtId="49" fontId="0" fillId="0" borderId="46" xfId="0" applyNumberFormat="1" applyBorder="1" applyAlignment="1">
      <alignment horizontal="left" vertical="center" wrapText="1"/>
    </xf>
    <xf numFmtId="0" fontId="0" fillId="0" borderId="46" xfId="0" applyBorder="1" applyAlignment="1">
      <alignment horizontal="center" vertical="center" wrapText="1"/>
    </xf>
    <xf numFmtId="170" fontId="3" fillId="0" borderId="46" xfId="1" applyFont="1" applyFill="1" applyBorder="1" applyAlignment="1">
      <alignment horizontal="left" vertical="center" wrapText="1"/>
    </xf>
    <xf numFmtId="49" fontId="0" fillId="0" borderId="46" xfId="0" applyNumberFormat="1" applyBorder="1" applyAlignment="1">
      <alignment horizontal="left" vertical="center" wrapText="1" indent="2"/>
    </xf>
    <xf numFmtId="170" fontId="0" fillId="0" borderId="46" xfId="1" applyFont="1" applyBorder="1" applyAlignment="1">
      <alignment horizontal="left" vertical="center" wrapText="1"/>
    </xf>
    <xf numFmtId="1" fontId="0" fillId="0" borderId="46" xfId="0" applyNumberFormat="1" applyBorder="1" applyAlignment="1">
      <alignment horizontal="center" vertical="center" wrapText="1"/>
    </xf>
    <xf numFmtId="1" fontId="6" fillId="28" borderId="46" xfId="0" applyNumberFormat="1" applyFont="1" applyFill="1" applyBorder="1" applyAlignment="1">
      <alignment horizontal="center" vertical="center" wrapText="1"/>
    </xf>
    <xf numFmtId="49" fontId="0" fillId="64" borderId="46" xfId="0" applyNumberFormat="1" applyFill="1" applyBorder="1" applyAlignment="1">
      <alignment horizontal="center" vertical="center" wrapText="1"/>
    </xf>
    <xf numFmtId="49" fontId="0" fillId="64" borderId="46" xfId="0" applyNumberFormat="1" applyFill="1" applyBorder="1" applyAlignment="1">
      <alignment horizontal="right" vertical="center" wrapText="1"/>
    </xf>
    <xf numFmtId="49" fontId="0" fillId="64" borderId="46" xfId="0" applyNumberFormat="1" applyFill="1" applyBorder="1" applyAlignment="1">
      <alignment horizontal="left" vertical="center" wrapText="1"/>
    </xf>
    <xf numFmtId="0" fontId="0" fillId="64" borderId="46" xfId="0" applyFill="1" applyBorder="1" applyAlignment="1">
      <alignment horizontal="center" vertical="center" wrapText="1"/>
    </xf>
    <xf numFmtId="170" fontId="0" fillId="64" borderId="46" xfId="1" applyFont="1" applyFill="1" applyBorder="1" applyAlignment="1">
      <alignment horizontal="left" vertical="center" wrapText="1"/>
    </xf>
    <xf numFmtId="1" fontId="0" fillId="64" borderId="46" xfId="0" applyNumberFormat="1" applyFill="1" applyBorder="1" applyAlignment="1">
      <alignment horizontal="center" vertical="center" wrapText="1"/>
    </xf>
    <xf numFmtId="170" fontId="3" fillId="64" borderId="46" xfId="1" applyFont="1" applyFill="1" applyBorder="1" applyAlignment="1">
      <alignment horizontal="left" vertical="center" wrapText="1"/>
    </xf>
    <xf numFmtId="170" fontId="0" fillId="0" borderId="46" xfId="0" applyNumberFormat="1" applyBorder="1" applyAlignment="1">
      <alignment horizontal="center" vertical="center" wrapText="1"/>
    </xf>
    <xf numFmtId="49" fontId="0" fillId="64" borderId="46" xfId="1" applyNumberFormat="1" applyFont="1" applyFill="1" applyBorder="1" applyAlignment="1">
      <alignment horizontal="right" vertical="center" wrapText="1"/>
    </xf>
    <xf numFmtId="49" fontId="0" fillId="64" borderId="46" xfId="1" applyNumberFormat="1" applyFont="1" applyFill="1" applyBorder="1" applyAlignment="1">
      <alignment horizontal="left" vertical="center" wrapText="1"/>
    </xf>
    <xf numFmtId="170" fontId="0" fillId="64" borderId="46" xfId="0" applyNumberFormat="1" applyFill="1" applyBorder="1" applyAlignment="1">
      <alignment horizontal="center" vertical="center" wrapText="1"/>
    </xf>
    <xf numFmtId="0" fontId="0" fillId="0" borderId="46" xfId="0" applyBorder="1" applyAlignment="1">
      <alignment horizontal="left" vertical="center" wrapText="1"/>
    </xf>
    <xf numFmtId="49" fontId="0" fillId="0" borderId="46" xfId="1" applyNumberFormat="1" applyFont="1" applyBorder="1" applyAlignment="1">
      <alignment horizontal="right" vertical="center" wrapText="1"/>
    </xf>
    <xf numFmtId="49" fontId="0" fillId="0" borderId="46" xfId="1" applyNumberFormat="1" applyFont="1" applyBorder="1" applyAlignment="1">
      <alignment horizontal="left" vertical="center" wrapText="1"/>
    </xf>
    <xf numFmtId="49" fontId="6" fillId="0" borderId="46" xfId="0" applyNumberFormat="1" applyFont="1" applyBorder="1" applyAlignment="1">
      <alignment horizontal="center" vertical="center" wrapText="1"/>
    </xf>
    <xf numFmtId="49" fontId="6" fillId="0" borderId="46" xfId="0" applyNumberFormat="1" applyFont="1" applyBorder="1" applyAlignment="1">
      <alignment horizontal="right" vertical="center" wrapText="1"/>
    </xf>
    <xf numFmtId="49" fontId="6" fillId="0" borderId="46" xfId="0" applyNumberFormat="1" applyFont="1" applyBorder="1" applyAlignment="1">
      <alignment horizontal="left" vertical="center" wrapText="1"/>
    </xf>
    <xf numFmtId="1" fontId="6" fillId="0" borderId="46" xfId="0" applyNumberFormat="1" applyFont="1" applyBorder="1" applyAlignment="1">
      <alignment horizontal="center" vertical="center" wrapText="1"/>
    </xf>
    <xf numFmtId="170" fontId="6" fillId="0" borderId="46" xfId="1" applyFont="1" applyFill="1" applyBorder="1" applyAlignment="1">
      <alignment horizontal="left" vertical="center" wrapText="1"/>
    </xf>
    <xf numFmtId="49" fontId="117" fillId="0" borderId="46" xfId="0" applyNumberFormat="1" applyFont="1" applyBorder="1" applyAlignment="1">
      <alignment horizontal="right" vertical="center" wrapText="1"/>
    </xf>
    <xf numFmtId="49" fontId="117" fillId="0" borderId="46" xfId="0" applyNumberFormat="1" applyFont="1" applyBorder="1" applyAlignment="1">
      <alignment horizontal="left" vertical="center" wrapText="1"/>
    </xf>
    <xf numFmtId="1" fontId="117" fillId="0" borderId="46" xfId="0" applyNumberFormat="1" applyFont="1" applyBorder="1" applyAlignment="1">
      <alignment horizontal="center" vertical="center" wrapText="1"/>
    </xf>
    <xf numFmtId="170" fontId="117" fillId="0" borderId="46" xfId="1" applyFont="1" applyFill="1" applyBorder="1" applyAlignment="1">
      <alignment horizontal="left" vertical="center" wrapText="1"/>
    </xf>
    <xf numFmtId="49" fontId="5" fillId="0" borderId="46" xfId="0" applyNumberFormat="1" applyFont="1" applyBorder="1" applyAlignment="1">
      <alignment horizontal="right" vertical="center" wrapText="1"/>
    </xf>
    <xf numFmtId="49" fontId="5" fillId="0" borderId="46" xfId="0" applyNumberFormat="1" applyFont="1" applyBorder="1" applyAlignment="1">
      <alignment horizontal="left" vertical="center" wrapText="1" indent="2"/>
    </xf>
    <xf numFmtId="1" fontId="5" fillId="0" borderId="46" xfId="0" applyNumberFormat="1" applyFont="1" applyBorder="1" applyAlignment="1">
      <alignment horizontal="center" vertical="center" wrapText="1"/>
    </xf>
    <xf numFmtId="170" fontId="5" fillId="0" borderId="46" xfId="1" applyFont="1" applyFill="1" applyBorder="1" applyAlignment="1">
      <alignment horizontal="left" vertical="center" wrapText="1"/>
    </xf>
    <xf numFmtId="49" fontId="0" fillId="0" borderId="46" xfId="0" applyNumberFormat="1" applyBorder="1" applyAlignment="1">
      <alignment horizontal="left" vertical="center" wrapText="1" indent="1"/>
    </xf>
    <xf numFmtId="49" fontId="0" fillId="64" borderId="46" xfId="0" applyNumberFormat="1" applyFill="1" applyBorder="1" applyAlignment="1">
      <alignment horizontal="left" vertical="center" wrapText="1" indent="1"/>
    </xf>
    <xf numFmtId="49" fontId="0" fillId="0" borderId="46" xfId="0" applyNumberFormat="1" applyBorder="1" applyAlignment="1">
      <alignment horizontal="left" vertical="center" wrapText="1" indent="3"/>
    </xf>
    <xf numFmtId="49" fontId="0" fillId="26" borderId="46" xfId="0" applyNumberFormat="1" applyFill="1" applyBorder="1" applyAlignment="1">
      <alignment horizontal="center" vertical="center" wrapText="1"/>
    </xf>
    <xf numFmtId="49" fontId="0" fillId="26" borderId="46" xfId="0" applyNumberFormat="1" applyFill="1" applyBorder="1" applyAlignment="1">
      <alignment horizontal="right" vertical="center" wrapText="1"/>
    </xf>
    <xf numFmtId="49" fontId="0" fillId="26" borderId="46" xfId="0" applyNumberFormat="1" applyFill="1" applyBorder="1" applyAlignment="1">
      <alignment horizontal="left" vertical="center" wrapText="1" indent="1"/>
    </xf>
    <xf numFmtId="170" fontId="3" fillId="26" borderId="46" xfId="1" applyFont="1" applyFill="1" applyBorder="1" applyAlignment="1">
      <alignment horizontal="left" vertical="center" wrapText="1"/>
    </xf>
    <xf numFmtId="49" fontId="180" fillId="0" borderId="46" xfId="0" applyNumberFormat="1" applyFont="1" applyBorder="1" applyAlignment="1">
      <alignment horizontal="center" vertical="center" wrapText="1"/>
    </xf>
    <xf numFmtId="49" fontId="180" fillId="0" borderId="46" xfId="0" applyNumberFormat="1" applyFont="1" applyBorder="1" applyAlignment="1">
      <alignment horizontal="right" vertical="center" wrapText="1"/>
    </xf>
    <xf numFmtId="49" fontId="180" fillId="0" borderId="46" xfId="0" applyNumberFormat="1" applyFont="1" applyBorder="1" applyAlignment="1">
      <alignment horizontal="left" vertical="center" wrapText="1" indent="2"/>
    </xf>
    <xf numFmtId="170" fontId="180" fillId="0" borderId="46" xfId="1" applyFont="1" applyFill="1" applyBorder="1" applyAlignment="1">
      <alignment horizontal="left" vertical="center" wrapText="1"/>
    </xf>
    <xf numFmtId="49" fontId="0" fillId="0" borderId="46" xfId="1" applyNumberFormat="1" applyFont="1" applyBorder="1" applyAlignment="1">
      <alignment horizontal="center" vertical="center" wrapText="1"/>
    </xf>
    <xf numFmtId="49" fontId="0" fillId="26" borderId="46" xfId="1" applyNumberFormat="1" applyFont="1" applyFill="1" applyBorder="1" applyAlignment="1">
      <alignment horizontal="center" vertical="center" wrapText="1"/>
    </xf>
    <xf numFmtId="49" fontId="0" fillId="26" borderId="46" xfId="1" applyNumberFormat="1" applyFont="1" applyFill="1" applyBorder="1" applyAlignment="1">
      <alignment horizontal="right" vertical="center" wrapText="1"/>
    </xf>
    <xf numFmtId="49" fontId="0" fillId="26" borderId="46" xfId="1" applyNumberFormat="1" applyFont="1" applyFill="1" applyBorder="1" applyAlignment="1">
      <alignment horizontal="left" vertical="center" wrapText="1" indent="1"/>
    </xf>
    <xf numFmtId="49" fontId="0" fillId="64" borderId="46" xfId="1" applyNumberFormat="1" applyFont="1" applyFill="1" applyBorder="1" applyAlignment="1">
      <alignment horizontal="center" vertical="center" wrapText="1"/>
    </xf>
    <xf numFmtId="170" fontId="0" fillId="0" borderId="46" xfId="1" applyFont="1" applyFill="1" applyBorder="1" applyAlignment="1">
      <alignment horizontal="center" vertical="center" wrapText="1"/>
    </xf>
    <xf numFmtId="170" fontId="180" fillId="0" borderId="46" xfId="1" applyFont="1" applyFill="1" applyBorder="1" applyAlignment="1">
      <alignment horizontal="right" vertical="center" wrapText="1"/>
    </xf>
    <xf numFmtId="170" fontId="180" fillId="0" borderId="46" xfId="1" applyFont="1" applyFill="1" applyBorder="1" applyAlignment="1">
      <alignment horizontal="left" vertical="center" wrapText="1" indent="2"/>
    </xf>
    <xf numFmtId="1" fontId="180" fillId="0" borderId="46" xfId="0" applyNumberFormat="1" applyFont="1" applyBorder="1" applyAlignment="1">
      <alignment horizontal="center" vertical="center" wrapText="1"/>
    </xf>
    <xf numFmtId="170" fontId="0" fillId="0" borderId="46" xfId="1" applyFont="1" applyFill="1" applyBorder="1" applyAlignment="1">
      <alignment horizontal="right" vertical="center" wrapText="1"/>
    </xf>
    <xf numFmtId="170" fontId="0" fillId="0" borderId="46" xfId="1" applyFont="1" applyFill="1" applyBorder="1" applyAlignment="1">
      <alignment horizontal="left" vertical="center" wrapText="1" indent="2"/>
    </xf>
    <xf numFmtId="170" fontId="0" fillId="0" borderId="46" xfId="1" applyFont="1" applyFill="1" applyBorder="1" applyAlignment="1">
      <alignment horizontal="left" vertical="center" wrapText="1"/>
    </xf>
    <xf numFmtId="0" fontId="27" fillId="0" borderId="2" xfId="14" applyFont="1" applyBorder="1" applyAlignment="1">
      <alignment horizontal="center" vertical="center" wrapText="1"/>
    </xf>
    <xf numFmtId="0" fontId="27" fillId="0" borderId="10" xfId="14" applyFont="1" applyBorder="1" applyAlignment="1">
      <alignment horizontal="center" vertical="center" wrapText="1"/>
    </xf>
    <xf numFmtId="49" fontId="27" fillId="0" borderId="0" xfId="4" applyNumberFormat="1" applyFont="1" applyAlignment="1">
      <alignment horizontal="center" vertical="center" wrapText="1"/>
    </xf>
    <xf numFmtId="41" fontId="27" fillId="0" borderId="0" xfId="4" applyNumberFormat="1" applyFont="1" applyAlignment="1">
      <alignment horizontal="center" vertical="center"/>
    </xf>
    <xf numFmtId="0" fontId="33" fillId="0" borderId="0" xfId="207" applyFont="1" applyAlignment="1">
      <alignment vertical="center" wrapText="1"/>
    </xf>
    <xf numFmtId="0" fontId="192" fillId="0" borderId="0" xfId="207" applyAlignment="1">
      <alignment vertical="center" wrapText="1"/>
    </xf>
    <xf numFmtId="170" fontId="192" fillId="0" borderId="0" xfId="1" applyFont="1" applyAlignment="1">
      <alignment vertical="center" wrapText="1"/>
    </xf>
    <xf numFmtId="0" fontId="192" fillId="0" borderId="1" xfId="207" applyBorder="1" applyAlignment="1">
      <alignment vertical="center" wrapText="1"/>
    </xf>
    <xf numFmtId="0" fontId="195" fillId="0" borderId="1" xfId="207" applyFont="1" applyBorder="1" applyAlignment="1">
      <alignment horizontal="left" vertical="center" wrapText="1"/>
    </xf>
    <xf numFmtId="0" fontId="194" fillId="0" borderId="1" xfId="207" applyFont="1" applyBorder="1" applyAlignment="1">
      <alignment horizontal="center" vertical="center" wrapText="1"/>
    </xf>
    <xf numFmtId="0" fontId="195" fillId="91" borderId="1" xfId="207" applyFont="1" applyFill="1" applyBorder="1" applyAlignment="1">
      <alignment horizontal="left" vertical="center" wrapText="1"/>
    </xf>
    <xf numFmtId="0" fontId="180" fillId="0" borderId="0" xfId="0" applyFont="1"/>
    <xf numFmtId="176" fontId="0" fillId="0" borderId="0" xfId="208" applyNumberFormat="1" applyFont="1"/>
    <xf numFmtId="200" fontId="0" fillId="0" borderId="0" xfId="0" applyNumberFormat="1"/>
    <xf numFmtId="0" fontId="0" fillId="94" borderId="0" xfId="0" applyFill="1"/>
    <xf numFmtId="0" fontId="198" fillId="0" borderId="0" xfId="0" applyFont="1"/>
    <xf numFmtId="0" fontId="200" fillId="0" borderId="0" xfId="0" applyFont="1"/>
    <xf numFmtId="0" fontId="201" fillId="0" borderId="0" xfId="0" applyFont="1"/>
    <xf numFmtId="0" fontId="117" fillId="0" borderId="0" xfId="0" applyFont="1"/>
    <xf numFmtId="0" fontId="193" fillId="10" borderId="1" xfId="207" applyFont="1" applyFill="1" applyBorder="1" applyAlignment="1">
      <alignment horizontal="center" vertical="center" wrapText="1"/>
    </xf>
    <xf numFmtId="0" fontId="194" fillId="51" borderId="1" xfId="207" applyFont="1" applyFill="1" applyBorder="1" applyAlignment="1">
      <alignment horizontal="center" vertical="center" wrapText="1"/>
    </xf>
    <xf numFmtId="170" fontId="192" fillId="0" borderId="1" xfId="1" applyFont="1" applyBorder="1" applyAlignment="1">
      <alignment vertical="center" wrapText="1"/>
    </xf>
    <xf numFmtId="0" fontId="192" fillId="91" borderId="1" xfId="207" applyFill="1" applyBorder="1" applyAlignment="1">
      <alignment vertical="center" wrapText="1"/>
    </xf>
    <xf numFmtId="0" fontId="132" fillId="91" borderId="1" xfId="207" applyFont="1" applyFill="1" applyBorder="1" applyAlignment="1">
      <alignment horizontal="left" vertical="center" wrapText="1"/>
    </xf>
    <xf numFmtId="0" fontId="192" fillId="91" borderId="1" xfId="207" applyFill="1" applyBorder="1" applyAlignment="1">
      <alignment horizontal="center" vertical="center" wrapText="1"/>
    </xf>
    <xf numFmtId="0" fontId="192" fillId="91" borderId="1" xfId="207" applyFill="1" applyBorder="1" applyAlignment="1">
      <alignment horizontal="left" vertical="center" wrapText="1"/>
    </xf>
    <xf numFmtId="0" fontId="33" fillId="91" borderId="1" xfId="207" applyFont="1" applyFill="1" applyBorder="1" applyAlignment="1">
      <alignment vertical="center" wrapText="1"/>
    </xf>
    <xf numFmtId="0" fontId="192" fillId="91" borderId="1" xfId="207" applyFill="1" applyBorder="1" applyAlignment="1">
      <alignment horizontal="left" vertical="top" wrapText="1"/>
    </xf>
    <xf numFmtId="0" fontId="0" fillId="91" borderId="1" xfId="0" applyFill="1" applyBorder="1" applyAlignment="1">
      <alignment horizontal="left" vertical="center" wrapText="1"/>
    </xf>
    <xf numFmtId="0" fontId="33" fillId="92" borderId="1" xfId="207" applyFont="1" applyFill="1" applyBorder="1" applyAlignment="1">
      <alignment vertical="center" wrapText="1"/>
    </xf>
    <xf numFmtId="0" fontId="192" fillId="92" borderId="1" xfId="207" applyFill="1" applyBorder="1" applyAlignment="1">
      <alignment vertical="center" wrapText="1"/>
    </xf>
    <xf numFmtId="0" fontId="192" fillId="93" borderId="1" xfId="207" applyFill="1" applyBorder="1" applyAlignment="1">
      <alignment horizontal="left" vertical="center" wrapText="1"/>
    </xf>
    <xf numFmtId="0" fontId="195" fillId="93" borderId="1" xfId="207" applyFont="1" applyFill="1" applyBorder="1" applyAlignment="1">
      <alignment horizontal="left" vertical="center" wrapText="1"/>
    </xf>
    <xf numFmtId="0" fontId="192" fillId="93" borderId="1" xfId="207" applyFill="1" applyBorder="1" applyAlignment="1">
      <alignment vertical="center" wrapText="1"/>
    </xf>
    <xf numFmtId="49" fontId="192" fillId="0" borderId="1" xfId="207" applyNumberFormat="1" applyBorder="1" applyAlignment="1">
      <alignment vertical="center" wrapText="1"/>
    </xf>
    <xf numFmtId="170" fontId="192" fillId="0" borderId="1" xfId="207" applyNumberFormat="1" applyBorder="1" applyAlignment="1">
      <alignment vertical="center" wrapText="1"/>
    </xf>
    <xf numFmtId="0" fontId="197" fillId="0" borderId="1" xfId="207" applyFont="1" applyBorder="1" applyAlignment="1">
      <alignment vertical="center" wrapText="1"/>
    </xf>
    <xf numFmtId="170" fontId="197" fillId="0" borderId="1" xfId="1" applyFont="1" applyBorder="1" applyAlignment="1">
      <alignment vertical="center" wrapText="1"/>
    </xf>
    <xf numFmtId="1" fontId="192" fillId="0" borderId="1" xfId="207" applyNumberFormat="1" applyBorder="1" applyAlignment="1">
      <alignment vertical="center" wrapText="1"/>
    </xf>
    <xf numFmtId="0" fontId="197" fillId="0" borderId="1" xfId="207" applyFont="1" applyBorder="1" applyAlignment="1">
      <alignment horizontal="center" vertical="center" wrapText="1"/>
    </xf>
    <xf numFmtId="170" fontId="197" fillId="0" borderId="1" xfId="207" applyNumberFormat="1" applyFont="1" applyBorder="1" applyAlignment="1">
      <alignment horizontal="center" vertical="center" wrapText="1"/>
    </xf>
    <xf numFmtId="170" fontId="197" fillId="0" borderId="1" xfId="207" applyNumberFormat="1" applyFont="1" applyBorder="1" applyAlignment="1">
      <alignment vertical="center" wrapText="1"/>
    </xf>
    <xf numFmtId="170" fontId="192" fillId="0" borderId="12" xfId="1" applyFont="1" applyBorder="1" applyAlignment="1">
      <alignment vertical="center" wrapText="1"/>
    </xf>
    <xf numFmtId="170" fontId="192" fillId="0" borderId="2" xfId="1" applyFont="1" applyBorder="1" applyAlignment="1">
      <alignment vertical="center" wrapText="1"/>
    </xf>
    <xf numFmtId="170" fontId="197" fillId="0" borderId="2" xfId="1" applyFont="1" applyBorder="1" applyAlignment="1">
      <alignment horizontal="center" vertical="center" wrapText="1"/>
    </xf>
    <xf numFmtId="0" fontId="86" fillId="0" borderId="0" xfId="0" applyFont="1" applyAlignment="1">
      <alignment vertical="center" wrapText="1"/>
    </xf>
    <xf numFmtId="0" fontId="33" fillId="9" borderId="12" xfId="207" applyFont="1" applyFill="1" applyBorder="1" applyAlignment="1">
      <alignment vertical="center"/>
    </xf>
    <xf numFmtId="0" fontId="33" fillId="9" borderId="11" xfId="207" applyFont="1" applyFill="1" applyBorder="1" applyAlignment="1">
      <alignment vertical="center" wrapText="1"/>
    </xf>
    <xf numFmtId="0" fontId="132" fillId="0" borderId="1" xfId="207" applyFont="1" applyBorder="1" applyAlignment="1">
      <alignment vertical="center" wrapText="1"/>
    </xf>
    <xf numFmtId="0" fontId="132" fillId="0" borderId="1" xfId="207" applyFont="1" applyBorder="1" applyAlignment="1">
      <alignment horizontal="left" vertical="center" wrapText="1"/>
    </xf>
    <xf numFmtId="49" fontId="132" fillId="0" borderId="1" xfId="207" applyNumberFormat="1" applyFont="1" applyBorder="1" applyAlignment="1">
      <alignment vertical="center" wrapText="1"/>
    </xf>
    <xf numFmtId="170" fontId="132" fillId="0" borderId="1" xfId="1" applyFont="1" applyBorder="1" applyAlignment="1">
      <alignment vertical="center" wrapText="1"/>
    </xf>
    <xf numFmtId="0" fontId="132" fillId="0" borderId="1" xfId="207" applyFont="1" applyBorder="1" applyAlignment="1">
      <alignment horizontal="center" vertical="center" wrapText="1"/>
    </xf>
    <xf numFmtId="0" fontId="192" fillId="0" borderId="28" xfId="207" applyBorder="1" applyAlignment="1">
      <alignment vertical="center" wrapText="1"/>
    </xf>
    <xf numFmtId="170" fontId="33" fillId="9" borderId="11" xfId="207" applyNumberFormat="1" applyFont="1" applyFill="1" applyBorder="1" applyAlignment="1">
      <alignment vertical="center" wrapText="1"/>
    </xf>
    <xf numFmtId="170" fontId="192" fillId="0" borderId="0" xfId="207" applyNumberFormat="1" applyAlignment="1">
      <alignment vertical="center" wrapText="1"/>
    </xf>
    <xf numFmtId="9" fontId="192" fillId="0" borderId="0" xfId="210" applyFont="1" applyAlignment="1">
      <alignment vertical="center" wrapText="1"/>
    </xf>
    <xf numFmtId="170" fontId="197" fillId="0" borderId="1" xfId="1" applyFont="1" applyBorder="1" applyAlignment="1">
      <alignment horizontal="right" vertical="center" wrapText="1"/>
    </xf>
    <xf numFmtId="49" fontId="132" fillId="0" borderId="2" xfId="207" applyNumberFormat="1" applyFont="1" applyBorder="1" applyAlignment="1">
      <alignment horizontal="left" vertical="center" wrapText="1"/>
    </xf>
    <xf numFmtId="0" fontId="132" fillId="0" borderId="2" xfId="207" applyFont="1" applyBorder="1" applyAlignment="1">
      <alignment horizontal="left" vertical="center" wrapText="1"/>
    </xf>
    <xf numFmtId="0" fontId="132" fillId="0" borderId="28" xfId="207" applyFont="1" applyBorder="1" applyAlignment="1">
      <alignment vertical="center" wrapText="1"/>
    </xf>
    <xf numFmtId="170" fontId="132" fillId="0" borderId="2" xfId="1" applyFont="1" applyBorder="1" applyAlignment="1">
      <alignment horizontal="center" vertical="center" wrapText="1"/>
    </xf>
    <xf numFmtId="170" fontId="197" fillId="0" borderId="2" xfId="1" applyFont="1" applyBorder="1" applyAlignment="1">
      <alignment horizontal="left" vertical="center" wrapText="1"/>
    </xf>
    <xf numFmtId="10" fontId="192" fillId="0" borderId="0" xfId="210" applyNumberFormat="1" applyFont="1" applyAlignment="1">
      <alignment vertical="center" wrapText="1"/>
    </xf>
    <xf numFmtId="49" fontId="204" fillId="0" borderId="1" xfId="207" applyNumberFormat="1" applyFont="1" applyBorder="1" applyAlignment="1">
      <alignment vertical="center" wrapText="1"/>
    </xf>
    <xf numFmtId="49" fontId="197" fillId="0" borderId="1" xfId="207" applyNumberFormat="1" applyFont="1" applyBorder="1" applyAlignment="1">
      <alignment vertical="center" wrapText="1"/>
    </xf>
    <xf numFmtId="49" fontId="205" fillId="0" borderId="1" xfId="207" applyNumberFormat="1" applyFont="1" applyBorder="1" applyAlignment="1">
      <alignment vertical="center" wrapText="1"/>
    </xf>
    <xf numFmtId="1" fontId="192" fillId="0" borderId="0" xfId="207" applyNumberFormat="1" applyAlignment="1">
      <alignment vertical="center" wrapText="1"/>
    </xf>
    <xf numFmtId="0" fontId="192" fillId="0" borderId="2" xfId="207" applyBorder="1" applyAlignment="1">
      <alignment vertical="center" wrapText="1"/>
    </xf>
    <xf numFmtId="0" fontId="192" fillId="0" borderId="10" xfId="207" applyBorder="1" applyAlignment="1">
      <alignment vertical="center" wrapText="1"/>
    </xf>
    <xf numFmtId="49" fontId="197" fillId="0" borderId="2" xfId="207" applyNumberFormat="1" applyFont="1" applyBorder="1" applyAlignment="1">
      <alignment horizontal="left" vertical="center" wrapText="1"/>
    </xf>
    <xf numFmtId="170" fontId="197" fillId="0" borderId="1" xfId="1" applyFont="1" applyBorder="1" applyAlignment="1">
      <alignment horizontal="center" vertical="center" wrapText="1"/>
    </xf>
    <xf numFmtId="0" fontId="132" fillId="0" borderId="2" xfId="207" applyFont="1" applyBorder="1" applyAlignment="1">
      <alignment vertical="center" wrapText="1"/>
    </xf>
    <xf numFmtId="170" fontId="132" fillId="0" borderId="2" xfId="1" applyFont="1" applyBorder="1" applyAlignment="1">
      <alignment horizontal="left" vertical="center" wrapText="1"/>
    </xf>
    <xf numFmtId="0" fontId="205" fillId="0" borderId="1" xfId="207" applyFont="1" applyBorder="1" applyAlignment="1">
      <alignment vertical="center" wrapText="1"/>
    </xf>
    <xf numFmtId="170" fontId="205" fillId="0" borderId="1" xfId="1" applyFont="1" applyBorder="1" applyAlignment="1">
      <alignment vertical="center" wrapText="1"/>
    </xf>
    <xf numFmtId="49" fontId="193" fillId="56" borderId="11" xfId="207" applyNumberFormat="1" applyFont="1" applyFill="1" applyBorder="1" applyAlignment="1">
      <alignment vertical="center" wrapText="1"/>
    </xf>
    <xf numFmtId="49" fontId="193" fillId="56" borderId="12" xfId="207" applyNumberFormat="1" applyFont="1" applyFill="1" applyBorder="1" applyAlignment="1">
      <alignment vertical="center"/>
    </xf>
    <xf numFmtId="170" fontId="193" fillId="56" borderId="11" xfId="1" applyFont="1" applyFill="1" applyBorder="1" applyAlignment="1">
      <alignment vertical="center" wrapText="1"/>
    </xf>
    <xf numFmtId="170" fontId="7" fillId="0" borderId="0" xfId="1" applyFont="1" applyFill="1" applyAlignment="1">
      <alignment vertical="center"/>
    </xf>
    <xf numFmtId="49" fontId="7" fillId="0" borderId="1" xfId="5" applyNumberFormat="1" applyFont="1" applyFill="1" applyBorder="1" applyAlignment="1">
      <alignment horizontal="left" vertical="center" wrapText="1"/>
    </xf>
    <xf numFmtId="195" fontId="7" fillId="0" borderId="3" xfId="201" applyNumberFormat="1" applyFont="1" applyBorder="1" applyAlignment="1">
      <alignment horizontal="right" vertical="center"/>
    </xf>
    <xf numFmtId="195" fontId="32" fillId="0" borderId="3" xfId="201" applyNumberFormat="1" applyFont="1" applyBorder="1" applyAlignment="1">
      <alignment vertical="center"/>
    </xf>
    <xf numFmtId="170" fontId="204" fillId="0" borderId="1" xfId="1" applyFont="1" applyBorder="1" applyAlignment="1">
      <alignment vertical="center" wrapText="1"/>
    </xf>
    <xf numFmtId="0" fontId="197" fillId="0" borderId="1" xfId="207" applyFont="1" applyBorder="1" applyAlignment="1">
      <alignment horizontal="right" vertical="center" wrapText="1"/>
    </xf>
    <xf numFmtId="0" fontId="205" fillId="0" borderId="1" xfId="207" applyFont="1" applyBorder="1" applyAlignment="1">
      <alignment horizontal="right" vertical="center" wrapText="1"/>
    </xf>
    <xf numFmtId="0" fontId="204" fillId="0" borderId="1" xfId="207" applyFont="1" applyBorder="1" applyAlignment="1">
      <alignment horizontal="right" vertical="center" wrapText="1"/>
    </xf>
    <xf numFmtId="0" fontId="62" fillId="0" borderId="115" xfId="0" applyFont="1" applyBorder="1" applyAlignment="1">
      <alignment horizontal="left" vertical="center" wrapText="1"/>
    </xf>
    <xf numFmtId="0" fontId="112" fillId="0" borderId="115" xfId="0" applyFont="1" applyBorder="1" applyAlignment="1">
      <alignment horizontal="left" vertical="center" wrapText="1"/>
    </xf>
    <xf numFmtId="49" fontId="148" fillId="0" borderId="2" xfId="4" applyNumberFormat="1" applyFont="1" applyBorder="1" applyAlignment="1">
      <alignment horizontal="center" vertical="center" wrapText="1"/>
    </xf>
    <xf numFmtId="170" fontId="10" fillId="28" borderId="2" xfId="1" applyFont="1" applyFill="1" applyBorder="1" applyAlignment="1">
      <alignment vertical="center" wrapText="1"/>
    </xf>
    <xf numFmtId="49" fontId="0" fillId="0" borderId="0" xfId="0" applyNumberFormat="1"/>
    <xf numFmtId="0" fontId="0" fillId="0" borderId="0" xfId="0" applyAlignment="1">
      <alignment horizontal="left" indent="1"/>
    </xf>
    <xf numFmtId="0" fontId="82" fillId="0" borderId="3" xfId="4" applyFont="1" applyBorder="1" applyAlignment="1">
      <alignment horizontal="center" vertical="center" wrapText="1"/>
    </xf>
    <xf numFmtId="197" fontId="27" fillId="0" borderId="10" xfId="201" applyNumberFormat="1" applyFont="1" applyBorder="1" applyAlignment="1">
      <alignment vertical="center" wrapText="1"/>
    </xf>
    <xf numFmtId="197" fontId="27" fillId="0" borderId="3" xfId="201" applyNumberFormat="1" applyFont="1" applyBorder="1" applyAlignment="1">
      <alignment vertical="center" wrapText="1"/>
    </xf>
    <xf numFmtId="197" fontId="27" fillId="51" borderId="2" xfId="201" applyNumberFormat="1" applyFont="1" applyFill="1" applyBorder="1" applyAlignment="1">
      <alignment vertical="center" wrapText="1"/>
    </xf>
    <xf numFmtId="195" fontId="82" fillId="0" borderId="1" xfId="201" applyNumberFormat="1" applyFont="1" applyFill="1" applyBorder="1" applyAlignment="1">
      <alignment horizontal="left" vertical="center" wrapText="1"/>
    </xf>
    <xf numFmtId="195" fontId="78" fillId="0" borderId="1" xfId="201" applyNumberFormat="1" applyFont="1" applyFill="1" applyBorder="1" applyAlignment="1">
      <alignment horizontal="left" vertical="center" wrapText="1"/>
    </xf>
    <xf numFmtId="195" fontId="82" fillId="0" borderId="3" xfId="201" applyNumberFormat="1" applyFont="1" applyFill="1" applyBorder="1" applyAlignment="1">
      <alignment horizontal="center" vertical="center"/>
    </xf>
    <xf numFmtId="167" fontId="82" fillId="51" borderId="1" xfId="5" applyFont="1" applyFill="1" applyBorder="1" applyAlignment="1">
      <alignment vertical="center"/>
    </xf>
    <xf numFmtId="170" fontId="82" fillId="51" borderId="1" xfId="1" applyFont="1" applyFill="1" applyBorder="1" applyAlignment="1">
      <alignment horizontal="left" vertical="center" wrapText="1"/>
    </xf>
    <xf numFmtId="1" fontId="9" fillId="49" borderId="115" xfId="0" applyNumberFormat="1" applyFont="1" applyFill="1" applyBorder="1" applyAlignment="1">
      <alignment horizontal="center" vertical="center" wrapText="1"/>
    </xf>
    <xf numFmtId="0" fontId="206" fillId="0" borderId="115" xfId="1" applyNumberFormat="1" applyFont="1" applyFill="1" applyBorder="1" applyAlignment="1">
      <alignment horizontal="left" vertical="center" wrapText="1"/>
    </xf>
    <xf numFmtId="49" fontId="166" fillId="0" borderId="115" xfId="0" applyNumberFormat="1" applyFont="1" applyBorder="1" applyAlignment="1">
      <alignment horizontal="center" vertical="center" wrapText="1"/>
    </xf>
    <xf numFmtId="1" fontId="206" fillId="0" borderId="115" xfId="201" applyNumberFormat="1" applyFont="1" applyFill="1" applyBorder="1" applyAlignment="1">
      <alignment horizontal="center" vertical="center" wrapText="1"/>
    </xf>
    <xf numFmtId="1" fontId="206" fillId="0" borderId="115" xfId="0" applyNumberFormat="1" applyFont="1" applyBorder="1" applyAlignment="1">
      <alignment horizontal="center" vertical="center" wrapText="1"/>
    </xf>
    <xf numFmtId="1" fontId="166" fillId="0" borderId="115" xfId="0" applyNumberFormat="1" applyFont="1" applyBorder="1" applyAlignment="1">
      <alignment horizontal="center" vertical="center" wrapText="1"/>
    </xf>
    <xf numFmtId="49" fontId="166" fillId="0" borderId="115" xfId="0" applyNumberFormat="1" applyFont="1" applyBorder="1" applyAlignment="1">
      <alignment horizontal="left" vertical="top" wrapText="1"/>
    </xf>
    <xf numFmtId="0" fontId="207" fillId="0" borderId="0" xfId="0" applyFont="1"/>
    <xf numFmtId="1" fontId="9" fillId="53" borderId="115" xfId="0" applyNumberFormat="1" applyFont="1" applyFill="1" applyBorder="1" applyAlignment="1">
      <alignment horizontal="center" vertical="center" wrapText="1"/>
    </xf>
    <xf numFmtId="49" fontId="112" fillId="0" borderId="115" xfId="1" applyNumberFormat="1" applyFont="1" applyFill="1" applyBorder="1" applyAlignment="1">
      <alignment horizontal="left" vertical="center" wrapText="1"/>
    </xf>
    <xf numFmtId="1" fontId="156" fillId="49" borderId="115" xfId="0" applyNumberFormat="1" applyFont="1" applyFill="1" applyBorder="1" applyAlignment="1">
      <alignment horizontal="center" vertical="center" wrapText="1"/>
    </xf>
    <xf numFmtId="1" fontId="156" fillId="53" borderId="115" xfId="0" applyNumberFormat="1" applyFont="1" applyFill="1" applyBorder="1" applyAlignment="1">
      <alignment horizontal="center" vertical="center" wrapText="1"/>
    </xf>
    <xf numFmtId="0" fontId="112" fillId="0" borderId="115" xfId="1" applyNumberFormat="1" applyFont="1" applyFill="1" applyBorder="1" applyAlignment="1">
      <alignment horizontal="left" vertical="center" wrapText="1"/>
    </xf>
    <xf numFmtId="1" fontId="9" fillId="64" borderId="115" xfId="0" applyNumberFormat="1" applyFont="1" applyFill="1" applyBorder="1" applyAlignment="1">
      <alignment horizontal="center" vertical="center" wrapText="1"/>
    </xf>
    <xf numFmtId="167" fontId="148" fillId="0" borderId="2" xfId="5" applyFont="1" applyFill="1" applyBorder="1" applyAlignment="1">
      <alignment horizontal="left" vertical="center" wrapText="1"/>
    </xf>
    <xf numFmtId="49" fontId="148" fillId="0" borderId="2" xfId="5" applyNumberFormat="1" applyFont="1" applyFill="1" applyBorder="1" applyAlignment="1">
      <alignment horizontal="left" vertical="center" wrapText="1"/>
    </xf>
    <xf numFmtId="167" fontId="169" fillId="0" borderId="2" xfId="5" applyFont="1" applyFill="1" applyBorder="1" applyAlignment="1">
      <alignment horizontal="left" vertical="center" wrapText="1"/>
    </xf>
    <xf numFmtId="0" fontId="148" fillId="0" borderId="0" xfId="4" applyFont="1" applyAlignment="1">
      <alignment vertical="center"/>
    </xf>
    <xf numFmtId="167" fontId="27" fillId="51" borderId="2" xfId="5" applyFont="1" applyFill="1" applyBorder="1" applyAlignment="1">
      <alignment horizontal="left" vertical="center" wrapText="1"/>
    </xf>
    <xf numFmtId="1" fontId="164" fillId="0" borderId="115" xfId="0" applyNumberFormat="1" applyFont="1" applyBorder="1" applyAlignment="1">
      <alignment horizontal="center" vertical="center" wrapText="1"/>
    </xf>
    <xf numFmtId="49" fontId="62" fillId="0" borderId="115" xfId="1" applyNumberFormat="1" applyFont="1" applyFill="1" applyBorder="1" applyAlignment="1">
      <alignment vertical="center" wrapText="1"/>
    </xf>
    <xf numFmtId="0" fontId="153" fillId="0" borderId="115" xfId="1" applyNumberFormat="1" applyFont="1" applyFill="1" applyBorder="1" applyAlignment="1">
      <alignment horizontal="left" vertical="center" wrapText="1" indent="2"/>
    </xf>
    <xf numFmtId="49" fontId="164" fillId="0" borderId="115" xfId="0" applyNumberFormat="1" applyFont="1" applyBorder="1" applyAlignment="1">
      <alignment horizontal="center" vertical="center" wrapText="1"/>
    </xf>
    <xf numFmtId="1" fontId="153" fillId="0" borderId="115" xfId="201" applyNumberFormat="1" applyFont="1" applyFill="1" applyBorder="1" applyAlignment="1">
      <alignment horizontal="center" vertical="center" wrapText="1"/>
    </xf>
    <xf numFmtId="1" fontId="153" fillId="0" borderId="115" xfId="0" applyNumberFormat="1" applyFont="1" applyBorder="1" applyAlignment="1">
      <alignment horizontal="center" vertical="center" wrapText="1"/>
    </xf>
    <xf numFmtId="49" fontId="164" fillId="0" borderId="115" xfId="0" applyNumberFormat="1" applyFont="1" applyBorder="1" applyAlignment="1">
      <alignment horizontal="left" vertical="top" wrapText="1"/>
    </xf>
    <xf numFmtId="0" fontId="122" fillId="49" borderId="0" xfId="0" applyFont="1" applyFill="1" applyAlignment="1">
      <alignment wrapText="1"/>
    </xf>
    <xf numFmtId="49" fontId="7" fillId="74" borderId="0" xfId="1" applyNumberFormat="1" applyFont="1" applyFill="1" applyBorder="1" applyAlignment="1">
      <alignment horizontal="left" vertical="center" wrapText="1" indent="1"/>
    </xf>
    <xf numFmtId="1" fontId="9" fillId="49" borderId="115" xfId="0" applyNumberFormat="1" applyFont="1" applyFill="1" applyBorder="1" applyAlignment="1">
      <alignment horizontal="left" vertical="center" wrapText="1"/>
    </xf>
    <xf numFmtId="49" fontId="9" fillId="3" borderId="115" xfId="1" applyNumberFormat="1" applyFont="1" applyFill="1" applyBorder="1" applyAlignment="1">
      <alignment horizontal="left" vertical="center" wrapText="1"/>
    </xf>
    <xf numFmtId="49" fontId="9" fillId="3" borderId="115" xfId="0" applyNumberFormat="1" applyFont="1" applyFill="1" applyBorder="1" applyAlignment="1">
      <alignment horizontal="center" vertical="center" wrapText="1"/>
    </xf>
    <xf numFmtId="1" fontId="9" fillId="3" borderId="115" xfId="201" applyNumberFormat="1" applyFont="1" applyFill="1" applyBorder="1" applyAlignment="1">
      <alignment horizontal="center" vertical="center" wrapText="1"/>
    </xf>
    <xf numFmtId="1" fontId="9" fillId="3" borderId="115" xfId="0" applyNumberFormat="1" applyFont="1" applyFill="1" applyBorder="1" applyAlignment="1">
      <alignment horizontal="center" vertical="center" wrapText="1"/>
    </xf>
    <xf numFmtId="49" fontId="9" fillId="3" borderId="115" xfId="0" applyNumberFormat="1" applyFont="1" applyFill="1" applyBorder="1" applyAlignment="1">
      <alignment horizontal="left" vertical="center" wrapText="1"/>
    </xf>
    <xf numFmtId="49" fontId="62" fillId="3" borderId="115" xfId="0" applyNumberFormat="1" applyFont="1" applyFill="1" applyBorder="1" applyAlignment="1">
      <alignment horizontal="left" vertical="top" wrapText="1"/>
    </xf>
    <xf numFmtId="0" fontId="9" fillId="61" borderId="115" xfId="1" applyNumberFormat="1" applyFont="1" applyFill="1" applyBorder="1" applyAlignment="1">
      <alignment horizontal="left" vertical="center" wrapText="1"/>
    </xf>
    <xf numFmtId="49" fontId="9" fillId="61" borderId="115" xfId="0" applyNumberFormat="1" applyFont="1" applyFill="1" applyBorder="1" applyAlignment="1">
      <alignment horizontal="center" vertical="center" wrapText="1"/>
    </xf>
    <xf numFmtId="1" fontId="9" fillId="61" borderId="115" xfId="201" applyNumberFormat="1" applyFont="1" applyFill="1" applyBorder="1" applyAlignment="1">
      <alignment horizontal="center" vertical="center" wrapText="1"/>
    </xf>
    <xf numFmtId="1" fontId="9" fillId="61" borderId="115" xfId="0" applyNumberFormat="1" applyFont="1" applyFill="1" applyBorder="1" applyAlignment="1">
      <alignment horizontal="center" vertical="center" wrapText="1"/>
    </xf>
    <xf numFmtId="49" fontId="62" fillId="61" borderId="115" xfId="0" applyNumberFormat="1" applyFont="1" applyFill="1" applyBorder="1" applyAlignment="1">
      <alignment horizontal="left" vertical="top" wrapText="1"/>
    </xf>
    <xf numFmtId="0" fontId="62" fillId="3" borderId="115" xfId="1" applyNumberFormat="1" applyFont="1" applyFill="1" applyBorder="1" applyAlignment="1">
      <alignment horizontal="left" vertical="center" wrapText="1"/>
    </xf>
    <xf numFmtId="1" fontId="62" fillId="3" borderId="115" xfId="201" applyNumberFormat="1" applyFont="1" applyFill="1" applyBorder="1" applyAlignment="1">
      <alignment horizontal="center" vertical="center" wrapText="1"/>
    </xf>
    <xf numFmtId="1" fontId="62" fillId="3" borderId="115" xfId="0" applyNumberFormat="1" applyFont="1" applyFill="1" applyBorder="1" applyAlignment="1">
      <alignment horizontal="center" vertical="center" wrapText="1"/>
    </xf>
    <xf numFmtId="0" fontId="204" fillId="0" borderId="1" xfId="207" applyFont="1" applyBorder="1" applyAlignment="1">
      <alignment horizontal="left" vertical="center" wrapText="1"/>
    </xf>
    <xf numFmtId="0" fontId="62" fillId="51" borderId="115" xfId="0" applyFont="1" applyFill="1" applyBorder="1" applyAlignment="1">
      <alignment horizontal="center" vertical="center" wrapText="1"/>
    </xf>
    <xf numFmtId="9" fontId="62" fillId="51" borderId="115" xfId="0" applyNumberFormat="1" applyFont="1" applyFill="1" applyBorder="1" applyAlignment="1">
      <alignment horizontal="center" vertical="center" wrapText="1"/>
    </xf>
    <xf numFmtId="0" fontId="211" fillId="0" borderId="1" xfId="207" applyFont="1" applyBorder="1" applyAlignment="1">
      <alignment vertical="center" wrapText="1"/>
    </xf>
    <xf numFmtId="0" fontId="206" fillId="0" borderId="115" xfId="1" applyNumberFormat="1" applyFont="1" applyBorder="1" applyAlignment="1">
      <alignment horizontal="left" vertical="center" wrapText="1"/>
    </xf>
    <xf numFmtId="49" fontId="206" fillId="0" borderId="115" xfId="0" applyNumberFormat="1" applyFont="1" applyBorder="1" applyAlignment="1">
      <alignment horizontal="left" vertical="center" wrapText="1"/>
    </xf>
    <xf numFmtId="0" fontId="151" fillId="0" borderId="0" xfId="0" applyFont="1"/>
    <xf numFmtId="1" fontId="206" fillId="0" borderId="115" xfId="0" applyNumberFormat="1" applyFont="1" applyBorder="1" applyAlignment="1">
      <alignment horizontal="left" vertical="center" wrapText="1"/>
    </xf>
    <xf numFmtId="49" fontId="206" fillId="0" borderId="115" xfId="4" applyNumberFormat="1" applyFont="1" applyBorder="1" applyAlignment="1">
      <alignment horizontal="left" vertical="top" wrapText="1"/>
    </xf>
    <xf numFmtId="1" fontId="212" fillId="49" borderId="115" xfId="0" applyNumberFormat="1" applyFont="1" applyFill="1" applyBorder="1" applyAlignment="1">
      <alignment horizontal="left" vertical="center" wrapText="1"/>
    </xf>
    <xf numFmtId="49" fontId="213" fillId="0" borderId="9" xfId="1" applyNumberFormat="1" applyFont="1" applyFill="1" applyBorder="1" applyAlignment="1">
      <alignment horizontal="left" vertical="center" wrapText="1"/>
    </xf>
    <xf numFmtId="1" fontId="164" fillId="0" borderId="115" xfId="0" applyNumberFormat="1" applyFont="1" applyBorder="1" applyAlignment="1">
      <alignment horizontal="left" vertical="center" wrapText="1" indent="2"/>
    </xf>
    <xf numFmtId="49" fontId="213" fillId="0" borderId="9" xfId="1" applyNumberFormat="1" applyFont="1" applyBorder="1" applyAlignment="1">
      <alignment horizontal="left" vertical="center" wrapText="1"/>
    </xf>
    <xf numFmtId="1" fontId="112" fillId="53" borderId="115" xfId="0" applyNumberFormat="1" applyFont="1" applyFill="1" applyBorder="1" applyAlignment="1">
      <alignment horizontal="center" vertical="center" wrapText="1"/>
    </xf>
    <xf numFmtId="1" fontId="62" fillId="53" borderId="115" xfId="0" applyNumberFormat="1" applyFont="1" applyFill="1" applyBorder="1" applyAlignment="1">
      <alignment horizontal="center" vertical="center" wrapText="1"/>
    </xf>
    <xf numFmtId="49" fontId="206" fillId="0" borderId="115" xfId="0" applyNumberFormat="1" applyFont="1" applyBorder="1" applyAlignment="1">
      <alignment horizontal="center" vertical="center" wrapText="1"/>
    </xf>
    <xf numFmtId="1" fontId="206" fillId="0" borderId="115" xfId="201" applyNumberFormat="1" applyFont="1" applyBorder="1" applyAlignment="1">
      <alignment horizontal="center" vertical="center" wrapText="1"/>
    </xf>
    <xf numFmtId="49" fontId="166" fillId="0" borderId="115" xfId="4" applyNumberFormat="1" applyFont="1" applyBorder="1" applyAlignment="1">
      <alignment horizontal="left" vertical="center" wrapText="1"/>
    </xf>
    <xf numFmtId="1" fontId="153" fillId="0" borderId="115" xfId="0" applyNumberFormat="1" applyFont="1" applyBorder="1" applyAlignment="1">
      <alignment horizontal="left" vertical="center" wrapText="1" indent="2"/>
    </xf>
    <xf numFmtId="49" fontId="153" fillId="0" borderId="115" xfId="0" applyNumberFormat="1" applyFont="1" applyBorder="1" applyAlignment="1">
      <alignment horizontal="center" vertical="center" wrapText="1"/>
    </xf>
    <xf numFmtId="49" fontId="153" fillId="0" borderId="115" xfId="0" applyNumberFormat="1" applyFont="1" applyBorder="1" applyAlignment="1">
      <alignment horizontal="left" vertical="top" wrapText="1"/>
    </xf>
    <xf numFmtId="1" fontId="206" fillId="0" borderId="115" xfId="0" applyNumberFormat="1" applyFont="1" applyBorder="1" applyAlignment="1">
      <alignment horizontal="left" vertical="center" wrapText="1" indent="2"/>
    </xf>
    <xf numFmtId="1" fontId="151" fillId="0" borderId="115" xfId="201" applyNumberFormat="1" applyFont="1" applyFill="1" applyBorder="1" applyAlignment="1">
      <alignment horizontal="center" vertical="center" wrapText="1"/>
    </xf>
    <xf numFmtId="1" fontId="151" fillId="0" borderId="115" xfId="4" applyNumberFormat="1" applyFont="1" applyBorder="1" applyAlignment="1">
      <alignment horizontal="center" vertical="center" wrapText="1"/>
    </xf>
    <xf numFmtId="1" fontId="152" fillId="0" borderId="115" xfId="4" applyNumberFormat="1" applyFont="1" applyBorder="1" applyAlignment="1">
      <alignment horizontal="center" vertical="center" wrapText="1"/>
    </xf>
    <xf numFmtId="1" fontId="206" fillId="0" borderId="115" xfId="0" applyNumberFormat="1" applyFont="1" applyBorder="1" applyAlignment="1">
      <alignment vertical="center" wrapText="1"/>
    </xf>
    <xf numFmtId="49" fontId="163" fillId="0" borderId="115" xfId="0" applyNumberFormat="1" applyFont="1" applyBorder="1" applyAlignment="1">
      <alignment horizontal="left" vertical="top" wrapText="1"/>
    </xf>
    <xf numFmtId="49" fontId="192" fillId="54" borderId="1" xfId="207" applyNumberFormat="1" applyFill="1" applyBorder="1" applyAlignment="1">
      <alignment vertical="center" wrapText="1"/>
    </xf>
    <xf numFmtId="49" fontId="192" fillId="51" borderId="1" xfId="207" applyNumberFormat="1" applyFill="1" applyBorder="1" applyAlignment="1">
      <alignment vertical="center" wrapText="1"/>
    </xf>
    <xf numFmtId="170" fontId="132" fillId="0" borderId="3" xfId="207" applyNumberFormat="1" applyFont="1" applyBorder="1" applyAlignment="1">
      <alignment horizontal="center" vertical="center" wrapText="1"/>
    </xf>
    <xf numFmtId="1" fontId="9" fillId="58" borderId="115" xfId="0" applyNumberFormat="1" applyFont="1" applyFill="1" applyBorder="1" applyAlignment="1">
      <alignment horizontal="center" vertical="center" wrapText="1"/>
    </xf>
    <xf numFmtId="0" fontId="153" fillId="0" borderId="115" xfId="1" applyNumberFormat="1" applyFont="1" applyBorder="1" applyAlignment="1">
      <alignment horizontal="left" vertical="center" wrapText="1" indent="2"/>
    </xf>
    <xf numFmtId="49" fontId="164" fillId="0" borderId="115" xfId="0" applyNumberFormat="1" applyFont="1" applyBorder="1" applyAlignment="1">
      <alignment horizontal="left" vertical="center" wrapText="1"/>
    </xf>
    <xf numFmtId="1" fontId="164" fillId="16" borderId="115" xfId="0" applyNumberFormat="1" applyFont="1" applyFill="1" applyBorder="1" applyAlignment="1">
      <alignment horizontal="center" vertical="center" wrapText="1"/>
    </xf>
    <xf numFmtId="0" fontId="215" fillId="0" borderId="149" xfId="1" applyNumberFormat="1" applyFont="1" applyFill="1" applyBorder="1" applyAlignment="1">
      <alignment horizontal="left" vertical="center" wrapText="1"/>
    </xf>
    <xf numFmtId="1" fontId="166" fillId="53" borderId="115" xfId="0" applyNumberFormat="1" applyFont="1" applyFill="1" applyBorder="1" applyAlignment="1">
      <alignment horizontal="center" vertical="center" wrapText="1"/>
    </xf>
    <xf numFmtId="1" fontId="153" fillId="0" borderId="115" xfId="201" applyNumberFormat="1" applyFont="1" applyBorder="1" applyAlignment="1">
      <alignment horizontal="center" vertical="center" wrapText="1"/>
    </xf>
    <xf numFmtId="0" fontId="206" fillId="3" borderId="115" xfId="1" applyNumberFormat="1" applyFont="1" applyFill="1" applyBorder="1" applyAlignment="1">
      <alignment horizontal="left" vertical="center" wrapText="1"/>
    </xf>
    <xf numFmtId="49" fontId="166" fillId="3" borderId="115" xfId="0" applyNumberFormat="1" applyFont="1" applyFill="1" applyBorder="1" applyAlignment="1">
      <alignment horizontal="center" vertical="center" wrapText="1"/>
    </xf>
    <xf numFmtId="1" fontId="206" fillId="3" borderId="115" xfId="201" applyNumberFormat="1" applyFont="1" applyFill="1" applyBorder="1" applyAlignment="1">
      <alignment horizontal="center" vertical="center" wrapText="1"/>
    </xf>
    <xf numFmtId="1" fontId="206" fillId="3" borderId="115" xfId="0" applyNumberFormat="1" applyFont="1" applyFill="1" applyBorder="1" applyAlignment="1">
      <alignment horizontal="center" vertical="center" wrapText="1"/>
    </xf>
    <xf numFmtId="1" fontId="166" fillId="3" borderId="115" xfId="0" applyNumberFormat="1" applyFont="1" applyFill="1" applyBorder="1" applyAlignment="1">
      <alignment horizontal="center" vertical="center" wrapText="1"/>
    </xf>
    <xf numFmtId="49" fontId="166" fillId="3" borderId="115" xfId="0" applyNumberFormat="1" applyFont="1" applyFill="1" applyBorder="1" applyAlignment="1">
      <alignment horizontal="left" vertical="center" wrapText="1"/>
    </xf>
    <xf numFmtId="1" fontId="164" fillId="53" borderId="115" xfId="0" applyNumberFormat="1" applyFont="1" applyFill="1" applyBorder="1" applyAlignment="1">
      <alignment horizontal="center" vertical="center" wrapText="1"/>
    </xf>
    <xf numFmtId="0" fontId="166" fillId="0" borderId="115" xfId="1" applyNumberFormat="1" applyFont="1" applyFill="1" applyBorder="1" applyAlignment="1">
      <alignment horizontal="left" vertical="center" wrapText="1" indent="1"/>
    </xf>
    <xf numFmtId="0" fontId="166" fillId="0" borderId="115" xfId="1" applyNumberFormat="1" applyFont="1" applyFill="1" applyBorder="1" applyAlignment="1">
      <alignment horizontal="left" vertical="center" wrapText="1"/>
    </xf>
    <xf numFmtId="49" fontId="7" fillId="0" borderId="1" xfId="4" applyNumberFormat="1" applyFont="1" applyBorder="1" applyAlignment="1">
      <alignment horizontal="left" vertical="center" wrapText="1" indent="1"/>
    </xf>
    <xf numFmtId="195" fontId="82" fillId="0" borderId="10" xfId="201" applyNumberFormat="1" applyFont="1" applyFill="1" applyBorder="1" applyAlignment="1">
      <alignment horizontal="center" vertical="center"/>
    </xf>
    <xf numFmtId="195" fontId="78" fillId="0" borderId="10" xfId="201" applyNumberFormat="1" applyFont="1" applyFill="1" applyBorder="1" applyAlignment="1">
      <alignment horizontal="center" vertical="center"/>
    </xf>
    <xf numFmtId="195" fontId="27" fillId="0" borderId="10" xfId="201" applyNumberFormat="1" applyFont="1" applyFill="1" applyBorder="1" applyAlignment="1">
      <alignment horizontal="center" vertical="center"/>
    </xf>
    <xf numFmtId="195" fontId="7" fillId="0" borderId="10" xfId="201" applyNumberFormat="1" applyFont="1" applyFill="1" applyBorder="1" applyAlignment="1">
      <alignment horizontal="center" vertical="center"/>
    </xf>
    <xf numFmtId="49" fontId="7" fillId="0" borderId="1" xfId="1" applyNumberFormat="1" applyFont="1" applyFill="1" applyBorder="1" applyAlignment="1">
      <alignment horizontal="left" vertical="center" wrapText="1" indent="1"/>
    </xf>
    <xf numFmtId="49" fontId="166" fillId="0" borderId="115" xfId="0" applyNumberFormat="1" applyFont="1" applyBorder="1" applyAlignment="1">
      <alignment horizontal="left" vertical="center" wrapText="1"/>
    </xf>
    <xf numFmtId="49" fontId="166" fillId="51" borderId="115" xfId="1" applyNumberFormat="1" applyFont="1" applyFill="1" applyBorder="1" applyAlignment="1">
      <alignment horizontal="left" vertical="center" wrapText="1"/>
    </xf>
    <xf numFmtId="49" fontId="166" fillId="51" borderId="115" xfId="0" applyNumberFormat="1" applyFont="1" applyFill="1" applyBorder="1" applyAlignment="1">
      <alignment horizontal="center" vertical="center" wrapText="1"/>
    </xf>
    <xf numFmtId="1" fontId="166" fillId="51" borderId="115" xfId="201" applyNumberFormat="1" applyFont="1" applyFill="1" applyBorder="1" applyAlignment="1">
      <alignment horizontal="center" vertical="center" wrapText="1"/>
    </xf>
    <xf numFmtId="1" fontId="166" fillId="51" borderId="115" xfId="0" applyNumberFormat="1" applyFont="1" applyFill="1" applyBorder="1" applyAlignment="1">
      <alignment horizontal="center" vertical="center" wrapText="1"/>
    </xf>
    <xf numFmtId="49" fontId="206" fillId="51" borderId="115" xfId="0" applyNumberFormat="1" applyFont="1" applyFill="1" applyBorder="1" applyAlignment="1">
      <alignment horizontal="left" vertical="top" wrapText="1"/>
    </xf>
    <xf numFmtId="0" fontId="166" fillId="0" borderId="115" xfId="1" applyNumberFormat="1" applyFont="1" applyFill="1" applyBorder="1" applyAlignment="1">
      <alignment horizontal="left" vertical="center" wrapText="1" indent="2"/>
    </xf>
    <xf numFmtId="1" fontId="166" fillId="0" borderId="115" xfId="201" applyNumberFormat="1" applyFont="1" applyFill="1" applyBorder="1" applyAlignment="1">
      <alignment horizontal="center" vertical="center" wrapText="1"/>
    </xf>
    <xf numFmtId="49" fontId="206" fillId="0" borderId="115" xfId="0" applyNumberFormat="1" applyFont="1" applyBorder="1" applyAlignment="1">
      <alignment horizontal="left" vertical="top" wrapText="1"/>
    </xf>
    <xf numFmtId="49" fontId="166" fillId="61" borderId="115" xfId="1" applyNumberFormat="1" applyFont="1" applyFill="1" applyBorder="1" applyAlignment="1">
      <alignment horizontal="left" vertical="center" wrapText="1"/>
    </xf>
    <xf numFmtId="49" fontId="166" fillId="61" borderId="115" xfId="0" applyNumberFormat="1" applyFont="1" applyFill="1" applyBorder="1" applyAlignment="1">
      <alignment horizontal="center" vertical="center" wrapText="1"/>
    </xf>
    <xf numFmtId="1" fontId="166" fillId="61" borderId="115" xfId="201" applyNumberFormat="1" applyFont="1" applyFill="1" applyBorder="1" applyAlignment="1">
      <alignment horizontal="center" vertical="center" wrapText="1"/>
    </xf>
    <xf numFmtId="1" fontId="166" fillId="61" borderId="115" xfId="0" applyNumberFormat="1" applyFont="1" applyFill="1" applyBorder="1" applyAlignment="1">
      <alignment horizontal="center" vertical="center" wrapText="1"/>
    </xf>
    <xf numFmtId="1" fontId="163" fillId="61" borderId="115" xfId="0" applyNumberFormat="1" applyFont="1" applyFill="1" applyBorder="1" applyAlignment="1">
      <alignment horizontal="center" vertical="center" wrapText="1"/>
    </xf>
    <xf numFmtId="49" fontId="206" fillId="61" borderId="115" xfId="0" applyNumberFormat="1" applyFont="1" applyFill="1" applyBorder="1" applyAlignment="1">
      <alignment horizontal="left" vertical="top" wrapText="1"/>
    </xf>
    <xf numFmtId="1" fontId="216" fillId="0" borderId="115" xfId="0" applyNumberFormat="1" applyFont="1" applyBorder="1" applyAlignment="1">
      <alignment horizontal="center" vertical="center" wrapText="1"/>
    </xf>
    <xf numFmtId="1" fontId="216" fillId="0" borderId="115" xfId="1" applyNumberFormat="1" applyFont="1" applyFill="1" applyBorder="1" applyAlignment="1">
      <alignment horizontal="center" vertical="center" wrapText="1"/>
    </xf>
    <xf numFmtId="49" fontId="166" fillId="0" borderId="115" xfId="0" applyNumberFormat="1" applyFont="1" applyBorder="1" applyAlignment="1">
      <alignment vertical="center" wrapText="1"/>
    </xf>
    <xf numFmtId="0" fontId="207" fillId="0" borderId="0" xfId="0" applyFont="1" applyAlignment="1">
      <alignment vertical="center"/>
    </xf>
    <xf numFmtId="0" fontId="206" fillId="0" borderId="115" xfId="1" applyNumberFormat="1" applyFont="1" applyFill="1" applyBorder="1" applyAlignment="1">
      <alignment horizontal="left" vertical="center" wrapText="1" indent="2"/>
    </xf>
    <xf numFmtId="49" fontId="218" fillId="0" borderId="115" xfId="0" applyNumberFormat="1" applyFont="1" applyBorder="1" applyAlignment="1">
      <alignment vertical="center" wrapText="1"/>
    </xf>
    <xf numFmtId="49" fontId="171" fillId="0" borderId="115" xfId="0" applyNumberFormat="1" applyFont="1" applyBorder="1" applyAlignment="1">
      <alignment vertical="center" wrapText="1"/>
    </xf>
    <xf numFmtId="49" fontId="219" fillId="0" borderId="115" xfId="0" applyNumberFormat="1" applyFont="1" applyBorder="1" applyAlignment="1">
      <alignment vertical="center" wrapText="1"/>
    </xf>
    <xf numFmtId="0" fontId="221" fillId="0" borderId="0" xfId="0" applyFont="1" applyAlignment="1">
      <alignment vertical="center"/>
    </xf>
    <xf numFmtId="49" fontId="206" fillId="0" borderId="115" xfId="1" applyNumberFormat="1" applyFont="1" applyFill="1" applyBorder="1" applyAlignment="1">
      <alignment horizontal="left" vertical="center" wrapText="1"/>
    </xf>
    <xf numFmtId="0" fontId="151" fillId="0" borderId="0" xfId="0" applyFont="1" applyAlignment="1">
      <alignment vertical="center"/>
    </xf>
    <xf numFmtId="49" fontId="206" fillId="0" borderId="115" xfId="1" applyNumberFormat="1" applyFont="1" applyFill="1" applyBorder="1" applyAlignment="1">
      <alignment horizontal="left" vertical="center" wrapText="1" indent="2"/>
    </xf>
    <xf numFmtId="49" fontId="171" fillId="0" borderId="115" xfId="0" applyNumberFormat="1" applyFont="1" applyBorder="1" applyAlignment="1">
      <alignment horizontal="left" vertical="center" wrapText="1"/>
    </xf>
    <xf numFmtId="49" fontId="216" fillId="0" borderId="115" xfId="1" applyNumberFormat="1" applyFont="1" applyFill="1" applyBorder="1" applyAlignment="1">
      <alignment horizontal="left" vertical="center" wrapText="1" indent="2"/>
    </xf>
    <xf numFmtId="49" fontId="218" fillId="0" borderId="115" xfId="0" applyNumberFormat="1" applyFont="1" applyBorder="1" applyAlignment="1">
      <alignment horizontal="left" vertical="center" wrapText="1"/>
    </xf>
    <xf numFmtId="0" fontId="206" fillId="0" borderId="115" xfId="1" applyNumberFormat="1" applyFont="1" applyFill="1" applyBorder="1" applyAlignment="1">
      <alignment vertical="center" wrapText="1"/>
    </xf>
    <xf numFmtId="170" fontId="206" fillId="0" borderId="115" xfId="1" applyFont="1" applyFill="1" applyBorder="1" applyAlignment="1">
      <alignment horizontal="center" vertical="center" wrapText="1"/>
    </xf>
    <xf numFmtId="49" fontId="166" fillId="7" borderId="115" xfId="0" applyNumberFormat="1" applyFont="1" applyFill="1" applyBorder="1" applyAlignment="1">
      <alignment horizontal="left" vertical="top" wrapText="1"/>
    </xf>
    <xf numFmtId="49" fontId="9" fillId="0" borderId="115" xfId="0" applyNumberFormat="1" applyFont="1" applyBorder="1" applyAlignment="1">
      <alignment horizontal="left" vertical="center" wrapText="1"/>
    </xf>
    <xf numFmtId="1" fontId="206" fillId="0" borderId="115" xfId="1" applyNumberFormat="1" applyFont="1" applyFill="1" applyBorder="1" applyAlignment="1">
      <alignment horizontal="center" vertical="center" wrapText="1"/>
    </xf>
    <xf numFmtId="0" fontId="150" fillId="0" borderId="0" xfId="0" applyFont="1" applyAlignment="1">
      <alignment vertical="center"/>
    </xf>
    <xf numFmtId="0" fontId="164" fillId="0" borderId="115" xfId="1" applyNumberFormat="1" applyFont="1" applyFill="1" applyBorder="1" applyAlignment="1">
      <alignment horizontal="left" vertical="center" wrapText="1" indent="2"/>
    </xf>
    <xf numFmtId="49" fontId="153" fillId="0" borderId="115" xfId="0" applyNumberFormat="1" applyFont="1" applyBorder="1" applyAlignment="1">
      <alignment horizontal="left" vertical="center" wrapText="1"/>
    </xf>
    <xf numFmtId="0" fontId="222" fillId="0" borderId="115" xfId="1" applyNumberFormat="1" applyFont="1" applyFill="1" applyBorder="1" applyAlignment="1">
      <alignment horizontal="left" vertical="center" wrapText="1" indent="2"/>
    </xf>
    <xf numFmtId="0" fontId="223" fillId="0" borderId="115" xfId="1" applyNumberFormat="1" applyFont="1" applyFill="1" applyBorder="1" applyAlignment="1">
      <alignment horizontal="left" vertical="center" wrapText="1" indent="2"/>
    </xf>
    <xf numFmtId="49" fontId="9" fillId="0" borderId="115" xfId="1" applyNumberFormat="1" applyFont="1" applyFill="1" applyBorder="1" applyAlignment="1">
      <alignment horizontal="left" vertical="center" wrapText="1"/>
    </xf>
    <xf numFmtId="1" fontId="92" fillId="39" borderId="1" xfId="1" applyNumberFormat="1" applyFont="1" applyFill="1" applyBorder="1" applyAlignment="1">
      <alignment horizontal="center" vertical="center" wrapText="1"/>
    </xf>
    <xf numFmtId="1" fontId="92" fillId="40" borderId="1" xfId="1" applyNumberFormat="1" applyFont="1" applyFill="1" applyBorder="1" applyAlignment="1">
      <alignment horizontal="center" vertical="center" wrapText="1"/>
    </xf>
    <xf numFmtId="1" fontId="91" fillId="39" borderId="1" xfId="1" applyNumberFormat="1" applyFont="1" applyFill="1" applyBorder="1" applyAlignment="1">
      <alignment horizontal="center" vertical="center" wrapText="1"/>
    </xf>
    <xf numFmtId="1" fontId="91" fillId="40" borderId="1" xfId="1" applyNumberFormat="1" applyFont="1" applyFill="1" applyBorder="1" applyAlignment="1">
      <alignment horizontal="center" vertical="center" wrapText="1"/>
    </xf>
    <xf numFmtId="1" fontId="91" fillId="41" borderId="1" xfId="189" applyNumberFormat="1" applyFont="1" applyFill="1" applyBorder="1" applyAlignment="1">
      <alignment horizontal="center" vertical="center" wrapText="1"/>
    </xf>
    <xf numFmtId="1" fontId="7" fillId="50" borderId="1" xfId="4" applyNumberFormat="1" applyFont="1" applyFill="1" applyBorder="1" applyAlignment="1">
      <alignment horizontal="left" vertical="center" wrapText="1"/>
    </xf>
    <xf numFmtId="170" fontId="0" fillId="0" borderId="0" xfId="0" applyNumberFormat="1" applyAlignment="1">
      <alignment vertical="center" wrapText="1"/>
    </xf>
    <xf numFmtId="196" fontId="0" fillId="0" borderId="0" xfId="0" applyNumberFormat="1" applyAlignment="1" applyProtection="1">
      <alignment vertical="center"/>
      <protection locked="0"/>
    </xf>
    <xf numFmtId="170" fontId="80" fillId="0" borderId="7" xfId="1" applyFont="1" applyFill="1" applyBorder="1" applyAlignment="1">
      <alignment horizontal="center" vertical="center" wrapText="1"/>
    </xf>
    <xf numFmtId="49" fontId="0" fillId="51" borderId="7" xfId="0" applyNumberFormat="1" applyFill="1" applyBorder="1" applyAlignment="1">
      <alignment horizontal="left" vertical="center" wrapText="1"/>
    </xf>
    <xf numFmtId="49" fontId="0" fillId="51" borderId="7" xfId="0" applyNumberFormat="1" applyFill="1" applyBorder="1" applyAlignment="1">
      <alignment horizontal="center" vertical="center"/>
    </xf>
    <xf numFmtId="196" fontId="27" fillId="51" borderId="7" xfId="1" applyNumberFormat="1" applyFont="1" applyFill="1" applyBorder="1" applyAlignment="1">
      <alignment horizontal="center" vertical="center" wrapText="1"/>
    </xf>
    <xf numFmtId="172" fontId="0" fillId="51" borderId="7" xfId="0" applyNumberFormat="1" applyFill="1" applyBorder="1" applyAlignment="1">
      <alignment horizontal="center" vertical="center"/>
    </xf>
    <xf numFmtId="9" fontId="80" fillId="51" borderId="7" xfId="210" applyFont="1" applyFill="1" applyBorder="1" applyAlignment="1">
      <alignment horizontal="center" vertical="center" wrapText="1"/>
    </xf>
    <xf numFmtId="170" fontId="0" fillId="51" borderId="7" xfId="1" applyFont="1" applyFill="1" applyBorder="1" applyAlignment="1">
      <alignment horizontal="right" vertical="center"/>
    </xf>
    <xf numFmtId="202" fontId="0" fillId="0" borderId="0" xfId="209" applyNumberFormat="1" applyFont="1" applyAlignment="1">
      <alignment vertical="center" wrapText="1"/>
    </xf>
    <xf numFmtId="195" fontId="27" fillId="8" borderId="2" xfId="201" applyNumberFormat="1" applyFont="1" applyFill="1" applyBorder="1" applyAlignment="1">
      <alignment horizontal="center" vertical="center"/>
    </xf>
    <xf numFmtId="195" fontId="27" fillId="0" borderId="2" xfId="201" applyNumberFormat="1" applyFont="1" applyFill="1" applyBorder="1" applyAlignment="1">
      <alignment vertical="center" wrapText="1"/>
    </xf>
    <xf numFmtId="170" fontId="27" fillId="0" borderId="1" xfId="1" applyFont="1" applyFill="1" applyBorder="1" applyAlignment="1">
      <alignment horizontal="center" vertical="center"/>
    </xf>
    <xf numFmtId="167" fontId="148" fillId="0" borderId="1" xfId="5" applyFont="1" applyFill="1" applyBorder="1" applyAlignment="1">
      <alignment vertical="center"/>
    </xf>
    <xf numFmtId="170" fontId="80" fillId="51" borderId="6" xfId="1" applyFont="1" applyFill="1" applyBorder="1" applyAlignment="1">
      <alignment vertical="center" wrapText="1"/>
    </xf>
    <xf numFmtId="170" fontId="80" fillId="51" borderId="8" xfId="1" applyFont="1" applyFill="1" applyBorder="1" applyAlignment="1">
      <alignment vertical="center" wrapText="1"/>
    </xf>
    <xf numFmtId="170" fontId="80" fillId="51" borderId="7" xfId="1" applyFont="1" applyFill="1" applyBorder="1" applyAlignment="1">
      <alignment horizontal="center" vertical="center" wrapText="1"/>
    </xf>
    <xf numFmtId="167" fontId="167" fillId="0" borderId="2" xfId="5" applyFont="1" applyFill="1" applyBorder="1" applyAlignment="1">
      <alignment vertical="center"/>
    </xf>
    <xf numFmtId="1" fontId="169" fillId="0" borderId="2" xfId="4" applyNumberFormat="1" applyFont="1" applyBorder="1" applyAlignment="1">
      <alignment horizontal="center" vertical="center" wrapText="1"/>
    </xf>
    <xf numFmtId="203" fontId="7" fillId="50" borderId="1" xfId="5" applyNumberFormat="1" applyFont="1" applyFill="1" applyBorder="1" applyAlignment="1">
      <alignment horizontal="left" vertical="center" wrapText="1"/>
    </xf>
    <xf numFmtId="195" fontId="7" fillId="0" borderId="2" xfId="201" applyNumberFormat="1" applyFont="1" applyFill="1" applyBorder="1" applyAlignment="1">
      <alignment vertical="center" wrapText="1"/>
    </xf>
    <xf numFmtId="1" fontId="183" fillId="0" borderId="2" xfId="4" applyNumberFormat="1" applyFont="1" applyBorder="1" applyAlignment="1">
      <alignment horizontal="center" vertical="center"/>
    </xf>
    <xf numFmtId="0" fontId="148" fillId="0" borderId="2" xfId="4" applyFont="1" applyBorder="1" applyAlignment="1">
      <alignment horizontal="center" vertical="center"/>
    </xf>
    <xf numFmtId="49" fontId="27" fillId="0" borderId="1" xfId="1" applyNumberFormat="1" applyFont="1" applyFill="1" applyBorder="1" applyAlignment="1">
      <alignment horizontal="center" vertical="center" wrapText="1"/>
    </xf>
    <xf numFmtId="167" fontId="32" fillId="0" borderId="1" xfId="5" applyFont="1" applyBorder="1" applyAlignment="1">
      <alignment horizontal="center" vertical="center"/>
    </xf>
    <xf numFmtId="0" fontId="27" fillId="16" borderId="3" xfId="4" applyFont="1" applyFill="1" applyBorder="1" applyAlignment="1">
      <alignment horizontal="center" vertical="center"/>
    </xf>
    <xf numFmtId="0" fontId="82" fillId="0" borderId="3" xfId="4" applyFont="1" applyBorder="1" applyAlignment="1">
      <alignment horizontal="center" vertical="center"/>
    </xf>
    <xf numFmtId="170" fontId="82" fillId="0" borderId="1" xfId="1" applyFont="1" applyFill="1" applyBorder="1" applyAlignment="1">
      <alignment horizontal="center" vertical="center" wrapText="1"/>
    </xf>
    <xf numFmtId="0" fontId="7" fillId="50" borderId="1" xfId="4" applyFont="1" applyFill="1" applyBorder="1" applyAlignment="1">
      <alignment horizontal="center" vertical="center" wrapText="1"/>
    </xf>
    <xf numFmtId="0" fontId="9" fillId="0" borderId="115" xfId="0" applyFont="1" applyBorder="1" applyAlignment="1">
      <alignment vertical="center" wrapText="1"/>
    </xf>
    <xf numFmtId="170" fontId="94" fillId="85" borderId="13" xfId="14" applyNumberFormat="1" applyFont="1" applyFill="1" applyBorder="1" applyAlignment="1">
      <alignment vertical="center"/>
    </xf>
    <xf numFmtId="170" fontId="94" fillId="38" borderId="13" xfId="14" applyNumberFormat="1" applyFont="1" applyFill="1" applyBorder="1" applyAlignment="1">
      <alignment vertical="center"/>
    </xf>
    <xf numFmtId="49" fontId="169" fillId="0" borderId="2" xfId="4" applyNumberFormat="1" applyFont="1" applyBorder="1" applyAlignment="1">
      <alignment vertical="center" wrapText="1"/>
    </xf>
    <xf numFmtId="1" fontId="184" fillId="0" borderId="3" xfId="4" applyNumberFormat="1" applyFont="1" applyBorder="1" applyAlignment="1">
      <alignment horizontal="center" vertical="center" wrapText="1"/>
    </xf>
    <xf numFmtId="0" fontId="184" fillId="0" borderId="2" xfId="4" applyFont="1" applyBorder="1" applyAlignment="1">
      <alignment horizontal="left" vertical="center" wrapText="1"/>
    </xf>
    <xf numFmtId="1" fontId="7" fillId="0" borderId="1" xfId="14" applyNumberFormat="1" applyFont="1" applyBorder="1" applyAlignment="1">
      <alignment horizontal="center" vertical="center" wrapText="1"/>
    </xf>
    <xf numFmtId="167" fontId="32" fillId="0" borderId="1" xfId="5" applyFont="1" applyFill="1" applyBorder="1" applyAlignment="1">
      <alignment horizontal="center" vertical="center" wrapText="1"/>
    </xf>
    <xf numFmtId="0" fontId="32" fillId="5" borderId="1" xfId="0" applyFont="1" applyFill="1" applyBorder="1" applyAlignment="1">
      <alignment horizontal="center" vertical="center" wrapText="1"/>
    </xf>
    <xf numFmtId="1" fontId="7" fillId="0" borderId="1" xfId="4" applyNumberFormat="1" applyFont="1" applyBorder="1" applyAlignment="1">
      <alignment horizontal="left" vertical="center" wrapText="1"/>
    </xf>
    <xf numFmtId="0" fontId="32" fillId="0" borderId="3" xfId="0" applyFont="1" applyBorder="1" applyAlignment="1">
      <alignment horizontal="center" vertical="center" wrapText="1"/>
    </xf>
    <xf numFmtId="0" fontId="32" fillId="0" borderId="1" xfId="0" applyFont="1" applyBorder="1" applyAlignment="1">
      <alignment vertical="center" wrapText="1"/>
    </xf>
    <xf numFmtId="0" fontId="0" fillId="96" borderId="0" xfId="0" applyFill="1" applyAlignment="1">
      <alignment horizontal="center" vertical="center" wrapText="1"/>
    </xf>
    <xf numFmtId="49" fontId="0" fillId="96" borderId="0" xfId="0" applyNumberFormat="1" applyFill="1" applyAlignment="1">
      <alignment vertical="center" wrapText="1"/>
    </xf>
    <xf numFmtId="49" fontId="0" fillId="96" borderId="0" xfId="0" applyNumberFormat="1" applyFill="1" applyAlignment="1">
      <alignment horizontal="right" vertical="center" wrapText="1"/>
    </xf>
    <xf numFmtId="196" fontId="0" fillId="96" borderId="0" xfId="0" applyNumberFormat="1" applyFill="1" applyAlignment="1">
      <alignment vertical="center" wrapText="1"/>
    </xf>
    <xf numFmtId="0" fontId="0" fillId="96" borderId="0" xfId="0" applyFill="1" applyAlignment="1">
      <alignment vertical="center" wrapText="1"/>
    </xf>
    <xf numFmtId="167" fontId="0" fillId="96" borderId="0" xfId="8" applyFont="1" applyFill="1" applyAlignment="1">
      <alignment vertical="center" wrapText="1"/>
    </xf>
    <xf numFmtId="167" fontId="0" fillId="0" borderId="0" xfId="8" applyFont="1" applyAlignment="1">
      <alignment vertical="center" wrapText="1"/>
    </xf>
    <xf numFmtId="0" fontId="80" fillId="96" borderId="0" xfId="0" applyFont="1" applyFill="1" applyAlignment="1">
      <alignment horizontal="center" vertical="center" wrapText="1"/>
    </xf>
    <xf numFmtId="0" fontId="80" fillId="96" borderId="0" xfId="0" applyFont="1" applyFill="1" applyAlignment="1">
      <alignment horizontal="left" vertical="center" wrapText="1"/>
    </xf>
    <xf numFmtId="0" fontId="122" fillId="96" borderId="0" xfId="0" applyFont="1" applyFill="1" applyAlignment="1">
      <alignment horizontal="left" vertical="center" wrapText="1"/>
    </xf>
    <xf numFmtId="15" fontId="80" fillId="96" borderId="0" xfId="0" applyNumberFormat="1" applyFont="1" applyFill="1" applyAlignment="1">
      <alignment horizontal="center" vertical="center" wrapText="1"/>
    </xf>
    <xf numFmtId="3" fontId="80" fillId="96" borderId="0" xfId="209" applyNumberFormat="1" applyFont="1" applyFill="1" applyAlignment="1">
      <alignment horizontal="center" vertical="center" wrapText="1"/>
    </xf>
    <xf numFmtId="0" fontId="80" fillId="0" borderId="0" xfId="0" applyFont="1" applyAlignment="1">
      <alignment horizontal="center" vertical="center" wrapText="1"/>
    </xf>
    <xf numFmtId="0" fontId="80" fillId="0" borderId="0" xfId="0" applyFont="1" applyAlignment="1">
      <alignment horizontal="left" vertical="center" wrapText="1"/>
    </xf>
    <xf numFmtId="0" fontId="122" fillId="0" borderId="0" xfId="0" applyFont="1" applyAlignment="1">
      <alignment horizontal="left" vertical="center" wrapText="1"/>
    </xf>
    <xf numFmtId="15" fontId="80" fillId="0" borderId="0" xfId="0" applyNumberFormat="1" applyFont="1" applyAlignment="1">
      <alignment horizontal="center" vertical="center" wrapText="1"/>
    </xf>
    <xf numFmtId="3" fontId="80" fillId="0" borderId="0" xfId="209" applyNumberFormat="1" applyFont="1" applyAlignment="1">
      <alignment horizontal="center" vertical="center" wrapText="1"/>
    </xf>
    <xf numFmtId="0" fontId="80" fillId="0" borderId="54" xfId="0" applyFont="1" applyBorder="1" applyAlignment="1">
      <alignment horizontal="center" vertical="center" wrapText="1"/>
    </xf>
    <xf numFmtId="0" fontId="80" fillId="0" borderId="54" xfId="0" applyFont="1" applyBorder="1" applyAlignment="1">
      <alignment vertical="center" wrapText="1"/>
    </xf>
    <xf numFmtId="167" fontId="80" fillId="0" borderId="54" xfId="0" applyNumberFormat="1" applyFont="1" applyBorder="1" applyAlignment="1">
      <alignment vertical="center" wrapText="1"/>
    </xf>
    <xf numFmtId="202" fontId="0" fillId="80" borderId="0" xfId="209" applyNumberFormat="1" applyFont="1" applyFill="1" applyAlignment="1">
      <alignment vertical="center" wrapText="1"/>
    </xf>
    <xf numFmtId="9" fontId="62" fillId="0" borderId="115" xfId="0" applyNumberFormat="1" applyFont="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horizontal="center" vertical="center"/>
    </xf>
    <xf numFmtId="0" fontId="5" fillId="0" borderId="7" xfId="0" applyFont="1" applyBorder="1" applyAlignment="1">
      <alignment horizontal="left" vertical="center" wrapText="1"/>
    </xf>
    <xf numFmtId="49" fontId="0" fillId="0" borderId="7" xfId="0" applyNumberFormat="1" applyBorder="1" applyAlignment="1">
      <alignment horizontal="center" vertical="center" wrapText="1"/>
    </xf>
    <xf numFmtId="1" fontId="0" fillId="0" borderId="7" xfId="0" applyNumberFormat="1" applyBorder="1" applyAlignment="1">
      <alignment horizontal="center" vertical="center"/>
    </xf>
    <xf numFmtId="0" fontId="181" fillId="9" borderId="7" xfId="0" applyFont="1" applyFill="1" applyBorder="1" applyAlignment="1">
      <alignment horizontal="center" vertical="center"/>
    </xf>
    <xf numFmtId="0" fontId="181" fillId="9" borderId="7" xfId="0" applyFont="1" applyFill="1" applyBorder="1" applyAlignment="1">
      <alignment horizontal="center" vertical="center" wrapText="1"/>
    </xf>
    <xf numFmtId="0" fontId="120" fillId="27" borderId="7" xfId="4" applyFont="1" applyFill="1" applyBorder="1" applyAlignment="1">
      <alignment horizontal="center" vertical="center"/>
    </xf>
    <xf numFmtId="0" fontId="120" fillId="27" borderId="7" xfId="4" applyFont="1" applyFill="1" applyBorder="1" applyAlignment="1">
      <alignment horizontal="left" vertical="center" wrapText="1"/>
    </xf>
    <xf numFmtId="0" fontId="120" fillId="27" borderId="7" xfId="4" applyFont="1" applyFill="1" applyBorder="1" applyAlignment="1">
      <alignment horizontal="center" vertical="center" wrapText="1"/>
    </xf>
    <xf numFmtId="0" fontId="84" fillId="19" borderId="7" xfId="4" applyFont="1" applyFill="1" applyBorder="1" applyAlignment="1">
      <alignment horizontal="center" vertical="center"/>
    </xf>
    <xf numFmtId="0" fontId="84" fillId="19" borderId="7" xfId="4" applyFont="1" applyFill="1" applyBorder="1" applyAlignment="1">
      <alignment horizontal="left" vertical="center" wrapText="1"/>
    </xf>
    <xf numFmtId="0" fontId="84" fillId="19" borderId="7" xfId="4" applyFont="1" applyFill="1" applyBorder="1" applyAlignment="1">
      <alignment horizontal="center" vertical="center" wrapText="1"/>
    </xf>
    <xf numFmtId="0" fontId="84" fillId="28" borderId="7" xfId="4" applyFont="1" applyFill="1" applyBorder="1" applyAlignment="1">
      <alignment horizontal="center" vertical="center" wrapText="1"/>
    </xf>
    <xf numFmtId="0" fontId="84" fillId="28" borderId="7" xfId="4" applyFont="1" applyFill="1" applyBorder="1" applyAlignment="1">
      <alignment horizontal="left" vertical="center" wrapText="1"/>
    </xf>
    <xf numFmtId="0" fontId="84" fillId="50" borderId="7" xfId="4" applyFont="1" applyFill="1" applyBorder="1" applyAlignment="1">
      <alignment horizontal="center" vertical="center" wrapText="1"/>
    </xf>
    <xf numFmtId="0" fontId="84" fillId="50" borderId="7" xfId="4" applyFont="1" applyFill="1" applyBorder="1" applyAlignment="1">
      <alignment horizontal="left" vertical="center" wrapText="1"/>
    </xf>
    <xf numFmtId="1" fontId="0" fillId="0" borderId="7" xfId="0" applyNumberFormat="1" applyBorder="1" applyAlignment="1">
      <alignment horizontal="center" vertical="center" wrapText="1"/>
    </xf>
    <xf numFmtId="0" fontId="0" fillId="0" borderId="7" xfId="0" applyBorder="1" applyAlignment="1">
      <alignment horizontal="center"/>
    </xf>
    <xf numFmtId="49" fontId="0" fillId="0" borderId="7" xfId="0" applyNumberFormat="1" applyBorder="1" applyAlignment="1">
      <alignment horizontal="left" vertical="center" wrapText="1"/>
    </xf>
    <xf numFmtId="0" fontId="10" fillId="28" borderId="2" xfId="2" applyFont="1" applyFill="1" applyBorder="1" applyAlignment="1">
      <alignment horizontal="left" vertical="center" wrapText="1"/>
    </xf>
    <xf numFmtId="0" fontId="13" fillId="56" borderId="2" xfId="2" applyFont="1" applyFill="1" applyBorder="1" applyAlignment="1">
      <alignment horizontal="left" vertical="center" wrapText="1"/>
    </xf>
    <xf numFmtId="0" fontId="10" fillId="35" borderId="2" xfId="2" applyFont="1" applyFill="1" applyBorder="1" applyAlignment="1">
      <alignment horizontal="left" vertical="center" wrapText="1"/>
    </xf>
    <xf numFmtId="0" fontId="13" fillId="29" borderId="2" xfId="2" applyFont="1" applyFill="1" applyBorder="1" applyAlignment="1">
      <alignment horizontal="left" vertical="center" wrapText="1"/>
    </xf>
    <xf numFmtId="0" fontId="34" fillId="0" borderId="0" xfId="0" applyFont="1" applyAlignment="1">
      <alignment horizontal="left"/>
    </xf>
    <xf numFmtId="0" fontId="0" fillId="0" borderId="0" xfId="0" applyAlignment="1">
      <alignment horizontal="left"/>
    </xf>
    <xf numFmtId="49" fontId="10" fillId="35" borderId="2" xfId="2" applyNumberFormat="1" applyFont="1" applyFill="1" applyBorder="1" applyAlignment="1">
      <alignment horizontal="left" vertical="center" wrapText="1"/>
    </xf>
    <xf numFmtId="202" fontId="181" fillId="9" borderId="7" xfId="209" applyNumberFormat="1" applyFont="1" applyFill="1" applyBorder="1" applyAlignment="1">
      <alignment horizontal="center" vertical="center"/>
    </xf>
    <xf numFmtId="202" fontId="84" fillId="19" borderId="7" xfId="209" applyNumberFormat="1" applyFont="1" applyFill="1" applyBorder="1" applyAlignment="1">
      <alignment horizontal="center" vertical="center" wrapText="1"/>
    </xf>
    <xf numFmtId="202" fontId="84" fillId="28" borderId="7" xfId="209" applyNumberFormat="1" applyFont="1" applyFill="1" applyBorder="1" applyAlignment="1">
      <alignment horizontal="center" vertical="center" wrapText="1"/>
    </xf>
    <xf numFmtId="202" fontId="84" fillId="50" borderId="7" xfId="209" applyNumberFormat="1" applyFont="1" applyFill="1" applyBorder="1" applyAlignment="1">
      <alignment horizontal="center" vertical="center" wrapText="1"/>
    </xf>
    <xf numFmtId="202" fontId="0" fillId="0" borderId="7" xfId="209" applyNumberFormat="1" applyFont="1" applyBorder="1" applyAlignment="1">
      <alignment horizontal="center" vertical="center"/>
    </xf>
    <xf numFmtId="202" fontId="0" fillId="0" borderId="7" xfId="209" applyNumberFormat="1" applyFont="1" applyBorder="1" applyAlignment="1">
      <alignment horizontal="center"/>
    </xf>
    <xf numFmtId="202" fontId="0" fillId="0" borderId="0" xfId="209" applyNumberFormat="1" applyFont="1" applyBorder="1" applyAlignment="1">
      <alignment horizontal="center"/>
    </xf>
    <xf numFmtId="202" fontId="0" fillId="0" borderId="0" xfId="209" applyNumberFormat="1" applyFont="1" applyAlignment="1">
      <alignment horizontal="center"/>
    </xf>
    <xf numFmtId="0" fontId="6" fillId="0" borderId="7" xfId="0" applyFont="1" applyBorder="1" applyAlignment="1">
      <alignment horizontal="center" wrapText="1"/>
    </xf>
    <xf numFmtId="1" fontId="6" fillId="0" borderId="7" xfId="0" applyNumberFormat="1" applyFont="1" applyBorder="1" applyAlignment="1">
      <alignment horizontal="center" vertical="center" wrapText="1"/>
    </xf>
    <xf numFmtId="0" fontId="6" fillId="0" borderId="0" xfId="0" applyFont="1" applyAlignment="1">
      <alignment horizontal="center" wrapText="1"/>
    </xf>
    <xf numFmtId="1" fontId="6" fillId="0" borderId="7" xfId="0" applyNumberFormat="1" applyFont="1" applyBorder="1" applyAlignment="1">
      <alignment horizontal="center" wrapText="1"/>
    </xf>
    <xf numFmtId="0" fontId="0" fillId="0" borderId="0" xfId="0" applyAlignment="1">
      <alignment horizontal="left" wrapText="1"/>
    </xf>
    <xf numFmtId="0" fontId="181" fillId="9" borderId="7" xfId="0" applyFont="1" applyFill="1" applyBorder="1" applyAlignment="1">
      <alignment horizontal="left" vertical="center" wrapText="1"/>
    </xf>
    <xf numFmtId="0" fontId="0" fillId="0" borderId="7" xfId="0" applyBorder="1" applyAlignment="1">
      <alignment horizontal="left" wrapText="1"/>
    </xf>
    <xf numFmtId="1" fontId="0" fillId="0" borderId="7" xfId="0" applyNumberFormat="1" applyBorder="1" applyAlignment="1">
      <alignment horizontal="left" vertical="center" wrapText="1"/>
    </xf>
    <xf numFmtId="168" fontId="0" fillId="0" borderId="0" xfId="209" applyFont="1"/>
    <xf numFmtId="1" fontId="6" fillId="0" borderId="0" xfId="0" applyNumberFormat="1" applyFont="1" applyAlignment="1">
      <alignment horizontal="center" wrapText="1"/>
    </xf>
    <xf numFmtId="0" fontId="0" fillId="0" borderId="7" xfId="0" applyBorder="1" applyAlignment="1">
      <alignment wrapText="1"/>
    </xf>
    <xf numFmtId="0" fontId="0" fillId="0" borderId="7" xfId="0" applyBorder="1" applyAlignment="1">
      <alignment vertical="center" wrapText="1"/>
    </xf>
    <xf numFmtId="1" fontId="84" fillId="50" borderId="7" xfId="4" applyNumberFormat="1" applyFont="1" applyFill="1" applyBorder="1" applyAlignment="1">
      <alignment horizontal="center" vertical="center" wrapText="1"/>
    </xf>
    <xf numFmtId="202" fontId="193" fillId="27" borderId="7" xfId="209" applyNumberFormat="1" applyFont="1" applyFill="1" applyBorder="1" applyAlignment="1">
      <alignment horizontal="center" vertical="center" wrapText="1"/>
    </xf>
    <xf numFmtId="49" fontId="120" fillId="27" borderId="7" xfId="4" applyNumberFormat="1" applyFont="1" applyFill="1" applyBorder="1" applyAlignment="1">
      <alignment horizontal="center" vertical="center"/>
    </xf>
    <xf numFmtId="49" fontId="120" fillId="27" borderId="7" xfId="4" applyNumberFormat="1" applyFont="1" applyFill="1" applyBorder="1" applyAlignment="1">
      <alignment horizontal="left" vertical="center" wrapText="1"/>
    </xf>
    <xf numFmtId="49" fontId="84" fillId="19" borderId="7" xfId="4" applyNumberFormat="1" applyFont="1" applyFill="1" applyBorder="1" applyAlignment="1">
      <alignment horizontal="center" vertical="center"/>
    </xf>
    <xf numFmtId="49" fontId="84" fillId="19" borderId="7" xfId="4" applyNumberFormat="1" applyFont="1" applyFill="1" applyBorder="1" applyAlignment="1">
      <alignment horizontal="left" vertical="center" wrapText="1"/>
    </xf>
    <xf numFmtId="49" fontId="84" fillId="28" borderId="7" xfId="4" applyNumberFormat="1" applyFont="1" applyFill="1" applyBorder="1" applyAlignment="1">
      <alignment horizontal="center" vertical="center" wrapText="1"/>
    </xf>
    <xf numFmtId="0" fontId="0" fillId="0" borderId="0" xfId="0" applyAlignment="1">
      <alignment horizontal="center" wrapText="1"/>
    </xf>
    <xf numFmtId="0" fontId="0" fillId="12" borderId="13" xfId="0" applyFill="1" applyBorder="1" applyAlignment="1">
      <alignment horizontal="center" wrapText="1"/>
    </xf>
    <xf numFmtId="170" fontId="13" fillId="12" borderId="1" xfId="1" applyFont="1" applyFill="1" applyBorder="1" applyAlignment="1">
      <alignment horizontal="left" vertical="center" wrapText="1"/>
    </xf>
    <xf numFmtId="170" fontId="0" fillId="0" borderId="0" xfId="0" applyNumberFormat="1"/>
    <xf numFmtId="0" fontId="10" fillId="28" borderId="2" xfId="2" applyFont="1" applyFill="1" applyBorder="1" applyAlignment="1">
      <alignment vertical="center" wrapText="1"/>
    </xf>
    <xf numFmtId="170" fontId="2" fillId="0" borderId="1" xfId="5" applyNumberFormat="1" applyFont="1" applyBorder="1" applyAlignment="1">
      <alignment vertical="center"/>
    </xf>
    <xf numFmtId="170" fontId="27" fillId="0" borderId="1" xfId="201" applyNumberFormat="1" applyFont="1" applyBorder="1" applyAlignment="1">
      <alignment horizontal="center" vertical="center"/>
    </xf>
    <xf numFmtId="170" fontId="7" fillId="0" borderId="1" xfId="201" applyNumberFormat="1" applyFont="1" applyBorder="1" applyAlignment="1">
      <alignment horizontal="center" vertical="center"/>
    </xf>
    <xf numFmtId="170" fontId="7" fillId="0" borderId="1" xfId="201" applyNumberFormat="1" applyFont="1" applyFill="1" applyBorder="1" applyAlignment="1">
      <alignment horizontal="center" vertical="center"/>
    </xf>
    <xf numFmtId="170" fontId="27" fillId="0" borderId="1" xfId="201" applyNumberFormat="1" applyFont="1" applyFill="1" applyBorder="1" applyAlignment="1">
      <alignment horizontal="center" vertical="center"/>
    </xf>
    <xf numFmtId="170" fontId="27" fillId="0" borderId="0" xfId="4" applyNumberFormat="1" applyFont="1" applyAlignment="1">
      <alignment vertical="center"/>
    </xf>
    <xf numFmtId="0" fontId="10" fillId="28" borderId="2" xfId="1" applyNumberFormat="1" applyFont="1" applyFill="1" applyBorder="1" applyAlignment="1">
      <alignment horizontal="left" vertical="center" wrapText="1"/>
    </xf>
    <xf numFmtId="2" fontId="13" fillId="12" borderId="1" xfId="3" applyNumberFormat="1" applyFont="1" applyFill="1" applyBorder="1" applyAlignment="1">
      <alignment horizontal="left" vertical="center" wrapText="1"/>
    </xf>
    <xf numFmtId="170" fontId="13" fillId="56" borderId="2" xfId="1" applyFont="1" applyFill="1" applyBorder="1" applyAlignment="1">
      <alignment vertical="center" wrapText="1"/>
    </xf>
    <xf numFmtId="170" fontId="10" fillId="35" borderId="2" xfId="1" applyFont="1" applyFill="1" applyBorder="1" applyAlignment="1">
      <alignment vertical="center" wrapText="1"/>
    </xf>
    <xf numFmtId="170" fontId="13" fillId="12" borderId="1" xfId="1" applyFont="1" applyFill="1" applyBorder="1" applyAlignment="1">
      <alignment horizontal="center" vertical="center" wrapText="1"/>
    </xf>
    <xf numFmtId="9" fontId="13" fillId="12" borderId="1" xfId="210" applyFont="1" applyFill="1" applyBorder="1" applyAlignment="1">
      <alignment horizontal="center" vertical="center" wrapText="1"/>
    </xf>
    <xf numFmtId="170" fontId="34" fillId="0" borderId="0" xfId="1" applyFont="1" applyAlignment="1">
      <alignment horizontal="center"/>
    </xf>
    <xf numFmtId="170" fontId="130" fillId="0" borderId="0" xfId="1" applyFont="1" applyAlignment="1">
      <alignment horizontal="center"/>
    </xf>
    <xf numFmtId="189" fontId="34" fillId="0" borderId="0" xfId="210" applyNumberFormat="1" applyFont="1" applyAlignment="1">
      <alignment horizontal="center"/>
    </xf>
    <xf numFmtId="170" fontId="35" fillId="0" borderId="0" xfId="1" applyFont="1" applyAlignment="1">
      <alignment horizontal="center"/>
    </xf>
    <xf numFmtId="170" fontId="0" fillId="0" borderId="0" xfId="1" applyFont="1" applyAlignment="1">
      <alignment horizontal="center"/>
    </xf>
    <xf numFmtId="189" fontId="0" fillId="0" borderId="0" xfId="210" applyNumberFormat="1" applyFont="1" applyAlignment="1">
      <alignment horizontal="center"/>
    </xf>
    <xf numFmtId="49" fontId="10" fillId="28" borderId="2" xfId="2" applyNumberFormat="1" applyFont="1" applyFill="1" applyBorder="1" applyAlignment="1">
      <alignment horizontal="center" vertical="center" wrapText="1"/>
    </xf>
    <xf numFmtId="49" fontId="10" fillId="28" borderId="2" xfId="1" applyNumberFormat="1" applyFont="1" applyFill="1" applyBorder="1" applyAlignment="1">
      <alignment horizontal="center" vertical="center" wrapText="1"/>
    </xf>
    <xf numFmtId="49" fontId="13" fillId="56" borderId="2" xfId="2" applyNumberFormat="1" applyFont="1" applyFill="1" applyBorder="1" applyAlignment="1">
      <alignment horizontal="center" vertical="center" wrapText="1"/>
    </xf>
    <xf numFmtId="49" fontId="10" fillId="35" borderId="2" xfId="2" applyNumberFormat="1" applyFont="1" applyFill="1" applyBorder="1" applyAlignment="1">
      <alignment horizontal="center" vertical="center" wrapText="1"/>
    </xf>
    <xf numFmtId="0" fontId="13" fillId="12" borderId="1" xfId="3" applyFont="1" applyFill="1" applyBorder="1" applyAlignment="1">
      <alignment horizontal="center" vertical="center" wrapText="1"/>
    </xf>
    <xf numFmtId="0" fontId="34" fillId="0" borderId="0" xfId="0" applyFont="1" applyAlignment="1">
      <alignment horizontal="center"/>
    </xf>
    <xf numFmtId="0" fontId="2" fillId="0" borderId="72" xfId="0" applyFont="1" applyBorder="1" applyAlignment="1">
      <alignment horizontal="center"/>
    </xf>
    <xf numFmtId="2" fontId="32" fillId="0" borderId="73" xfId="0" applyNumberFormat="1" applyFont="1" applyBorder="1"/>
    <xf numFmtId="0" fontId="2" fillId="0" borderId="74" xfId="0" applyFont="1" applyBorder="1" applyAlignment="1">
      <alignment horizontal="center"/>
    </xf>
    <xf numFmtId="0" fontId="2" fillId="0" borderId="75" xfId="0" applyFont="1" applyBorder="1"/>
    <xf numFmtId="170" fontId="2" fillId="0" borderId="75" xfId="1" applyFont="1" applyBorder="1"/>
    <xf numFmtId="2" fontId="2" fillId="0" borderId="75" xfId="0" applyNumberFormat="1" applyFont="1" applyBorder="1"/>
    <xf numFmtId="2" fontId="32" fillId="0" borderId="76" xfId="0" applyNumberFormat="1" applyFont="1" applyBorder="1"/>
    <xf numFmtId="0" fontId="27" fillId="66" borderId="41" xfId="0" applyFont="1" applyFill="1" applyBorder="1" applyAlignment="1">
      <alignment horizontal="center" vertical="center" wrapText="1"/>
    </xf>
    <xf numFmtId="0" fontId="27" fillId="11" borderId="84" xfId="0" applyFont="1" applyFill="1" applyBorder="1" applyAlignment="1">
      <alignment horizontal="center" vertical="center" wrapText="1"/>
    </xf>
    <xf numFmtId="0" fontId="27" fillId="66" borderId="88" xfId="0" applyFont="1" applyFill="1" applyBorder="1" applyAlignment="1">
      <alignment horizontal="center" vertical="center" wrapText="1"/>
    </xf>
    <xf numFmtId="0" fontId="27" fillId="11" borderId="41" xfId="0" applyFont="1" applyFill="1" applyBorder="1" applyAlignment="1">
      <alignment horizontal="center" vertical="center" wrapText="1"/>
    </xf>
    <xf numFmtId="0" fontId="7" fillId="11" borderId="41" xfId="0" applyFont="1" applyFill="1" applyBorder="1" applyAlignment="1">
      <alignment horizontal="center" vertical="center" wrapText="1"/>
    </xf>
    <xf numFmtId="0" fontId="2" fillId="0" borderId="62" xfId="0" applyFont="1" applyBorder="1" applyAlignment="1">
      <alignment horizontal="center"/>
    </xf>
    <xf numFmtId="0" fontId="2" fillId="0" borderId="63" xfId="0" applyFont="1" applyBorder="1"/>
    <xf numFmtId="170" fontId="2" fillId="0" borderId="63" xfId="1" applyFont="1" applyBorder="1"/>
    <xf numFmtId="2" fontId="2" fillId="0" borderId="63" xfId="0" applyNumberFormat="1" applyFont="1" applyBorder="1"/>
    <xf numFmtId="2" fontId="32" fillId="0" borderId="64" xfId="0" applyNumberFormat="1" applyFont="1" applyBorder="1"/>
    <xf numFmtId="202" fontId="0" fillId="0" borderId="0" xfId="0" applyNumberFormat="1"/>
    <xf numFmtId="167" fontId="32" fillId="0" borderId="2" xfId="5" applyFont="1" applyBorder="1" applyAlignment="1">
      <alignment horizontal="center" vertical="center"/>
    </xf>
    <xf numFmtId="167" fontId="2" fillId="0" borderId="2" xfId="5" applyFont="1" applyFill="1" applyBorder="1" applyAlignment="1">
      <alignment horizontal="center" vertical="center"/>
    </xf>
    <xf numFmtId="43" fontId="27" fillId="0" borderId="2" xfId="201" applyFont="1" applyBorder="1" applyAlignment="1">
      <alignment horizontal="center" vertical="center"/>
    </xf>
    <xf numFmtId="1" fontId="7" fillId="0" borderId="2" xfId="4" applyNumberFormat="1" applyFont="1" applyBorder="1" applyAlignment="1">
      <alignment vertical="center" wrapText="1"/>
    </xf>
    <xf numFmtId="49" fontId="7" fillId="0" borderId="10" xfId="4" applyNumberFormat="1" applyFont="1" applyBorder="1" applyAlignment="1">
      <alignment vertical="center" wrapText="1"/>
    </xf>
    <xf numFmtId="203" fontId="2" fillId="0" borderId="1" xfId="5" applyNumberFormat="1" applyFont="1" applyFill="1" applyBorder="1" applyAlignment="1">
      <alignment horizontal="center" vertical="center"/>
    </xf>
    <xf numFmtId="0" fontId="2" fillId="0" borderId="1" xfId="5" applyNumberFormat="1" applyFont="1" applyFill="1" applyBorder="1" applyAlignment="1">
      <alignment horizontal="center" vertical="center"/>
    </xf>
    <xf numFmtId="43" fontId="7" fillId="16" borderId="1" xfId="201" applyFont="1" applyFill="1" applyBorder="1" applyAlignment="1">
      <alignment horizontal="center" vertical="center" wrapText="1"/>
    </xf>
    <xf numFmtId="43" fontId="27" fillId="0" borderId="1" xfId="201" applyFont="1" applyFill="1" applyBorder="1" applyAlignment="1">
      <alignment horizontal="center" vertical="center"/>
    </xf>
    <xf numFmtId="195" fontId="27" fillId="16" borderId="1" xfId="201" applyNumberFormat="1" applyFont="1" applyFill="1" applyBorder="1" applyAlignment="1">
      <alignment horizontal="center" vertical="center" wrapText="1"/>
    </xf>
    <xf numFmtId="49" fontId="27" fillId="0" borderId="1" xfId="1" applyNumberFormat="1" applyFont="1" applyBorder="1" applyAlignment="1">
      <alignment horizontal="center" vertical="center" wrapText="1"/>
    </xf>
    <xf numFmtId="49" fontId="2" fillId="0" borderId="1" xfId="4" applyNumberFormat="1" applyFont="1" applyBorder="1" applyAlignment="1">
      <alignment horizontal="center" vertical="center" wrapText="1"/>
    </xf>
    <xf numFmtId="49" fontId="148" fillId="0" borderId="1" xfId="4" applyNumberFormat="1" applyFont="1" applyBorder="1" applyAlignment="1">
      <alignment horizontal="center" vertical="center"/>
    </xf>
    <xf numFmtId="195" fontId="32" fillId="0" borderId="1" xfId="201" applyNumberFormat="1" applyFont="1" applyBorder="1" applyAlignment="1">
      <alignment horizontal="center" vertical="center" wrapText="1"/>
    </xf>
    <xf numFmtId="197" fontId="7" fillId="0" borderId="2" xfId="38" applyNumberFormat="1" applyFont="1" applyBorder="1" applyAlignment="1">
      <alignment horizontal="center" vertical="center"/>
    </xf>
    <xf numFmtId="205" fontId="6" fillId="54" borderId="7" xfId="0" applyNumberFormat="1" applyFont="1" applyFill="1" applyBorder="1" applyAlignment="1">
      <alignment horizontal="center" vertical="center" wrapText="1"/>
    </xf>
    <xf numFmtId="0" fontId="6" fillId="54" borderId="7" xfId="0" applyFont="1" applyFill="1" applyBorder="1" applyAlignment="1">
      <alignment horizontal="center" vertical="center" wrapText="1"/>
    </xf>
    <xf numFmtId="0" fontId="6" fillId="49" borderId="7" xfId="0" applyFont="1" applyFill="1" applyBorder="1" applyAlignment="1">
      <alignment horizontal="center" vertical="center" wrapText="1"/>
    </xf>
    <xf numFmtId="17" fontId="0" fillId="0" borderId="7" xfId="0" applyNumberFormat="1" applyBorder="1" applyAlignment="1">
      <alignment horizontal="center" vertical="center"/>
    </xf>
    <xf numFmtId="168" fontId="0" fillId="0" borderId="7" xfId="0" applyNumberFormat="1" applyBorder="1" applyAlignment="1">
      <alignment horizontal="center" vertical="center"/>
    </xf>
    <xf numFmtId="168" fontId="0" fillId="0" borderId="7" xfId="0" applyNumberFormat="1" applyBorder="1" applyAlignment="1">
      <alignment horizontal="right" vertical="center"/>
    </xf>
    <xf numFmtId="9" fontId="0" fillId="0" borderId="7" xfId="210" applyFont="1" applyBorder="1" applyAlignment="1">
      <alignment horizontal="center" vertical="center"/>
    </xf>
    <xf numFmtId="168" fontId="0" fillId="0" borderId="6" xfId="0" applyNumberFormat="1" applyBorder="1" applyAlignment="1">
      <alignment horizontal="center" vertical="center"/>
    </xf>
    <xf numFmtId="189" fontId="0" fillId="0" borderId="7" xfId="210" applyNumberFormat="1" applyFont="1" applyBorder="1" applyAlignment="1">
      <alignment horizontal="center" vertical="center"/>
    </xf>
    <xf numFmtId="168" fontId="0" fillId="0" borderId="0" xfId="0" applyNumberFormat="1" applyAlignment="1">
      <alignment vertical="center"/>
    </xf>
    <xf numFmtId="168" fontId="0" fillId="0" borderId="61" xfId="0" applyNumberFormat="1" applyBorder="1" applyAlignment="1">
      <alignment horizontal="center" vertical="center"/>
    </xf>
    <xf numFmtId="17" fontId="6" fillId="0" borderId="7" xfId="0" applyNumberFormat="1" applyFont="1" applyBorder="1" applyAlignment="1">
      <alignment horizontal="center" vertical="center"/>
    </xf>
    <xf numFmtId="168" fontId="6" fillId="0" borderId="7" xfId="0" applyNumberFormat="1" applyFont="1" applyBorder="1" applyAlignment="1">
      <alignment horizontal="center" vertical="center"/>
    </xf>
    <xf numFmtId="168" fontId="6" fillId="0" borderId="61" xfId="0" applyNumberFormat="1" applyFont="1" applyBorder="1" applyAlignment="1">
      <alignment horizontal="center" vertical="center"/>
    </xf>
    <xf numFmtId="168" fontId="0" fillId="51" borderId="7" xfId="0" applyNumberFormat="1" applyFill="1" applyBorder="1" applyAlignment="1">
      <alignment horizontal="center" vertical="center"/>
    </xf>
    <xf numFmtId="168" fontId="0" fillId="0" borderId="0" xfId="0" applyNumberFormat="1"/>
    <xf numFmtId="205" fontId="6" fillId="0" borderId="7" xfId="0" applyNumberFormat="1" applyFont="1" applyBorder="1" applyAlignment="1">
      <alignment horizontal="center" vertical="center"/>
    </xf>
    <xf numFmtId="168" fontId="6" fillId="0" borderId="8" xfId="0" applyNumberFormat="1" applyFont="1" applyBorder="1" applyAlignment="1">
      <alignment horizontal="center" vertical="center"/>
    </xf>
    <xf numFmtId="205" fontId="0" fillId="0" borderId="0" xfId="0" applyNumberFormat="1" applyAlignment="1">
      <alignment horizontal="center" vertical="center"/>
    </xf>
    <xf numFmtId="168" fontId="0" fillId="0" borderId="0" xfId="0" applyNumberFormat="1" applyAlignment="1">
      <alignment horizontal="center" vertical="center"/>
    </xf>
    <xf numFmtId="205" fontId="0" fillId="0" borderId="7" xfId="0" applyNumberFormat="1" applyBorder="1" applyAlignment="1">
      <alignment horizontal="center" vertical="center"/>
    </xf>
    <xf numFmtId="0" fontId="6" fillId="0" borderId="7" xfId="0" applyFont="1" applyBorder="1" applyAlignment="1">
      <alignment horizontal="right" vertical="center"/>
    </xf>
    <xf numFmtId="202" fontId="6" fillId="0" borderId="7" xfId="0" applyNumberFormat="1" applyFont="1" applyBorder="1" applyAlignment="1">
      <alignment horizontal="center" vertical="center"/>
    </xf>
    <xf numFmtId="168" fontId="6" fillId="0" borderId="0" xfId="0" applyNumberFormat="1" applyFont="1" applyAlignment="1">
      <alignment horizontal="center" vertical="center"/>
    </xf>
    <xf numFmtId="168" fontId="0" fillId="53" borderId="7" xfId="0" applyNumberFormat="1" applyFill="1" applyBorder="1" applyAlignment="1">
      <alignment horizontal="right" vertical="center"/>
    </xf>
    <xf numFmtId="168" fontId="0" fillId="44" borderId="7" xfId="0" applyNumberFormat="1" applyFill="1" applyBorder="1" applyAlignment="1">
      <alignment horizontal="right" vertical="center"/>
    </xf>
    <xf numFmtId="202" fontId="6" fillId="0" borderId="7" xfId="0" applyNumberFormat="1" applyFont="1" applyBorder="1" applyAlignment="1">
      <alignment horizontal="right" vertical="center"/>
    </xf>
    <xf numFmtId="1" fontId="7" fillId="7" borderId="1" xfId="4" applyNumberFormat="1" applyFont="1" applyFill="1" applyBorder="1" applyAlignment="1">
      <alignment horizontal="center" vertical="center" wrapText="1"/>
    </xf>
    <xf numFmtId="1" fontId="7" fillId="7" borderId="3" xfId="4" applyNumberFormat="1" applyFont="1" applyFill="1" applyBorder="1" applyAlignment="1">
      <alignment horizontal="center" vertical="center" wrapText="1"/>
    </xf>
    <xf numFmtId="49" fontId="7" fillId="0" borderId="1" xfId="1" applyNumberFormat="1" applyFont="1" applyFill="1" applyBorder="1" applyAlignment="1">
      <alignment horizontal="left" vertical="center" wrapText="1" indent="2"/>
    </xf>
    <xf numFmtId="167" fontId="7" fillId="0" borderId="2" xfId="5" applyFont="1" applyFill="1" applyBorder="1" applyAlignment="1">
      <alignment horizontal="center" vertical="center"/>
    </xf>
    <xf numFmtId="170" fontId="27" fillId="0" borderId="1" xfId="1" applyFont="1" applyFill="1" applyBorder="1" applyAlignment="1">
      <alignment horizontal="right" vertical="center"/>
    </xf>
    <xf numFmtId="49" fontId="27" fillId="0" borderId="1" xfId="5" applyNumberFormat="1" applyFont="1" applyFill="1" applyBorder="1" applyAlignment="1">
      <alignment vertical="center" wrapText="1"/>
    </xf>
    <xf numFmtId="190" fontId="2" fillId="0" borderId="1" xfId="5" applyNumberFormat="1" applyFont="1" applyFill="1" applyBorder="1" applyAlignment="1">
      <alignment vertical="center"/>
    </xf>
    <xf numFmtId="49" fontId="7" fillId="0" borderId="0" xfId="1" applyNumberFormat="1" applyFont="1" applyAlignment="1">
      <alignment horizontal="left" vertical="center" wrapText="1"/>
    </xf>
    <xf numFmtId="49" fontId="32" fillId="0" borderId="1" xfId="1" applyNumberFormat="1" applyFont="1" applyFill="1" applyBorder="1" applyAlignment="1">
      <alignment horizontal="left" vertical="center" wrapText="1"/>
    </xf>
    <xf numFmtId="49" fontId="32" fillId="0" borderId="1" xfId="4" applyNumberFormat="1" applyFont="1" applyBorder="1" applyAlignment="1">
      <alignment horizontal="left" vertical="center" wrapText="1"/>
    </xf>
    <xf numFmtId="49" fontId="78" fillId="0" borderId="1" xfId="1" applyNumberFormat="1" applyFont="1" applyFill="1" applyBorder="1" applyAlignment="1">
      <alignment horizontal="left" vertical="center" wrapText="1"/>
    </xf>
    <xf numFmtId="49" fontId="78" fillId="0" borderId="1" xfId="1" applyNumberFormat="1" applyFont="1" applyFill="1" applyBorder="1" applyAlignment="1">
      <alignment horizontal="left" vertical="center" wrapText="1" indent="1"/>
    </xf>
    <xf numFmtId="0" fontId="226" fillId="0" borderId="1" xfId="14" applyFont="1" applyBorder="1" applyAlignment="1">
      <alignment horizontal="left" vertical="center" wrapText="1"/>
    </xf>
    <xf numFmtId="0" fontId="7" fillId="0" borderId="1" xfId="14" applyFont="1" applyBorder="1" applyAlignment="1">
      <alignment horizontal="left" vertical="center" wrapText="1"/>
    </xf>
    <xf numFmtId="49" fontId="32" fillId="0" borderId="1" xfId="1" applyNumberFormat="1" applyFont="1" applyFill="1" applyBorder="1" applyAlignment="1">
      <alignment horizontal="left" vertical="center" wrapText="1" indent="2"/>
    </xf>
    <xf numFmtId="0" fontId="7" fillId="0" borderId="1" xfId="4" applyFont="1" applyBorder="1" applyAlignment="1">
      <alignment horizontal="left" vertical="center" wrapText="1" indent="2"/>
    </xf>
    <xf numFmtId="49" fontId="169" fillId="0" borderId="1" xfId="1" applyNumberFormat="1" applyFont="1" applyFill="1" applyBorder="1" applyAlignment="1">
      <alignment horizontal="left" vertical="center" wrapText="1"/>
    </xf>
    <xf numFmtId="49" fontId="7" fillId="61" borderId="1" xfId="1" applyNumberFormat="1" applyFont="1" applyFill="1" applyBorder="1" applyAlignment="1">
      <alignment horizontal="left" vertical="center" wrapText="1"/>
    </xf>
    <xf numFmtId="49" fontId="63" fillId="4" borderId="1" xfId="1" applyNumberFormat="1" applyFont="1" applyFill="1" applyBorder="1" applyAlignment="1">
      <alignment horizontal="left" vertical="center" wrapText="1" indent="1"/>
    </xf>
    <xf numFmtId="49" fontId="7" fillId="16" borderId="1" xfId="1" applyNumberFormat="1" applyFont="1" applyFill="1" applyBorder="1" applyAlignment="1">
      <alignment horizontal="left" vertical="center" wrapText="1"/>
    </xf>
    <xf numFmtId="0" fontId="7" fillId="0" borderId="1" xfId="14" applyFont="1" applyBorder="1" applyAlignment="1">
      <alignment horizontal="left" vertical="center" wrapText="1" indent="2"/>
    </xf>
    <xf numFmtId="49" fontId="7" fillId="0" borderId="0" xfId="1" quotePrefix="1" applyNumberFormat="1" applyFont="1" applyAlignment="1">
      <alignment horizontal="left" vertical="center" wrapText="1"/>
    </xf>
    <xf numFmtId="49" fontId="7" fillId="0" borderId="0" xfId="1" applyNumberFormat="1" applyFont="1" applyAlignment="1">
      <alignment horizontal="left" vertical="center"/>
    </xf>
    <xf numFmtId="204" fontId="35" fillId="0" borderId="0" xfId="1" applyNumberFormat="1" applyFont="1"/>
    <xf numFmtId="0" fontId="7" fillId="0" borderId="1" xfId="0" applyFont="1" applyBorder="1" applyAlignment="1">
      <alignment horizontal="center" vertical="center" wrapText="1"/>
    </xf>
    <xf numFmtId="167" fontId="2" fillId="0" borderId="10" xfId="5" applyFont="1" applyFill="1" applyBorder="1" applyAlignment="1">
      <alignment horizontal="center" vertical="center"/>
    </xf>
    <xf numFmtId="0" fontId="27" fillId="0" borderId="2" xfId="4" applyFont="1" applyBorder="1" applyAlignment="1">
      <alignment horizontal="center" vertical="center" wrapText="1"/>
    </xf>
    <xf numFmtId="49" fontId="27" fillId="0" borderId="10" xfId="4" applyNumberFormat="1" applyFont="1" applyBorder="1" applyAlignment="1">
      <alignment horizontal="left" vertical="center" wrapText="1"/>
    </xf>
    <xf numFmtId="49" fontId="7" fillId="0" borderId="3" xfId="4" applyNumberFormat="1" applyFont="1" applyBorder="1" applyAlignment="1">
      <alignment horizontal="center" vertical="center" wrapText="1"/>
    </xf>
    <xf numFmtId="0" fontId="7" fillId="41" borderId="0" xfId="0" applyFont="1" applyFill="1" applyAlignment="1">
      <alignment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191" fillId="86" borderId="3" xfId="0" applyFont="1" applyFill="1" applyBorder="1" applyAlignment="1">
      <alignment horizontal="center" vertical="center" wrapText="1"/>
    </xf>
    <xf numFmtId="0" fontId="191" fillId="86" borderId="31" xfId="0" applyFont="1" applyFill="1" applyBorder="1" applyAlignment="1">
      <alignment horizontal="center" vertical="center" wrapText="1"/>
    </xf>
    <xf numFmtId="0" fontId="191" fillId="87" borderId="3" xfId="0" applyFont="1" applyFill="1" applyBorder="1" applyAlignment="1">
      <alignment horizontal="center" vertical="center" wrapText="1"/>
    </xf>
    <xf numFmtId="0" fontId="191" fillId="87" borderId="31" xfId="0" applyFont="1" applyFill="1" applyBorder="1" applyAlignment="1">
      <alignment horizontal="center" vertical="center" wrapText="1"/>
    </xf>
    <xf numFmtId="0" fontId="7" fillId="43" borderId="3" xfId="0" applyFont="1" applyFill="1" applyBorder="1" applyAlignment="1">
      <alignment horizontal="center" vertical="center" wrapText="1"/>
    </xf>
    <xf numFmtId="0" fontId="7" fillId="43" borderId="31" xfId="0" applyFont="1" applyFill="1" applyBorder="1" applyAlignment="1">
      <alignment horizontal="center" vertical="center" wrapText="1"/>
    </xf>
    <xf numFmtId="0" fontId="7" fillId="72" borderId="3" xfId="0" applyFont="1" applyFill="1" applyBorder="1" applyAlignment="1">
      <alignment horizontal="center" vertical="center" wrapText="1"/>
    </xf>
    <xf numFmtId="0" fontId="7" fillId="72" borderId="31" xfId="0" applyFont="1" applyFill="1" applyBorder="1" applyAlignment="1">
      <alignment horizontal="center" vertical="center" wrapText="1"/>
    </xf>
    <xf numFmtId="0" fontId="7" fillId="71" borderId="3" xfId="0" applyFont="1" applyFill="1" applyBorder="1" applyAlignment="1">
      <alignment horizontal="center" vertical="center" wrapText="1"/>
    </xf>
    <xf numFmtId="0" fontId="7" fillId="71" borderId="31" xfId="0" applyFont="1" applyFill="1" applyBorder="1" applyAlignment="1">
      <alignment horizontal="center" vertical="center" wrapText="1"/>
    </xf>
    <xf numFmtId="0" fontId="7" fillId="71" borderId="1" xfId="0" applyFont="1" applyFill="1" applyBorder="1" applyAlignment="1">
      <alignment horizontal="center" vertical="center" wrapText="1"/>
    </xf>
    <xf numFmtId="0" fontId="7" fillId="71" borderId="9" xfId="0" applyFont="1" applyFill="1" applyBorder="1" applyAlignment="1">
      <alignment horizontal="center" vertical="center" wrapText="1"/>
    </xf>
    <xf numFmtId="0" fontId="226" fillId="0" borderId="2" xfId="0" applyFont="1" applyBorder="1" applyAlignment="1">
      <alignment horizontal="center" vertical="center"/>
    </xf>
    <xf numFmtId="0" fontId="226" fillId="0" borderId="30" xfId="0" applyFont="1" applyBorder="1" applyAlignment="1">
      <alignment horizontal="center" vertical="center"/>
    </xf>
    <xf numFmtId="0" fontId="7" fillId="0" borderId="2" xfId="0" applyFont="1" applyBorder="1" applyAlignment="1">
      <alignment horizontal="center" vertical="center"/>
    </xf>
    <xf numFmtId="0" fontId="226" fillId="0" borderId="10" xfId="0" applyFont="1" applyBorder="1" applyAlignment="1">
      <alignment horizontal="center" vertical="center"/>
    </xf>
    <xf numFmtId="0" fontId="7" fillId="95" borderId="10" xfId="0" applyFont="1" applyFill="1" applyBorder="1" applyAlignment="1">
      <alignment horizontal="center" vertical="center" wrapText="1"/>
    </xf>
    <xf numFmtId="0" fontId="7" fillId="95" borderId="5" xfId="0" applyFont="1" applyFill="1" applyBorder="1" applyAlignment="1">
      <alignment horizontal="center" vertical="center" wrapText="1"/>
    </xf>
    <xf numFmtId="0" fontId="7" fillId="95" borderId="30" xfId="0" applyFont="1" applyFill="1" applyBorder="1" applyAlignment="1">
      <alignment horizontal="center" vertical="center" wrapText="1"/>
    </xf>
    <xf numFmtId="0" fontId="226" fillId="0" borderId="5" xfId="0" applyFont="1" applyBorder="1" applyAlignment="1">
      <alignment horizontal="center" vertical="center"/>
    </xf>
    <xf numFmtId="0" fontId="7" fillId="72" borderId="1" xfId="0" applyFont="1" applyFill="1" applyBorder="1" applyAlignment="1">
      <alignment horizontal="center" vertical="center" wrapText="1"/>
    </xf>
    <xf numFmtId="0" fontId="7" fillId="72" borderId="9"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31" xfId="0" applyFont="1" applyBorder="1" applyAlignment="1">
      <alignment horizontal="center" vertical="center" wrapText="1"/>
    </xf>
    <xf numFmtId="0" fontId="226" fillId="0" borderId="1" xfId="0" applyFont="1" applyBorder="1" applyAlignment="1">
      <alignment horizontal="center" vertical="center"/>
    </xf>
    <xf numFmtId="0" fontId="226" fillId="0" borderId="9" xfId="0" applyFont="1" applyBorder="1" applyAlignment="1">
      <alignment horizontal="center" vertical="center"/>
    </xf>
    <xf numFmtId="0" fontId="7" fillId="0" borderId="3" xfId="0" applyFont="1" applyBorder="1" applyAlignment="1">
      <alignment horizontal="center" vertical="center"/>
    </xf>
    <xf numFmtId="0" fontId="7" fillId="0" borderId="31" xfId="0" applyFont="1" applyBorder="1" applyAlignment="1">
      <alignment horizontal="center" vertical="center"/>
    </xf>
    <xf numFmtId="0" fontId="7" fillId="41" borderId="9" xfId="0" applyFont="1" applyFill="1" applyBorder="1" applyAlignment="1">
      <alignment horizontal="center" vertical="center"/>
    </xf>
    <xf numFmtId="0" fontId="7" fillId="41" borderId="31" xfId="0" applyFont="1" applyFill="1" applyBorder="1" applyAlignment="1">
      <alignment horizontal="center" vertical="center"/>
    </xf>
    <xf numFmtId="0" fontId="226" fillId="0" borderId="31" xfId="0" applyFont="1" applyBorder="1" applyAlignment="1">
      <alignment horizontal="center" vertical="center"/>
    </xf>
    <xf numFmtId="0" fontId="7" fillId="41" borderId="3" xfId="0" applyFont="1" applyFill="1" applyBorder="1" applyAlignment="1">
      <alignment horizontal="center" vertical="center"/>
    </xf>
    <xf numFmtId="0" fontId="226" fillId="0" borderId="3" xfId="0" applyFont="1" applyBorder="1" applyAlignment="1">
      <alignment horizontal="center" vertical="center"/>
    </xf>
    <xf numFmtId="0" fontId="7" fillId="0" borderId="10" xfId="0" applyFont="1" applyBorder="1" applyAlignment="1">
      <alignment horizontal="center" vertical="center"/>
    </xf>
    <xf numFmtId="0" fontId="7" fillId="0" borderId="5" xfId="0" applyFont="1" applyBorder="1" applyAlignment="1">
      <alignment horizontal="center" vertical="center"/>
    </xf>
    <xf numFmtId="0" fontId="7" fillId="0" borderId="3" xfId="0" applyFont="1" applyBorder="1" applyAlignment="1">
      <alignment horizontal="left" vertical="center" wrapText="1" indent="1"/>
    </xf>
    <xf numFmtId="0" fontId="7" fillId="0" borderId="1" xfId="0" applyFont="1" applyBorder="1" applyAlignment="1">
      <alignment horizontal="center" vertical="center"/>
    </xf>
    <xf numFmtId="0" fontId="7" fillId="0" borderId="9" xfId="0" applyFont="1" applyBorder="1" applyAlignment="1">
      <alignment horizontal="center" vertical="center"/>
    </xf>
    <xf numFmtId="0" fontId="78" fillId="0" borderId="3" xfId="0" applyFont="1" applyBorder="1" applyAlignment="1">
      <alignment horizontal="center" vertical="center"/>
    </xf>
    <xf numFmtId="0" fontId="78" fillId="0" borderId="31" xfId="0" applyFont="1" applyBorder="1" applyAlignment="1">
      <alignment horizontal="center" vertical="center"/>
    </xf>
    <xf numFmtId="0" fontId="7" fillId="0" borderId="30" xfId="0" applyFont="1" applyBorder="1" applyAlignment="1">
      <alignment horizontal="center" vertical="center"/>
    </xf>
    <xf numFmtId="0" fontId="7" fillId="0" borderId="3" xfId="0" applyFont="1" applyBorder="1" applyAlignment="1">
      <alignment horizontal="left" vertical="center" wrapText="1" indent="2"/>
    </xf>
    <xf numFmtId="0" fontId="188" fillId="0" borderId="3" xfId="0" applyFont="1" applyBorder="1" applyAlignment="1">
      <alignment horizontal="left" vertical="center" wrapText="1" indent="2"/>
    </xf>
    <xf numFmtId="0" fontId="154" fillId="0" borderId="3" xfId="0" applyFont="1" applyBorder="1" applyAlignment="1">
      <alignment horizontal="center" vertical="center"/>
    </xf>
    <xf numFmtId="0" fontId="154" fillId="0" borderId="31" xfId="0" applyFont="1" applyBorder="1" applyAlignment="1">
      <alignment horizontal="center" vertical="center"/>
    </xf>
    <xf numFmtId="0" fontId="27" fillId="0" borderId="3" xfId="0" applyFont="1" applyBorder="1" applyAlignment="1">
      <alignment horizontal="center" vertical="center" wrapText="1"/>
    </xf>
    <xf numFmtId="0" fontId="27" fillId="0" borderId="3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10" xfId="0" applyFont="1" applyBorder="1" applyAlignment="1">
      <alignment horizontal="center" vertical="center" wrapText="1"/>
    </xf>
    <xf numFmtId="0" fontId="169" fillId="0" borderId="3" xfId="0" applyFont="1" applyBorder="1" applyAlignment="1">
      <alignment horizontal="center" vertical="center" wrapText="1"/>
    </xf>
    <xf numFmtId="0" fontId="169" fillId="0" borderId="31" xfId="0" applyFont="1" applyBorder="1" applyAlignment="1">
      <alignment horizontal="center" vertical="center" wrapText="1"/>
    </xf>
    <xf numFmtId="0" fontId="169" fillId="0" borderId="5" xfId="0" applyFont="1" applyBorder="1" applyAlignment="1">
      <alignment horizontal="center" vertical="center" wrapText="1"/>
    </xf>
    <xf numFmtId="0" fontId="7" fillId="51" borderId="3" xfId="0" applyFont="1" applyFill="1" applyBorder="1" applyAlignment="1">
      <alignment horizontal="center" vertical="center" wrapText="1"/>
    </xf>
    <xf numFmtId="0" fontId="78" fillId="0" borderId="3" xfId="0" applyFont="1" applyBorder="1" applyAlignment="1">
      <alignment horizontal="center" vertical="center" wrapText="1"/>
    </xf>
    <xf numFmtId="0" fontId="78" fillId="0" borderId="31" xfId="0" applyFont="1" applyBorder="1" applyAlignment="1">
      <alignment horizontal="center" vertical="center" wrapText="1"/>
    </xf>
    <xf numFmtId="0" fontId="32" fillId="76" borderId="1" xfId="0" applyFont="1" applyFill="1" applyBorder="1" applyAlignment="1">
      <alignment horizontal="left" vertical="center" wrapText="1"/>
    </xf>
    <xf numFmtId="0" fontId="118" fillId="0" borderId="1" xfId="0" applyFont="1" applyBorder="1" applyAlignment="1">
      <alignment vertical="center" wrapText="1"/>
    </xf>
    <xf numFmtId="0" fontId="27" fillId="0" borderId="31" xfId="0" applyFont="1" applyBorder="1" applyAlignment="1">
      <alignment horizontal="center" vertical="center"/>
    </xf>
    <xf numFmtId="0" fontId="78" fillId="0" borderId="30" xfId="0" applyFont="1" applyBorder="1" applyAlignment="1">
      <alignment horizontal="center" vertical="center"/>
    </xf>
    <xf numFmtId="170" fontId="2" fillId="0" borderId="1" xfId="1" applyFont="1" applyBorder="1" applyAlignment="1">
      <alignment horizontal="right" vertical="center"/>
    </xf>
    <xf numFmtId="0" fontId="7" fillId="41" borderId="3" xfId="0" applyFont="1" applyFill="1" applyBorder="1" applyAlignment="1">
      <alignment horizontal="center" vertical="center" wrapText="1"/>
    </xf>
    <xf numFmtId="0" fontId="7" fillId="41" borderId="31" xfId="0" applyFont="1" applyFill="1" applyBorder="1" applyAlignment="1">
      <alignment horizontal="center" vertical="center" wrapText="1"/>
    </xf>
    <xf numFmtId="0" fontId="27" fillId="0" borderId="3" xfId="0" applyFont="1" applyBorder="1" applyAlignment="1">
      <alignment horizontal="center" vertical="center"/>
    </xf>
    <xf numFmtId="1"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xf>
    <xf numFmtId="0" fontId="27" fillId="0" borderId="0" xfId="0" applyFont="1"/>
    <xf numFmtId="0" fontId="7" fillId="88" borderId="11" xfId="0" applyFont="1" applyFill="1" applyBorder="1" applyAlignment="1">
      <alignment horizontal="center" wrapText="1"/>
    </xf>
    <xf numFmtId="0" fontId="7" fillId="88" borderId="1" xfId="0" applyFont="1" applyFill="1" applyBorder="1" applyAlignment="1">
      <alignment horizontal="center" wrapText="1"/>
    </xf>
    <xf numFmtId="0" fontId="7" fillId="88" borderId="3" xfId="0" applyFont="1" applyFill="1" applyBorder="1" applyAlignment="1">
      <alignment horizontal="center" wrapText="1"/>
    </xf>
    <xf numFmtId="0" fontId="7" fillId="88" borderId="31" xfId="0" applyFont="1" applyFill="1" applyBorder="1" applyAlignment="1">
      <alignment horizontal="center" wrapText="1"/>
    </xf>
    <xf numFmtId="0" fontId="154" fillId="0" borderId="10" xfId="0" applyFont="1" applyBorder="1" applyAlignment="1">
      <alignment horizontal="center"/>
    </xf>
    <xf numFmtId="0" fontId="154" fillId="0" borderId="0" xfId="0" applyFont="1" applyAlignment="1">
      <alignment horizontal="center"/>
    </xf>
    <xf numFmtId="3" fontId="154" fillId="0" borderId="3" xfId="0" applyNumberFormat="1" applyFont="1" applyBorder="1" applyAlignment="1">
      <alignment horizontal="center"/>
    </xf>
    <xf numFmtId="3" fontId="154" fillId="0" borderId="31" xfId="0" applyNumberFormat="1" applyFont="1" applyBorder="1" applyAlignment="1">
      <alignment horizontal="center"/>
    </xf>
    <xf numFmtId="0" fontId="154" fillId="0" borderId="2" xfId="0" applyFont="1" applyBorder="1" applyAlignment="1">
      <alignment horizontal="center"/>
    </xf>
    <xf numFmtId="0" fontId="154" fillId="0" borderId="29" xfId="0" applyFont="1" applyBorder="1" applyAlignment="1">
      <alignment horizontal="center"/>
    </xf>
    <xf numFmtId="0" fontId="27" fillId="41" borderId="2" xfId="0" applyFont="1" applyFill="1" applyBorder="1" applyAlignment="1">
      <alignment horizontal="center"/>
    </xf>
    <xf numFmtId="0" fontId="27" fillId="41" borderId="29" xfId="0" applyFont="1" applyFill="1" applyBorder="1" applyAlignment="1">
      <alignment horizontal="center"/>
    </xf>
    <xf numFmtId="0" fontId="27" fillId="0" borderId="2" xfId="0" applyFont="1" applyBorder="1" applyAlignment="1">
      <alignment horizontal="center" wrapText="1"/>
    </xf>
    <xf numFmtId="0" fontId="27" fillId="0" borderId="29" xfId="0" applyFont="1" applyBorder="1" applyAlignment="1">
      <alignment horizontal="center" wrapText="1"/>
    </xf>
    <xf numFmtId="0" fontId="27" fillId="0" borderId="2" xfId="0" applyFont="1" applyBorder="1" applyAlignment="1">
      <alignment horizontal="center"/>
    </xf>
    <xf numFmtId="0" fontId="27" fillId="0" borderId="1" xfId="0" applyFont="1" applyBorder="1" applyAlignment="1">
      <alignment horizontal="center" wrapText="1"/>
    </xf>
    <xf numFmtId="0" fontId="27" fillId="0" borderId="11" xfId="0" applyFont="1" applyBorder="1" applyAlignment="1">
      <alignment horizontal="center" wrapText="1"/>
    </xf>
    <xf numFmtId="0" fontId="7" fillId="0" borderId="0" xfId="0" applyFont="1"/>
    <xf numFmtId="3" fontId="7" fillId="88" borderId="3" xfId="0" applyNumberFormat="1" applyFont="1" applyFill="1" applyBorder="1" applyAlignment="1">
      <alignment horizontal="center"/>
    </xf>
    <xf numFmtId="0" fontId="7" fillId="0" borderId="0" xfId="0" applyFont="1" applyAlignment="1">
      <alignment horizontal="center"/>
    </xf>
    <xf numFmtId="195" fontId="7" fillId="0" borderId="0" xfId="0" applyNumberFormat="1" applyFont="1"/>
    <xf numFmtId="0" fontId="27" fillId="0" borderId="0" xfId="0" applyFont="1" applyAlignment="1">
      <alignment horizontal="center"/>
    </xf>
    <xf numFmtId="0" fontId="7" fillId="72" borderId="2" xfId="0" applyFont="1" applyFill="1" applyBorder="1" applyAlignment="1">
      <alignment horizontal="center" wrapText="1"/>
    </xf>
    <xf numFmtId="0" fontId="7" fillId="72" borderId="5" xfId="0" applyFont="1" applyFill="1" applyBorder="1" applyAlignment="1">
      <alignment horizontal="center" wrapText="1"/>
    </xf>
    <xf numFmtId="0" fontId="7" fillId="72" borderId="31" xfId="0" applyFont="1" applyFill="1" applyBorder="1" applyAlignment="1">
      <alignment horizontal="center" wrapText="1"/>
    </xf>
    <xf numFmtId="3" fontId="7" fillId="72" borderId="3" xfId="0" applyNumberFormat="1" applyFont="1" applyFill="1" applyBorder="1" applyAlignment="1">
      <alignment horizontal="center"/>
    </xf>
    <xf numFmtId="0" fontId="7" fillId="88" borderId="145" xfId="0" applyFont="1" applyFill="1" applyBorder="1" applyAlignment="1">
      <alignment horizontal="center" wrapText="1"/>
    </xf>
    <xf numFmtId="3" fontId="154" fillId="0" borderId="145" xfId="0" applyNumberFormat="1" applyFont="1" applyBorder="1" applyAlignment="1">
      <alignment horizontal="center"/>
    </xf>
    <xf numFmtId="3" fontId="7" fillId="88" borderId="145" xfId="0" applyNumberFormat="1" applyFont="1" applyFill="1" applyBorder="1" applyAlignment="1">
      <alignment horizontal="center"/>
    </xf>
    <xf numFmtId="0" fontId="7" fillId="89" borderId="2" xfId="0" applyFont="1" applyFill="1" applyBorder="1" applyAlignment="1">
      <alignment horizontal="center" wrapText="1"/>
    </xf>
    <xf numFmtId="0" fontId="7" fillId="89" borderId="5" xfId="0" applyFont="1" applyFill="1" applyBorder="1" applyAlignment="1">
      <alignment horizontal="center" vertical="center" wrapText="1"/>
    </xf>
    <xf numFmtId="0" fontId="7" fillId="72" borderId="5" xfId="0" applyFont="1" applyFill="1" applyBorder="1" applyAlignment="1">
      <alignment horizontal="center" vertical="center" wrapText="1"/>
    </xf>
    <xf numFmtId="0" fontId="7" fillId="90" borderId="5" xfId="0" applyFont="1" applyFill="1" applyBorder="1" applyAlignment="1">
      <alignment horizontal="center" vertical="center" wrapText="1"/>
    </xf>
    <xf numFmtId="3" fontId="7" fillId="89" borderId="3" xfId="0" applyNumberFormat="1" applyFont="1" applyFill="1" applyBorder="1" applyAlignment="1">
      <alignment horizontal="center"/>
    </xf>
    <xf numFmtId="3" fontId="7" fillId="90" borderId="3" xfId="0" applyNumberFormat="1" applyFont="1" applyFill="1" applyBorder="1" applyAlignment="1">
      <alignment horizontal="center"/>
    </xf>
    <xf numFmtId="167" fontId="27" fillId="0" borderId="0" xfId="4" applyNumberFormat="1" applyFont="1" applyAlignment="1">
      <alignment horizontal="center" vertical="center" wrapText="1"/>
    </xf>
    <xf numFmtId="0" fontId="7" fillId="0" borderId="0" xfId="4" applyFont="1" applyAlignment="1">
      <alignment horizontal="center" vertical="center"/>
    </xf>
    <xf numFmtId="0" fontId="7" fillId="0" borderId="0" xfId="4" applyFont="1" applyAlignment="1">
      <alignment horizontal="left" vertical="center"/>
    </xf>
    <xf numFmtId="0" fontId="27" fillId="0" borderId="0" xfId="4" applyFont="1" applyAlignment="1">
      <alignment horizontal="center" vertical="center" wrapText="1"/>
    </xf>
    <xf numFmtId="0" fontId="227" fillId="41" borderId="0" xfId="0" applyFont="1" applyFill="1"/>
    <xf numFmtId="49" fontId="63" fillId="12" borderId="2" xfId="4" applyNumberFormat="1" applyFont="1" applyFill="1" applyBorder="1" applyAlignment="1">
      <alignment horizontal="center" vertical="center" wrapText="1"/>
    </xf>
    <xf numFmtId="49" fontId="63" fillId="0" borderId="0" xfId="4" applyNumberFormat="1" applyFont="1" applyAlignment="1">
      <alignment horizontal="center" vertical="center"/>
    </xf>
    <xf numFmtId="49" fontId="7" fillId="19" borderId="12" xfId="4" applyNumberFormat="1" applyFont="1" applyFill="1" applyBorder="1" applyAlignment="1">
      <alignment horizontal="left" vertical="center" wrapText="1"/>
    </xf>
    <xf numFmtId="49" fontId="7" fillId="0" borderId="0" xfId="4" applyNumberFormat="1" applyFont="1" applyAlignment="1">
      <alignment horizontal="center" vertical="center"/>
    </xf>
    <xf numFmtId="49" fontId="7" fillId="19" borderId="9" xfId="4" applyNumberFormat="1" applyFont="1" applyFill="1" applyBorder="1" applyAlignment="1">
      <alignment horizontal="right" vertical="center"/>
    </xf>
    <xf numFmtId="49" fontId="7" fillId="28" borderId="12" xfId="4" applyNumberFormat="1" applyFont="1" applyFill="1" applyBorder="1" applyAlignment="1">
      <alignment horizontal="left" vertical="center" wrapText="1"/>
    </xf>
    <xf numFmtId="49" fontId="7" fillId="0" borderId="0" xfId="4" applyNumberFormat="1" applyFont="1" applyAlignment="1">
      <alignment horizontal="center" vertical="center" wrapText="1"/>
    </xf>
    <xf numFmtId="49" fontId="7" fillId="28" borderId="9" xfId="4" applyNumberFormat="1" applyFont="1" applyFill="1" applyBorder="1" applyAlignment="1">
      <alignment horizontal="right" vertical="center" wrapText="1"/>
    </xf>
    <xf numFmtId="49" fontId="69" fillId="50" borderId="28" xfId="4" applyNumberFormat="1" applyFont="1" applyFill="1" applyBorder="1" applyAlignment="1">
      <alignment horizontal="left" vertical="center" wrapText="1"/>
    </xf>
    <xf numFmtId="49" fontId="7" fillId="50" borderId="9" xfId="4" applyNumberFormat="1" applyFont="1" applyFill="1" applyBorder="1" applyAlignment="1">
      <alignment horizontal="right" vertical="center" wrapText="1"/>
    </xf>
    <xf numFmtId="49" fontId="69" fillId="50" borderId="2" xfId="4" applyNumberFormat="1" applyFont="1" applyFill="1" applyBorder="1" applyAlignment="1">
      <alignment horizontal="left" vertical="center" wrapText="1"/>
    </xf>
    <xf numFmtId="0" fontId="2" fillId="0" borderId="0" xfId="0" applyFont="1" applyAlignment="1">
      <alignment horizontal="center"/>
    </xf>
    <xf numFmtId="0" fontId="27" fillId="0" borderId="12" xfId="4" applyFont="1" applyBorder="1" applyAlignment="1">
      <alignment vertical="center" wrapText="1"/>
    </xf>
    <xf numFmtId="0" fontId="82" fillId="0" borderId="0" xfId="0" applyFont="1" applyAlignment="1">
      <alignment horizontal="center" vertical="center"/>
    </xf>
    <xf numFmtId="49" fontId="27" fillId="0" borderId="9" xfId="4" applyNumberFormat="1" applyFont="1" applyBorder="1" applyAlignment="1">
      <alignment horizontal="right" vertical="center"/>
    </xf>
    <xf numFmtId="49" fontId="69" fillId="50" borderId="12" xfId="4" applyNumberFormat="1" applyFont="1" applyFill="1" applyBorder="1" applyAlignment="1">
      <alignment horizontal="left" vertical="center" wrapText="1"/>
    </xf>
    <xf numFmtId="49" fontId="69" fillId="50" borderId="1" xfId="4" applyNumberFormat="1" applyFont="1" applyFill="1" applyBorder="1" applyAlignment="1">
      <alignment horizontal="left" vertical="center" wrapText="1"/>
    </xf>
    <xf numFmtId="49" fontId="82" fillId="0" borderId="0" xfId="4" applyNumberFormat="1" applyFont="1" applyAlignment="1">
      <alignment horizontal="center" vertical="center"/>
    </xf>
    <xf numFmtId="0" fontId="82" fillId="0" borderId="0" xfId="0" applyFont="1" applyAlignment="1">
      <alignment horizontal="left" vertical="center"/>
    </xf>
    <xf numFmtId="49" fontId="82" fillId="0" borderId="0" xfId="4" applyNumberFormat="1" applyFont="1" applyAlignment="1">
      <alignment horizontal="left" vertical="center"/>
    </xf>
    <xf numFmtId="49" fontId="69" fillId="0" borderId="1" xfId="4" applyNumberFormat="1" applyFont="1" applyBorder="1" applyAlignment="1">
      <alignment horizontal="left" vertical="center" wrapText="1"/>
    </xf>
    <xf numFmtId="0" fontId="27" fillId="0" borderId="28" xfId="4" applyFont="1" applyBorder="1" applyAlignment="1">
      <alignment vertical="center" wrapText="1"/>
    </xf>
    <xf numFmtId="49" fontId="27" fillId="0" borderId="0" xfId="4" applyNumberFormat="1" applyFont="1" applyAlignment="1">
      <alignment horizontal="left" vertical="center"/>
    </xf>
    <xf numFmtId="0" fontId="7" fillId="0" borderId="28" xfId="4" applyFont="1" applyBorder="1" applyAlignment="1">
      <alignment vertical="center" wrapText="1"/>
    </xf>
    <xf numFmtId="0" fontId="7" fillId="0" borderId="2" xfId="4" applyFont="1" applyBorder="1" applyAlignment="1">
      <alignment vertical="center" wrapText="1"/>
    </xf>
    <xf numFmtId="0" fontId="183" fillId="0" borderId="28" xfId="4" applyFont="1" applyBorder="1" applyAlignment="1">
      <alignment vertical="center" wrapText="1"/>
    </xf>
    <xf numFmtId="49" fontId="183" fillId="0" borderId="9" xfId="4" applyNumberFormat="1" applyFont="1" applyBorder="1" applyAlignment="1">
      <alignment horizontal="right" vertical="center"/>
    </xf>
    <xf numFmtId="1" fontId="183" fillId="0" borderId="1" xfId="4" applyNumberFormat="1" applyFont="1" applyBorder="1" applyAlignment="1">
      <alignment horizontal="center" vertical="center" wrapText="1"/>
    </xf>
    <xf numFmtId="49" fontId="27" fillId="50" borderId="9" xfId="4" applyNumberFormat="1" applyFont="1" applyFill="1" applyBorder="1" applyAlignment="1">
      <alignment horizontal="right" vertical="center" wrapText="1"/>
    </xf>
    <xf numFmtId="0" fontId="27" fillId="0" borderId="28" xfId="4" applyFont="1" applyBorder="1" applyAlignment="1">
      <alignment horizontal="left" vertical="center" wrapText="1"/>
    </xf>
    <xf numFmtId="49" fontId="2" fillId="0" borderId="2" xfId="5" applyNumberFormat="1" applyFont="1" applyBorder="1" applyAlignment="1">
      <alignment vertical="center" wrapText="1"/>
    </xf>
    <xf numFmtId="49" fontId="69" fillId="0" borderId="12" xfId="4" applyNumberFormat="1" applyFont="1" applyBorder="1" applyAlignment="1">
      <alignment horizontal="left" vertical="center" wrapText="1"/>
    </xf>
    <xf numFmtId="0" fontId="154" fillId="0" borderId="0" xfId="0" applyFont="1" applyAlignment="1">
      <alignment horizontal="left" vertical="center"/>
    </xf>
    <xf numFmtId="0" fontId="2" fillId="16" borderId="0" xfId="0" applyFont="1" applyFill="1"/>
    <xf numFmtId="0" fontId="32" fillId="0" borderId="0" xfId="0" applyFont="1"/>
    <xf numFmtId="0" fontId="183" fillId="0" borderId="2" xfId="4" applyFont="1" applyBorder="1" applyAlignment="1">
      <alignment vertical="center" wrapText="1"/>
    </xf>
    <xf numFmtId="0" fontId="27" fillId="0" borderId="12" xfId="4" applyFont="1" applyBorder="1" applyAlignment="1">
      <alignment horizontal="left" vertical="center" wrapText="1"/>
    </xf>
    <xf numFmtId="1" fontId="7" fillId="0" borderId="28" xfId="4" applyNumberFormat="1" applyFont="1" applyBorder="1" applyAlignment="1">
      <alignment horizontal="center" vertical="center" wrapText="1"/>
    </xf>
    <xf numFmtId="0" fontId="167" fillId="0" borderId="0" xfId="0" applyFont="1"/>
    <xf numFmtId="49" fontId="7" fillId="0" borderId="9" xfId="4" applyNumberFormat="1" applyFont="1" applyBorder="1" applyAlignment="1">
      <alignment horizontal="right" vertical="center" wrapText="1"/>
    </xf>
    <xf numFmtId="49" fontId="7" fillId="0" borderId="9" xfId="4" applyNumberFormat="1" applyFont="1" applyBorder="1" applyAlignment="1">
      <alignment horizontal="right" vertical="center"/>
    </xf>
    <xf numFmtId="0" fontId="27" fillId="0" borderId="12" xfId="14" applyFont="1" applyBorder="1" applyAlignment="1">
      <alignment vertical="center" wrapText="1"/>
    </xf>
    <xf numFmtId="49" fontId="7" fillId="50" borderId="12" xfId="4" applyNumberFormat="1" applyFont="1" applyFill="1" applyBorder="1" applyAlignment="1">
      <alignment horizontal="left" vertical="center" wrapText="1"/>
    </xf>
    <xf numFmtId="0" fontId="27" fillId="16" borderId="12" xfId="4" applyFont="1" applyFill="1" applyBorder="1" applyAlignment="1">
      <alignment horizontal="left" vertical="center" wrapText="1"/>
    </xf>
    <xf numFmtId="170" fontId="2" fillId="0" borderId="0" xfId="0" applyNumberFormat="1" applyFont="1"/>
    <xf numFmtId="49" fontId="27" fillId="0" borderId="2" xfId="5" applyNumberFormat="1" applyFont="1" applyFill="1" applyBorder="1" applyAlignment="1">
      <alignment vertical="center" wrapText="1"/>
    </xf>
    <xf numFmtId="0" fontId="82" fillId="0" borderId="12" xfId="4" applyFont="1" applyBorder="1" applyAlignment="1">
      <alignment horizontal="left" vertical="center" wrapText="1"/>
    </xf>
    <xf numFmtId="49" fontId="82" fillId="0" borderId="9" xfId="4" applyNumberFormat="1" applyFont="1" applyBorder="1" applyAlignment="1">
      <alignment horizontal="right" vertical="center"/>
    </xf>
    <xf numFmtId="0" fontId="27" fillId="0" borderId="12" xfId="4" applyFont="1" applyBorder="1" applyAlignment="1">
      <alignment horizontal="center" vertical="center" wrapText="1"/>
    </xf>
    <xf numFmtId="49" fontId="71" fillId="0" borderId="12" xfId="4" applyNumberFormat="1" applyFont="1" applyBorder="1" applyAlignment="1">
      <alignment horizontal="left" vertical="center" wrapText="1"/>
    </xf>
    <xf numFmtId="49" fontId="27" fillId="0" borderId="9" xfId="4" applyNumberFormat="1" applyFont="1" applyBorder="1" applyAlignment="1">
      <alignment horizontal="right" vertical="center" wrapText="1"/>
    </xf>
    <xf numFmtId="49" fontId="71" fillId="0" borderId="1" xfId="4" applyNumberFormat="1" applyFont="1" applyBorder="1" applyAlignment="1">
      <alignment horizontal="left" vertical="center" wrapText="1"/>
    </xf>
    <xf numFmtId="167" fontId="2" fillId="0" borderId="12" xfId="5" applyFont="1" applyBorder="1" applyAlignment="1">
      <alignment vertical="center"/>
    </xf>
    <xf numFmtId="167" fontId="32" fillId="0" borderId="12" xfId="5" applyFont="1" applyBorder="1" applyAlignment="1">
      <alignment vertical="center"/>
    </xf>
    <xf numFmtId="49" fontId="27" fillId="0" borderId="12" xfId="4" applyNumberFormat="1" applyFont="1" applyBorder="1" applyAlignment="1">
      <alignment horizontal="left" vertical="center" wrapText="1"/>
    </xf>
    <xf numFmtId="49" fontId="63" fillId="27" borderId="3" xfId="4" applyNumberFormat="1" applyFont="1" applyFill="1" applyBorder="1" applyAlignment="1">
      <alignment horizontal="center" vertical="center" wrapText="1"/>
    </xf>
    <xf numFmtId="49" fontId="63" fillId="0" borderId="3" xfId="4" applyNumberFormat="1" applyFont="1" applyBorder="1" applyAlignment="1">
      <alignment horizontal="center" vertical="center"/>
    </xf>
    <xf numFmtId="1" fontId="27" fillId="27" borderId="1" xfId="4" applyNumberFormat="1" applyFont="1" applyFill="1" applyBorder="1" applyAlignment="1">
      <alignment horizontal="center" vertical="center" wrapText="1"/>
    </xf>
    <xf numFmtId="49" fontId="82" fillId="0" borderId="9" xfId="5" applyNumberFormat="1" applyFont="1" applyBorder="1" applyAlignment="1">
      <alignment vertical="center" wrapText="1"/>
    </xf>
    <xf numFmtId="49" fontId="82" fillId="0" borderId="30" xfId="5" applyNumberFormat="1" applyFont="1" applyBorder="1" applyAlignment="1">
      <alignment vertical="center" wrapText="1"/>
    </xf>
    <xf numFmtId="49" fontId="2" fillId="0" borderId="0" xfId="4" applyNumberFormat="1" applyFont="1" applyAlignment="1">
      <alignment horizontal="center" vertical="center" wrapText="1"/>
    </xf>
    <xf numFmtId="0" fontId="2" fillId="0" borderId="3" xfId="4" applyFont="1" applyBorder="1" applyAlignment="1">
      <alignment horizontal="left" vertical="center" wrapText="1"/>
    </xf>
    <xf numFmtId="0" fontId="82" fillId="0" borderId="3" xfId="4" applyFont="1" applyBorder="1" applyAlignment="1">
      <alignment horizontal="left" vertical="center" wrapText="1"/>
    </xf>
    <xf numFmtId="0" fontId="2" fillId="0" borderId="3" xfId="0" applyFont="1" applyBorder="1" applyAlignment="1">
      <alignment horizontal="left" vertical="center" wrapText="1"/>
    </xf>
    <xf numFmtId="0" fontId="2" fillId="0" borderId="3" xfId="0" applyFont="1" applyBorder="1" applyAlignment="1">
      <alignment horizontal="center" vertical="center" wrapText="1"/>
    </xf>
    <xf numFmtId="0" fontId="2" fillId="0" borderId="3" xfId="0" applyFont="1" applyBorder="1" applyAlignment="1">
      <alignment vertical="center" wrapText="1"/>
    </xf>
    <xf numFmtId="0" fontId="32" fillId="0" borderId="3" xfId="0" applyFont="1" applyBorder="1" applyAlignment="1">
      <alignment horizontal="left" vertical="center" wrapText="1"/>
    </xf>
    <xf numFmtId="0" fontId="7" fillId="0" borderId="10" xfId="4" applyFont="1" applyBorder="1" applyAlignment="1">
      <alignment horizontal="center" vertical="center" wrapText="1"/>
    </xf>
    <xf numFmtId="0" fontId="32" fillId="0" borderId="3" xfId="0" applyFont="1" applyBorder="1" applyAlignment="1">
      <alignment horizontal="center" vertical="center"/>
    </xf>
    <xf numFmtId="0" fontId="32" fillId="0" borderId="3" xfId="0" applyFont="1" applyBorder="1" applyAlignment="1">
      <alignment horizontal="right" vertical="center" wrapText="1"/>
    </xf>
    <xf numFmtId="167" fontId="32" fillId="0" borderId="3" xfId="0" applyNumberFormat="1" applyFont="1" applyBorder="1" applyAlignment="1">
      <alignment vertical="center"/>
    </xf>
    <xf numFmtId="0" fontId="32" fillId="0" borderId="3" xfId="0" applyFont="1" applyBorder="1" applyAlignment="1">
      <alignment vertical="center" wrapText="1"/>
    </xf>
    <xf numFmtId="0" fontId="2" fillId="0" borderId="1" xfId="4" applyFont="1" applyBorder="1" applyAlignment="1">
      <alignment horizontal="center" vertical="center" wrapText="1"/>
    </xf>
    <xf numFmtId="49" fontId="148" fillId="0" borderId="2" xfId="4" applyNumberFormat="1" applyFont="1" applyBorder="1" applyAlignment="1">
      <alignment horizontal="left" vertical="center" wrapText="1"/>
    </xf>
    <xf numFmtId="0" fontId="82" fillId="0" borderId="0" xfId="0" applyFont="1"/>
    <xf numFmtId="1" fontId="27" fillId="0" borderId="2" xfId="4" applyNumberFormat="1" applyFont="1" applyBorder="1" applyAlignment="1">
      <alignment horizontal="left" vertical="center" wrapText="1"/>
    </xf>
    <xf numFmtId="0" fontId="2" fillId="0" borderId="10" xfId="0" applyFont="1" applyBorder="1" applyAlignment="1">
      <alignment horizontal="center" vertical="center" wrapText="1"/>
    </xf>
    <xf numFmtId="49" fontId="78" fillId="0" borderId="1" xfId="4" applyNumberFormat="1" applyFont="1" applyBorder="1" applyAlignment="1">
      <alignment horizontal="center" vertical="center" wrapText="1"/>
    </xf>
    <xf numFmtId="49" fontId="63" fillId="0" borderId="1" xfId="4" applyNumberFormat="1" applyFont="1" applyBorder="1" applyAlignment="1">
      <alignment horizontal="center" vertical="center"/>
    </xf>
    <xf numFmtId="49" fontId="7" fillId="0" borderId="12" xfId="4" applyNumberFormat="1" applyFont="1" applyBorder="1" applyAlignment="1">
      <alignment horizontal="center" vertical="center"/>
    </xf>
    <xf numFmtId="49" fontId="7" fillId="0" borderId="12" xfId="4" applyNumberFormat="1" applyFont="1" applyBorder="1" applyAlignment="1">
      <alignment horizontal="center" vertical="center" wrapText="1"/>
    </xf>
    <xf numFmtId="49" fontId="27" fillId="0" borderId="12" xfId="4" applyNumberFormat="1" applyFont="1" applyBorder="1" applyAlignment="1">
      <alignment horizontal="center" vertical="center" wrapText="1"/>
    </xf>
    <xf numFmtId="49" fontId="82" fillId="0" borderId="1" xfId="5" applyNumberFormat="1" applyFont="1" applyFill="1" applyBorder="1" applyAlignment="1">
      <alignment horizontal="left" vertical="center" wrapText="1"/>
    </xf>
    <xf numFmtId="49" fontId="7" fillId="0" borderId="12" xfId="4" applyNumberFormat="1" applyFont="1" applyBorder="1" applyAlignment="1">
      <alignment horizontal="righ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49" fontId="27" fillId="0" borderId="12" xfId="4" applyNumberFormat="1" applyFont="1" applyBorder="1" applyAlignment="1">
      <alignment horizontal="center" vertical="center"/>
    </xf>
    <xf numFmtId="49" fontId="69" fillId="16" borderId="1" xfId="4" applyNumberFormat="1" applyFont="1" applyFill="1" applyBorder="1" applyAlignment="1">
      <alignment horizontal="left" vertical="center" wrapText="1"/>
    </xf>
    <xf numFmtId="49" fontId="32" fillId="0" borderId="1" xfId="4" applyNumberFormat="1" applyFont="1" applyBorder="1" applyAlignment="1">
      <alignment horizontal="center" vertical="center" wrapText="1"/>
    </xf>
    <xf numFmtId="0" fontId="7" fillId="0" borderId="1" xfId="4" applyFont="1" applyBorder="1" applyAlignment="1">
      <alignment horizontal="center" vertical="center" wrapText="1"/>
    </xf>
    <xf numFmtId="0" fontId="27" fillId="0" borderId="1" xfId="0" applyFont="1" applyBorder="1" applyAlignment="1">
      <alignment horizontal="center" vertical="center" wrapText="1"/>
    </xf>
    <xf numFmtId="0" fontId="2" fillId="0" borderId="0" xfId="0" quotePrefix="1" applyFont="1"/>
    <xf numFmtId="2" fontId="27" fillId="0" borderId="0" xfId="4" applyNumberFormat="1" applyFont="1" applyAlignment="1">
      <alignment horizontal="center" vertical="center" wrapText="1"/>
    </xf>
    <xf numFmtId="191" fontId="27" fillId="0" borderId="0" xfId="1" applyNumberFormat="1" applyFont="1" applyAlignment="1">
      <alignment horizontal="center" vertical="center" wrapText="1"/>
    </xf>
    <xf numFmtId="171" fontId="27" fillId="0" borderId="0" xfId="4" applyNumberFormat="1" applyFont="1" applyAlignment="1">
      <alignment horizontal="center" vertical="center" wrapText="1"/>
    </xf>
    <xf numFmtId="49" fontId="63" fillId="0" borderId="0" xfId="4" applyNumberFormat="1" applyFont="1" applyAlignment="1">
      <alignment horizontal="center" vertical="center" wrapText="1"/>
    </xf>
    <xf numFmtId="0" fontId="227" fillId="41" borderId="141" xfId="0" applyFont="1" applyFill="1" applyBorder="1" applyAlignment="1">
      <alignment horizontal="center"/>
    </xf>
    <xf numFmtId="0" fontId="227" fillId="41" borderId="142" xfId="0" applyFont="1" applyFill="1" applyBorder="1" applyAlignment="1">
      <alignment horizontal="center"/>
    </xf>
    <xf numFmtId="0" fontId="227" fillId="41" borderId="3" xfId="0" applyFont="1" applyFill="1" applyBorder="1" applyAlignment="1">
      <alignment horizontal="center"/>
    </xf>
    <xf numFmtId="49" fontId="27" fillId="0" borderId="11" xfId="4" applyNumberFormat="1" applyFont="1" applyBorder="1" applyAlignment="1">
      <alignment horizontal="right" vertical="center"/>
    </xf>
    <xf numFmtId="0" fontId="7" fillId="0" borderId="2" xfId="4" applyFont="1" applyBorder="1" applyAlignment="1">
      <alignment horizontal="center" vertical="center" wrapText="1"/>
    </xf>
    <xf numFmtId="49" fontId="169" fillId="0" borderId="2" xfId="4" applyNumberFormat="1" applyFont="1" applyBorder="1" applyAlignment="1">
      <alignment horizontal="center" vertical="center" wrapText="1"/>
    </xf>
    <xf numFmtId="1" fontId="7" fillId="50" borderId="2" xfId="4" applyNumberFormat="1" applyFont="1" applyFill="1" applyBorder="1" applyAlignment="1">
      <alignment vertical="center" wrapText="1"/>
    </xf>
    <xf numFmtId="49" fontId="27" fillId="50" borderId="2" xfId="4" applyNumberFormat="1" applyFont="1" applyFill="1" applyBorder="1" applyAlignment="1">
      <alignment vertical="center" wrapText="1"/>
    </xf>
    <xf numFmtId="167" fontId="7" fillId="0" borderId="2" xfId="5" applyFont="1" applyFill="1" applyBorder="1" applyAlignment="1">
      <alignment vertical="center"/>
    </xf>
    <xf numFmtId="0" fontId="7" fillId="0" borderId="1" xfId="0" applyFont="1" applyBorder="1" applyAlignment="1">
      <alignment horizontal="left" vertical="center" wrapText="1" indent="2"/>
    </xf>
    <xf numFmtId="195" fontId="78" fillId="0" borderId="1" xfId="201" applyNumberFormat="1" applyFont="1" applyFill="1" applyBorder="1" applyAlignment="1">
      <alignment vertical="center"/>
    </xf>
    <xf numFmtId="0" fontId="32" fillId="0" borderId="1" xfId="0" applyFont="1" applyBorder="1" applyAlignment="1">
      <alignment horizontal="center" vertical="center" wrapText="1"/>
    </xf>
    <xf numFmtId="1" fontId="7" fillId="50" borderId="2" xfId="4" applyNumberFormat="1" applyFont="1" applyFill="1" applyBorder="1" applyAlignment="1">
      <alignment horizontal="center" vertical="center" wrapText="1"/>
    </xf>
    <xf numFmtId="1" fontId="27" fillId="64" borderId="2" xfId="4" applyNumberFormat="1" applyFont="1" applyFill="1" applyBorder="1" applyAlignment="1">
      <alignment horizontal="center" vertical="center" wrapText="1"/>
    </xf>
    <xf numFmtId="0" fontId="63" fillId="81" borderId="1" xfId="0" applyFont="1" applyFill="1" applyBorder="1" applyAlignment="1">
      <alignment horizontal="center" vertical="center" wrapText="1"/>
    </xf>
    <xf numFmtId="0" fontId="63" fillId="0" borderId="1" xfId="0" applyFont="1" applyBorder="1" applyAlignment="1">
      <alignment horizontal="center" vertical="center" wrapText="1"/>
    </xf>
    <xf numFmtId="49" fontId="7" fillId="64" borderId="1" xfId="4" applyNumberFormat="1" applyFont="1" applyFill="1" applyBorder="1" applyAlignment="1">
      <alignment horizontal="left" vertical="center"/>
    </xf>
    <xf numFmtId="0" fontId="10" fillId="0" borderId="0" xfId="4" applyFont="1" applyAlignment="1">
      <alignment horizontal="center" vertical="center"/>
    </xf>
    <xf numFmtId="49" fontId="13" fillId="12" borderId="2" xfId="4" applyNumberFormat="1" applyFont="1" applyFill="1" applyBorder="1" applyAlignment="1">
      <alignment horizontal="center" vertical="center"/>
    </xf>
    <xf numFmtId="49" fontId="10" fillId="19" borderId="9" xfId="4" applyNumberFormat="1" applyFont="1" applyFill="1" applyBorder="1" applyAlignment="1">
      <alignment horizontal="center" vertical="center"/>
    </xf>
    <xf numFmtId="49" fontId="10" fillId="28" borderId="9" xfId="4" applyNumberFormat="1" applyFont="1" applyFill="1" applyBorder="1" applyAlignment="1">
      <alignment horizontal="center" vertical="center" wrapText="1"/>
    </xf>
    <xf numFmtId="49" fontId="10" fillId="50" borderId="9" xfId="4" applyNumberFormat="1" applyFont="1" applyFill="1" applyBorder="1" applyAlignment="1">
      <alignment horizontal="center" vertical="center" wrapText="1"/>
    </xf>
    <xf numFmtId="49" fontId="10" fillId="64" borderId="2" xfId="4" applyNumberFormat="1" applyFont="1" applyFill="1" applyBorder="1" applyAlignment="1">
      <alignment horizontal="center" vertical="center"/>
    </xf>
    <xf numFmtId="49" fontId="13" fillId="27" borderId="3" xfId="4" applyNumberFormat="1" applyFont="1" applyFill="1" applyBorder="1" applyAlignment="1">
      <alignment horizontal="center" vertical="center"/>
    </xf>
    <xf numFmtId="49" fontId="10" fillId="19" borderId="1" xfId="4" applyNumberFormat="1" applyFont="1" applyFill="1" applyBorder="1" applyAlignment="1">
      <alignment horizontal="center" vertical="center"/>
    </xf>
    <xf numFmtId="49" fontId="10" fillId="28" borderId="1" xfId="4" applyNumberFormat="1" applyFont="1" applyFill="1" applyBorder="1" applyAlignment="1">
      <alignment horizontal="center" vertical="center" wrapText="1"/>
    </xf>
    <xf numFmtId="49" fontId="9" fillId="0" borderId="1" xfId="4" applyNumberFormat="1" applyFont="1" applyBorder="1" applyAlignment="1">
      <alignment horizontal="center" vertical="center" wrapText="1"/>
    </xf>
    <xf numFmtId="49" fontId="9" fillId="50" borderId="1" xfId="1" applyNumberFormat="1" applyFont="1" applyFill="1" applyBorder="1" applyAlignment="1">
      <alignment horizontal="center" vertical="center" wrapText="1"/>
    </xf>
    <xf numFmtId="49" fontId="62" fillId="0" borderId="1" xfId="4" applyNumberFormat="1" applyFont="1" applyBorder="1" applyAlignment="1">
      <alignment horizontal="center" vertical="center" wrapText="1"/>
    </xf>
    <xf numFmtId="49" fontId="10" fillId="50" borderId="1" xfId="4" applyNumberFormat="1" applyFont="1" applyFill="1" applyBorder="1" applyAlignment="1">
      <alignment horizontal="center" vertical="center" wrapText="1"/>
    </xf>
    <xf numFmtId="49" fontId="9" fillId="16" borderId="1" xfId="4" applyNumberFormat="1" applyFont="1" applyFill="1" applyBorder="1" applyAlignment="1">
      <alignment horizontal="center" vertical="center" wrapText="1"/>
    </xf>
    <xf numFmtId="49" fontId="10" fillId="16" borderId="1" xfId="4" applyNumberFormat="1" applyFont="1" applyFill="1" applyBorder="1" applyAlignment="1">
      <alignment horizontal="center" vertical="center" wrapText="1"/>
    </xf>
    <xf numFmtId="49" fontId="166" fillId="0" borderId="1" xfId="4" applyNumberFormat="1" applyFont="1" applyBorder="1" applyAlignment="1">
      <alignment horizontal="center" vertical="center"/>
    </xf>
    <xf numFmtId="49" fontId="9" fillId="0" borderId="1" xfId="4" applyNumberFormat="1" applyFont="1" applyBorder="1" applyAlignment="1">
      <alignment horizontal="center" vertical="center"/>
    </xf>
    <xf numFmtId="49" fontId="110" fillId="0" borderId="1" xfId="4" applyNumberFormat="1" applyFont="1" applyBorder="1" applyAlignment="1">
      <alignment horizontal="center" vertical="center" wrapText="1"/>
    </xf>
    <xf numFmtId="49" fontId="123" fillId="28" borderId="1" xfId="4" applyNumberFormat="1" applyFont="1" applyFill="1" applyBorder="1" applyAlignment="1">
      <alignment horizontal="center" vertical="center" wrapText="1"/>
    </xf>
    <xf numFmtId="49" fontId="13" fillId="27" borderId="1" xfId="4" applyNumberFormat="1" applyFont="1" applyFill="1" applyBorder="1" applyAlignment="1">
      <alignment horizontal="center" vertical="center"/>
    </xf>
    <xf numFmtId="49" fontId="10" fillId="0" borderId="1" xfId="4" applyNumberFormat="1" applyFont="1" applyBorder="1" applyAlignment="1">
      <alignment horizontal="right" vertical="center" wrapText="1"/>
    </xf>
    <xf numFmtId="49" fontId="182" fillId="28" borderId="1" xfId="4" applyNumberFormat="1" applyFont="1" applyFill="1" applyBorder="1" applyAlignment="1">
      <alignment horizontal="center" vertical="center" wrapText="1"/>
    </xf>
    <xf numFmtId="49" fontId="10" fillId="28" borderId="1" xfId="4" applyNumberFormat="1" applyFont="1" applyFill="1" applyBorder="1" applyAlignment="1">
      <alignment horizontal="center" vertical="center"/>
    </xf>
    <xf numFmtId="49" fontId="13" fillId="20" borderId="1" xfId="4" applyNumberFormat="1" applyFont="1" applyFill="1" applyBorder="1" applyAlignment="1">
      <alignment horizontal="center" vertical="center" wrapText="1"/>
    </xf>
    <xf numFmtId="49" fontId="9" fillId="0" borderId="0" xfId="4" applyNumberFormat="1" applyFont="1" applyAlignment="1">
      <alignment horizontal="center" vertical="center"/>
    </xf>
    <xf numFmtId="0" fontId="156" fillId="0" borderId="0" xfId="4" applyFont="1" applyAlignment="1">
      <alignment horizontal="center" vertical="center"/>
    </xf>
    <xf numFmtId="49" fontId="13" fillId="12" borderId="1" xfId="4" applyNumberFormat="1" applyFont="1" applyFill="1" applyBorder="1" applyAlignment="1">
      <alignment horizontal="center" vertical="center"/>
    </xf>
    <xf numFmtId="49" fontId="10" fillId="50" borderId="1" xfId="4" applyNumberFormat="1" applyFont="1" applyFill="1" applyBorder="1" applyAlignment="1">
      <alignment horizontal="center" vertical="center"/>
    </xf>
    <xf numFmtId="49" fontId="182" fillId="0" borderId="1" xfId="4" applyNumberFormat="1" applyFont="1" applyBorder="1" applyAlignment="1">
      <alignment horizontal="center" vertical="center" wrapText="1"/>
    </xf>
    <xf numFmtId="49" fontId="9" fillId="0" borderId="12" xfId="4" applyNumberFormat="1" applyFont="1" applyBorder="1" applyAlignment="1">
      <alignment horizontal="center" vertical="center" wrapText="1"/>
    </xf>
    <xf numFmtId="0" fontId="229" fillId="0" borderId="1" xfId="14" applyFont="1" applyBorder="1" applyAlignment="1">
      <alignment horizontal="center" vertical="center" wrapText="1"/>
    </xf>
    <xf numFmtId="0" fontId="10" fillId="0" borderId="1" xfId="14" applyFont="1" applyBorder="1" applyAlignment="1">
      <alignment horizontal="center"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49" fontId="10" fillId="0" borderId="12" xfId="4" applyNumberFormat="1" applyFont="1" applyBorder="1" applyAlignment="1">
      <alignment horizontal="center" vertical="center" wrapText="1"/>
    </xf>
    <xf numFmtId="0" fontId="230" fillId="0" borderId="3" xfId="0" applyFont="1" applyBorder="1" applyAlignment="1">
      <alignment horizontal="center" vertical="center" wrapText="1"/>
    </xf>
    <xf numFmtId="49" fontId="62" fillId="0" borderId="0" xfId="4" applyNumberFormat="1" applyFont="1" applyAlignment="1">
      <alignment horizontal="center" vertical="center" wrapText="1"/>
    </xf>
    <xf numFmtId="49" fontId="10" fillId="19" borderId="12" xfId="4" applyNumberFormat="1" applyFont="1" applyFill="1" applyBorder="1" applyAlignment="1">
      <alignment horizontal="center" vertical="center"/>
    </xf>
    <xf numFmtId="49" fontId="10" fillId="28" borderId="12" xfId="4" applyNumberFormat="1" applyFont="1" applyFill="1" applyBorder="1" applyAlignment="1">
      <alignment horizontal="center" vertical="center" wrapText="1"/>
    </xf>
    <xf numFmtId="49" fontId="9" fillId="0" borderId="12" xfId="4" applyNumberFormat="1" applyFont="1" applyBorder="1" applyAlignment="1">
      <alignment horizontal="center" vertical="center"/>
    </xf>
    <xf numFmtId="49" fontId="13" fillId="12" borderId="0" xfId="4" applyNumberFormat="1" applyFont="1" applyFill="1" applyAlignment="1">
      <alignment horizontal="center" vertical="center"/>
    </xf>
    <xf numFmtId="49" fontId="13" fillId="27" borderId="0" xfId="4" applyNumberFormat="1" applyFont="1" applyFill="1" applyAlignment="1">
      <alignment horizontal="center" vertical="center"/>
    </xf>
    <xf numFmtId="49" fontId="10" fillId="28" borderId="0" xfId="4" applyNumberFormat="1" applyFont="1" applyFill="1" applyAlignment="1">
      <alignment horizontal="center" vertical="center"/>
    </xf>
    <xf numFmtId="49" fontId="10" fillId="50" borderId="0" xfId="4" applyNumberFormat="1" applyFont="1" applyFill="1" applyAlignment="1">
      <alignment horizontal="center" vertical="center"/>
    </xf>
    <xf numFmtId="49" fontId="13" fillId="20" borderId="0" xfId="4" applyNumberFormat="1" applyFont="1" applyFill="1" applyAlignment="1">
      <alignment horizontal="center" vertical="center" wrapText="1"/>
    </xf>
    <xf numFmtId="167" fontId="7" fillId="51" borderId="1" xfId="5" applyFont="1" applyFill="1" applyBorder="1" applyAlignment="1">
      <alignment horizontal="left" vertical="center" wrapText="1"/>
    </xf>
    <xf numFmtId="0" fontId="27" fillId="0" borderId="4" xfId="4" applyFont="1" applyBorder="1" applyAlignment="1">
      <alignment horizontal="left" vertical="center" wrapText="1"/>
    </xf>
    <xf numFmtId="167" fontId="27" fillId="0" borderId="10" xfId="5" applyFont="1" applyBorder="1" applyAlignment="1">
      <alignment horizontal="center" vertical="center"/>
    </xf>
    <xf numFmtId="1" fontId="7" fillId="82" borderId="1" xfId="4" applyNumberFormat="1" applyFont="1" applyFill="1" applyBorder="1" applyAlignment="1">
      <alignment horizontal="center" vertical="center" wrapText="1"/>
    </xf>
    <xf numFmtId="0" fontId="7" fillId="0" borderId="1" xfId="0" applyFont="1" applyBorder="1" applyAlignment="1">
      <alignment horizontal="left" vertical="center" wrapText="1" indent="1"/>
    </xf>
    <xf numFmtId="1" fontId="7" fillId="97" borderId="1" xfId="4" applyNumberFormat="1" applyFont="1" applyFill="1" applyBorder="1" applyAlignment="1">
      <alignment horizontal="center" vertical="center" wrapText="1"/>
    </xf>
    <xf numFmtId="0" fontId="7" fillId="7" borderId="2" xfId="4" applyFont="1" applyFill="1" applyBorder="1" applyAlignment="1">
      <alignment horizontal="center" vertical="center" wrapText="1"/>
    </xf>
    <xf numFmtId="197" fontId="27" fillId="0" borderId="2" xfId="38" applyNumberFormat="1" applyFont="1" applyBorder="1" applyAlignment="1">
      <alignment horizontal="center" vertical="center"/>
    </xf>
    <xf numFmtId="0" fontId="27" fillId="0" borderId="1" xfId="201" applyNumberFormat="1" applyFont="1" applyFill="1" applyBorder="1" applyAlignment="1">
      <alignment vertical="center"/>
    </xf>
    <xf numFmtId="49" fontId="7" fillId="0" borderId="12" xfId="4" applyNumberFormat="1" applyFont="1" applyBorder="1" applyAlignment="1">
      <alignment vertical="center" wrapText="1"/>
    </xf>
    <xf numFmtId="0" fontId="7" fillId="0" borderId="3" xfId="0" applyFont="1" applyBorder="1" applyAlignment="1">
      <alignment vertical="center" wrapText="1"/>
    </xf>
    <xf numFmtId="195" fontId="27" fillId="0" borderId="2" xfId="201" applyNumberFormat="1" applyFont="1" applyFill="1" applyBorder="1" applyAlignment="1">
      <alignment horizontal="center" vertical="center" wrapText="1"/>
    </xf>
    <xf numFmtId="49" fontId="7" fillId="0" borderId="0" xfId="1" applyNumberFormat="1" applyFont="1" applyFill="1" applyBorder="1" applyAlignment="1">
      <alignment horizontal="left" vertical="center" wrapText="1" indent="2"/>
    </xf>
    <xf numFmtId="49" fontId="7" fillId="0" borderId="1" xfId="194" applyNumberFormat="1" applyFont="1" applyFill="1" applyBorder="1" applyAlignment="1">
      <alignment horizontal="left" vertical="center" wrapText="1" indent="1"/>
    </xf>
    <xf numFmtId="167" fontId="27" fillId="0" borderId="2" xfId="5" applyFont="1" applyFill="1" applyBorder="1" applyAlignment="1">
      <alignment horizontal="left" vertical="center"/>
    </xf>
    <xf numFmtId="49" fontId="7" fillId="0" borderId="1" xfId="194" applyNumberFormat="1" applyFont="1" applyFill="1" applyBorder="1" applyAlignment="1">
      <alignment horizontal="left" vertical="center" wrapText="1" indent="3"/>
    </xf>
    <xf numFmtId="170" fontId="27" fillId="0" borderId="10" xfId="1" applyFont="1" applyFill="1" applyBorder="1" applyAlignment="1">
      <alignment horizontal="center" vertical="center" wrapText="1"/>
    </xf>
    <xf numFmtId="170" fontId="27" fillId="0" borderId="3" xfId="1" applyFont="1" applyFill="1" applyBorder="1" applyAlignment="1">
      <alignment horizontal="center" vertical="center" wrapText="1"/>
    </xf>
    <xf numFmtId="167" fontId="27" fillId="0" borderId="3" xfId="5" applyFont="1" applyFill="1" applyBorder="1" applyAlignment="1">
      <alignment horizontal="center" vertical="center"/>
    </xf>
    <xf numFmtId="167" fontId="7" fillId="0" borderId="3" xfId="5" applyFont="1" applyFill="1" applyBorder="1" applyAlignment="1">
      <alignment horizontal="center" vertical="center"/>
    </xf>
    <xf numFmtId="49" fontId="7" fillId="0" borderId="1" xfId="1" applyNumberFormat="1" applyFont="1" applyFill="1" applyBorder="1" applyAlignment="1">
      <alignment horizontal="left" vertical="center" wrapText="1" indent="3"/>
    </xf>
    <xf numFmtId="167" fontId="7" fillId="0" borderId="1" xfId="5" applyFont="1" applyFill="1" applyBorder="1" applyAlignment="1">
      <alignment vertical="center"/>
    </xf>
    <xf numFmtId="49" fontId="228" fillId="0" borderId="1" xfId="4" applyNumberFormat="1" applyFont="1" applyBorder="1" applyAlignment="1">
      <alignment horizontal="left" vertical="center" wrapText="1"/>
    </xf>
    <xf numFmtId="49" fontId="171" fillId="0" borderId="1" xfId="4" applyNumberFormat="1" applyFont="1" applyBorder="1" applyAlignment="1">
      <alignment horizontal="center" vertical="center" wrapText="1"/>
    </xf>
    <xf numFmtId="49" fontId="169" fillId="0" borderId="1" xfId="1" applyNumberFormat="1" applyFont="1" applyFill="1" applyBorder="1" applyAlignment="1">
      <alignment horizontal="left" vertical="center" wrapText="1" indent="1"/>
    </xf>
    <xf numFmtId="0" fontId="148" fillId="0" borderId="0" xfId="0" applyFont="1"/>
    <xf numFmtId="1" fontId="169" fillId="0" borderId="1" xfId="4" applyNumberFormat="1" applyFont="1" applyBorder="1" applyAlignment="1">
      <alignment horizontal="center" vertical="center" wrapText="1"/>
    </xf>
    <xf numFmtId="167" fontId="169" fillId="0" borderId="1" xfId="5" applyFont="1" applyFill="1" applyBorder="1" applyAlignment="1">
      <alignment horizontal="left" vertical="center" wrapText="1"/>
    </xf>
    <xf numFmtId="170" fontId="169" fillId="0" borderId="1" xfId="1" applyFont="1" applyFill="1" applyBorder="1" applyAlignment="1">
      <alignment horizontal="left" vertical="center" wrapText="1"/>
    </xf>
    <xf numFmtId="49" fontId="148" fillId="0" borderId="1" xfId="5" applyNumberFormat="1" applyFont="1" applyFill="1" applyBorder="1" applyAlignment="1">
      <alignment horizontal="left" vertical="center" wrapText="1"/>
    </xf>
    <xf numFmtId="201" fontId="7" fillId="0" borderId="3" xfId="201" applyNumberFormat="1" applyFont="1" applyFill="1" applyBorder="1" applyAlignment="1">
      <alignment horizontal="center" vertical="center"/>
    </xf>
    <xf numFmtId="201" fontId="7" fillId="0" borderId="31" xfId="201" applyNumberFormat="1" applyFont="1" applyFill="1" applyBorder="1" applyAlignment="1">
      <alignment horizontal="center" vertical="center"/>
    </xf>
    <xf numFmtId="201" fontId="7" fillId="0" borderId="1" xfId="201" applyNumberFormat="1" applyFont="1" applyFill="1" applyBorder="1" applyAlignment="1">
      <alignment horizontal="center" vertical="center"/>
    </xf>
    <xf numFmtId="49" fontId="10" fillId="0" borderId="14" xfId="4" applyNumberFormat="1" applyFont="1" applyBorder="1" applyAlignment="1">
      <alignment horizontal="center" vertical="center" wrapText="1"/>
    </xf>
    <xf numFmtId="202" fontId="2" fillId="0" borderId="7" xfId="209" applyNumberFormat="1" applyFont="1" applyBorder="1" applyAlignment="1">
      <alignment horizontal="center" vertical="center"/>
    </xf>
    <xf numFmtId="1" fontId="7" fillId="16" borderId="7" xfId="4" applyNumberFormat="1" applyFont="1" applyFill="1" applyBorder="1" applyAlignment="1">
      <alignment horizontal="left" vertical="center" wrapText="1"/>
    </xf>
    <xf numFmtId="1" fontId="7" fillId="16" borderId="7" xfId="4" applyNumberFormat="1" applyFont="1" applyFill="1" applyBorder="1" applyAlignment="1">
      <alignment horizontal="center" vertical="center" wrapText="1"/>
    </xf>
    <xf numFmtId="49" fontId="84" fillId="50" borderId="7" xfId="4" applyNumberFormat="1" applyFont="1" applyFill="1" applyBorder="1" applyAlignment="1">
      <alignment horizontal="left" vertical="center" wrapText="1"/>
    </xf>
    <xf numFmtId="49" fontId="84" fillId="50" borderId="7" xfId="4" applyNumberFormat="1" applyFont="1" applyFill="1" applyBorder="1" applyAlignment="1">
      <alignment horizontal="center" vertical="center" wrapText="1"/>
    </xf>
    <xf numFmtId="1" fontId="6" fillId="0" borderId="7" xfId="0" applyNumberFormat="1" applyFont="1" applyBorder="1" applyAlignment="1">
      <alignment horizontal="center" vertical="center"/>
    </xf>
    <xf numFmtId="167" fontId="84" fillId="50" borderId="7" xfId="4" applyNumberFormat="1" applyFont="1" applyFill="1" applyBorder="1" applyAlignment="1">
      <alignment horizontal="center" vertical="center" wrapText="1"/>
    </xf>
    <xf numFmtId="202" fontId="6" fillId="0" borderId="7" xfId="209" applyNumberFormat="1" applyFont="1" applyBorder="1" applyAlignment="1">
      <alignment horizontal="center" vertical="center"/>
    </xf>
    <xf numFmtId="1" fontId="0" fillId="0" borderId="7" xfId="0" applyNumberFormat="1" applyBorder="1" applyAlignment="1">
      <alignment horizontal="center"/>
    </xf>
    <xf numFmtId="168" fontId="84" fillId="50" borderId="7" xfId="209" applyFont="1" applyFill="1" applyBorder="1" applyAlignment="1">
      <alignment horizontal="center" vertical="center" wrapText="1"/>
    </xf>
    <xf numFmtId="202" fontId="80" fillId="0" borderId="7" xfId="209" applyNumberFormat="1" applyFont="1" applyFill="1" applyBorder="1" applyAlignment="1">
      <alignment horizontal="center" vertical="center"/>
    </xf>
    <xf numFmtId="1" fontId="22" fillId="0" borderId="7" xfId="0" applyNumberFormat="1" applyFont="1" applyBorder="1" applyAlignment="1">
      <alignment horizontal="center" vertical="center" wrapText="1"/>
    </xf>
    <xf numFmtId="1" fontId="80" fillId="0" borderId="7" xfId="0" applyNumberFormat="1" applyFont="1" applyBorder="1" applyAlignment="1">
      <alignment horizontal="center" vertical="center" wrapText="1"/>
    </xf>
    <xf numFmtId="1" fontId="80" fillId="0" borderId="7" xfId="0" applyNumberFormat="1" applyFont="1" applyBorder="1" applyAlignment="1">
      <alignment horizontal="left" vertical="center" wrapText="1"/>
    </xf>
    <xf numFmtId="0" fontId="84" fillId="0" borderId="7" xfId="4" applyFont="1" applyBorder="1" applyAlignment="1">
      <alignment horizontal="center" vertical="center" wrapText="1"/>
    </xf>
    <xf numFmtId="0" fontId="84" fillId="0" borderId="7" xfId="4" applyFont="1" applyBorder="1" applyAlignment="1">
      <alignment horizontal="left" vertical="center" wrapText="1"/>
    </xf>
    <xf numFmtId="202" fontId="84" fillId="0" borderId="7" xfId="209" applyNumberFormat="1" applyFont="1" applyFill="1" applyBorder="1" applyAlignment="1">
      <alignment horizontal="center" vertical="center" wrapText="1"/>
    </xf>
    <xf numFmtId="0" fontId="80" fillId="0" borderId="7" xfId="0" applyFont="1" applyBorder="1" applyAlignment="1">
      <alignment horizontal="left" wrapText="1"/>
    </xf>
    <xf numFmtId="1" fontId="80" fillId="0" borderId="7" xfId="0" applyNumberFormat="1" applyFont="1" applyBorder="1" applyAlignment="1">
      <alignment horizontal="center" vertical="center"/>
    </xf>
    <xf numFmtId="0" fontId="80" fillId="0" borderId="7" xfId="0" applyFont="1" applyBorder="1" applyAlignment="1">
      <alignment horizontal="left" vertical="center" wrapText="1"/>
    </xf>
    <xf numFmtId="0" fontId="100" fillId="48" borderId="7" xfId="0" applyFont="1" applyFill="1" applyBorder="1"/>
    <xf numFmtId="0" fontId="231" fillId="0" borderId="7" xfId="0" applyFont="1" applyBorder="1" applyAlignment="1">
      <alignment horizontal="center" vertical="center" wrapText="1"/>
    </xf>
    <xf numFmtId="202" fontId="231" fillId="0" borderId="7" xfId="209" applyNumberFormat="1" applyFont="1" applyBorder="1" applyAlignment="1">
      <alignment horizontal="center" vertical="center" wrapText="1"/>
    </xf>
    <xf numFmtId="0" fontId="231" fillId="0" borderId="8" xfId="0" applyFont="1" applyBorder="1" applyAlignment="1">
      <alignment horizontal="center" vertical="center" wrapText="1"/>
    </xf>
    <xf numFmtId="49" fontId="231" fillId="0" borderId="151" xfId="0" applyNumberFormat="1" applyFont="1" applyBorder="1" applyAlignment="1">
      <alignment horizontal="center" vertical="center" wrapText="1"/>
    </xf>
    <xf numFmtId="0" fontId="231" fillId="0" borderId="0" xfId="0" applyFont="1" applyAlignment="1">
      <alignment horizontal="center" vertical="center" wrapText="1"/>
    </xf>
    <xf numFmtId="0" fontId="232" fillId="0" borderId="0" xfId="0" applyFont="1" applyAlignment="1">
      <alignment horizontal="center" vertical="center"/>
    </xf>
    <xf numFmtId="0" fontId="232" fillId="0" borderId="0" xfId="0" applyFont="1" applyAlignment="1">
      <alignment horizontal="center" vertical="center" wrapText="1"/>
    </xf>
    <xf numFmtId="0" fontId="232" fillId="0" borderId="0" xfId="0" applyFont="1" applyAlignment="1">
      <alignment horizontal="left" vertical="center" wrapText="1"/>
    </xf>
    <xf numFmtId="202" fontId="232" fillId="0" borderId="0" xfId="209" applyNumberFormat="1" applyFont="1" applyAlignment="1">
      <alignment horizontal="center" vertical="center" wrapText="1"/>
    </xf>
    <xf numFmtId="15" fontId="232" fillId="0" borderId="0" xfId="0" applyNumberFormat="1" applyFont="1" applyAlignment="1">
      <alignment horizontal="center" vertical="center" wrapText="1"/>
    </xf>
    <xf numFmtId="0" fontId="104" fillId="0" borderId="0" xfId="0" applyFont="1" applyAlignment="1">
      <alignment horizontal="center" vertical="center" wrapText="1"/>
    </xf>
    <xf numFmtId="0" fontId="80" fillId="0" borderId="0" xfId="0" applyFont="1" applyAlignment="1">
      <alignment horizontal="center" vertical="center"/>
    </xf>
    <xf numFmtId="49" fontId="232" fillId="0" borderId="0" xfId="0" applyNumberFormat="1" applyFont="1" applyAlignment="1">
      <alignment horizontal="center" vertical="center" wrapText="1"/>
    </xf>
    <xf numFmtId="49" fontId="80" fillId="0" borderId="0" xfId="0" applyNumberFormat="1" applyFont="1" applyAlignment="1">
      <alignment horizontal="center" vertical="center"/>
    </xf>
    <xf numFmtId="202" fontId="232" fillId="0" borderId="0" xfId="209" applyNumberFormat="1" applyFont="1" applyAlignment="1">
      <alignment horizontal="center" vertical="center"/>
    </xf>
    <xf numFmtId="0" fontId="233" fillId="0" borderId="0" xfId="0" applyFont="1" applyAlignment="1">
      <alignment horizontal="center" vertical="center" wrapText="1"/>
    </xf>
    <xf numFmtId="0" fontId="234" fillId="0" borderId="0" xfId="0" applyFont="1" applyAlignment="1">
      <alignment horizontal="center" vertical="center" wrapText="1"/>
    </xf>
    <xf numFmtId="0" fontId="232" fillId="7" borderId="0" xfId="0" applyFont="1" applyFill="1" applyAlignment="1">
      <alignment horizontal="center" vertical="center" wrapText="1"/>
    </xf>
    <xf numFmtId="0" fontId="14" fillId="0" borderId="0" xfId="0" applyFont="1" applyAlignment="1">
      <alignment horizontal="center" vertical="center" wrapText="1"/>
    </xf>
    <xf numFmtId="0" fontId="235" fillId="0" borderId="0" xfId="0" applyFont="1" applyAlignment="1">
      <alignment horizontal="center" vertical="center" wrapText="1"/>
    </xf>
    <xf numFmtId="0" fontId="232" fillId="0" borderId="0" xfId="0" applyFont="1" applyAlignment="1">
      <alignment vertical="center" wrapText="1"/>
    </xf>
    <xf numFmtId="0" fontId="80" fillId="0" borderId="0" xfId="0" applyFont="1" applyAlignment="1">
      <alignment vertical="center" wrapText="1"/>
    </xf>
    <xf numFmtId="0" fontId="232" fillId="53" borderId="0" xfId="0" applyFont="1" applyFill="1" applyAlignment="1">
      <alignment horizontal="center" vertical="center" wrapText="1"/>
    </xf>
    <xf numFmtId="0" fontId="232" fillId="79" borderId="0" xfId="0" applyFont="1" applyFill="1" applyAlignment="1">
      <alignment horizontal="center" vertical="center" wrapText="1"/>
    </xf>
    <xf numFmtId="0" fontId="232" fillId="98" borderId="0" xfId="0" applyFont="1" applyFill="1" applyAlignment="1">
      <alignment horizontal="center" vertical="center" wrapText="1"/>
    </xf>
    <xf numFmtId="0" fontId="232" fillId="60" borderId="0" xfId="0" applyFont="1" applyFill="1" applyAlignment="1">
      <alignment horizontal="center" vertical="center" wrapText="1"/>
    </xf>
    <xf numFmtId="0" fontId="232" fillId="4" borderId="0" xfId="0" applyFont="1" applyFill="1" applyAlignment="1">
      <alignment horizontal="center" vertical="center" wrapText="1"/>
    </xf>
    <xf numFmtId="0" fontId="232" fillId="74" borderId="0" xfId="0" applyFont="1" applyFill="1" applyAlignment="1">
      <alignment horizontal="center" vertical="center" wrapText="1"/>
    </xf>
    <xf numFmtId="0" fontId="232" fillId="51" borderId="0" xfId="0" applyFont="1" applyFill="1" applyAlignment="1">
      <alignment horizontal="center" vertical="center" wrapText="1"/>
    </xf>
    <xf numFmtId="0" fontId="232" fillId="5" borderId="0" xfId="0" applyFont="1" applyFill="1" applyAlignment="1">
      <alignment horizontal="center" vertical="center" wrapText="1"/>
    </xf>
    <xf numFmtId="0" fontId="232" fillId="74" borderId="0" xfId="0" applyFont="1" applyFill="1" applyAlignment="1">
      <alignment horizontal="center" vertical="center"/>
    </xf>
    <xf numFmtId="0" fontId="232" fillId="99" borderId="0" xfId="0" applyFont="1" applyFill="1" applyAlignment="1">
      <alignment horizontal="center" vertical="center" wrapText="1"/>
    </xf>
    <xf numFmtId="0" fontId="232" fillId="99" borderId="0" xfId="0" applyFont="1" applyFill="1" applyAlignment="1">
      <alignment horizontal="center" vertical="center"/>
    </xf>
    <xf numFmtId="0" fontId="232" fillId="0" borderId="0" xfId="0" applyFont="1" applyAlignment="1">
      <alignment horizontal="left" vertical="center"/>
    </xf>
    <xf numFmtId="0" fontId="232" fillId="100" borderId="0" xfId="0" applyFont="1" applyFill="1" applyAlignment="1">
      <alignment horizontal="center" vertical="center" wrapText="1"/>
    </xf>
    <xf numFmtId="0" fontId="236" fillId="0" borderId="0" xfId="0" applyFont="1" applyAlignment="1">
      <alignment horizontal="center" vertical="center"/>
    </xf>
    <xf numFmtId="15" fontId="18" fillId="0" borderId="152" xfId="0" applyNumberFormat="1" applyFont="1" applyBorder="1" applyAlignment="1">
      <alignment horizontal="center" vertical="center" wrapText="1"/>
    </xf>
    <xf numFmtId="49" fontId="0" fillId="0" borderId="0" xfId="0" applyNumberFormat="1" applyAlignment="1">
      <alignment horizontal="center"/>
    </xf>
    <xf numFmtId="0" fontId="231" fillId="0" borderId="61" xfId="0" applyFont="1" applyBorder="1" applyAlignment="1">
      <alignment horizontal="center" vertical="center" wrapText="1"/>
    </xf>
    <xf numFmtId="0" fontId="232" fillId="97" borderId="0" xfId="0" applyFont="1" applyFill="1" applyAlignment="1">
      <alignment horizontal="center" vertical="center" wrapText="1"/>
    </xf>
    <xf numFmtId="0" fontId="232" fillId="101" borderId="0" xfId="0" applyFont="1" applyFill="1" applyAlignment="1">
      <alignment horizontal="center" vertical="center" wrapText="1"/>
    </xf>
    <xf numFmtId="0" fontId="27" fillId="81" borderId="1" xfId="0" applyFont="1" applyFill="1" applyBorder="1" applyAlignment="1">
      <alignment horizontal="center" vertical="center" wrapText="1"/>
    </xf>
    <xf numFmtId="195" fontId="63" fillId="12" borderId="1" xfId="201" applyNumberFormat="1" applyFont="1" applyFill="1" applyBorder="1" applyAlignment="1">
      <alignment vertical="center" wrapText="1"/>
    </xf>
    <xf numFmtId="195" fontId="63" fillId="27" borderId="1" xfId="201" applyNumberFormat="1" applyFont="1" applyFill="1" applyBorder="1" applyAlignment="1">
      <alignment vertical="center" wrapText="1"/>
    </xf>
    <xf numFmtId="167" fontId="7" fillId="19" borderId="1" xfId="5" applyFont="1" applyFill="1" applyBorder="1" applyAlignment="1">
      <alignment vertical="center" wrapText="1"/>
    </xf>
    <xf numFmtId="167" fontId="7" fillId="28" borderId="1" xfId="5" applyFont="1" applyFill="1" applyBorder="1" applyAlignment="1">
      <alignment vertical="center" wrapText="1"/>
    </xf>
    <xf numFmtId="195" fontId="7" fillId="50" borderId="1" xfId="201" applyNumberFormat="1" applyFont="1" applyFill="1" applyBorder="1" applyAlignment="1">
      <alignment vertical="center" wrapText="1"/>
    </xf>
    <xf numFmtId="167" fontId="32" fillId="0" borderId="3" xfId="5" applyFont="1" applyBorder="1" applyAlignment="1">
      <alignment vertical="center"/>
    </xf>
    <xf numFmtId="195" fontId="7" fillId="0" borderId="1" xfId="201" applyNumberFormat="1" applyFont="1" applyBorder="1" applyAlignment="1">
      <alignment vertical="center" wrapText="1"/>
    </xf>
    <xf numFmtId="195" fontId="7" fillId="0" borderId="1" xfId="201" applyNumberFormat="1" applyFont="1" applyFill="1" applyBorder="1" applyAlignment="1">
      <alignment vertical="center" wrapText="1"/>
    </xf>
    <xf numFmtId="167" fontId="7" fillId="50" borderId="1" xfId="5" applyFont="1" applyFill="1" applyBorder="1" applyAlignment="1">
      <alignment vertical="center" wrapText="1"/>
    </xf>
    <xf numFmtId="170" fontId="7" fillId="0" borderId="1" xfId="201" applyNumberFormat="1" applyFont="1" applyBorder="1" applyAlignment="1">
      <alignment vertical="center"/>
    </xf>
    <xf numFmtId="195" fontId="7" fillId="0" borderId="10" xfId="201" applyNumberFormat="1" applyFont="1" applyFill="1" applyBorder="1" applyAlignment="1">
      <alignment vertical="center"/>
    </xf>
    <xf numFmtId="195" fontId="7" fillId="19" borderId="1" xfId="201" applyNumberFormat="1" applyFont="1" applyFill="1" applyBorder="1" applyAlignment="1">
      <alignment vertical="center" wrapText="1"/>
    </xf>
    <xf numFmtId="195" fontId="7" fillId="28" borderId="1" xfId="201" applyNumberFormat="1" applyFont="1" applyFill="1" applyBorder="1" applyAlignment="1">
      <alignment vertical="center" wrapText="1"/>
    </xf>
    <xf numFmtId="167" fontId="27" fillId="0" borderId="1" xfId="5" applyFont="1" applyFill="1" applyBorder="1" applyAlignment="1">
      <alignment vertical="center" wrapText="1"/>
    </xf>
    <xf numFmtId="167" fontId="63" fillId="27" borderId="1" xfId="5" applyFont="1" applyFill="1" applyBorder="1" applyAlignment="1">
      <alignment vertical="center" wrapText="1"/>
    </xf>
    <xf numFmtId="167" fontId="7" fillId="0" borderId="2" xfId="5" applyFont="1" applyFill="1" applyBorder="1" applyAlignment="1">
      <alignment vertical="center" wrapText="1"/>
    </xf>
    <xf numFmtId="195" fontId="7" fillId="0" borderId="3" xfId="201" applyNumberFormat="1" applyFont="1" applyBorder="1" applyAlignment="1">
      <alignment vertical="center" wrapText="1"/>
    </xf>
    <xf numFmtId="167" fontId="7" fillId="28" borderId="3" xfId="5" applyFont="1" applyFill="1" applyBorder="1" applyAlignment="1">
      <alignment vertical="center" wrapText="1"/>
    </xf>
    <xf numFmtId="167" fontId="7" fillId="0" borderId="3" xfId="5" applyFont="1" applyFill="1" applyBorder="1" applyAlignment="1">
      <alignment vertical="center" wrapText="1"/>
    </xf>
    <xf numFmtId="167" fontId="169" fillId="0" borderId="2" xfId="5" applyFont="1" applyFill="1" applyBorder="1" applyAlignment="1">
      <alignment vertical="center" wrapText="1"/>
    </xf>
    <xf numFmtId="195" fontId="7" fillId="0" borderId="3" xfId="201" applyNumberFormat="1" applyFont="1" applyBorder="1" applyAlignment="1">
      <alignment vertical="center"/>
    </xf>
    <xf numFmtId="195" fontId="78" fillId="0" borderId="1" xfId="201" applyNumberFormat="1" applyFont="1" applyFill="1" applyBorder="1" applyAlignment="1">
      <alignment vertical="center" wrapText="1"/>
    </xf>
    <xf numFmtId="167" fontId="7" fillId="0" borderId="1" xfId="5" applyFont="1" applyFill="1" applyBorder="1" applyAlignment="1">
      <alignment vertical="center" wrapText="1"/>
    </xf>
    <xf numFmtId="167" fontId="7" fillId="0" borderId="3" xfId="5" applyFont="1" applyFill="1" applyBorder="1" applyAlignment="1">
      <alignment vertical="center"/>
    </xf>
    <xf numFmtId="167" fontId="169" fillId="0" borderId="1" xfId="5" applyFont="1" applyFill="1" applyBorder="1" applyAlignment="1">
      <alignment vertical="center" wrapText="1"/>
    </xf>
    <xf numFmtId="195" fontId="7" fillId="16" borderId="1" xfId="201" applyNumberFormat="1" applyFont="1" applyFill="1" applyBorder="1" applyAlignment="1">
      <alignment vertical="center" wrapText="1"/>
    </xf>
    <xf numFmtId="9" fontId="27" fillId="0" borderId="0" xfId="4" applyNumberFormat="1" applyFont="1" applyAlignment="1">
      <alignment vertical="center"/>
    </xf>
    <xf numFmtId="43" fontId="27" fillId="0" borderId="2" xfId="201" applyFont="1" applyFill="1" applyBorder="1" applyAlignment="1">
      <alignment horizontal="center" vertical="center"/>
    </xf>
    <xf numFmtId="206" fontId="2" fillId="0" borderId="1" xfId="201" applyNumberFormat="1" applyFont="1" applyFill="1" applyBorder="1" applyAlignment="1">
      <alignment horizontal="center" vertical="center"/>
    </xf>
    <xf numFmtId="43" fontId="2" fillId="0" borderId="1" xfId="201" applyFont="1" applyFill="1" applyBorder="1" applyAlignment="1">
      <alignment horizontal="center" vertical="center"/>
    </xf>
    <xf numFmtId="43" fontId="27" fillId="0" borderId="1" xfId="201" applyFont="1" applyFill="1" applyBorder="1" applyAlignment="1">
      <alignment horizontal="center" vertical="center" wrapText="1"/>
    </xf>
    <xf numFmtId="168" fontId="27" fillId="0" borderId="0" xfId="209" applyFont="1" applyAlignment="1">
      <alignment horizontal="center" vertical="center"/>
    </xf>
    <xf numFmtId="203" fontId="2" fillId="0" borderId="2" xfId="5" applyNumberFormat="1" applyFont="1" applyBorder="1" applyAlignment="1">
      <alignment horizontal="center" vertical="center"/>
    </xf>
    <xf numFmtId="203" fontId="2" fillId="0" borderId="1" xfId="5" applyNumberFormat="1" applyFont="1" applyBorder="1" applyAlignment="1">
      <alignment vertical="center"/>
    </xf>
    <xf numFmtId="43" fontId="7" fillId="0" borderId="0" xfId="4" applyNumberFormat="1" applyFont="1" applyAlignment="1">
      <alignment vertical="center"/>
    </xf>
    <xf numFmtId="43" fontId="118" fillId="0" borderId="0" xfId="4" applyNumberFormat="1" applyFont="1" applyAlignment="1">
      <alignment vertical="center"/>
    </xf>
    <xf numFmtId="43" fontId="63" fillId="27" borderId="1" xfId="201" applyFont="1" applyFill="1" applyBorder="1" applyAlignment="1">
      <alignment horizontal="left" vertical="center" wrapText="1"/>
    </xf>
    <xf numFmtId="43" fontId="7" fillId="28" borderId="1" xfId="5" applyNumberFormat="1" applyFont="1" applyFill="1" applyBorder="1" applyAlignment="1">
      <alignment horizontal="right" vertical="center" wrapText="1"/>
    </xf>
    <xf numFmtId="43" fontId="7" fillId="50" borderId="1" xfId="201" applyFont="1" applyFill="1" applyBorder="1" applyAlignment="1">
      <alignment horizontal="center" vertical="center" wrapText="1"/>
    </xf>
    <xf numFmtId="43" fontId="32" fillId="0" borderId="2" xfId="201" applyFont="1" applyBorder="1" applyAlignment="1">
      <alignment horizontal="center" vertical="center"/>
    </xf>
    <xf numFmtId="43" fontId="7" fillId="0" borderId="2" xfId="201" applyFont="1" applyBorder="1" applyAlignment="1">
      <alignment horizontal="center" vertical="center"/>
    </xf>
    <xf numFmtId="43" fontId="32" fillId="0" borderId="1" xfId="5" applyNumberFormat="1" applyFont="1" applyBorder="1" applyAlignment="1">
      <alignment horizontal="center" vertical="center"/>
    </xf>
    <xf numFmtId="43" fontId="7" fillId="0" borderId="1" xfId="201" applyFont="1" applyBorder="1" applyAlignment="1">
      <alignment horizontal="right" vertical="center"/>
    </xf>
    <xf numFmtId="43" fontId="7" fillId="50" borderId="1" xfId="201" applyFont="1" applyFill="1" applyBorder="1" applyAlignment="1">
      <alignment horizontal="right" vertical="center" wrapText="1"/>
    </xf>
    <xf numFmtId="43" fontId="32" fillId="0" borderId="2" xfId="201" applyFont="1" applyFill="1" applyBorder="1" applyAlignment="1">
      <alignment horizontal="right" vertical="center"/>
    </xf>
    <xf numFmtId="43" fontId="32" fillId="0" borderId="2" xfId="201" applyFont="1" applyBorder="1" applyAlignment="1">
      <alignment horizontal="right" vertical="center"/>
    </xf>
    <xf numFmtId="43" fontId="7" fillId="0" borderId="1" xfId="201" applyFont="1" applyBorder="1" applyAlignment="1">
      <alignment horizontal="right" vertical="center" wrapText="1"/>
    </xf>
    <xf numFmtId="43" fontId="7" fillId="0" borderId="1" xfId="201" applyFont="1" applyFill="1" applyBorder="1" applyAlignment="1">
      <alignment horizontal="right" vertical="center" wrapText="1"/>
    </xf>
    <xf numFmtId="43" fontId="32" fillId="0" borderId="1" xfId="201" applyFont="1" applyBorder="1" applyAlignment="1">
      <alignment horizontal="right" vertical="center"/>
    </xf>
    <xf numFmtId="43" fontId="7" fillId="19" borderId="1" xfId="201" applyFont="1" applyFill="1" applyBorder="1" applyAlignment="1">
      <alignment horizontal="right" vertical="center" wrapText="1"/>
    </xf>
    <xf numFmtId="43" fontId="7" fillId="50" borderId="1" xfId="5" applyNumberFormat="1" applyFont="1" applyFill="1" applyBorder="1" applyAlignment="1">
      <alignment horizontal="right" vertical="center" wrapText="1"/>
    </xf>
    <xf numFmtId="43" fontId="7" fillId="0" borderId="2" xfId="201" applyFont="1" applyBorder="1" applyAlignment="1">
      <alignment horizontal="right" vertical="center" wrapText="1"/>
    </xf>
    <xf numFmtId="43" fontId="7" fillId="0" borderId="2" xfId="201" applyFont="1" applyFill="1" applyBorder="1" applyAlignment="1">
      <alignment horizontal="right" vertical="center"/>
    </xf>
    <xf numFmtId="43" fontId="7" fillId="0" borderId="1" xfId="201" applyFont="1" applyFill="1" applyBorder="1" applyAlignment="1">
      <alignment horizontal="right" vertical="center"/>
    </xf>
    <xf numFmtId="43" fontId="78" fillId="0" borderId="1" xfId="201" applyFont="1" applyBorder="1" applyAlignment="1">
      <alignment horizontal="right" vertical="center"/>
    </xf>
    <xf numFmtId="43" fontId="7" fillId="0" borderId="10" xfId="201" applyFont="1" applyFill="1" applyBorder="1" applyAlignment="1">
      <alignment horizontal="right" vertical="center"/>
    </xf>
    <xf numFmtId="43" fontId="7" fillId="28" borderId="1" xfId="201" applyFont="1" applyFill="1" applyBorder="1" applyAlignment="1">
      <alignment horizontal="left" vertical="center" wrapText="1"/>
    </xf>
    <xf numFmtId="43" fontId="7" fillId="50" borderId="1" xfId="201" applyFont="1" applyFill="1" applyBorder="1" applyAlignment="1">
      <alignment horizontal="left" vertical="center" wrapText="1"/>
    </xf>
    <xf numFmtId="43" fontId="78" fillId="0" borderId="1" xfId="201" applyFont="1" applyBorder="1" applyAlignment="1">
      <alignment vertical="center"/>
    </xf>
    <xf numFmtId="43" fontId="2" fillId="0" borderId="1" xfId="5" applyNumberFormat="1" applyFont="1" applyBorder="1" applyAlignment="1">
      <alignment horizontal="center" vertical="center"/>
    </xf>
    <xf numFmtId="43" fontId="32" fillId="0" borderId="3" xfId="5" applyNumberFormat="1" applyFont="1" applyBorder="1" applyAlignment="1">
      <alignment horizontal="center" vertical="center"/>
    </xf>
    <xf numFmtId="43" fontId="27" fillId="0" borderId="1" xfId="5" applyNumberFormat="1" applyFont="1" applyFill="1" applyBorder="1" applyAlignment="1">
      <alignment horizontal="left" vertical="center" wrapText="1"/>
    </xf>
    <xf numFmtId="43" fontId="7" fillId="0" borderId="1" xfId="201" applyFont="1" applyFill="1" applyBorder="1" applyAlignment="1">
      <alignment horizontal="left" vertical="center" wrapText="1"/>
    </xf>
    <xf numFmtId="43" fontId="32" fillId="0" borderId="1" xfId="201" applyFont="1" applyBorder="1" applyAlignment="1">
      <alignment vertical="center"/>
    </xf>
    <xf numFmtId="43" fontId="32" fillId="0" borderId="1" xfId="201" applyFont="1" applyFill="1" applyBorder="1" applyAlignment="1">
      <alignment vertical="center"/>
    </xf>
    <xf numFmtId="43" fontId="63" fillId="27" borderId="1" xfId="5" applyNumberFormat="1" applyFont="1" applyFill="1" applyBorder="1" applyAlignment="1">
      <alignment horizontal="left" vertical="center" wrapText="1"/>
    </xf>
    <xf numFmtId="43" fontId="7" fillId="19" borderId="1" xfId="201" applyFont="1" applyFill="1" applyBorder="1" applyAlignment="1">
      <alignment horizontal="left" vertical="center" wrapText="1"/>
    </xf>
    <xf numFmtId="43" fontId="7" fillId="0" borderId="2" xfId="201" applyFont="1" applyBorder="1" applyAlignment="1">
      <alignment vertical="center"/>
    </xf>
    <xf numFmtId="43" fontId="7" fillId="0" borderId="10" xfId="201" applyFont="1" applyBorder="1" applyAlignment="1">
      <alignment vertical="center"/>
    </xf>
    <xf numFmtId="43" fontId="7" fillId="0" borderId="2" xfId="5" applyNumberFormat="1" applyFont="1" applyFill="1" applyBorder="1" applyAlignment="1">
      <alignment horizontal="left" vertical="center" wrapText="1"/>
    </xf>
    <xf numFmtId="43" fontId="7" fillId="0" borderId="3" xfId="201" applyFont="1" applyBorder="1" applyAlignment="1">
      <alignment horizontal="center" vertical="center" wrapText="1"/>
    </xf>
    <xf numFmtId="43" fontId="32" fillId="0" borderId="3" xfId="201" applyFont="1" applyBorder="1" applyAlignment="1">
      <alignment vertical="center"/>
    </xf>
    <xf numFmtId="43" fontId="7" fillId="28" borderId="3" xfId="5" applyNumberFormat="1" applyFont="1" applyFill="1" applyBorder="1" applyAlignment="1">
      <alignment horizontal="left" vertical="center" wrapText="1"/>
    </xf>
    <xf numFmtId="43" fontId="7" fillId="0" borderId="3" xfId="5" applyNumberFormat="1" applyFont="1" applyFill="1" applyBorder="1" applyAlignment="1">
      <alignment horizontal="left" vertical="center" wrapText="1"/>
    </xf>
    <xf numFmtId="43" fontId="7" fillId="50" borderId="1" xfId="5" applyNumberFormat="1" applyFont="1" applyFill="1" applyBorder="1" applyAlignment="1">
      <alignment horizontal="left" vertical="center" wrapText="1"/>
    </xf>
    <xf numFmtId="43" fontId="7" fillId="28" borderId="1" xfId="5" applyNumberFormat="1" applyFont="1" applyFill="1" applyBorder="1" applyAlignment="1">
      <alignment horizontal="left" vertical="center" wrapText="1"/>
    </xf>
    <xf numFmtId="43" fontId="169" fillId="0" borderId="2" xfId="5" applyNumberFormat="1" applyFont="1" applyFill="1" applyBorder="1" applyAlignment="1">
      <alignment horizontal="left" vertical="center" wrapText="1"/>
    </xf>
    <xf numFmtId="43" fontId="7" fillId="0" borderId="2" xfId="201" applyFont="1" applyFill="1" applyBorder="1" applyAlignment="1">
      <alignment horizontal="left" vertical="center" wrapText="1"/>
    </xf>
    <xf numFmtId="43" fontId="7" fillId="0" borderId="3" xfId="201" applyFont="1" applyBorder="1" applyAlignment="1">
      <alignment horizontal="center" vertical="center"/>
    </xf>
    <xf numFmtId="43" fontId="7" fillId="0" borderId="1" xfId="201" applyFont="1" applyBorder="1" applyAlignment="1">
      <alignment horizontal="left" vertical="center" wrapText="1"/>
    </xf>
    <xf numFmtId="43" fontId="78" fillId="0" borderId="1" xfId="201" applyFont="1" applyFill="1" applyBorder="1" applyAlignment="1">
      <alignment horizontal="left" vertical="center" wrapText="1"/>
    </xf>
    <xf numFmtId="43" fontId="7" fillId="0" borderId="1" xfId="201" applyFont="1" applyBorder="1" applyAlignment="1">
      <alignment horizontal="center" vertical="center"/>
    </xf>
    <xf numFmtId="43" fontId="32" fillId="0" borderId="1" xfId="201" applyFont="1" applyFill="1" applyBorder="1" applyAlignment="1">
      <alignment horizontal="left" vertical="center"/>
    </xf>
    <xf numFmtId="43" fontId="7" fillId="19" borderId="1" xfId="5" applyNumberFormat="1" applyFont="1" applyFill="1" applyBorder="1" applyAlignment="1">
      <alignment horizontal="left" vertical="center" wrapText="1"/>
    </xf>
    <xf numFmtId="43" fontId="7" fillId="0" borderId="1" xfId="5" applyNumberFormat="1" applyFont="1" applyFill="1" applyBorder="1" applyAlignment="1">
      <alignment horizontal="left" vertical="center" wrapText="1"/>
    </xf>
    <xf numFmtId="43" fontId="7" fillId="0" borderId="1" xfId="201" applyFont="1" applyFill="1" applyBorder="1" applyAlignment="1">
      <alignment vertical="center"/>
    </xf>
    <xf numFmtId="43" fontId="7" fillId="0" borderId="2" xfId="201" applyFont="1" applyFill="1" applyBorder="1" applyAlignment="1">
      <alignment vertical="center"/>
    </xf>
    <xf numFmtId="43" fontId="7" fillId="0" borderId="3" xfId="5" applyNumberFormat="1" applyFont="1" applyFill="1" applyBorder="1" applyAlignment="1">
      <alignment horizontal="center" vertical="center"/>
    </xf>
    <xf numFmtId="43" fontId="7" fillId="0" borderId="1" xfId="5" applyNumberFormat="1" applyFont="1" applyFill="1" applyBorder="1" applyAlignment="1">
      <alignment vertical="center"/>
    </xf>
    <xf numFmtId="43" fontId="169" fillId="0" borderId="1" xfId="5" applyNumberFormat="1" applyFont="1" applyFill="1" applyBorder="1" applyAlignment="1">
      <alignment horizontal="left" vertical="center" wrapText="1"/>
    </xf>
    <xf numFmtId="43" fontId="7" fillId="0" borderId="1" xfId="201" applyFont="1" applyFill="1" applyBorder="1" applyAlignment="1">
      <alignment horizontal="center" vertical="center"/>
    </xf>
    <xf numFmtId="43" fontId="7" fillId="0" borderId="1" xfId="201" applyFont="1" applyFill="1" applyBorder="1" applyAlignment="1">
      <alignment horizontal="left" vertical="center"/>
    </xf>
    <xf numFmtId="43" fontId="32" fillId="0" borderId="1" xfId="201" applyFont="1" applyBorder="1" applyAlignment="1">
      <alignment horizontal="left" vertical="center"/>
    </xf>
    <xf numFmtId="43" fontId="7" fillId="0" borderId="1" xfId="201" applyFont="1" applyBorder="1" applyAlignment="1">
      <alignment horizontal="left" vertical="center"/>
    </xf>
    <xf numFmtId="43" fontId="7" fillId="16" borderId="1" xfId="201" applyFont="1" applyFill="1" applyBorder="1" applyAlignment="1">
      <alignment horizontal="left" vertical="center" wrapText="1"/>
    </xf>
    <xf numFmtId="43" fontId="7" fillId="0" borderId="1" xfId="201" applyFont="1" applyBorder="1" applyAlignment="1">
      <alignment vertical="center"/>
    </xf>
    <xf numFmtId="43" fontId="7" fillId="0" borderId="0" xfId="4" applyNumberFormat="1" applyFont="1" applyAlignment="1">
      <alignment horizontal="right" vertical="center"/>
    </xf>
    <xf numFmtId="43" fontId="27" fillId="0" borderId="0" xfId="4" applyNumberFormat="1" applyFont="1" applyAlignment="1">
      <alignment horizontal="center" vertical="center"/>
    </xf>
    <xf numFmtId="43" fontId="7" fillId="0" borderId="0" xfId="4" applyNumberFormat="1" applyFont="1" applyAlignment="1">
      <alignment horizontal="center" vertical="center"/>
    </xf>
    <xf numFmtId="175" fontId="0" fillId="51" borderId="0" xfId="7" applyNumberFormat="1" applyFont="1" applyFill="1"/>
    <xf numFmtId="0" fontId="2" fillId="75" borderId="1" xfId="0" applyFont="1" applyFill="1" applyBorder="1" applyAlignment="1">
      <alignment vertical="center" wrapText="1"/>
    </xf>
    <xf numFmtId="208" fontId="27" fillId="0" borderId="0" xfId="4" applyNumberFormat="1" applyFont="1" applyAlignment="1">
      <alignment vertical="center"/>
    </xf>
    <xf numFmtId="209" fontId="27" fillId="0" borderId="0" xfId="4" applyNumberFormat="1" applyFont="1" applyAlignment="1">
      <alignment vertical="center"/>
    </xf>
    <xf numFmtId="208" fontId="7" fillId="0" borderId="0" xfId="4" applyNumberFormat="1" applyFont="1" applyAlignment="1">
      <alignment vertical="center"/>
    </xf>
    <xf numFmtId="208" fontId="148" fillId="0" borderId="0" xfId="4" applyNumberFormat="1" applyFont="1" applyAlignment="1">
      <alignment vertical="center"/>
    </xf>
    <xf numFmtId="208" fontId="82" fillId="0" borderId="0" xfId="4" applyNumberFormat="1" applyFont="1" applyAlignment="1">
      <alignment vertical="center"/>
    </xf>
    <xf numFmtId="170" fontId="91" fillId="41" borderId="1" xfId="1" applyFont="1" applyFill="1" applyBorder="1" applyAlignment="1">
      <alignment horizontal="center" vertical="center" wrapText="1"/>
    </xf>
    <xf numFmtId="0" fontId="6" fillId="0" borderId="72" xfId="0" applyFont="1" applyBorder="1" applyAlignment="1">
      <alignment horizontal="center" vertical="center"/>
    </xf>
    <xf numFmtId="0" fontId="240" fillId="0" borderId="153" xfId="0" applyFont="1" applyBorder="1" applyAlignment="1">
      <alignment horizontal="center" vertical="center" wrapText="1"/>
    </xf>
    <xf numFmtId="0" fontId="240" fillId="0" borderId="33" xfId="0" applyFont="1" applyBorder="1" applyAlignment="1">
      <alignment horizontal="center" vertical="center" wrapText="1"/>
    </xf>
    <xf numFmtId="0" fontId="241" fillId="0" borderId="0" xfId="0" applyFont="1"/>
    <xf numFmtId="0" fontId="231" fillId="0" borderId="63" xfId="0" applyFont="1" applyBorder="1" applyAlignment="1">
      <alignment horizontal="center" vertical="center" wrapText="1"/>
    </xf>
    <xf numFmtId="0" fontId="243" fillId="0" borderId="63" xfId="0" applyFont="1" applyBorder="1" applyAlignment="1">
      <alignment horizontal="left" vertical="center" wrapText="1"/>
    </xf>
    <xf numFmtId="15" fontId="232" fillId="0" borderId="63" xfId="0" applyNumberFormat="1" applyFont="1" applyBorder="1" applyAlignment="1">
      <alignment horizontal="center" vertical="center" wrapText="1"/>
    </xf>
    <xf numFmtId="0" fontId="243" fillId="0" borderId="63" xfId="0" applyFont="1" applyBorder="1" applyAlignment="1">
      <alignment horizontal="center" vertical="center" wrapText="1"/>
    </xf>
    <xf numFmtId="0" fontId="0" fillId="0" borderId="64" xfId="0" applyBorder="1" applyAlignment="1">
      <alignment horizontal="center" vertical="center"/>
    </xf>
    <xf numFmtId="0" fontId="14" fillId="0" borderId="7" xfId="0" applyFont="1" applyBorder="1" applyAlignment="1">
      <alignment horizontal="center" vertical="center" wrapText="1"/>
    </xf>
    <xf numFmtId="0" fontId="232" fillId="0" borderId="7" xfId="0" applyFont="1" applyBorder="1" applyAlignment="1">
      <alignment horizontal="center" vertical="center"/>
    </xf>
    <xf numFmtId="0" fontId="243" fillId="0" borderId="7" xfId="0" applyFont="1" applyBorder="1" applyAlignment="1">
      <alignment horizontal="left" vertical="center" wrapText="1"/>
    </xf>
    <xf numFmtId="15" fontId="232" fillId="0" borderId="7" xfId="0" applyNumberFormat="1" applyFont="1" applyBorder="1" applyAlignment="1">
      <alignment horizontal="center" vertical="center" wrapText="1"/>
    </xf>
    <xf numFmtId="0" fontId="243" fillId="0" borderId="7" xfId="0" applyFont="1" applyBorder="1" applyAlignment="1">
      <alignment horizontal="center" vertical="center" wrapText="1"/>
    </xf>
    <xf numFmtId="0" fontId="0" fillId="0" borderId="73" xfId="0" applyBorder="1" applyAlignment="1">
      <alignment horizontal="center" vertical="center"/>
    </xf>
    <xf numFmtId="210" fontId="232" fillId="0" borderId="7" xfId="209" applyNumberFormat="1" applyFont="1" applyFill="1" applyBorder="1" applyAlignment="1">
      <alignment horizontal="center" vertical="center" wrapText="1"/>
    </xf>
    <xf numFmtId="0" fontId="232" fillId="0" borderId="7" xfId="0" applyFont="1" applyBorder="1" applyAlignment="1">
      <alignment horizontal="center" vertical="center" wrapText="1"/>
    </xf>
    <xf numFmtId="0" fontId="231" fillId="0" borderId="75" xfId="0" applyFont="1" applyBorder="1" applyAlignment="1">
      <alignment horizontal="center" vertical="center" wrapText="1"/>
    </xf>
    <xf numFmtId="0" fontId="80" fillId="0" borderId="75" xfId="0" applyFont="1" applyBorder="1" applyAlignment="1">
      <alignment horizontal="center" vertical="center"/>
    </xf>
    <xf numFmtId="210" fontId="232" fillId="0" borderId="75" xfId="209" applyNumberFormat="1" applyFont="1" applyFill="1" applyBorder="1" applyAlignment="1">
      <alignment horizontal="center" vertical="center" wrapText="1"/>
    </xf>
    <xf numFmtId="15" fontId="232" fillId="0" borderId="75" xfId="0" applyNumberFormat="1" applyFont="1" applyBorder="1" applyAlignment="1">
      <alignment horizontal="center" vertical="center" wrapText="1"/>
    </xf>
    <xf numFmtId="0" fontId="243" fillId="0" borderId="75" xfId="0" applyFont="1" applyBorder="1" applyAlignment="1">
      <alignment horizontal="left" vertical="center" wrapText="1"/>
    </xf>
    <xf numFmtId="0" fontId="243" fillId="0" borderId="75" xfId="0" applyFont="1" applyBorder="1" applyAlignment="1">
      <alignment horizontal="center" vertical="center" wrapText="1"/>
    </xf>
    <xf numFmtId="0" fontId="0" fillId="0" borderId="76" xfId="0" applyBorder="1" applyAlignment="1">
      <alignment horizontal="center" vertical="center"/>
    </xf>
    <xf numFmtId="0" fontId="80" fillId="0" borderId="63" xfId="0" applyFont="1" applyBorder="1" applyAlignment="1">
      <alignment horizontal="center" vertical="center"/>
    </xf>
    <xf numFmtId="210" fontId="232" fillId="0" borderId="63" xfId="209" applyNumberFormat="1" applyFont="1" applyFill="1" applyBorder="1" applyAlignment="1">
      <alignment horizontal="center" vertical="center"/>
    </xf>
    <xf numFmtId="0" fontId="245" fillId="81" borderId="63" xfId="0" applyFont="1" applyFill="1" applyBorder="1" applyAlignment="1">
      <alignment horizontal="center" vertical="center" wrapText="1"/>
    </xf>
    <xf numFmtId="0" fontId="27" fillId="81" borderId="63" xfId="0" applyFont="1" applyFill="1" applyBorder="1" applyAlignment="1">
      <alignment horizontal="center" vertical="center" wrapText="1"/>
    </xf>
    <xf numFmtId="2" fontId="0" fillId="0" borderId="0" xfId="0" applyNumberFormat="1"/>
    <xf numFmtId="0" fontId="80" fillId="0" borderId="7" xfId="0" applyFont="1" applyBorder="1" applyAlignment="1">
      <alignment horizontal="center" vertical="center"/>
    </xf>
    <xf numFmtId="0" fontId="245" fillId="81" borderId="7" xfId="0" applyFont="1" applyFill="1" applyBorder="1" applyAlignment="1">
      <alignment horizontal="center" vertical="center" wrapText="1"/>
    </xf>
    <xf numFmtId="0" fontId="27" fillId="81" borderId="7" xfId="0" applyFont="1" applyFill="1" applyBorder="1" applyAlignment="1">
      <alignment horizontal="center" vertical="center" wrapText="1"/>
    </xf>
    <xf numFmtId="0" fontId="14" fillId="0" borderId="75" xfId="0" applyFont="1" applyBorder="1" applyAlignment="1">
      <alignment horizontal="center" vertical="center" wrapText="1"/>
    </xf>
    <xf numFmtId="0" fontId="245" fillId="81" borderId="75" xfId="0" applyFont="1" applyFill="1" applyBorder="1" applyAlignment="1">
      <alignment horizontal="center" vertical="center" wrapText="1"/>
    </xf>
    <xf numFmtId="0" fontId="27" fillId="81" borderId="75" xfId="0" applyFont="1" applyFill="1" applyBorder="1" applyAlignment="1">
      <alignment horizontal="center" vertical="center" wrapText="1"/>
    </xf>
    <xf numFmtId="210" fontId="232" fillId="0" borderId="63" xfId="209" applyNumberFormat="1" applyFont="1" applyFill="1" applyBorder="1" applyAlignment="1">
      <alignment horizontal="center" vertical="center" wrapText="1"/>
    </xf>
    <xf numFmtId="0" fontId="244" fillId="5" borderId="63" xfId="0" applyFont="1" applyFill="1" applyBorder="1" applyAlignment="1">
      <alignment horizontal="center" vertical="center" wrapText="1"/>
    </xf>
    <xf numFmtId="0" fontId="232" fillId="5" borderId="63" xfId="0" applyFont="1" applyFill="1" applyBorder="1" applyAlignment="1">
      <alignment horizontal="center" vertical="center" wrapText="1"/>
    </xf>
    <xf numFmtId="210" fontId="232" fillId="0" borderId="7" xfId="209" applyNumberFormat="1" applyFont="1" applyFill="1" applyBorder="1" applyAlignment="1">
      <alignment horizontal="center" vertical="center"/>
    </xf>
    <xf numFmtId="0" fontId="244" fillId="5" borderId="7" xfId="0" applyFont="1" applyFill="1" applyBorder="1" applyAlignment="1">
      <alignment horizontal="center" vertical="center" wrapText="1"/>
    </xf>
    <xf numFmtId="0" fontId="232" fillId="5" borderId="7" xfId="0" applyFont="1" applyFill="1" applyBorder="1" applyAlignment="1">
      <alignment horizontal="center" vertical="center" wrapText="1"/>
    </xf>
    <xf numFmtId="210" fontId="232" fillId="0" borderId="75" xfId="209" applyNumberFormat="1" applyFont="1" applyFill="1" applyBorder="1" applyAlignment="1">
      <alignment horizontal="center" vertical="center"/>
    </xf>
    <xf numFmtId="0" fontId="244" fillId="5" borderId="75" xfId="0" applyFont="1" applyFill="1" applyBorder="1" applyAlignment="1">
      <alignment horizontal="center" vertical="center" wrapText="1"/>
    </xf>
    <xf numFmtId="0" fontId="232" fillId="5" borderId="75" xfId="0" applyFont="1" applyFill="1" applyBorder="1" applyAlignment="1">
      <alignment horizontal="center" vertical="center" wrapText="1"/>
    </xf>
    <xf numFmtId="0" fontId="232" fillId="0" borderId="75" xfId="0" applyFont="1" applyBorder="1" applyAlignment="1">
      <alignment horizontal="center" vertical="center"/>
    </xf>
    <xf numFmtId="0" fontId="244" fillId="102" borderId="7" xfId="0" applyFont="1" applyFill="1" applyBorder="1" applyAlignment="1">
      <alignment horizontal="center" vertical="center" wrapText="1"/>
    </xf>
    <xf numFmtId="0" fontId="232" fillId="100" borderId="7" xfId="0" applyFont="1" applyFill="1" applyBorder="1" applyAlignment="1">
      <alignment horizontal="center" vertical="center" wrapText="1"/>
    </xf>
    <xf numFmtId="0" fontId="244" fillId="102" borderId="75" xfId="0" applyFont="1" applyFill="1" applyBorder="1" applyAlignment="1">
      <alignment horizontal="center" vertical="center" wrapText="1"/>
    </xf>
    <xf numFmtId="0" fontId="232" fillId="100" borderId="75" xfId="0" applyFont="1" applyFill="1" applyBorder="1" applyAlignment="1">
      <alignment horizontal="center" vertical="center" wrapText="1"/>
    </xf>
    <xf numFmtId="0" fontId="244" fillId="101" borderId="63" xfId="0" applyFont="1" applyFill="1" applyBorder="1" applyAlignment="1">
      <alignment horizontal="center" vertical="center" wrapText="1"/>
    </xf>
    <xf numFmtId="0" fontId="232" fillId="101" borderId="63" xfId="0" applyFont="1" applyFill="1" applyBorder="1" applyAlignment="1">
      <alignment horizontal="center" vertical="center" wrapText="1"/>
    </xf>
    <xf numFmtId="0" fontId="244" fillId="101" borderId="7" xfId="0" applyFont="1" applyFill="1" applyBorder="1" applyAlignment="1">
      <alignment horizontal="center" vertical="center" wrapText="1"/>
    </xf>
    <xf numFmtId="0" fontId="232" fillId="101" borderId="7" xfId="0" applyFont="1" applyFill="1" applyBorder="1" applyAlignment="1">
      <alignment horizontal="center" vertical="center" wrapText="1"/>
    </xf>
    <xf numFmtId="0" fontId="244" fillId="101" borderId="75" xfId="0" applyFont="1" applyFill="1" applyBorder="1" applyAlignment="1">
      <alignment horizontal="center" vertical="center" wrapText="1"/>
    </xf>
    <xf numFmtId="0" fontId="232" fillId="101" borderId="75" xfId="0" applyFont="1" applyFill="1" applyBorder="1" applyAlignment="1">
      <alignment horizontal="center" vertical="center" wrapText="1"/>
    </xf>
    <xf numFmtId="202" fontId="6" fillId="0" borderId="63" xfId="0" applyNumberFormat="1" applyFont="1" applyBorder="1" applyAlignment="1">
      <alignment horizontal="center" vertical="center"/>
    </xf>
    <xf numFmtId="0" fontId="242" fillId="0" borderId="72" xfId="0" applyFont="1" applyBorder="1" applyAlignment="1">
      <alignment horizontal="center" vertical="center" wrapText="1"/>
    </xf>
    <xf numFmtId="0" fontId="242" fillId="0" borderId="7" xfId="0" applyFont="1" applyBorder="1" applyAlignment="1">
      <alignment horizontal="center" vertical="center" wrapText="1"/>
    </xf>
    <xf numFmtId="0" fontId="244" fillId="0" borderId="7" xfId="0" applyFont="1" applyBorder="1" applyAlignment="1">
      <alignment horizontal="center" vertical="center" wrapText="1"/>
    </xf>
    <xf numFmtId="0" fontId="6" fillId="0" borderId="72" xfId="0" applyFont="1" applyBorder="1" applyAlignment="1">
      <alignment horizontal="center"/>
    </xf>
    <xf numFmtId="0" fontId="6" fillId="0" borderId="65" xfId="0" applyFont="1" applyBorder="1" applyAlignment="1">
      <alignment horizontal="center"/>
    </xf>
    <xf numFmtId="0" fontId="231" fillId="0" borderId="6" xfId="0" applyFont="1" applyBorder="1" applyAlignment="1">
      <alignment horizontal="center" vertical="center" wrapText="1"/>
    </xf>
    <xf numFmtId="0" fontId="80" fillId="0" borderId="6" xfId="0" applyFont="1" applyBorder="1" applyAlignment="1">
      <alignment horizontal="center" vertical="center"/>
    </xf>
    <xf numFmtId="0" fontId="242" fillId="0" borderId="6" xfId="0" applyFont="1" applyBorder="1" applyAlignment="1">
      <alignment horizontal="center" vertical="center" wrapText="1"/>
    </xf>
    <xf numFmtId="0" fontId="243" fillId="0" borderId="6" xfId="0" applyFont="1" applyBorder="1" applyAlignment="1">
      <alignment horizontal="left" vertical="center" wrapText="1"/>
    </xf>
    <xf numFmtId="210" fontId="232" fillId="0" borderId="6" xfId="209" applyNumberFormat="1" applyFont="1" applyFill="1" applyBorder="1" applyAlignment="1">
      <alignment horizontal="center" vertical="center" wrapText="1"/>
    </xf>
    <xf numFmtId="15" fontId="232" fillId="0" borderId="6" xfId="0" applyNumberFormat="1" applyFont="1" applyBorder="1" applyAlignment="1">
      <alignment horizontal="center" vertical="center" wrapText="1"/>
    </xf>
    <xf numFmtId="0" fontId="244" fillId="0" borderId="6" xfId="0" applyFont="1" applyBorder="1" applyAlignment="1">
      <alignment horizontal="center" vertical="center" wrapText="1"/>
    </xf>
    <xf numFmtId="0" fontId="232" fillId="0" borderId="6" xfId="0" applyFont="1" applyBorder="1" applyAlignment="1">
      <alignment horizontal="center" vertical="center" wrapText="1"/>
    </xf>
    <xf numFmtId="0" fontId="231" fillId="0" borderId="72" xfId="0" applyFont="1" applyBorder="1" applyAlignment="1">
      <alignment horizontal="center" vertical="center" wrapText="1"/>
    </xf>
    <xf numFmtId="0" fontId="231" fillId="0" borderId="74" xfId="0" applyFont="1" applyBorder="1" applyAlignment="1">
      <alignment horizontal="center" vertical="center" wrapText="1"/>
    </xf>
    <xf numFmtId="0" fontId="231" fillId="0" borderId="86" xfId="0" applyFont="1" applyBorder="1" applyAlignment="1">
      <alignment horizontal="center" vertical="center" wrapText="1"/>
    </xf>
    <xf numFmtId="0" fontId="232" fillId="0" borderId="8" xfId="0" applyFont="1" applyBorder="1" applyAlignment="1">
      <alignment horizontal="center" vertical="center"/>
    </xf>
    <xf numFmtId="0" fontId="243" fillId="0" borderId="8" xfId="0" applyFont="1" applyBorder="1" applyAlignment="1">
      <alignment horizontal="left" vertical="center" wrapText="1"/>
    </xf>
    <xf numFmtId="210" fontId="232" fillId="0" borderId="8" xfId="209" applyNumberFormat="1" applyFont="1" applyFill="1" applyBorder="1" applyAlignment="1">
      <alignment horizontal="center" vertical="center" wrapText="1"/>
    </xf>
    <xf numFmtId="15" fontId="232" fillId="0" borderId="8" xfId="0" applyNumberFormat="1" applyFont="1" applyBorder="1" applyAlignment="1">
      <alignment horizontal="center" vertical="center" wrapText="1"/>
    </xf>
    <xf numFmtId="202" fontId="104" fillId="0" borderId="7" xfId="0" applyNumberFormat="1" applyFont="1" applyBorder="1" applyAlignment="1">
      <alignment horizontal="center" vertical="center" wrapText="1"/>
    </xf>
    <xf numFmtId="210" fontId="0" fillId="0" borderId="0" xfId="0" applyNumberFormat="1"/>
    <xf numFmtId="211" fontId="0" fillId="0" borderId="0" xfId="0" applyNumberFormat="1"/>
    <xf numFmtId="0" fontId="236" fillId="96" borderId="7" xfId="0" applyFont="1" applyFill="1" applyBorder="1" applyAlignment="1">
      <alignment horizontal="center" vertical="center" wrapText="1"/>
    </xf>
    <xf numFmtId="0" fontId="80" fillId="96" borderId="7" xfId="0" applyFont="1" applyFill="1" applyBorder="1" applyAlignment="1">
      <alignment horizontal="left" vertical="center" wrapText="1"/>
    </xf>
    <xf numFmtId="0" fontId="231" fillId="0" borderId="23" xfId="0" applyFont="1" applyBorder="1" applyAlignment="1">
      <alignment horizontal="center" vertical="center" wrapText="1"/>
    </xf>
    <xf numFmtId="0" fontId="242" fillId="0" borderId="75" xfId="0" applyFont="1" applyBorder="1" applyAlignment="1">
      <alignment horizontal="center" vertical="center" wrapText="1"/>
    </xf>
    <xf numFmtId="202" fontId="104" fillId="0" borderId="75" xfId="0" applyNumberFormat="1" applyFont="1" applyBorder="1" applyAlignment="1">
      <alignment horizontal="center" vertical="center" wrapText="1"/>
    </xf>
    <xf numFmtId="0" fontId="244" fillId="0" borderId="75" xfId="0" applyFont="1" applyBorder="1" applyAlignment="1">
      <alignment horizontal="center" vertical="center" wrapText="1"/>
    </xf>
    <xf numFmtId="0" fontId="236" fillId="96" borderId="75" xfId="0" applyFont="1" applyFill="1" applyBorder="1" applyAlignment="1">
      <alignment horizontal="center" vertical="center" wrapText="1"/>
    </xf>
    <xf numFmtId="0" fontId="80" fillId="96" borderId="75" xfId="0" applyFont="1" applyFill="1" applyBorder="1" applyAlignment="1">
      <alignment horizontal="left" vertical="center" wrapText="1"/>
    </xf>
    <xf numFmtId="0" fontId="242" fillId="0" borderId="86" xfId="0" applyFont="1" applyBorder="1" applyAlignment="1">
      <alignment horizontal="center" vertical="center" wrapText="1"/>
    </xf>
    <xf numFmtId="0" fontId="231" fillId="0" borderId="20" xfId="0" applyFont="1" applyBorder="1" applyAlignment="1">
      <alignment horizontal="center" vertical="center" wrapText="1"/>
    </xf>
    <xf numFmtId="0" fontId="242" fillId="0" borderId="8" xfId="0" applyFont="1" applyBorder="1" applyAlignment="1">
      <alignment horizontal="center" vertical="center" wrapText="1"/>
    </xf>
    <xf numFmtId="202" fontId="104" fillId="0" borderId="8" xfId="0" applyNumberFormat="1" applyFont="1" applyBorder="1" applyAlignment="1">
      <alignment horizontal="center" vertical="center" wrapText="1"/>
    </xf>
    <xf numFmtId="0" fontId="244" fillId="0" borderId="8" xfId="0" applyFont="1" applyBorder="1" applyAlignment="1">
      <alignment horizontal="center" vertical="center" wrapText="1"/>
    </xf>
    <xf numFmtId="0" fontId="243" fillId="0" borderId="8" xfId="0" applyFont="1" applyBorder="1" applyAlignment="1">
      <alignment horizontal="center" vertical="center" wrapText="1"/>
    </xf>
    <xf numFmtId="0" fontId="0" fillId="0" borderId="77" xfId="0" applyBorder="1" applyAlignment="1">
      <alignment horizontal="center" vertical="center"/>
    </xf>
    <xf numFmtId="0" fontId="2" fillId="0" borderId="61" xfId="0" applyFont="1" applyBorder="1"/>
    <xf numFmtId="2" fontId="32" fillId="0" borderId="68" xfId="0" applyNumberFormat="1" applyFont="1" applyBorder="1"/>
    <xf numFmtId="2" fontId="32" fillId="0" borderId="63" xfId="0" applyNumberFormat="1" applyFont="1" applyBorder="1"/>
    <xf numFmtId="2" fontId="32" fillId="0" borderId="7" xfId="0" applyNumberFormat="1" applyFont="1" applyBorder="1"/>
    <xf numFmtId="2" fontId="32" fillId="0" borderId="75" xfId="0" applyNumberFormat="1" applyFont="1" applyBorder="1"/>
    <xf numFmtId="2" fontId="32" fillId="0" borderId="61" xfId="0" applyNumberFormat="1" applyFont="1" applyBorder="1"/>
    <xf numFmtId="0" fontId="0" fillId="0" borderId="8" xfId="0" applyBorder="1" applyAlignment="1">
      <alignment horizontal="center" vertical="center" wrapText="1"/>
    </xf>
    <xf numFmtId="49" fontId="7" fillId="0" borderId="0" xfId="265" applyNumberFormat="1" applyFont="1" applyAlignment="1">
      <alignment vertical="center"/>
    </xf>
    <xf numFmtId="203" fontId="7" fillId="52" borderId="0" xfId="4" applyNumberFormat="1" applyFont="1" applyFill="1" applyAlignment="1">
      <alignment horizontal="left" vertical="center"/>
    </xf>
    <xf numFmtId="49" fontId="7" fillId="0" borderId="0" xfId="265" applyNumberFormat="1" applyFont="1" applyAlignment="1">
      <alignment horizontal="left" vertical="center" wrapText="1"/>
    </xf>
    <xf numFmtId="49" fontId="27" fillId="0" borderId="0" xfId="265" applyNumberFormat="1" applyFont="1" applyAlignment="1">
      <alignment horizontal="left" vertical="center" wrapText="1"/>
    </xf>
    <xf numFmtId="167" fontId="27" fillId="0" borderId="0" xfId="265" applyFont="1" applyAlignment="1">
      <alignment horizontal="center" vertical="center"/>
    </xf>
    <xf numFmtId="167" fontId="7" fillId="0" borderId="1" xfId="265" applyFont="1" applyBorder="1" applyAlignment="1">
      <alignment horizontal="center" vertical="center" wrapText="1"/>
    </xf>
    <xf numFmtId="49" fontId="13" fillId="12" borderId="1" xfId="265" applyNumberFormat="1" applyFont="1" applyFill="1" applyBorder="1" applyAlignment="1">
      <alignment horizontal="center" vertical="center" wrapText="1"/>
    </xf>
    <xf numFmtId="49" fontId="63" fillId="12" borderId="1" xfId="265" applyNumberFormat="1" applyFont="1" applyFill="1" applyBorder="1" applyAlignment="1">
      <alignment horizontal="left" vertical="center" wrapText="1"/>
    </xf>
    <xf numFmtId="167" fontId="63" fillId="12" borderId="1" xfId="265" applyFont="1" applyFill="1" applyBorder="1" applyAlignment="1">
      <alignment horizontal="center" vertical="center" wrapText="1"/>
    </xf>
    <xf numFmtId="43" fontId="63" fillId="12" borderId="1" xfId="265" applyNumberFormat="1" applyFont="1" applyFill="1" applyBorder="1" applyAlignment="1">
      <alignment horizontal="center" vertical="center" wrapText="1"/>
    </xf>
    <xf numFmtId="43" fontId="27" fillId="0" borderId="0" xfId="4" applyNumberFormat="1" applyFont="1" applyAlignment="1">
      <alignment vertical="center"/>
    </xf>
    <xf numFmtId="49" fontId="7" fillId="18" borderId="1" xfId="265" applyNumberFormat="1" applyFont="1" applyFill="1" applyBorder="1" applyAlignment="1">
      <alignment horizontal="center" vertical="center" wrapText="1"/>
    </xf>
    <xf numFmtId="49" fontId="10" fillId="18" borderId="1" xfId="265" applyNumberFormat="1" applyFont="1" applyFill="1" applyBorder="1" applyAlignment="1">
      <alignment horizontal="center" vertical="center" wrapText="1"/>
    </xf>
    <xf numFmtId="49" fontId="7" fillId="18" borderId="1" xfId="265" applyNumberFormat="1" applyFont="1" applyFill="1" applyBorder="1" applyAlignment="1">
      <alignment horizontal="left" vertical="center" wrapText="1"/>
    </xf>
    <xf numFmtId="167" fontId="7" fillId="19" borderId="1" xfId="265" applyFont="1" applyFill="1" applyBorder="1" applyAlignment="1">
      <alignment horizontal="center" vertical="center" wrapText="1"/>
    </xf>
    <xf numFmtId="43" fontId="7" fillId="19" borderId="1" xfId="5" applyNumberFormat="1" applyFont="1" applyFill="1" applyBorder="1" applyAlignment="1">
      <alignment horizontal="right" vertical="center" wrapText="1"/>
    </xf>
    <xf numFmtId="49" fontId="7" fillId="28" borderId="1" xfId="265" applyNumberFormat="1" applyFont="1" applyFill="1" applyBorder="1" applyAlignment="1">
      <alignment horizontal="center" vertical="center" wrapText="1"/>
    </xf>
    <xf numFmtId="49" fontId="10" fillId="28" borderId="1" xfId="265" applyNumberFormat="1" applyFont="1" applyFill="1" applyBorder="1" applyAlignment="1">
      <alignment horizontal="center" vertical="center" wrapText="1"/>
    </xf>
    <xf numFmtId="49" fontId="7" fillId="28" borderId="1" xfId="265" applyNumberFormat="1" applyFont="1" applyFill="1" applyBorder="1" applyAlignment="1">
      <alignment horizontal="left" vertical="center" wrapText="1"/>
    </xf>
    <xf numFmtId="49" fontId="7" fillId="50" borderId="1" xfId="265" applyNumberFormat="1" applyFont="1" applyFill="1" applyBorder="1" applyAlignment="1">
      <alignment horizontal="center" vertical="center" wrapText="1"/>
    </xf>
    <xf numFmtId="49" fontId="10" fillId="50" borderId="1" xfId="265" applyNumberFormat="1" applyFont="1" applyFill="1" applyBorder="1" applyAlignment="1">
      <alignment horizontal="center" vertical="center" wrapText="1"/>
    </xf>
    <xf numFmtId="49" fontId="7" fillId="50" borderId="1" xfId="265" applyNumberFormat="1" applyFont="1" applyFill="1" applyBorder="1" applyAlignment="1">
      <alignment horizontal="left" vertical="center" wrapText="1"/>
    </xf>
    <xf numFmtId="49" fontId="7" fillId="0" borderId="1" xfId="265" applyNumberFormat="1" applyFont="1" applyFill="1" applyBorder="1" applyAlignment="1">
      <alignment horizontal="center" vertical="center" wrapText="1"/>
    </xf>
    <xf numFmtId="49" fontId="10" fillId="0" borderId="1" xfId="265" applyNumberFormat="1" applyFont="1" applyFill="1" applyBorder="1" applyAlignment="1">
      <alignment horizontal="center" vertical="center" wrapText="1"/>
    </xf>
    <xf numFmtId="49" fontId="7" fillId="0" borderId="1" xfId="265" applyNumberFormat="1" applyFont="1" applyFill="1" applyBorder="1" applyAlignment="1">
      <alignment horizontal="left" vertical="center" wrapText="1"/>
    </xf>
    <xf numFmtId="49" fontId="27" fillId="0" borderId="1" xfId="265" applyNumberFormat="1" applyFont="1" applyFill="1" applyBorder="1" applyAlignment="1">
      <alignment horizontal="left" vertical="center" wrapText="1"/>
    </xf>
    <xf numFmtId="49" fontId="182" fillId="0" borderId="1" xfId="265" applyNumberFormat="1" applyFont="1" applyFill="1" applyBorder="1" applyAlignment="1">
      <alignment horizontal="center" vertical="center" wrapText="1"/>
    </xf>
    <xf numFmtId="49" fontId="32" fillId="0" borderId="1" xfId="265" applyNumberFormat="1" applyFont="1" applyFill="1" applyBorder="1" applyAlignment="1">
      <alignment horizontal="left" vertical="center" wrapText="1"/>
    </xf>
    <xf numFmtId="49" fontId="2" fillId="0" borderId="30" xfId="5" applyNumberFormat="1" applyFont="1" applyFill="1" applyBorder="1" applyAlignment="1">
      <alignment vertical="center" wrapText="1"/>
    </xf>
    <xf numFmtId="49" fontId="27" fillId="50" borderId="1" xfId="265" applyNumberFormat="1" applyFont="1" applyFill="1" applyBorder="1" applyAlignment="1">
      <alignment horizontal="left" vertical="center" wrapText="1"/>
    </xf>
    <xf numFmtId="214" fontId="27" fillId="0" borderId="0" xfId="4" applyNumberFormat="1" applyFont="1" applyAlignment="1">
      <alignment vertical="center"/>
    </xf>
    <xf numFmtId="49" fontId="7" fillId="0" borderId="1" xfId="265" applyNumberFormat="1" applyFont="1" applyFill="1" applyBorder="1" applyAlignment="1">
      <alignment horizontal="left" vertical="center" wrapText="1" indent="1"/>
    </xf>
    <xf numFmtId="49" fontId="27" fillId="0" borderId="1" xfId="265" applyNumberFormat="1" applyFont="1" applyBorder="1" applyAlignment="1">
      <alignment horizontal="left" vertical="center" wrapText="1"/>
    </xf>
    <xf numFmtId="49" fontId="27" fillId="0" borderId="9" xfId="265" applyNumberFormat="1" applyFont="1" applyBorder="1" applyAlignment="1">
      <alignment horizontal="left" vertical="center" wrapText="1" indent="1"/>
    </xf>
    <xf numFmtId="49" fontId="7" fillId="0" borderId="1" xfId="265" applyNumberFormat="1" applyFont="1" applyBorder="1" applyAlignment="1">
      <alignment horizontal="left" vertical="center" wrapText="1"/>
    </xf>
    <xf numFmtId="49" fontId="7" fillId="0" borderId="1" xfId="265" applyNumberFormat="1" applyFont="1" applyBorder="1" applyAlignment="1">
      <alignment vertical="center" wrapText="1"/>
    </xf>
    <xf numFmtId="49" fontId="183" fillId="0" borderId="1" xfId="265" applyNumberFormat="1" applyFont="1" applyBorder="1" applyAlignment="1">
      <alignment horizontal="left" vertical="center" wrapText="1"/>
    </xf>
    <xf numFmtId="49" fontId="10" fillId="0" borderId="9" xfId="265" applyNumberFormat="1" applyFont="1" applyFill="1" applyBorder="1" applyAlignment="1">
      <alignment horizontal="center" vertical="center" wrapText="1"/>
    </xf>
    <xf numFmtId="49" fontId="10" fillId="0" borderId="1" xfId="265" applyNumberFormat="1" applyFont="1" applyBorder="1" applyAlignment="1">
      <alignment horizontal="center" vertical="center" wrapText="1"/>
    </xf>
    <xf numFmtId="49" fontId="7" fillId="0" borderId="1" xfId="265" applyNumberFormat="1" applyFont="1" applyBorder="1" applyAlignment="1">
      <alignment horizontal="left" vertical="center" wrapText="1" indent="2"/>
    </xf>
    <xf numFmtId="49" fontId="7" fillId="0" borderId="1" xfId="265" applyNumberFormat="1" applyFont="1" applyFill="1" applyBorder="1" applyAlignment="1">
      <alignment horizontal="left" vertical="center" wrapText="1" indent="2"/>
    </xf>
    <xf numFmtId="49" fontId="184" fillId="0" borderId="1" xfId="265" applyNumberFormat="1" applyFont="1" applyBorder="1" applyAlignment="1">
      <alignment horizontal="left" vertical="center" wrapText="1" indent="2"/>
    </xf>
    <xf numFmtId="1" fontId="27" fillId="0" borderId="1" xfId="265" applyNumberFormat="1" applyFont="1" applyFill="1" applyBorder="1" applyAlignment="1">
      <alignment horizontal="center" vertical="center" wrapText="1"/>
    </xf>
    <xf numFmtId="167" fontId="2" fillId="0" borderId="1" xfId="265" applyFont="1" applyFill="1" applyBorder="1" applyAlignment="1">
      <alignment vertical="center" wrapText="1"/>
    </xf>
    <xf numFmtId="49" fontId="182" fillId="0" borderId="1" xfId="265" applyNumberFormat="1" applyFont="1" applyBorder="1" applyAlignment="1">
      <alignment horizontal="center" vertical="center" wrapText="1"/>
    </xf>
    <xf numFmtId="49" fontId="7" fillId="0" borderId="1" xfId="265" applyNumberFormat="1" applyFont="1" applyBorder="1" applyAlignment="1">
      <alignment horizontal="left" vertical="center" wrapText="1" indent="1"/>
    </xf>
    <xf numFmtId="49" fontId="7" fillId="0" borderId="1" xfId="265" applyNumberFormat="1" applyFont="1" applyBorder="1" applyAlignment="1">
      <alignment horizontal="center" vertical="center" wrapText="1"/>
    </xf>
    <xf numFmtId="49" fontId="27" fillId="0" borderId="0" xfId="265" applyNumberFormat="1" applyFont="1" applyBorder="1" applyAlignment="1">
      <alignment horizontal="left" vertical="center" wrapText="1"/>
    </xf>
    <xf numFmtId="49" fontId="27" fillId="0" borderId="9" xfId="265" applyNumberFormat="1" applyFont="1" applyBorder="1" applyAlignment="1">
      <alignment horizontal="right" vertical="center" wrapText="1"/>
    </xf>
    <xf numFmtId="49" fontId="27" fillId="0" borderId="0" xfId="265" applyNumberFormat="1" applyFont="1" applyFill="1" applyBorder="1" applyAlignment="1">
      <alignment horizontal="left" vertical="center" wrapText="1"/>
    </xf>
    <xf numFmtId="49" fontId="27" fillId="0" borderId="12" xfId="265" applyNumberFormat="1" applyFont="1" applyFill="1" applyBorder="1" applyAlignment="1">
      <alignment horizontal="left" vertical="center" wrapText="1"/>
    </xf>
    <xf numFmtId="49" fontId="27" fillId="0" borderId="0" xfId="265" applyNumberFormat="1" applyFont="1" applyFill="1" applyBorder="1" applyAlignment="1">
      <alignment horizontal="center" vertical="center" wrapText="1"/>
    </xf>
    <xf numFmtId="1" fontId="7" fillId="0" borderId="1" xfId="265" applyNumberFormat="1" applyFont="1" applyFill="1" applyBorder="1" applyAlignment="1">
      <alignment horizontal="center" vertical="center" wrapText="1"/>
    </xf>
    <xf numFmtId="49" fontId="27" fillId="0" borderId="1" xfId="265" applyNumberFormat="1" applyFont="1" applyFill="1" applyBorder="1" applyAlignment="1">
      <alignment horizontal="center" vertical="center" wrapText="1"/>
    </xf>
    <xf numFmtId="49" fontId="27" fillId="0" borderId="10" xfId="265" applyNumberFormat="1" applyFont="1" applyFill="1" applyBorder="1" applyAlignment="1">
      <alignment vertical="center" wrapText="1"/>
    </xf>
    <xf numFmtId="1" fontId="7" fillId="0" borderId="2" xfId="265" applyNumberFormat="1" applyFont="1" applyFill="1" applyBorder="1" applyAlignment="1">
      <alignment horizontal="center" vertical="center" wrapText="1"/>
    </xf>
    <xf numFmtId="1" fontId="7" fillId="0" borderId="3" xfId="265" applyNumberFormat="1" applyFont="1" applyFill="1" applyBorder="1" applyAlignment="1">
      <alignment horizontal="center" vertical="center" wrapText="1"/>
    </xf>
    <xf numFmtId="49" fontId="27" fillId="0" borderId="3" xfId="265" applyNumberFormat="1" applyFont="1" applyFill="1" applyBorder="1" applyAlignment="1">
      <alignment vertical="center" wrapText="1"/>
    </xf>
    <xf numFmtId="1" fontId="27" fillId="0" borderId="1" xfId="265" applyNumberFormat="1" applyFont="1" applyBorder="1" applyAlignment="1">
      <alignment horizontal="center" vertical="center" wrapText="1"/>
    </xf>
    <xf numFmtId="167" fontId="7" fillId="28" borderId="2" xfId="265" applyFont="1" applyFill="1" applyBorder="1" applyAlignment="1">
      <alignment vertical="center" wrapText="1"/>
    </xf>
    <xf numFmtId="1" fontId="7" fillId="50" borderId="1" xfId="265" applyNumberFormat="1" applyFont="1" applyFill="1" applyBorder="1" applyAlignment="1">
      <alignment horizontal="center" vertical="center" wrapText="1"/>
    </xf>
    <xf numFmtId="214" fontId="7" fillId="0" borderId="0" xfId="4" applyNumberFormat="1" applyFont="1" applyAlignment="1">
      <alignment vertical="center"/>
    </xf>
    <xf numFmtId="49" fontId="32" fillId="0" borderId="1" xfId="265" applyNumberFormat="1" applyFont="1" applyBorder="1" applyAlignment="1">
      <alignment horizontal="left" vertical="center" wrapText="1"/>
    </xf>
    <xf numFmtId="49" fontId="2" fillId="0" borderId="1" xfId="265" applyNumberFormat="1" applyFont="1" applyBorder="1" applyAlignment="1">
      <alignment horizontal="left" vertical="center" wrapText="1"/>
    </xf>
    <xf numFmtId="167" fontId="7" fillId="0" borderId="2" xfId="265" applyFont="1" applyFill="1" applyBorder="1" applyAlignment="1">
      <alignment horizontal="center" vertical="center" wrapText="1"/>
    </xf>
    <xf numFmtId="167" fontId="27" fillId="0" borderId="2" xfId="265" applyFont="1" applyFill="1" applyBorder="1" applyAlignment="1">
      <alignment vertical="center" wrapText="1"/>
    </xf>
    <xf numFmtId="167" fontId="27" fillId="0" borderId="1" xfId="265" applyFont="1" applyBorder="1" applyAlignment="1">
      <alignment horizontal="center" vertical="center" wrapText="1"/>
    </xf>
    <xf numFmtId="167" fontId="27" fillId="0" borderId="1" xfId="265" applyFont="1" applyBorder="1" applyAlignment="1">
      <alignment vertical="center" wrapText="1"/>
    </xf>
    <xf numFmtId="167" fontId="27" fillId="0" borderId="2" xfId="265" applyFont="1" applyBorder="1" applyAlignment="1">
      <alignment vertical="center" wrapText="1"/>
    </xf>
    <xf numFmtId="167" fontId="7" fillId="0" borderId="2" xfId="265" applyFont="1" applyBorder="1" applyAlignment="1">
      <alignment vertical="center" wrapText="1"/>
    </xf>
    <xf numFmtId="1" fontId="7" fillId="7" borderId="2" xfId="265" applyNumberFormat="1" applyFont="1" applyFill="1" applyBorder="1" applyAlignment="1">
      <alignment horizontal="center" vertical="center" wrapText="1"/>
    </xf>
    <xf numFmtId="1" fontId="27" fillId="16" borderId="1" xfId="265" applyNumberFormat="1" applyFont="1" applyFill="1" applyBorder="1" applyAlignment="1">
      <alignment horizontal="center" vertical="center" wrapText="1"/>
    </xf>
    <xf numFmtId="167" fontId="27" fillId="0" borderId="1" xfId="265" applyFont="1" applyBorder="1" applyAlignment="1">
      <alignment horizontal="left" vertical="center" wrapText="1"/>
    </xf>
    <xf numFmtId="167" fontId="27" fillId="0" borderId="1" xfId="265" applyFont="1" applyFill="1" applyBorder="1" applyAlignment="1">
      <alignment horizontal="center" vertical="center" wrapText="1"/>
    </xf>
    <xf numFmtId="190" fontId="27" fillId="0" borderId="1" xfId="265" applyNumberFormat="1" applyFont="1" applyFill="1" applyBorder="1" applyAlignment="1">
      <alignment vertical="center" wrapText="1"/>
    </xf>
    <xf numFmtId="167" fontId="27" fillId="0" borderId="1" xfId="265" applyFont="1" applyFill="1" applyBorder="1" applyAlignment="1">
      <alignment vertical="center" wrapText="1"/>
    </xf>
    <xf numFmtId="49" fontId="7" fillId="51" borderId="1" xfId="265" applyNumberFormat="1" applyFont="1" applyFill="1" applyBorder="1" applyAlignment="1">
      <alignment horizontal="left" vertical="center" wrapText="1" indent="2"/>
    </xf>
    <xf numFmtId="49" fontId="7" fillId="51" borderId="1" xfId="265" applyNumberFormat="1" applyFont="1" applyFill="1" applyBorder="1" applyAlignment="1">
      <alignment horizontal="left" vertical="center" wrapText="1" indent="1"/>
    </xf>
    <xf numFmtId="167" fontId="7" fillId="0" borderId="0" xfId="265" applyFont="1" applyFill="1" applyAlignment="1">
      <alignment vertical="center"/>
    </xf>
    <xf numFmtId="167" fontId="69" fillId="0" borderId="12" xfId="265" applyFont="1" applyFill="1" applyBorder="1" applyAlignment="1">
      <alignment horizontal="left" vertical="center" wrapText="1"/>
    </xf>
    <xf numFmtId="167" fontId="7" fillId="0" borderId="0" xfId="265" applyFont="1" applyFill="1" applyBorder="1" applyAlignment="1">
      <alignment horizontal="center" vertical="center" wrapText="1"/>
    </xf>
    <xf numFmtId="167" fontId="10" fillId="0" borderId="1" xfId="265" applyFont="1" applyFill="1" applyBorder="1" applyAlignment="1">
      <alignment horizontal="center" vertical="center" wrapText="1"/>
    </xf>
    <xf numFmtId="167" fontId="7" fillId="0" borderId="9" xfId="265" applyFont="1" applyFill="1" applyBorder="1" applyAlignment="1">
      <alignment horizontal="right" vertical="center" wrapText="1"/>
    </xf>
    <xf numFmtId="167" fontId="7" fillId="0" borderId="1" xfId="265" applyFont="1" applyFill="1" applyBorder="1" applyAlignment="1">
      <alignment horizontal="left" vertical="center" wrapText="1"/>
    </xf>
    <xf numFmtId="167" fontId="7" fillId="0" borderId="1" xfId="265" applyFont="1" applyFill="1" applyBorder="1" applyAlignment="1">
      <alignment horizontal="center" vertical="center" wrapText="1"/>
    </xf>
    <xf numFmtId="167" fontId="69" fillId="0" borderId="1" xfId="265" applyFont="1" applyFill="1" applyBorder="1" applyAlignment="1">
      <alignment horizontal="left" vertical="center" wrapText="1"/>
    </xf>
    <xf numFmtId="167" fontId="7" fillId="0" borderId="3" xfId="265" applyFont="1" applyFill="1" applyBorder="1" applyAlignment="1">
      <alignment vertical="center" wrapText="1"/>
    </xf>
    <xf numFmtId="167" fontId="7" fillId="0" borderId="31" xfId="265" applyFont="1" applyFill="1" applyBorder="1" applyAlignment="1">
      <alignment vertical="center" wrapText="1"/>
    </xf>
    <xf numFmtId="167" fontId="27" fillId="16" borderId="0" xfId="265" applyFont="1" applyFill="1" applyAlignment="1">
      <alignment vertical="center"/>
    </xf>
    <xf numFmtId="167" fontId="27" fillId="16" borderId="12" xfId="265" applyFont="1" applyFill="1" applyBorder="1" applyAlignment="1">
      <alignment horizontal="left" vertical="center" wrapText="1"/>
    </xf>
    <xf numFmtId="167" fontId="27" fillId="0" borderId="0" xfId="265" applyFont="1" applyFill="1" applyBorder="1" applyAlignment="1">
      <alignment horizontal="center" vertical="center"/>
    </xf>
    <xf numFmtId="167" fontId="182" fillId="0" borderId="1" xfId="265" applyFont="1" applyBorder="1" applyAlignment="1">
      <alignment horizontal="center" vertical="center" wrapText="1"/>
    </xf>
    <xf numFmtId="167" fontId="27" fillId="0" borderId="9" xfId="265" applyFont="1" applyBorder="1" applyAlignment="1">
      <alignment horizontal="right" vertical="center"/>
    </xf>
    <xf numFmtId="167" fontId="32" fillId="0" borderId="1" xfId="265" applyFont="1" applyBorder="1" applyAlignment="1">
      <alignment horizontal="left" vertical="center" wrapText="1"/>
    </xf>
    <xf numFmtId="167" fontId="2" fillId="0" borderId="1" xfId="265" applyFont="1" applyBorder="1" applyAlignment="1">
      <alignment horizontal="left" vertical="center" wrapText="1"/>
    </xf>
    <xf numFmtId="167" fontId="7" fillId="28" borderId="1" xfId="265" applyFont="1" applyFill="1" applyBorder="1" applyAlignment="1">
      <alignment horizontal="center" vertical="center" wrapText="1"/>
    </xf>
    <xf numFmtId="167" fontId="27" fillId="16" borderId="1" xfId="265" applyFont="1" applyFill="1" applyBorder="1" applyAlignment="1">
      <alignment horizontal="left" vertical="center" wrapText="1"/>
    </xf>
    <xf numFmtId="167" fontId="27" fillId="16" borderId="1" xfId="265" applyFont="1" applyFill="1" applyBorder="1" applyAlignment="1">
      <alignment horizontal="center" vertical="center"/>
    </xf>
    <xf numFmtId="167" fontId="2" fillId="0" borderId="1" xfId="265" applyFont="1" applyBorder="1" applyAlignment="1">
      <alignment vertical="center"/>
    </xf>
    <xf numFmtId="167" fontId="27" fillId="0" borderId="3" xfId="265" applyFont="1" applyBorder="1" applyAlignment="1">
      <alignment vertical="center"/>
    </xf>
    <xf numFmtId="167" fontId="27" fillId="0" borderId="3" xfId="265" applyFont="1" applyFill="1" applyBorder="1" applyAlignment="1">
      <alignment vertical="center"/>
    </xf>
    <xf numFmtId="167" fontId="7" fillId="0" borderId="3" xfId="265" applyFont="1" applyFill="1" applyBorder="1" applyAlignment="1">
      <alignment vertical="center"/>
    </xf>
    <xf numFmtId="167" fontId="7" fillId="0" borderId="31" xfId="265" applyFont="1" applyBorder="1" applyAlignment="1">
      <alignment vertical="center"/>
    </xf>
    <xf numFmtId="167" fontId="7" fillId="0" borderId="31" xfId="265" applyFont="1" applyFill="1" applyBorder="1" applyAlignment="1">
      <alignment vertical="center"/>
    </xf>
    <xf numFmtId="167" fontId="7" fillId="0" borderId="31" xfId="265" applyFont="1" applyBorder="1" applyAlignment="1">
      <alignment vertical="center" wrapText="1"/>
    </xf>
    <xf numFmtId="43" fontId="7" fillId="0" borderId="31" xfId="265" applyNumberFormat="1" applyFont="1" applyBorder="1" applyAlignment="1">
      <alignment horizontal="right" vertical="center" wrapText="1"/>
    </xf>
    <xf numFmtId="167" fontId="27" fillId="0" borderId="0" xfId="265" applyFont="1" applyAlignment="1">
      <alignment vertical="center"/>
    </xf>
    <xf numFmtId="167" fontId="7" fillId="51" borderId="1" xfId="265" applyFont="1" applyFill="1" applyBorder="1" applyAlignment="1">
      <alignment horizontal="left" vertical="center" wrapText="1"/>
    </xf>
    <xf numFmtId="167" fontId="27" fillId="0" borderId="1" xfId="265" applyFont="1" applyBorder="1" applyAlignment="1">
      <alignment horizontal="center" vertical="center"/>
    </xf>
    <xf numFmtId="191" fontId="27" fillId="0" borderId="1" xfId="265" applyNumberFormat="1" applyFont="1" applyFill="1" applyBorder="1" applyAlignment="1">
      <alignment vertical="center" wrapText="1"/>
    </xf>
    <xf numFmtId="167" fontId="7" fillId="0" borderId="3" xfId="265" applyFont="1" applyBorder="1" applyAlignment="1">
      <alignment vertical="center"/>
    </xf>
    <xf numFmtId="167" fontId="182" fillId="0" borderId="1" xfId="265" applyFont="1" applyFill="1" applyBorder="1" applyAlignment="1">
      <alignment horizontal="center" vertical="center" wrapText="1"/>
    </xf>
    <xf numFmtId="167" fontId="32" fillId="0" borderId="1" xfId="265" applyFont="1" applyFill="1" applyBorder="1" applyAlignment="1">
      <alignment horizontal="left" vertical="center" wrapText="1"/>
    </xf>
    <xf numFmtId="167" fontId="226" fillId="0" borderId="31" xfId="265" applyFont="1" applyBorder="1" applyAlignment="1">
      <alignment vertical="center"/>
    </xf>
    <xf numFmtId="167" fontId="10" fillId="0" borderId="31" xfId="265" applyFont="1" applyBorder="1" applyAlignment="1">
      <alignment horizontal="center" vertical="center" wrapText="1"/>
    </xf>
    <xf numFmtId="167" fontId="7" fillId="0" borderId="31" xfId="265" applyFont="1" applyBorder="1" applyAlignment="1">
      <alignment horizontal="left" vertical="center" wrapText="1"/>
    </xf>
    <xf numFmtId="167" fontId="27" fillId="16" borderId="1" xfId="265" applyFont="1" applyFill="1" applyBorder="1" applyAlignment="1">
      <alignment horizontal="center" vertical="center" wrapText="1"/>
    </xf>
    <xf numFmtId="167" fontId="7" fillId="16" borderId="3" xfId="265" applyFont="1" applyFill="1" applyBorder="1" applyAlignment="1">
      <alignment horizontal="center" vertical="center" wrapText="1"/>
    </xf>
    <xf numFmtId="167" fontId="2" fillId="16" borderId="1" xfId="265" applyFont="1" applyFill="1" applyBorder="1" applyAlignment="1">
      <alignment vertical="center" wrapText="1"/>
    </xf>
    <xf numFmtId="167" fontId="2" fillId="0" borderId="1" xfId="265" applyFont="1" applyBorder="1" applyAlignment="1">
      <alignment horizontal="left" vertical="center"/>
    </xf>
    <xf numFmtId="167" fontId="7" fillId="0" borderId="31" xfId="265" applyFont="1" applyBorder="1" applyAlignment="1">
      <alignment horizontal="left" vertical="center" wrapText="1" indent="1"/>
    </xf>
    <xf numFmtId="167" fontId="7" fillId="16" borderId="10" xfId="265" applyFont="1" applyFill="1" applyBorder="1" applyAlignment="1">
      <alignment horizontal="center" vertical="center" wrapText="1"/>
    </xf>
    <xf numFmtId="167" fontId="78" fillId="16" borderId="10" xfId="265" applyFont="1" applyFill="1" applyBorder="1" applyAlignment="1">
      <alignment horizontal="center" vertical="center" wrapText="1"/>
    </xf>
    <xf numFmtId="1" fontId="7" fillId="16" borderId="10" xfId="265" applyNumberFormat="1" applyFont="1" applyFill="1" applyBorder="1" applyAlignment="1">
      <alignment horizontal="center" vertical="center" wrapText="1"/>
    </xf>
    <xf numFmtId="167" fontId="27" fillId="16" borderId="2" xfId="265" applyFont="1" applyFill="1" applyBorder="1" applyAlignment="1">
      <alignment vertical="center" wrapText="1"/>
    </xf>
    <xf numFmtId="167" fontId="7" fillId="16" borderId="1" xfId="265" applyFont="1" applyFill="1" applyBorder="1" applyAlignment="1">
      <alignment horizontal="center" vertical="center"/>
    </xf>
    <xf numFmtId="167" fontId="7" fillId="16" borderId="1" xfId="265" applyFont="1" applyFill="1" applyBorder="1" applyAlignment="1">
      <alignment vertical="center"/>
    </xf>
    <xf numFmtId="167" fontId="7" fillId="0" borderId="0" xfId="265" applyFont="1" applyAlignment="1">
      <alignment vertical="center"/>
    </xf>
    <xf numFmtId="167" fontId="7" fillId="28" borderId="12" xfId="265" applyFont="1" applyFill="1" applyBorder="1" applyAlignment="1">
      <alignment horizontal="left" vertical="center" wrapText="1"/>
    </xf>
    <xf numFmtId="167" fontId="7" fillId="28" borderId="9" xfId="265" applyFont="1" applyFill="1" applyBorder="1" applyAlignment="1">
      <alignment horizontal="right" vertical="center" wrapText="1"/>
    </xf>
    <xf numFmtId="167" fontId="7" fillId="28" borderId="1" xfId="265" applyFont="1" applyFill="1" applyBorder="1" applyAlignment="1">
      <alignment horizontal="left" vertical="center" wrapText="1"/>
    </xf>
    <xf numFmtId="167" fontId="7" fillId="28" borderId="2" xfId="265" applyFont="1" applyFill="1" applyBorder="1" applyAlignment="1">
      <alignment horizontal="center" vertical="center" wrapText="1"/>
    </xf>
    <xf numFmtId="1" fontId="7" fillId="28" borderId="2" xfId="265" applyNumberFormat="1" applyFont="1" applyFill="1" applyBorder="1" applyAlignment="1">
      <alignment horizontal="center" vertical="center" wrapText="1"/>
    </xf>
    <xf numFmtId="167" fontId="7" fillId="28" borderId="1" xfId="265" applyFont="1" applyFill="1" applyBorder="1" applyAlignment="1">
      <alignment vertical="center" wrapText="1"/>
    </xf>
    <xf numFmtId="43" fontId="7" fillId="28" borderId="1" xfId="265" applyNumberFormat="1" applyFont="1" applyFill="1" applyBorder="1" applyAlignment="1">
      <alignment horizontal="right" vertical="center" wrapText="1"/>
    </xf>
    <xf numFmtId="167" fontId="69" fillId="50" borderId="12" xfId="265" applyFont="1" applyFill="1" applyBorder="1" applyAlignment="1">
      <alignment horizontal="left" vertical="center" wrapText="1"/>
    </xf>
    <xf numFmtId="167" fontId="10" fillId="50" borderId="1" xfId="265" applyFont="1" applyFill="1" applyBorder="1" applyAlignment="1">
      <alignment horizontal="center" vertical="center" wrapText="1"/>
    </xf>
    <xf numFmtId="167" fontId="7" fillId="50" borderId="9" xfId="265" applyFont="1" applyFill="1" applyBorder="1" applyAlignment="1">
      <alignment horizontal="right" vertical="center" wrapText="1"/>
    </xf>
    <xf numFmtId="167" fontId="7" fillId="50" borderId="1" xfId="265" applyFont="1" applyFill="1" applyBorder="1" applyAlignment="1">
      <alignment horizontal="left" vertical="center" wrapText="1" indent="1"/>
    </xf>
    <xf numFmtId="167" fontId="27" fillId="50" borderId="1" xfId="265" applyFont="1" applyFill="1" applyBorder="1" applyAlignment="1">
      <alignment horizontal="left" vertical="center" wrapText="1"/>
    </xf>
    <xf numFmtId="167" fontId="7" fillId="50" borderId="1" xfId="265" applyFont="1" applyFill="1" applyBorder="1" applyAlignment="1">
      <alignment horizontal="center" vertical="center" wrapText="1"/>
    </xf>
    <xf numFmtId="167" fontId="27" fillId="50" borderId="1" xfId="265" applyFont="1" applyFill="1" applyBorder="1" applyAlignment="1">
      <alignment horizontal="center" vertical="center" wrapText="1"/>
    </xf>
    <xf numFmtId="167" fontId="69" fillId="50" borderId="1" xfId="265" applyFont="1" applyFill="1" applyBorder="1" applyAlignment="1">
      <alignment horizontal="left" vertical="center" wrapText="1"/>
    </xf>
    <xf numFmtId="167" fontId="7" fillId="50" borderId="1" xfId="265" applyFont="1" applyFill="1" applyBorder="1" applyAlignment="1">
      <alignment horizontal="left" vertical="center" wrapText="1"/>
    </xf>
    <xf numFmtId="167" fontId="7" fillId="71" borderId="3" xfId="265" applyFont="1" applyFill="1" applyBorder="1" applyAlignment="1">
      <alignment vertical="center" wrapText="1"/>
    </xf>
    <xf numFmtId="43" fontId="7" fillId="71" borderId="3" xfId="265" applyNumberFormat="1" applyFont="1" applyFill="1" applyBorder="1" applyAlignment="1">
      <alignment horizontal="right" vertical="center" wrapText="1"/>
    </xf>
    <xf numFmtId="167" fontId="27" fillId="0" borderId="12" xfId="265" applyFont="1" applyBorder="1" applyAlignment="1">
      <alignment horizontal="left" vertical="center" wrapText="1"/>
    </xf>
    <xf numFmtId="167" fontId="7" fillId="0" borderId="0" xfId="265" applyFont="1" applyFill="1" applyBorder="1" applyAlignment="1">
      <alignment horizontal="center" vertical="center"/>
    </xf>
    <xf numFmtId="167" fontId="10" fillId="0" borderId="1" xfId="265" applyFont="1" applyBorder="1" applyAlignment="1">
      <alignment horizontal="center" vertical="center" wrapText="1"/>
    </xf>
    <xf numFmtId="167" fontId="7" fillId="0" borderId="9" xfId="265" applyFont="1" applyBorder="1" applyAlignment="1">
      <alignment horizontal="right" vertical="center"/>
    </xf>
    <xf numFmtId="167" fontId="7" fillId="0" borderId="1" xfId="265" applyFont="1" applyBorder="1" applyAlignment="1">
      <alignment horizontal="left" vertical="center" wrapText="1"/>
    </xf>
    <xf numFmtId="167" fontId="7" fillId="0" borderId="2" xfId="265" applyFont="1" applyFill="1" applyBorder="1" applyAlignment="1">
      <alignment horizontal="center" vertical="top" wrapText="1"/>
    </xf>
    <xf numFmtId="167" fontId="27" fillId="0" borderId="2" xfId="265" applyFont="1" applyBorder="1" applyAlignment="1">
      <alignment vertical="center"/>
    </xf>
    <xf numFmtId="167" fontId="2" fillId="0" borderId="2" xfId="265" applyFont="1" applyFill="1" applyBorder="1" applyAlignment="1">
      <alignment vertical="center"/>
    </xf>
    <xf numFmtId="167" fontId="2" fillId="0" borderId="1" xfId="265" applyFont="1" applyFill="1" applyBorder="1" applyAlignment="1">
      <alignment vertical="center"/>
    </xf>
    <xf numFmtId="167" fontId="2" fillId="0" borderId="1" xfId="265" applyFont="1" applyFill="1" applyBorder="1" applyAlignment="1">
      <alignment horizontal="left" vertical="center"/>
    </xf>
    <xf numFmtId="167" fontId="7" fillId="0" borderId="1" xfId="265" applyFont="1" applyBorder="1" applyAlignment="1">
      <alignment horizontal="left" vertical="center" wrapText="1" indent="2"/>
    </xf>
    <xf numFmtId="167" fontId="27" fillId="0" borderId="10" xfId="265" applyFont="1" applyBorder="1" applyAlignment="1">
      <alignment vertical="center" wrapText="1"/>
    </xf>
    <xf numFmtId="167" fontId="27" fillId="0" borderId="10" xfId="265" applyFont="1" applyBorder="1" applyAlignment="1">
      <alignment vertical="center"/>
    </xf>
    <xf numFmtId="167" fontId="27" fillId="0" borderId="10" xfId="265" applyFont="1" applyFill="1" applyBorder="1" applyAlignment="1">
      <alignment vertical="center" wrapText="1"/>
    </xf>
    <xf numFmtId="167" fontId="2" fillId="0" borderId="10" xfId="265" applyFont="1" applyFill="1" applyBorder="1" applyAlignment="1">
      <alignment vertical="center"/>
    </xf>
    <xf numFmtId="167" fontId="27" fillId="0" borderId="3" xfId="265" applyFont="1" applyBorder="1" applyAlignment="1">
      <alignment vertical="center" wrapText="1"/>
    </xf>
    <xf numFmtId="167" fontId="27" fillId="0" borderId="3" xfId="265" applyFont="1" applyFill="1" applyBorder="1" applyAlignment="1">
      <alignment vertical="center" wrapText="1"/>
    </xf>
    <xf numFmtId="167" fontId="2" fillId="0" borderId="3" xfId="265" applyFont="1" applyFill="1" applyBorder="1" applyAlignment="1">
      <alignment vertical="center"/>
    </xf>
    <xf numFmtId="167" fontId="27" fillId="0" borderId="1" xfId="265" applyFont="1" applyFill="1" applyBorder="1" applyAlignment="1">
      <alignment horizontal="left" vertical="center" wrapText="1"/>
    </xf>
    <xf numFmtId="167" fontId="7" fillId="71" borderId="10" xfId="265" applyFont="1" applyFill="1" applyBorder="1" applyAlignment="1">
      <alignment vertical="center" wrapText="1"/>
    </xf>
    <xf numFmtId="167" fontId="2" fillId="0" borderId="28" xfId="265" applyFont="1" applyFill="1" applyBorder="1" applyAlignment="1">
      <alignment vertical="center"/>
    </xf>
    <xf numFmtId="43" fontId="2" fillId="0" borderId="2" xfId="265" applyNumberFormat="1" applyFont="1" applyFill="1" applyBorder="1" applyAlignment="1">
      <alignment vertical="center"/>
    </xf>
    <xf numFmtId="1" fontId="7" fillId="0" borderId="1" xfId="265" applyNumberFormat="1" applyFont="1" applyBorder="1" applyAlignment="1">
      <alignment horizontal="center" vertical="center" wrapText="1"/>
    </xf>
    <xf numFmtId="167" fontId="2" fillId="0" borderId="14" xfId="265" applyFont="1" applyFill="1" applyBorder="1" applyAlignment="1">
      <alignment vertical="center"/>
    </xf>
    <xf numFmtId="167" fontId="7" fillId="0" borderId="1" xfId="265" applyFont="1" applyFill="1" applyBorder="1" applyAlignment="1">
      <alignment vertical="center" wrapText="1"/>
    </xf>
    <xf numFmtId="167" fontId="7" fillId="0" borderId="1" xfId="265" applyFont="1" applyFill="1" applyBorder="1" applyAlignment="1">
      <alignment horizontal="right" vertical="center" wrapText="1"/>
    </xf>
    <xf numFmtId="43" fontId="7" fillId="0" borderId="1" xfId="265" applyNumberFormat="1" applyFont="1" applyFill="1" applyBorder="1" applyAlignment="1">
      <alignment horizontal="right" vertical="center" wrapText="1"/>
    </xf>
    <xf numFmtId="167" fontId="7" fillId="0" borderId="1" xfId="265" applyFont="1" applyBorder="1" applyAlignment="1">
      <alignment vertical="center" wrapText="1"/>
    </xf>
    <xf numFmtId="167" fontId="78" fillId="0" borderId="1" xfId="265" applyFont="1" applyFill="1" applyBorder="1" applyAlignment="1">
      <alignment horizontal="center" vertical="center" wrapText="1"/>
    </xf>
    <xf numFmtId="167" fontId="7" fillId="0" borderId="1" xfId="265" applyFont="1" applyBorder="1" applyAlignment="1">
      <alignment horizontal="center" vertical="center"/>
    </xf>
    <xf numFmtId="167" fontId="7" fillId="0" borderId="1" xfId="265" applyFont="1" applyFill="1" applyBorder="1" applyAlignment="1">
      <alignment horizontal="center" vertical="center"/>
    </xf>
    <xf numFmtId="167" fontId="7" fillId="0" borderId="1" xfId="265" applyFont="1" applyBorder="1" applyAlignment="1">
      <alignment horizontal="right" vertical="center"/>
    </xf>
    <xf numFmtId="43" fontId="7" fillId="0" borderId="1" xfId="265" applyNumberFormat="1" applyFont="1" applyBorder="1" applyAlignment="1">
      <alignment horizontal="right" vertical="center" wrapText="1"/>
    </xf>
    <xf numFmtId="167" fontId="27" fillId="0" borderId="1" xfId="265" applyFont="1" applyFill="1" applyBorder="1" applyAlignment="1">
      <alignment horizontal="center" vertical="center"/>
    </xf>
    <xf numFmtId="167" fontId="7" fillId="16" borderId="1" xfId="265" applyFont="1" applyFill="1" applyBorder="1" applyAlignment="1">
      <alignment horizontal="center" vertical="center" wrapText="1"/>
    </xf>
    <xf numFmtId="167" fontId="2" fillId="0" borderId="1" xfId="265" applyFont="1" applyBorder="1" applyAlignment="1">
      <alignment vertical="center" wrapText="1"/>
    </xf>
    <xf numFmtId="167" fontId="32" fillId="0" borderId="1" xfId="265" applyFont="1" applyBorder="1" applyAlignment="1">
      <alignment vertical="center"/>
    </xf>
    <xf numFmtId="43" fontId="32" fillId="0" borderId="1" xfId="265" applyNumberFormat="1" applyFont="1" applyBorder="1" applyAlignment="1">
      <alignment horizontal="right" vertical="center"/>
    </xf>
    <xf numFmtId="49" fontId="10" fillId="19" borderId="1" xfId="265" applyNumberFormat="1" applyFont="1" applyFill="1" applyBorder="1" applyAlignment="1">
      <alignment horizontal="center" vertical="center" wrapText="1"/>
    </xf>
    <xf numFmtId="49" fontId="7" fillId="19" borderId="1" xfId="265" applyNumberFormat="1" applyFont="1" applyFill="1" applyBorder="1" applyAlignment="1">
      <alignment horizontal="left" vertical="center" wrapText="1"/>
    </xf>
    <xf numFmtId="191" fontId="7" fillId="50" borderId="1" xfId="265" applyNumberFormat="1" applyFont="1" applyFill="1" applyBorder="1" applyAlignment="1">
      <alignment horizontal="left" vertical="center" wrapText="1"/>
    </xf>
    <xf numFmtId="49" fontId="27" fillId="0" borderId="9" xfId="265" applyNumberFormat="1" applyFont="1" applyBorder="1" applyAlignment="1">
      <alignment horizontal="left" vertical="center" wrapText="1"/>
    </xf>
    <xf numFmtId="49" fontId="10" fillId="0" borderId="2" xfId="265" applyNumberFormat="1" applyFont="1" applyFill="1" applyBorder="1" applyAlignment="1">
      <alignment horizontal="center" vertical="center" wrapText="1"/>
    </xf>
    <xf numFmtId="43" fontId="32" fillId="0" borderId="3" xfId="201" applyFont="1" applyBorder="1" applyAlignment="1">
      <alignment horizontal="right" vertical="center"/>
    </xf>
    <xf numFmtId="167" fontId="27" fillId="0" borderId="0" xfId="265" applyFont="1" applyFill="1" applyBorder="1" applyAlignment="1">
      <alignment horizontal="center" vertical="center" wrapText="1"/>
    </xf>
    <xf numFmtId="167" fontId="10" fillId="50" borderId="3" xfId="265" applyFont="1" applyFill="1" applyBorder="1" applyAlignment="1">
      <alignment horizontal="center" vertical="center" wrapText="1"/>
    </xf>
    <xf numFmtId="167" fontId="27" fillId="50" borderId="9" xfId="265" applyFont="1" applyFill="1" applyBorder="1" applyAlignment="1">
      <alignment horizontal="right" vertical="center" wrapText="1"/>
    </xf>
    <xf numFmtId="167" fontId="7" fillId="50" borderId="3" xfId="265" applyFont="1" applyFill="1" applyBorder="1" applyAlignment="1">
      <alignment horizontal="left" vertical="center" wrapText="1"/>
    </xf>
    <xf numFmtId="167" fontId="7" fillId="50" borderId="1" xfId="265" applyFont="1" applyFill="1" applyBorder="1" applyAlignment="1">
      <alignment vertical="center" wrapText="1"/>
    </xf>
    <xf numFmtId="43" fontId="27" fillId="0" borderId="0" xfId="265" applyNumberFormat="1" applyFont="1" applyAlignment="1">
      <alignment vertical="center"/>
    </xf>
    <xf numFmtId="215" fontId="27" fillId="0" borderId="2" xfId="201" applyNumberFormat="1" applyFont="1" applyFill="1" applyBorder="1" applyAlignment="1">
      <alignment horizontal="center" vertical="center"/>
    </xf>
    <xf numFmtId="195" fontId="27" fillId="0" borderId="0" xfId="265" applyNumberFormat="1" applyFont="1" applyAlignment="1">
      <alignment vertical="center"/>
    </xf>
    <xf numFmtId="49" fontId="230" fillId="0" borderId="1" xfId="265" applyNumberFormat="1" applyFont="1" applyFill="1" applyBorder="1" applyAlignment="1">
      <alignment horizontal="center" vertical="center" wrapText="1"/>
    </xf>
    <xf numFmtId="49" fontId="7" fillId="50" borderId="1" xfId="265" applyNumberFormat="1" applyFont="1" applyFill="1" applyBorder="1" applyAlignment="1">
      <alignment horizontal="left" vertical="center" wrapText="1" indent="1"/>
    </xf>
    <xf numFmtId="49" fontId="123" fillId="0" borderId="1" xfId="265" applyNumberFormat="1" applyFont="1" applyFill="1" applyBorder="1" applyAlignment="1">
      <alignment horizontal="center" vertical="center" wrapText="1"/>
    </xf>
    <xf numFmtId="49" fontId="123" fillId="0" borderId="1" xfId="265" applyNumberFormat="1" applyFont="1" applyBorder="1" applyAlignment="1">
      <alignment horizontal="center" vertical="center" wrapText="1"/>
    </xf>
    <xf numFmtId="49" fontId="78" fillId="0" borderId="1" xfId="265" applyNumberFormat="1" applyFont="1" applyBorder="1" applyAlignment="1">
      <alignment horizontal="left" vertical="center" wrapText="1" indent="1"/>
    </xf>
    <xf numFmtId="49" fontId="82" fillId="0" borderId="1" xfId="265" applyNumberFormat="1" applyFont="1" applyBorder="1" applyAlignment="1">
      <alignment horizontal="left" vertical="center" wrapText="1"/>
    </xf>
    <xf numFmtId="1" fontId="82" fillId="0" borderId="1" xfId="265" applyNumberFormat="1" applyFont="1" applyBorder="1" applyAlignment="1">
      <alignment horizontal="center" vertical="center" wrapText="1"/>
    </xf>
    <xf numFmtId="49" fontId="10" fillId="0" borderId="1" xfId="265" applyNumberFormat="1" applyFont="1" applyBorder="1" applyAlignment="1">
      <alignment horizontal="left" vertical="center" wrapText="1" indent="1"/>
    </xf>
    <xf numFmtId="49" fontId="10" fillId="0" borderId="2" xfId="265" applyNumberFormat="1" applyFont="1" applyBorder="1" applyAlignment="1">
      <alignment horizontal="center" vertical="center" wrapText="1"/>
    </xf>
    <xf numFmtId="49" fontId="7" fillId="0" borderId="2" xfId="265" applyNumberFormat="1" applyFont="1" applyBorder="1" applyAlignment="1">
      <alignment horizontal="left" vertical="center" wrapText="1" indent="1"/>
    </xf>
    <xf numFmtId="49" fontId="27" fillId="0" borderId="2" xfId="265" applyNumberFormat="1" applyFont="1" applyBorder="1" applyAlignment="1">
      <alignment horizontal="left" vertical="center" wrapText="1"/>
    </xf>
    <xf numFmtId="1" fontId="27" fillId="0" borderId="2" xfId="265" applyNumberFormat="1" applyFont="1" applyFill="1" applyBorder="1" applyAlignment="1">
      <alignment horizontal="center" vertical="center" wrapText="1"/>
    </xf>
    <xf numFmtId="0" fontId="0" fillId="0" borderId="8" xfId="0" applyBorder="1" applyAlignment="1">
      <alignment horizontal="left" vertical="center" wrapText="1"/>
    </xf>
    <xf numFmtId="0" fontId="0" fillId="0" borderId="75" xfId="0" applyBorder="1" applyAlignment="1">
      <alignment horizontal="left" vertical="center" wrapText="1"/>
    </xf>
    <xf numFmtId="0" fontId="0" fillId="0" borderId="63" xfId="0" applyBorder="1" applyAlignment="1">
      <alignment horizontal="left" vertical="center" wrapText="1"/>
    </xf>
    <xf numFmtId="0" fontId="0" fillId="0" borderId="63" xfId="0" applyBorder="1" applyAlignment="1">
      <alignment horizontal="center" vertical="center" wrapText="1"/>
    </xf>
    <xf numFmtId="169" fontId="3" fillId="0" borderId="0" xfId="0" applyNumberFormat="1" applyFont="1"/>
    <xf numFmtId="0" fontId="6" fillId="0" borderId="62" xfId="0" applyFont="1" applyBorder="1" applyAlignment="1">
      <alignment horizontal="center" vertical="center"/>
    </xf>
    <xf numFmtId="0" fontId="6" fillId="0" borderId="74" xfId="0" applyFont="1" applyBorder="1" applyAlignment="1">
      <alignment horizontal="center" vertical="center"/>
    </xf>
    <xf numFmtId="0" fontId="6" fillId="0" borderId="62" xfId="0" applyFont="1" applyBorder="1" applyAlignment="1">
      <alignment horizontal="center" vertical="center" wrapText="1"/>
    </xf>
    <xf numFmtId="0" fontId="6" fillId="0" borderId="72"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96" xfId="0" applyFont="1" applyBorder="1" applyAlignment="1">
      <alignment horizontal="center" vertical="center"/>
    </xf>
    <xf numFmtId="0" fontId="6" fillId="0" borderId="67" xfId="0" applyFont="1" applyBorder="1" applyAlignment="1">
      <alignment horizontal="center" vertical="center"/>
    </xf>
    <xf numFmtId="0" fontId="6" fillId="0" borderId="69" xfId="0" applyFont="1" applyBorder="1" applyAlignment="1">
      <alignment horizontal="center" vertical="center"/>
    </xf>
    <xf numFmtId="49" fontId="7" fillId="0" borderId="3" xfId="265" applyNumberFormat="1" applyFont="1" applyFill="1" applyBorder="1" applyAlignment="1">
      <alignment horizontal="center" vertical="center" wrapText="1"/>
    </xf>
    <xf numFmtId="49" fontId="10" fillId="0" borderId="3" xfId="265" applyNumberFormat="1" applyFont="1" applyFill="1" applyBorder="1" applyAlignment="1">
      <alignment horizontal="center" vertical="center" wrapText="1"/>
    </xf>
    <xf numFmtId="49" fontId="10" fillId="0" borderId="3" xfId="265" applyNumberFormat="1" applyFont="1" applyBorder="1" applyAlignment="1">
      <alignment horizontal="center" vertical="center" wrapText="1"/>
    </xf>
    <xf numFmtId="203" fontId="2" fillId="0" borderId="1" xfId="5" applyNumberFormat="1" applyFont="1" applyBorder="1" applyAlignment="1">
      <alignment horizontal="left" vertical="center"/>
    </xf>
    <xf numFmtId="216" fontId="2" fillId="0" borderId="1" xfId="5" applyNumberFormat="1" applyFont="1" applyBorder="1" applyAlignment="1">
      <alignment vertical="center"/>
    </xf>
    <xf numFmtId="191" fontId="2" fillId="0" borderId="1" xfId="5" applyNumberFormat="1" applyFont="1" applyBorder="1" applyAlignment="1">
      <alignment vertical="center"/>
    </xf>
    <xf numFmtId="203" fontId="7" fillId="0" borderId="1" xfId="5" applyNumberFormat="1" applyFont="1" applyFill="1" applyBorder="1" applyAlignment="1">
      <alignment horizontal="left" vertical="center" wrapText="1"/>
    </xf>
    <xf numFmtId="217" fontId="7" fillId="19" borderId="1" xfId="5" applyNumberFormat="1" applyFont="1" applyFill="1" applyBorder="1" applyAlignment="1">
      <alignment horizontal="left" vertical="center" wrapText="1"/>
    </xf>
    <xf numFmtId="203" fontId="7" fillId="52" borderId="0" xfId="4" applyNumberFormat="1" applyFont="1" applyFill="1" applyAlignment="1">
      <alignment vertical="center"/>
    </xf>
    <xf numFmtId="195" fontId="7" fillId="28" borderId="1" xfId="5" applyNumberFormat="1" applyFont="1" applyFill="1" applyBorder="1" applyAlignment="1">
      <alignment horizontal="right" vertical="center" wrapText="1"/>
    </xf>
    <xf numFmtId="170" fontId="62" fillId="0" borderId="0" xfId="1" applyFont="1"/>
    <xf numFmtId="1" fontId="62" fillId="0" borderId="0" xfId="0" applyNumberFormat="1" applyFont="1" applyAlignment="1">
      <alignment horizontal="center"/>
    </xf>
    <xf numFmtId="9" fontId="62" fillId="0" borderId="0" xfId="266" applyFont="1"/>
    <xf numFmtId="0" fontId="62" fillId="0" borderId="0" xfId="0" applyFont="1"/>
    <xf numFmtId="9" fontId="62" fillId="0" borderId="0" xfId="210" applyFont="1" applyAlignment="1">
      <alignment horizontal="right" vertical="center"/>
    </xf>
    <xf numFmtId="0" fontId="32" fillId="51" borderId="1" xfId="0" applyFont="1" applyFill="1" applyBorder="1" applyAlignment="1">
      <alignment vertical="center" wrapText="1"/>
    </xf>
    <xf numFmtId="167" fontId="2" fillId="51" borderId="2" xfId="5" applyFont="1" applyFill="1" applyBorder="1" applyAlignment="1">
      <alignment horizontal="center" vertical="center"/>
    </xf>
    <xf numFmtId="1" fontId="7" fillId="101" borderId="1" xfId="4" applyNumberFormat="1" applyFont="1" applyFill="1" applyBorder="1" applyAlignment="1">
      <alignment horizontal="center" vertical="center" wrapText="1"/>
    </xf>
    <xf numFmtId="167" fontId="32" fillId="101" borderId="1" xfId="5" applyFont="1" applyFill="1" applyBorder="1" applyAlignment="1">
      <alignment horizontal="center" vertical="center" wrapText="1"/>
    </xf>
    <xf numFmtId="167" fontId="7" fillId="101" borderId="2" xfId="265" applyFont="1" applyFill="1" applyBorder="1" applyAlignment="1">
      <alignment horizontal="center" vertical="center" wrapText="1"/>
    </xf>
    <xf numFmtId="2" fontId="0" fillId="4" borderId="0" xfId="0" applyNumberFormat="1" applyFill="1"/>
    <xf numFmtId="0" fontId="245" fillId="0" borderId="75" xfId="0" applyFont="1" applyBorder="1" applyAlignment="1">
      <alignment horizontal="center" vertical="center" wrapText="1"/>
    </xf>
    <xf numFmtId="203" fontId="2" fillId="0" borderId="1" xfId="5" applyNumberFormat="1" applyFont="1" applyFill="1" applyBorder="1" applyAlignment="1">
      <alignment vertical="center"/>
    </xf>
    <xf numFmtId="203" fontId="27" fillId="0" borderId="1" xfId="265" applyNumberFormat="1" applyFont="1" applyFill="1" applyBorder="1" applyAlignment="1">
      <alignment horizontal="left" vertical="center" wrapText="1"/>
    </xf>
    <xf numFmtId="206" fontId="7" fillId="0" borderId="1" xfId="201" applyNumberFormat="1" applyFont="1" applyBorder="1" applyAlignment="1">
      <alignment horizontal="right" vertical="center"/>
    </xf>
    <xf numFmtId="206" fontId="7" fillId="50" borderId="1" xfId="201" applyNumberFormat="1" applyFont="1" applyFill="1" applyBorder="1" applyAlignment="1">
      <alignment horizontal="right" vertical="center" wrapText="1"/>
    </xf>
    <xf numFmtId="206" fontId="7" fillId="0" borderId="31" xfId="265" applyNumberFormat="1" applyFont="1" applyFill="1" applyBorder="1" applyAlignment="1">
      <alignment horizontal="right" vertical="center" wrapText="1"/>
    </xf>
    <xf numFmtId="206" fontId="7" fillId="0" borderId="31" xfId="265" applyNumberFormat="1" applyFont="1" applyBorder="1" applyAlignment="1">
      <alignment horizontal="right" vertical="center" wrapText="1"/>
    </xf>
    <xf numFmtId="206" fontId="7" fillId="0" borderId="31" xfId="265" applyNumberFormat="1" applyFont="1" applyBorder="1" applyAlignment="1">
      <alignment horizontal="right" vertical="center"/>
    </xf>
    <xf numFmtId="206" fontId="226" fillId="0" borderId="31" xfId="265" applyNumberFormat="1" applyFont="1" applyBorder="1" applyAlignment="1">
      <alignment horizontal="right" vertical="center"/>
    </xf>
    <xf numFmtId="206" fontId="7" fillId="16" borderId="1" xfId="265" applyNumberFormat="1" applyFont="1" applyFill="1" applyBorder="1" applyAlignment="1">
      <alignment horizontal="right" vertical="center"/>
    </xf>
    <xf numFmtId="206" fontId="7" fillId="28" borderId="1" xfId="265" applyNumberFormat="1" applyFont="1" applyFill="1" applyBorder="1" applyAlignment="1">
      <alignment horizontal="right" vertical="center" wrapText="1"/>
    </xf>
    <xf numFmtId="206" fontId="7" fillId="71" borderId="3" xfId="265" applyNumberFormat="1" applyFont="1" applyFill="1" applyBorder="1" applyAlignment="1">
      <alignment horizontal="right" vertical="center" wrapText="1"/>
    </xf>
    <xf numFmtId="218" fontId="7" fillId="0" borderId="0" xfId="4" applyNumberFormat="1" applyFont="1" applyAlignment="1">
      <alignment vertical="center"/>
    </xf>
    <xf numFmtId="218" fontId="27" fillId="0" borderId="0" xfId="4" applyNumberFormat="1" applyFont="1" applyAlignment="1">
      <alignment vertical="center"/>
    </xf>
    <xf numFmtId="218" fontId="7" fillId="0" borderId="0" xfId="265" applyNumberFormat="1" applyFont="1" applyFill="1" applyAlignment="1">
      <alignment vertical="center"/>
    </xf>
    <xf numFmtId="218" fontId="27" fillId="0" borderId="0" xfId="265" applyNumberFormat="1" applyFont="1" applyAlignment="1">
      <alignment vertical="center"/>
    </xf>
    <xf numFmtId="218" fontId="27" fillId="0" borderId="0" xfId="265" applyNumberFormat="1" applyFont="1" applyFill="1" applyAlignment="1">
      <alignment vertical="center"/>
    </xf>
    <xf numFmtId="218" fontId="2" fillId="0" borderId="0" xfId="265" applyNumberFormat="1" applyFont="1" applyFill="1" applyBorder="1" applyAlignment="1">
      <alignment vertical="center"/>
    </xf>
    <xf numFmtId="216" fontId="7" fillId="50" borderId="1" xfId="5" applyNumberFormat="1" applyFont="1" applyFill="1" applyBorder="1" applyAlignment="1">
      <alignment horizontal="left" vertical="center" wrapText="1"/>
    </xf>
    <xf numFmtId="215" fontId="7" fillId="0" borderId="0" xfId="5" applyNumberFormat="1" applyFont="1" applyAlignment="1">
      <alignment horizontal="center" vertical="center"/>
    </xf>
    <xf numFmtId="0" fontId="6" fillId="0" borderId="0" xfId="0" applyFont="1" applyAlignment="1">
      <alignment horizontal="center"/>
    </xf>
    <xf numFmtId="3" fontId="69" fillId="0" borderId="0" xfId="0" applyNumberFormat="1" applyFont="1" applyAlignment="1">
      <alignment horizontal="center" vertical="center" wrapText="1"/>
    </xf>
    <xf numFmtId="0" fontId="7" fillId="0" borderId="0" xfId="0" applyFont="1" applyAlignment="1">
      <alignment horizontal="center" vertical="center" wrapText="1"/>
    </xf>
    <xf numFmtId="0" fontId="8" fillId="2" borderId="1" xfId="0" applyFont="1" applyFill="1" applyBorder="1" applyAlignment="1">
      <alignment horizontal="center" vertical="center"/>
    </xf>
    <xf numFmtId="0" fontId="7" fillId="0" borderId="1" xfId="0" applyFont="1" applyBorder="1" applyAlignment="1">
      <alignment horizontal="center" vertical="center" wrapText="1"/>
    </xf>
    <xf numFmtId="0" fontId="62" fillId="0" borderId="102" xfId="0" applyFont="1" applyBorder="1" applyAlignment="1">
      <alignment horizontal="left" vertical="center" wrapText="1"/>
    </xf>
    <xf numFmtId="0" fontId="62" fillId="0" borderId="103" xfId="0" applyFont="1" applyBorder="1" applyAlignment="1">
      <alignment horizontal="left" vertical="center" wrapText="1"/>
    </xf>
    <xf numFmtId="0" fontId="62" fillId="0" borderId="91" xfId="0" applyFont="1" applyBorder="1" applyAlignment="1">
      <alignment horizontal="left" vertical="center" wrapText="1"/>
    </xf>
    <xf numFmtId="0" fontId="62" fillId="0" borderId="92" xfId="0" applyFont="1" applyBorder="1" applyAlignment="1">
      <alignment horizontal="left" vertical="center" wrapText="1"/>
    </xf>
    <xf numFmtId="0" fontId="62" fillId="0" borderId="115" xfId="0" applyFont="1" applyBorder="1" applyAlignment="1">
      <alignment horizontal="left" vertical="center" wrapText="1"/>
    </xf>
    <xf numFmtId="0" fontId="62" fillId="0" borderId="120" xfId="0" applyFont="1" applyBorder="1" applyAlignment="1">
      <alignment horizontal="center" vertical="center" wrapText="1"/>
    </xf>
    <xf numFmtId="0" fontId="62" fillId="0" borderId="121" xfId="0" applyFont="1" applyBorder="1" applyAlignment="1">
      <alignment horizontal="center" vertical="center" wrapText="1"/>
    </xf>
    <xf numFmtId="0" fontId="112" fillId="0" borderId="116" xfId="0" applyFont="1" applyBorder="1" applyAlignment="1">
      <alignment horizontal="left" vertical="center" wrapText="1"/>
    </xf>
    <xf numFmtId="0" fontId="112" fillId="0" borderId="117" xfId="0" applyFont="1" applyBorder="1" applyAlignment="1">
      <alignment horizontal="left" vertical="center" wrapText="1"/>
    </xf>
    <xf numFmtId="0" fontId="112" fillId="0" borderId="91" xfId="0" applyFont="1" applyBorder="1" applyAlignment="1">
      <alignment horizontal="left" vertical="center" wrapText="1"/>
    </xf>
    <xf numFmtId="0" fontId="112" fillId="0" borderId="92" xfId="0" applyFont="1" applyBorder="1" applyAlignment="1">
      <alignment horizontal="left" vertical="center" wrapText="1"/>
    </xf>
    <xf numFmtId="0" fontId="62" fillId="0" borderId="56" xfId="0" applyFont="1" applyBorder="1" applyAlignment="1">
      <alignment horizontal="left" vertical="center" wrapText="1"/>
    </xf>
    <xf numFmtId="0" fontId="62" fillId="0" borderId="58" xfId="0" applyFont="1" applyBorder="1" applyAlignment="1">
      <alignment horizontal="left" vertical="center" wrapText="1"/>
    </xf>
    <xf numFmtId="49" fontId="121" fillId="19" borderId="59" xfId="4" applyNumberFormat="1" applyFont="1" applyFill="1" applyBorder="1" applyAlignment="1">
      <alignment horizontal="left" vertical="center" wrapText="1"/>
    </xf>
    <xf numFmtId="0" fontId="86" fillId="25" borderId="56" xfId="0" applyFont="1" applyFill="1" applyBorder="1" applyAlignment="1">
      <alignment horizontal="center" vertical="center" wrapText="1"/>
    </xf>
    <xf numFmtId="0" fontId="86" fillId="25" borderId="58" xfId="0" applyFont="1" applyFill="1" applyBorder="1" applyAlignment="1">
      <alignment horizontal="center" vertical="center" wrapText="1"/>
    </xf>
    <xf numFmtId="49" fontId="121" fillId="19" borderId="111" xfId="4" applyNumberFormat="1" applyFont="1" applyFill="1" applyBorder="1" applyAlignment="1">
      <alignment horizontal="left" vertical="center" wrapText="1"/>
    </xf>
    <xf numFmtId="49" fontId="121" fillId="19" borderId="114" xfId="4" applyNumberFormat="1" applyFont="1" applyFill="1" applyBorder="1" applyAlignment="1">
      <alignment horizontal="left" vertical="center" wrapText="1"/>
    </xf>
    <xf numFmtId="0" fontId="62" fillId="0" borderId="109" xfId="0" applyFont="1" applyBorder="1" applyAlignment="1">
      <alignment horizontal="left" vertical="center" wrapText="1"/>
    </xf>
    <xf numFmtId="0" fontId="62" fillId="0" borderId="110" xfId="0" applyFont="1" applyBorder="1" applyAlignment="1">
      <alignment horizontal="left" vertical="center" wrapText="1"/>
    </xf>
    <xf numFmtId="0" fontId="112" fillId="0" borderId="109" xfId="0" applyFont="1" applyBorder="1" applyAlignment="1">
      <alignment horizontal="left" vertical="center" wrapText="1"/>
    </xf>
    <xf numFmtId="0" fontId="112" fillId="0" borderId="110" xfId="0" applyFont="1" applyBorder="1" applyAlignment="1">
      <alignment horizontal="left" vertical="center" wrapText="1"/>
    </xf>
    <xf numFmtId="0" fontId="112" fillId="0" borderId="116" xfId="0" applyFont="1" applyBorder="1" applyAlignment="1">
      <alignment horizontal="center" vertical="center" wrapText="1"/>
    </xf>
    <xf numFmtId="0" fontId="112" fillId="0" borderId="117" xfId="0" applyFont="1" applyBorder="1" applyAlignment="1">
      <alignment horizontal="center" vertical="center" wrapText="1"/>
    </xf>
    <xf numFmtId="49" fontId="9" fillId="0" borderId="99" xfId="0" applyNumberFormat="1" applyFont="1" applyBorder="1" applyAlignment="1">
      <alignment horizontal="left" vertical="center" wrapText="1"/>
    </xf>
    <xf numFmtId="49" fontId="9" fillId="0" borderId="101" xfId="0" applyNumberFormat="1" applyFont="1" applyBorder="1" applyAlignment="1">
      <alignment horizontal="left" vertical="center" wrapText="1"/>
    </xf>
    <xf numFmtId="49" fontId="9" fillId="0" borderId="113" xfId="0" applyNumberFormat="1" applyFont="1" applyBorder="1" applyAlignment="1">
      <alignment horizontal="left" vertical="top" wrapText="1"/>
    </xf>
    <xf numFmtId="49" fontId="9" fillId="0" borderId="0" xfId="0" applyNumberFormat="1" applyFont="1" applyAlignment="1">
      <alignment horizontal="left" vertical="top" wrapText="1"/>
    </xf>
    <xf numFmtId="49" fontId="9" fillId="0" borderId="112" xfId="0" applyNumberFormat="1" applyFont="1" applyBorder="1" applyAlignment="1">
      <alignment horizontal="left" vertical="top" wrapText="1"/>
    </xf>
    <xf numFmtId="0" fontId="62" fillId="0" borderId="113" xfId="0" applyFont="1" applyBorder="1" applyAlignment="1">
      <alignment horizontal="left" vertical="center" wrapText="1"/>
    </xf>
    <xf numFmtId="0" fontId="62" fillId="0" borderId="0" xfId="0" applyFont="1" applyAlignment="1">
      <alignment horizontal="left" vertical="center" wrapText="1"/>
    </xf>
    <xf numFmtId="0" fontId="62" fillId="0" borderId="118" xfId="0" applyFont="1" applyBorder="1" applyAlignment="1">
      <alignment horizontal="left" vertical="center" wrapText="1"/>
    </xf>
    <xf numFmtId="0" fontId="62" fillId="0" borderId="119" xfId="0" applyFont="1" applyBorder="1" applyAlignment="1">
      <alignment horizontal="left" vertical="center" wrapText="1"/>
    </xf>
    <xf numFmtId="0" fontId="62" fillId="0" borderId="60" xfId="0" applyFont="1" applyBorder="1" applyAlignment="1">
      <alignment horizontal="left" vertical="center" wrapText="1"/>
    </xf>
    <xf numFmtId="0" fontId="86" fillId="25" borderId="60" xfId="0" applyFont="1" applyFill="1" applyBorder="1" applyAlignment="1">
      <alignment horizontal="left" vertical="center" wrapText="1"/>
    </xf>
    <xf numFmtId="0" fontId="62" fillId="0" borderId="104" xfId="0" applyFont="1" applyBorder="1" applyAlignment="1">
      <alignment horizontal="left" vertical="center" wrapText="1"/>
    </xf>
    <xf numFmtId="0" fontId="62" fillId="0" borderId="105" xfId="0" applyFont="1" applyBorder="1" applyAlignment="1">
      <alignment horizontal="left" vertical="center" wrapText="1"/>
    </xf>
    <xf numFmtId="0" fontId="9" fillId="0" borderId="104" xfId="0" applyFont="1" applyBorder="1" applyAlignment="1">
      <alignment horizontal="left" vertical="center" wrapText="1"/>
    </xf>
    <xf numFmtId="0" fontId="9" fillId="0" borderId="105" xfId="0" applyFont="1" applyBorder="1" applyAlignment="1">
      <alignment horizontal="left" vertical="center" wrapText="1"/>
    </xf>
    <xf numFmtId="0" fontId="86" fillId="36" borderId="60" xfId="0" applyFont="1" applyFill="1" applyBorder="1" applyAlignment="1">
      <alignment horizontal="center" vertical="center" wrapText="1"/>
    </xf>
    <xf numFmtId="0" fontId="88" fillId="25" borderId="122" xfId="0" applyFont="1" applyFill="1" applyBorder="1" applyAlignment="1">
      <alignment horizontal="center" vertical="center" wrapText="1"/>
    </xf>
    <xf numFmtId="0" fontId="88" fillId="25" borderId="123" xfId="0" applyFont="1" applyFill="1" applyBorder="1" applyAlignment="1">
      <alignment horizontal="center" vertical="center" wrapText="1"/>
    </xf>
    <xf numFmtId="0" fontId="86" fillId="18" borderId="60" xfId="0" applyFont="1" applyFill="1" applyBorder="1" applyAlignment="1">
      <alignment horizontal="center" vertical="center" wrapText="1"/>
    </xf>
    <xf numFmtId="0" fontId="34" fillId="0" borderId="60" xfId="0" applyFont="1" applyBorder="1" applyAlignment="1">
      <alignment horizontal="left" vertical="center" wrapText="1"/>
    </xf>
    <xf numFmtId="0" fontId="86" fillId="0" borderId="60" xfId="0" applyFont="1" applyBorder="1" applyAlignment="1">
      <alignment horizontal="left" vertical="center" wrapText="1"/>
    </xf>
    <xf numFmtId="0" fontId="88" fillId="25" borderId="60" xfId="0" applyFont="1" applyFill="1" applyBorder="1" applyAlignment="1">
      <alignment horizontal="center" vertical="center" wrapText="1"/>
    </xf>
    <xf numFmtId="0" fontId="88" fillId="25" borderId="104" xfId="0" applyFont="1" applyFill="1" applyBorder="1" applyAlignment="1">
      <alignment horizontal="center" vertical="center" wrapText="1"/>
    </xf>
    <xf numFmtId="0" fontId="88" fillId="25" borderId="105" xfId="0" applyFont="1" applyFill="1" applyBorder="1" applyAlignment="1">
      <alignment horizontal="center" vertical="center" wrapText="1"/>
    </xf>
    <xf numFmtId="0" fontId="88" fillId="25" borderId="106" xfId="0" applyFont="1" applyFill="1" applyBorder="1" applyAlignment="1">
      <alignment horizontal="center" vertical="center" wrapText="1"/>
    </xf>
    <xf numFmtId="0" fontId="88" fillId="25" borderId="107" xfId="0" applyFont="1" applyFill="1" applyBorder="1" applyAlignment="1">
      <alignment horizontal="center" vertical="center" wrapText="1"/>
    </xf>
    <xf numFmtId="0" fontId="62" fillId="0" borderId="0" xfId="0" applyFont="1" applyAlignment="1">
      <alignment horizontal="left" wrapText="1"/>
    </xf>
    <xf numFmtId="0" fontId="86" fillId="25" borderId="60" xfId="0" applyFont="1" applyFill="1" applyBorder="1" applyAlignment="1">
      <alignment horizontal="center" vertical="center" wrapText="1"/>
    </xf>
    <xf numFmtId="0" fontId="121" fillId="19" borderId="113" xfId="4" applyFont="1" applyFill="1" applyBorder="1" applyAlignment="1">
      <alignment horizontal="left" vertical="center" wrapText="1"/>
    </xf>
    <xf numFmtId="0" fontId="121" fillId="19" borderId="57" xfId="4" applyFont="1" applyFill="1" applyBorder="1" applyAlignment="1">
      <alignment horizontal="left" vertical="center" wrapText="1"/>
    </xf>
    <xf numFmtId="0" fontId="121" fillId="19" borderId="58" xfId="4" applyFont="1" applyFill="1" applyBorder="1" applyAlignment="1">
      <alignment horizontal="left" vertical="center" wrapText="1"/>
    </xf>
    <xf numFmtId="0" fontId="121" fillId="19" borderId="59" xfId="4" applyFont="1" applyFill="1" applyBorder="1" applyAlignment="1">
      <alignment horizontal="left" vertical="center" wrapText="1"/>
    </xf>
    <xf numFmtId="0" fontId="121" fillId="19" borderId="112" xfId="4" applyFont="1" applyFill="1" applyBorder="1" applyAlignment="1">
      <alignment horizontal="left" vertical="center" wrapText="1"/>
    </xf>
    <xf numFmtId="0" fontId="121" fillId="19" borderId="103" xfId="4" applyFont="1" applyFill="1" applyBorder="1" applyAlignment="1">
      <alignment horizontal="left" vertical="center" wrapText="1"/>
    </xf>
    <xf numFmtId="1" fontId="156" fillId="0" borderId="56" xfId="0" applyNumberFormat="1" applyFont="1" applyBorder="1" applyAlignment="1">
      <alignment horizontal="left" vertical="center" wrapText="1"/>
    </xf>
    <xf numFmtId="1" fontId="156" fillId="0" borderId="58" xfId="0" applyNumberFormat="1" applyFont="1" applyBorder="1" applyAlignment="1">
      <alignment horizontal="left" vertical="center" wrapText="1"/>
    </xf>
    <xf numFmtId="0" fontId="84" fillId="16" borderId="0" xfId="0" applyFont="1" applyFill="1" applyAlignment="1">
      <alignment horizontal="center" vertical="center" wrapText="1"/>
    </xf>
    <xf numFmtId="49" fontId="121" fillId="19" borderId="115" xfId="4" applyNumberFormat="1" applyFont="1" applyFill="1" applyBorder="1" applyAlignment="1">
      <alignment horizontal="left" vertical="center" wrapText="1"/>
    </xf>
    <xf numFmtId="0" fontId="121" fillId="19" borderId="115" xfId="4" applyFont="1" applyFill="1" applyBorder="1" applyAlignment="1">
      <alignment horizontal="left" vertical="center" wrapText="1"/>
    </xf>
    <xf numFmtId="0" fontId="112" fillId="0" borderId="115" xfId="0" quotePrefix="1" applyFont="1" applyBorder="1" applyAlignment="1">
      <alignment horizontal="left" vertical="center" wrapText="1"/>
    </xf>
    <xf numFmtId="0" fontId="112" fillId="0" borderId="115" xfId="0" applyFont="1" applyBorder="1" applyAlignment="1">
      <alignment horizontal="left" vertical="center" wrapText="1"/>
    </xf>
    <xf numFmtId="0" fontId="62" fillId="0" borderId="115" xfId="0" applyFont="1" applyBorder="1" applyAlignment="1">
      <alignment horizontal="center" vertical="center" wrapText="1"/>
    </xf>
    <xf numFmtId="0" fontId="86" fillId="25" borderId="115" xfId="0" applyFont="1" applyFill="1" applyBorder="1" applyAlignment="1">
      <alignment horizontal="center" vertical="center" wrapText="1"/>
    </xf>
    <xf numFmtId="0" fontId="9" fillId="0" borderId="115" xfId="0" applyFont="1" applyBorder="1" applyAlignment="1">
      <alignment horizontal="left" vertical="center" wrapText="1"/>
    </xf>
    <xf numFmtId="0" fontId="86" fillId="25" borderId="139" xfId="0" applyFont="1" applyFill="1" applyBorder="1" applyAlignment="1">
      <alignment horizontal="left" vertical="center" wrapText="1"/>
    </xf>
    <xf numFmtId="0" fontId="62" fillId="51" borderId="115" xfId="0" applyFont="1" applyFill="1" applyBorder="1" applyAlignment="1">
      <alignment horizontal="left" vertical="center" wrapText="1"/>
    </xf>
    <xf numFmtId="0" fontId="86" fillId="25" borderId="122" xfId="0" applyFont="1" applyFill="1" applyBorder="1" applyAlignment="1">
      <alignment horizontal="left" vertical="center" wrapText="1"/>
    </xf>
    <xf numFmtId="0" fontId="86" fillId="36" borderId="120" xfId="0" applyFont="1" applyFill="1" applyBorder="1" applyAlignment="1">
      <alignment horizontal="center" vertical="center" wrapText="1"/>
    </xf>
    <xf numFmtId="0" fontId="86" fillId="36" borderId="140" xfId="0" applyFont="1" applyFill="1" applyBorder="1" applyAlignment="1">
      <alignment horizontal="center" vertical="center" wrapText="1"/>
    </xf>
    <xf numFmtId="0" fontId="86" fillId="36" borderId="121" xfId="0" applyFont="1" applyFill="1" applyBorder="1" applyAlignment="1">
      <alignment horizontal="center" vertical="center" wrapText="1"/>
    </xf>
    <xf numFmtId="0" fontId="153" fillId="0" borderId="115" xfId="0" applyFont="1" applyBorder="1" applyAlignment="1">
      <alignment horizontal="left" vertical="center" wrapText="1"/>
    </xf>
    <xf numFmtId="0" fontId="153" fillId="0" borderId="115" xfId="0" applyFont="1" applyBorder="1" applyAlignment="1">
      <alignment horizontal="center" vertical="center" wrapText="1"/>
    </xf>
    <xf numFmtId="0" fontId="62" fillId="3" borderId="115" xfId="0" applyFont="1" applyFill="1" applyBorder="1" applyAlignment="1">
      <alignment horizontal="left" vertical="center" wrapText="1"/>
    </xf>
    <xf numFmtId="0" fontId="206" fillId="51" borderId="115" xfId="0" applyFont="1" applyFill="1" applyBorder="1" applyAlignment="1">
      <alignment horizontal="left" vertical="center" wrapText="1"/>
    </xf>
    <xf numFmtId="0" fontId="206" fillId="0" borderId="115" xfId="0" applyFont="1" applyBorder="1" applyAlignment="1">
      <alignment horizontal="left" vertical="center" wrapText="1"/>
    </xf>
    <xf numFmtId="0" fontId="9" fillId="3" borderId="115" xfId="0" applyFont="1" applyFill="1" applyBorder="1" applyAlignment="1">
      <alignment horizontal="left" vertical="center" wrapText="1"/>
    </xf>
    <xf numFmtId="49" fontId="166" fillId="0" borderId="115" xfId="0" applyNumberFormat="1" applyFont="1" applyBorder="1" applyAlignment="1">
      <alignment horizontal="left" vertical="center" wrapText="1"/>
    </xf>
    <xf numFmtId="0" fontId="62" fillId="61" borderId="115" xfId="0" applyFont="1" applyFill="1" applyBorder="1" applyAlignment="1">
      <alignment horizontal="left" vertical="center" wrapText="1"/>
    </xf>
    <xf numFmtId="0" fontId="206" fillId="61" borderId="115" xfId="0" applyFont="1" applyFill="1" applyBorder="1" applyAlignment="1">
      <alignment horizontal="left" vertical="center" wrapText="1"/>
    </xf>
    <xf numFmtId="0" fontId="153" fillId="0" borderId="115" xfId="0" quotePrefix="1" applyFont="1" applyBorder="1" applyAlignment="1">
      <alignment horizontal="left" vertical="center" wrapText="1"/>
    </xf>
    <xf numFmtId="0" fontId="206" fillId="3" borderId="115" xfId="0" applyFont="1" applyFill="1" applyBorder="1" applyAlignment="1">
      <alignment horizontal="left" vertical="center" wrapText="1"/>
    </xf>
    <xf numFmtId="49" fontId="9" fillId="0" borderId="115" xfId="0" applyNumberFormat="1" applyFont="1" applyBorder="1" applyAlignment="1">
      <alignment horizontal="left" vertical="center" wrapText="1"/>
    </xf>
    <xf numFmtId="0" fontId="206" fillId="0" borderId="115" xfId="0" quotePrefix="1" applyFont="1" applyBorder="1" applyAlignment="1">
      <alignment horizontal="left" vertical="center" wrapText="1"/>
    </xf>
    <xf numFmtId="1" fontId="164" fillId="0" borderId="115" xfId="0" applyNumberFormat="1" applyFont="1" applyBorder="1" applyAlignment="1">
      <alignment horizontal="left" vertical="center" wrapText="1"/>
    </xf>
    <xf numFmtId="0" fontId="7" fillId="0" borderId="0" xfId="0" applyFont="1" applyAlignment="1">
      <alignment horizontal="center" vertical="center"/>
    </xf>
    <xf numFmtId="0" fontId="8" fillId="10" borderId="12" xfId="0" applyFont="1" applyFill="1" applyBorder="1" applyAlignment="1">
      <alignment horizontal="center" vertical="center" wrapText="1"/>
    </xf>
    <xf numFmtId="0" fontId="8" fillId="10" borderId="11"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8"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0" fontId="7" fillId="0" borderId="13" xfId="0" applyFont="1" applyBorder="1" applyAlignment="1">
      <alignment horizontal="center" vertical="center"/>
    </xf>
    <xf numFmtId="0" fontId="0" fillId="12" borderId="13" xfId="0" applyFill="1" applyBorder="1" applyAlignment="1">
      <alignment horizontal="center"/>
    </xf>
    <xf numFmtId="0" fontId="0" fillId="0" borderId="0" xfId="0" applyAlignment="1">
      <alignment horizontal="center"/>
    </xf>
    <xf numFmtId="202" fontId="0" fillId="0" borderId="6" xfId="209" applyNumberFormat="1" applyFont="1" applyBorder="1" applyAlignment="1">
      <alignment horizontal="center" vertical="center"/>
    </xf>
    <xf numFmtId="202" fontId="0" fillId="0" borderId="61" xfId="209" applyNumberFormat="1" applyFont="1" applyBorder="1" applyAlignment="1">
      <alignment horizontal="center" vertical="center"/>
    </xf>
    <xf numFmtId="202" fontId="0" fillId="0" borderId="8" xfId="209" applyNumberFormat="1" applyFont="1" applyBorder="1" applyAlignment="1">
      <alignment horizontal="center" vertical="center"/>
    </xf>
    <xf numFmtId="1" fontId="6" fillId="0" borderId="6" xfId="0" applyNumberFormat="1" applyFont="1" applyBorder="1" applyAlignment="1">
      <alignment horizontal="center" vertical="center" wrapText="1"/>
    </xf>
    <xf numFmtId="1" fontId="6" fillId="0" borderId="61"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 fontId="0" fillId="0" borderId="6" xfId="0" applyNumberFormat="1" applyBorder="1" applyAlignment="1">
      <alignment horizontal="center" vertical="center"/>
    </xf>
    <xf numFmtId="1" fontId="0" fillId="0" borderId="61" xfId="0" applyNumberFormat="1" applyBorder="1" applyAlignment="1">
      <alignment horizontal="center" vertical="center"/>
    </xf>
    <xf numFmtId="1" fontId="0" fillId="0" borderId="8" xfId="0" applyNumberFormat="1" applyBorder="1" applyAlignment="1">
      <alignment horizontal="center" vertical="center"/>
    </xf>
    <xf numFmtId="0" fontId="0" fillId="0" borderId="7" xfId="0" applyBorder="1" applyAlignment="1">
      <alignment horizontal="left" vertical="center" wrapText="1"/>
    </xf>
    <xf numFmtId="0" fontId="225" fillId="0" borderId="0" xfId="0" applyFont="1" applyAlignment="1">
      <alignment horizontal="center" vertical="center"/>
    </xf>
    <xf numFmtId="0" fontId="225" fillId="0" borderId="21" xfId="0" applyFont="1" applyBorder="1" applyAlignment="1">
      <alignment horizontal="center" vertical="center"/>
    </xf>
    <xf numFmtId="202" fontId="2" fillId="0" borderId="7" xfId="209" applyNumberFormat="1" applyFont="1" applyBorder="1" applyAlignment="1">
      <alignment horizontal="center" vertical="center"/>
    </xf>
    <xf numFmtId="202" fontId="0" fillId="0" borderId="7" xfId="209" applyNumberFormat="1" applyFont="1" applyBorder="1" applyAlignment="1">
      <alignment horizontal="center" vertical="center"/>
    </xf>
    <xf numFmtId="1" fontId="7" fillId="16" borderId="7" xfId="4" applyNumberFormat="1" applyFont="1" applyFill="1" applyBorder="1" applyAlignment="1">
      <alignment horizontal="left" vertical="center" wrapText="1"/>
    </xf>
    <xf numFmtId="1" fontId="7" fillId="16" borderId="7" xfId="4" applyNumberFormat="1" applyFont="1" applyFill="1" applyBorder="1" applyAlignment="1">
      <alignment horizontal="center" vertical="center" wrapText="1"/>
    </xf>
    <xf numFmtId="0" fontId="6" fillId="0" borderId="7" xfId="0" applyFont="1" applyBorder="1" applyAlignment="1">
      <alignment horizontal="center" vertical="center" wrapText="1"/>
    </xf>
    <xf numFmtId="0" fontId="0" fillId="0" borderId="7" xfId="0" applyBorder="1" applyAlignment="1">
      <alignment horizontal="center" vertical="center"/>
    </xf>
    <xf numFmtId="0" fontId="6" fillId="0" borderId="6"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8" xfId="0" applyFont="1" applyBorder="1" applyAlignment="1">
      <alignment horizontal="center" vertical="center" wrapText="1"/>
    </xf>
    <xf numFmtId="173" fontId="15" fillId="2" borderId="0" xfId="4" applyNumberFormat="1" applyFont="1" applyFill="1" applyAlignment="1">
      <alignment horizontal="center" vertical="center"/>
    </xf>
    <xf numFmtId="173" fontId="16" fillId="0" borderId="0" xfId="4" applyNumberFormat="1" applyFont="1" applyAlignment="1">
      <alignment horizontal="center"/>
    </xf>
    <xf numFmtId="174" fontId="17" fillId="0" borderId="0" xfId="201" applyNumberFormat="1" applyFont="1" applyAlignment="1">
      <alignment horizontal="left" vertical="center" wrapText="1"/>
    </xf>
    <xf numFmtId="173" fontId="15" fillId="13" borderId="6" xfId="4" applyNumberFormat="1" applyFont="1" applyFill="1" applyBorder="1" applyAlignment="1">
      <alignment horizontal="center" vertical="center"/>
    </xf>
    <xf numFmtId="173" fontId="15" fillId="13" borderId="8" xfId="4" applyNumberFormat="1" applyFont="1" applyFill="1" applyBorder="1" applyAlignment="1">
      <alignment horizontal="center" vertical="center"/>
    </xf>
    <xf numFmtId="173" fontId="15" fillId="13" borderId="6" xfId="4" applyNumberFormat="1" applyFont="1" applyFill="1" applyBorder="1" applyAlignment="1">
      <alignment horizontal="center" vertical="center" wrapText="1"/>
    </xf>
    <xf numFmtId="49" fontId="92" fillId="0" borderId="1" xfId="14" applyNumberFormat="1" applyFont="1" applyBorder="1" applyAlignment="1">
      <alignment horizontal="right" vertical="center" wrapText="1"/>
    </xf>
    <xf numFmtId="0" fontId="92" fillId="0" borderId="1" xfId="14" applyFont="1" applyBorder="1" applyAlignment="1">
      <alignment horizontal="right" vertical="center" wrapText="1"/>
    </xf>
    <xf numFmtId="170" fontId="92" fillId="0" borderId="28" xfId="1" applyFont="1" applyBorder="1" applyAlignment="1">
      <alignment horizontal="left" vertical="center" wrapText="1"/>
    </xf>
    <xf numFmtId="170" fontId="92" fillId="0" borderId="30" xfId="1" applyFont="1" applyBorder="1" applyAlignment="1">
      <alignment horizontal="left" vertical="center" wrapText="1"/>
    </xf>
    <xf numFmtId="170" fontId="92" fillId="0" borderId="4" xfId="1" applyFont="1" applyBorder="1" applyAlignment="1">
      <alignment horizontal="left" vertical="center" wrapText="1"/>
    </xf>
    <xf numFmtId="170" fontId="92" fillId="0" borderId="5" xfId="1" applyFont="1" applyBorder="1" applyAlignment="1">
      <alignment horizontal="left" vertical="center" wrapText="1"/>
    </xf>
    <xf numFmtId="170" fontId="92" fillId="0" borderId="14" xfId="1" applyFont="1" applyBorder="1" applyAlignment="1">
      <alignment horizontal="left" vertical="center" wrapText="1"/>
    </xf>
    <xf numFmtId="170" fontId="92" fillId="0" borderId="31" xfId="1" applyFont="1" applyBorder="1" applyAlignment="1">
      <alignment horizontal="left" vertical="center" wrapText="1"/>
    </xf>
    <xf numFmtId="0" fontId="18" fillId="0" borderId="1" xfId="14" applyFont="1" applyBorder="1" applyAlignment="1">
      <alignment horizontal="center" vertical="center" wrapText="1"/>
    </xf>
    <xf numFmtId="1" fontId="92" fillId="0" borderId="28" xfId="14" applyNumberFormat="1" applyFont="1" applyBorder="1" applyAlignment="1">
      <alignment horizontal="left" vertical="center" wrapText="1"/>
    </xf>
    <xf numFmtId="1" fontId="92" fillId="0" borderId="30" xfId="14" applyNumberFormat="1" applyFont="1" applyBorder="1" applyAlignment="1">
      <alignment horizontal="left" vertical="center" wrapText="1"/>
    </xf>
    <xf numFmtId="1" fontId="92" fillId="0" borderId="4" xfId="14" applyNumberFormat="1" applyFont="1" applyBorder="1" applyAlignment="1">
      <alignment horizontal="left" vertical="center" wrapText="1"/>
    </xf>
    <xf numFmtId="1" fontId="92" fillId="0" borderId="5" xfId="14" applyNumberFormat="1" applyFont="1" applyBorder="1" applyAlignment="1">
      <alignment horizontal="left" vertical="center" wrapText="1"/>
    </xf>
    <xf numFmtId="1" fontId="92" fillId="0" borderId="14" xfId="14" applyNumberFormat="1" applyFont="1" applyBorder="1" applyAlignment="1">
      <alignment horizontal="left" vertical="center" wrapText="1"/>
    </xf>
    <xf numFmtId="1" fontId="92" fillId="0" borderId="31" xfId="14" applyNumberFormat="1" applyFont="1" applyBorder="1" applyAlignment="1">
      <alignment horizontal="left" vertical="center" wrapText="1"/>
    </xf>
    <xf numFmtId="1" fontId="91" fillId="0" borderId="1" xfId="14" applyNumberFormat="1" applyFont="1" applyBorder="1" applyAlignment="1">
      <alignment horizontal="center" vertical="center" wrapText="1"/>
    </xf>
    <xf numFmtId="0" fontId="91" fillId="0" borderId="28" xfId="14" applyFont="1" applyBorder="1" applyAlignment="1">
      <alignment horizontal="center" vertical="center" wrapText="1"/>
    </xf>
    <xf numFmtId="0" fontId="91" fillId="0" borderId="29" xfId="14" applyFont="1" applyBorder="1" applyAlignment="1">
      <alignment horizontal="center" vertical="center" wrapText="1"/>
    </xf>
    <xf numFmtId="0" fontId="91" fillId="0" borderId="30" xfId="14" applyFont="1" applyBorder="1" applyAlignment="1">
      <alignment horizontal="center" vertical="center" wrapText="1"/>
    </xf>
    <xf numFmtId="0" fontId="91" fillId="0" borderId="14" xfId="14" applyFont="1" applyBorder="1" applyAlignment="1">
      <alignment horizontal="center" vertical="center" wrapText="1"/>
    </xf>
    <xf numFmtId="0" fontId="91" fillId="0" borderId="13" xfId="14" applyFont="1" applyBorder="1" applyAlignment="1">
      <alignment horizontal="center" vertical="center" wrapText="1"/>
    </xf>
    <xf numFmtId="0" fontId="91" fillId="0" borderId="31" xfId="14" applyFont="1" applyBorder="1" applyAlignment="1">
      <alignment horizontal="center" vertical="center" wrapText="1"/>
    </xf>
    <xf numFmtId="1" fontId="92" fillId="0" borderId="1" xfId="14" applyNumberFormat="1" applyFont="1" applyBorder="1" applyAlignment="1">
      <alignment horizontal="left" vertical="center" wrapText="1"/>
    </xf>
    <xf numFmtId="0" fontId="92" fillId="0" borderId="1" xfId="14" applyFont="1" applyBorder="1" applyAlignment="1">
      <alignment horizontal="left" vertical="center" wrapText="1"/>
    </xf>
    <xf numFmtId="0" fontId="92" fillId="0" borderId="2" xfId="14" applyFont="1" applyBorder="1" applyAlignment="1">
      <alignment horizontal="left" vertical="center" wrapText="1"/>
    </xf>
    <xf numFmtId="0" fontId="92" fillId="0" borderId="10" xfId="14" applyFont="1" applyBorder="1" applyAlignment="1">
      <alignment horizontal="left" vertical="center" wrapText="1"/>
    </xf>
    <xf numFmtId="0" fontId="92" fillId="0" borderId="3" xfId="14" applyFont="1" applyBorder="1" applyAlignment="1">
      <alignment horizontal="left" vertical="center" wrapText="1"/>
    </xf>
    <xf numFmtId="0" fontId="92" fillId="0" borderId="28" xfId="1" applyNumberFormat="1" applyFont="1" applyBorder="1" applyAlignment="1">
      <alignment horizontal="left" vertical="center" wrapText="1"/>
    </xf>
    <xf numFmtId="0" fontId="92" fillId="0" borderId="30" xfId="1" applyNumberFormat="1" applyFont="1" applyBorder="1" applyAlignment="1">
      <alignment horizontal="left" vertical="center" wrapText="1"/>
    </xf>
    <xf numFmtId="0" fontId="92" fillId="0" borderId="4" xfId="1" applyNumberFormat="1" applyFont="1" applyBorder="1" applyAlignment="1">
      <alignment horizontal="left" vertical="center" wrapText="1"/>
    </xf>
    <xf numFmtId="0" fontId="92" fillId="0" borderId="5" xfId="1" applyNumberFormat="1" applyFont="1" applyBorder="1" applyAlignment="1">
      <alignment horizontal="left" vertical="center" wrapText="1"/>
    </xf>
    <xf numFmtId="0" fontId="92" fillId="0" borderId="14" xfId="1" applyNumberFormat="1" applyFont="1" applyBorder="1" applyAlignment="1">
      <alignment horizontal="left" vertical="center" wrapText="1"/>
    </xf>
    <xf numFmtId="0" fontId="92" fillId="0" borderId="31" xfId="1" applyNumberFormat="1" applyFont="1" applyBorder="1" applyAlignment="1">
      <alignment horizontal="left" vertical="center" wrapText="1"/>
    </xf>
    <xf numFmtId="0" fontId="93" fillId="37" borderId="12" xfId="14" applyFont="1" applyFill="1" applyBorder="1" applyAlignment="1">
      <alignment horizontal="center" vertical="center" wrapText="1"/>
    </xf>
    <xf numFmtId="0" fontId="93" fillId="37" borderId="11" xfId="14" applyFont="1" applyFill="1" applyBorder="1" applyAlignment="1">
      <alignment horizontal="center" vertical="center" wrapText="1"/>
    </xf>
    <xf numFmtId="0" fontId="93" fillId="37" borderId="9" xfId="14" applyFont="1" applyFill="1" applyBorder="1" applyAlignment="1">
      <alignment horizontal="center" vertical="center" wrapText="1"/>
    </xf>
    <xf numFmtId="0" fontId="91" fillId="41" borderId="1" xfId="14" applyFont="1" applyFill="1" applyBorder="1" applyAlignment="1">
      <alignment horizontal="center" vertical="center"/>
    </xf>
    <xf numFmtId="0" fontId="91" fillId="41" borderId="28" xfId="14" applyFont="1" applyFill="1" applyBorder="1" applyAlignment="1">
      <alignment horizontal="center" vertical="center" wrapText="1"/>
    </xf>
    <xf numFmtId="0" fontId="91" fillId="41" borderId="30" xfId="14" applyFont="1" applyFill="1" applyBorder="1" applyAlignment="1">
      <alignment horizontal="center" vertical="center" wrapText="1"/>
    </xf>
    <xf numFmtId="0" fontId="91" fillId="41" borderId="14" xfId="14" applyFont="1" applyFill="1" applyBorder="1" applyAlignment="1">
      <alignment horizontal="center" vertical="center" wrapText="1"/>
    </xf>
    <xf numFmtId="0" fontId="91" fillId="41" borderId="31" xfId="14" applyFont="1" applyFill="1" applyBorder="1" applyAlignment="1">
      <alignment horizontal="center" vertical="center" wrapText="1"/>
    </xf>
    <xf numFmtId="0" fontId="91" fillId="0" borderId="1" xfId="14" applyFont="1" applyBorder="1" applyAlignment="1">
      <alignment horizontal="center" vertical="center" wrapText="1"/>
    </xf>
    <xf numFmtId="49" fontId="92" fillId="0" borderId="1" xfId="14" applyNumberFormat="1" applyFont="1" applyBorder="1" applyAlignment="1">
      <alignment horizontal="left" vertical="center" wrapText="1"/>
    </xf>
    <xf numFmtId="170" fontId="92" fillId="0" borderId="2" xfId="1" applyFont="1" applyBorder="1" applyAlignment="1">
      <alignment horizontal="left" vertical="center" wrapText="1"/>
    </xf>
    <xf numFmtId="170" fontId="92" fillId="0" borderId="10" xfId="1" applyFont="1" applyBorder="1" applyAlignment="1">
      <alignment horizontal="left" vertical="center" wrapText="1"/>
    </xf>
    <xf numFmtId="170" fontId="92" fillId="0" borderId="3" xfId="1" applyFont="1" applyBorder="1" applyAlignment="1">
      <alignment horizontal="left" vertical="center" wrapText="1"/>
    </xf>
    <xf numFmtId="0" fontId="92" fillId="0" borderId="28" xfId="14" applyFont="1" applyBorder="1" applyAlignment="1">
      <alignment horizontal="left" vertical="center" wrapText="1"/>
    </xf>
    <xf numFmtId="0" fontId="92" fillId="0" borderId="30" xfId="14" applyFont="1" applyBorder="1" applyAlignment="1">
      <alignment horizontal="left" vertical="center" wrapText="1"/>
    </xf>
    <xf numFmtId="0" fontId="92" fillId="0" borderId="4" xfId="14" applyFont="1" applyBorder="1" applyAlignment="1">
      <alignment horizontal="left" vertical="center" wrapText="1"/>
    </xf>
    <xf numFmtId="0" fontId="92" fillId="0" borderId="5" xfId="14" applyFont="1" applyBorder="1" applyAlignment="1">
      <alignment horizontal="left" vertical="center" wrapText="1"/>
    </xf>
    <xf numFmtId="0" fontId="92" fillId="0" borderId="14" xfId="14" applyFont="1" applyBorder="1" applyAlignment="1">
      <alignment horizontal="left" vertical="center" wrapText="1"/>
    </xf>
    <xf numFmtId="0" fontId="92" fillId="0" borderId="31" xfId="14" applyFont="1" applyBorder="1" applyAlignment="1">
      <alignment horizontal="left" vertical="center" wrapText="1"/>
    </xf>
    <xf numFmtId="0" fontId="91" fillId="41" borderId="1" xfId="14" applyFont="1" applyFill="1" applyBorder="1" applyAlignment="1">
      <alignment horizontal="center" vertical="center" wrapText="1"/>
    </xf>
    <xf numFmtId="0" fontId="96" fillId="0" borderId="1" xfId="0" applyFont="1" applyBorder="1" applyAlignment="1">
      <alignment horizontal="left" vertical="center" wrapText="1"/>
    </xf>
    <xf numFmtId="0" fontId="96" fillId="0" borderId="1" xfId="0" applyFont="1" applyBorder="1" applyAlignment="1">
      <alignment horizontal="center" vertical="center" wrapText="1"/>
    </xf>
    <xf numFmtId="0" fontId="10" fillId="39" borderId="12" xfId="14" applyFont="1" applyFill="1" applyBorder="1" applyAlignment="1">
      <alignment horizontal="center" vertical="center" wrapText="1"/>
    </xf>
    <xf numFmtId="0" fontId="10" fillId="39" borderId="9" xfId="14" applyFont="1" applyFill="1" applyBorder="1" applyAlignment="1">
      <alignment horizontal="center" vertical="center" wrapText="1"/>
    </xf>
    <xf numFmtId="0" fontId="96" fillId="0" borderId="28" xfId="0" applyFont="1" applyBorder="1" applyAlignment="1">
      <alignment horizontal="left" vertical="center" wrapText="1"/>
    </xf>
    <xf numFmtId="0" fontId="96" fillId="0" borderId="29" xfId="0" applyFont="1" applyBorder="1" applyAlignment="1">
      <alignment horizontal="left" vertical="center" wrapText="1"/>
    </xf>
    <xf numFmtId="0" fontId="96" fillId="0" borderId="30" xfId="0" applyFont="1" applyBorder="1" applyAlignment="1">
      <alignment horizontal="left" vertical="center" wrapText="1"/>
    </xf>
    <xf numFmtId="0" fontId="96" fillId="0" borderId="4" xfId="0" applyFont="1" applyBorder="1" applyAlignment="1">
      <alignment horizontal="left" vertical="center" wrapText="1"/>
    </xf>
    <xf numFmtId="0" fontId="96" fillId="0" borderId="0" xfId="0" applyFont="1" applyAlignment="1">
      <alignment horizontal="left" vertical="center" wrapText="1"/>
    </xf>
    <xf numFmtId="0" fontId="96" fillId="0" borderId="5" xfId="0" applyFont="1" applyBorder="1" applyAlignment="1">
      <alignment horizontal="left" vertical="center" wrapText="1"/>
    </xf>
    <xf numFmtId="0" fontId="96" fillId="0" borderId="14" xfId="0" applyFont="1" applyBorder="1" applyAlignment="1">
      <alignment horizontal="left" vertical="center" wrapText="1"/>
    </xf>
    <xf numFmtId="0" fontId="96" fillId="0" borderId="13" xfId="0" applyFont="1" applyBorder="1" applyAlignment="1">
      <alignment horizontal="left" vertical="center" wrapText="1"/>
    </xf>
    <xf numFmtId="0" fontId="96" fillId="0" borderId="31" xfId="0" applyFont="1" applyBorder="1" applyAlignment="1">
      <alignment horizontal="left" vertical="center" wrapText="1"/>
    </xf>
    <xf numFmtId="0" fontId="92" fillId="0" borderId="28" xfId="0" applyFont="1" applyBorder="1" applyAlignment="1">
      <alignment horizontal="left" vertical="center" wrapText="1"/>
    </xf>
    <xf numFmtId="0" fontId="92" fillId="0" borderId="29" xfId="0" applyFont="1" applyBorder="1" applyAlignment="1">
      <alignment horizontal="left" vertical="center" wrapText="1"/>
    </xf>
    <xf numFmtId="0" fontId="92" fillId="0" borderId="4" xfId="0" applyFont="1" applyBorder="1" applyAlignment="1">
      <alignment horizontal="left" vertical="center" wrapText="1"/>
    </xf>
    <xf numFmtId="0" fontId="92" fillId="0" borderId="0" xfId="0" applyFont="1" applyAlignment="1">
      <alignment horizontal="left" vertical="center" wrapText="1"/>
    </xf>
    <xf numFmtId="0" fontId="92" fillId="0" borderId="14" xfId="0" applyFont="1" applyBorder="1" applyAlignment="1">
      <alignment horizontal="left" vertical="center" wrapText="1"/>
    </xf>
    <xf numFmtId="0" fontId="92" fillId="0" borderId="13" xfId="0" applyFont="1" applyBorder="1" applyAlignment="1">
      <alignment horizontal="left" vertical="center" wrapText="1"/>
    </xf>
    <xf numFmtId="0" fontId="92" fillId="40" borderId="12" xfId="189" applyFont="1" applyFill="1" applyBorder="1" applyAlignment="1">
      <alignment horizontal="center" vertical="center" wrapText="1"/>
    </xf>
    <xf numFmtId="0" fontId="92" fillId="40" borderId="9" xfId="189" applyFont="1" applyFill="1" applyBorder="1" applyAlignment="1">
      <alignment horizontal="center" vertical="center" wrapText="1"/>
    </xf>
    <xf numFmtId="0" fontId="96" fillId="0" borderId="12" xfId="0" applyFont="1" applyBorder="1" applyAlignment="1">
      <alignment horizontal="center" vertical="center"/>
    </xf>
    <xf numFmtId="0" fontId="96" fillId="0" borderId="9" xfId="0" applyFont="1" applyBorder="1" applyAlignment="1">
      <alignment horizontal="center" vertical="center"/>
    </xf>
    <xf numFmtId="0" fontId="94" fillId="38" borderId="12" xfId="0" applyFont="1" applyFill="1" applyBorder="1" applyAlignment="1">
      <alignment horizontal="left" vertical="center"/>
    </xf>
    <xf numFmtId="0" fontId="94" fillId="38" borderId="11" xfId="0" applyFont="1" applyFill="1" applyBorder="1" applyAlignment="1">
      <alignment horizontal="left" vertical="center"/>
    </xf>
    <xf numFmtId="0" fontId="95" fillId="0" borderId="1" xfId="0" applyFont="1" applyBorder="1" applyAlignment="1">
      <alignment horizontal="center" vertical="center" wrapText="1"/>
    </xf>
    <xf numFmtId="0" fontId="91" fillId="0" borderId="2" xfId="0" applyFont="1" applyBorder="1" applyAlignment="1">
      <alignment horizontal="center" vertical="center" wrapText="1"/>
    </xf>
    <xf numFmtId="0" fontId="91" fillId="0" borderId="3" xfId="0" applyFont="1" applyBorder="1" applyAlignment="1">
      <alignment horizontal="center" vertical="center" wrapText="1"/>
    </xf>
    <xf numFmtId="0" fontId="91" fillId="0" borderId="28" xfId="0" applyFont="1" applyBorder="1" applyAlignment="1">
      <alignment horizontal="center" vertical="center" wrapText="1"/>
    </xf>
    <xf numFmtId="0" fontId="91" fillId="0" borderId="30"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31" xfId="0" applyFont="1" applyBorder="1" applyAlignment="1">
      <alignment horizontal="center" vertical="center" wrapText="1"/>
    </xf>
    <xf numFmtId="0" fontId="91" fillId="0" borderId="29" xfId="0" applyFont="1" applyBorder="1" applyAlignment="1">
      <alignment horizontal="center" vertical="center" wrapText="1"/>
    </xf>
    <xf numFmtId="0" fontId="91" fillId="0" borderId="13" xfId="0" applyFont="1" applyBorder="1" applyAlignment="1">
      <alignment horizontal="center" vertical="center" wrapText="1"/>
    </xf>
    <xf numFmtId="0" fontId="95" fillId="0" borderId="28" xfId="0" applyFont="1" applyBorder="1" applyAlignment="1">
      <alignment horizontal="center" vertical="center" wrapText="1"/>
    </xf>
    <xf numFmtId="0" fontId="95" fillId="0" borderId="29" xfId="0" applyFont="1" applyBorder="1" applyAlignment="1">
      <alignment horizontal="center" vertical="center" wrapText="1"/>
    </xf>
    <xf numFmtId="0" fontId="95" fillId="0" borderId="14"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30" xfId="0" applyFont="1" applyBorder="1" applyAlignment="1">
      <alignment horizontal="center" vertical="center" wrapText="1"/>
    </xf>
    <xf numFmtId="0" fontId="95" fillId="0" borderId="31" xfId="0" applyFont="1" applyBorder="1" applyAlignment="1">
      <alignment horizontal="center" vertical="center" wrapText="1"/>
    </xf>
    <xf numFmtId="0" fontId="9" fillId="39" borderId="12" xfId="14" applyFont="1" applyFill="1" applyBorder="1" applyAlignment="1">
      <alignment horizontal="center" vertical="center" wrapText="1"/>
    </xf>
    <xf numFmtId="0" fontId="9" fillId="39" borderId="9" xfId="14" applyFont="1" applyFill="1" applyBorder="1" applyAlignment="1">
      <alignment horizontal="center" vertical="center" wrapText="1"/>
    </xf>
    <xf numFmtId="170" fontId="96" fillId="0" borderId="28" xfId="1" applyFont="1" applyBorder="1" applyAlignment="1">
      <alignment horizontal="left" vertical="center" wrapText="1"/>
    </xf>
    <xf numFmtId="170" fontId="96" fillId="0" borderId="29" xfId="1" applyFont="1" applyBorder="1" applyAlignment="1">
      <alignment horizontal="left" vertical="center" wrapText="1"/>
    </xf>
    <xf numFmtId="170" fontId="96" fillId="0" borderId="4" xfId="1" applyFont="1" applyBorder="1" applyAlignment="1">
      <alignment horizontal="left" vertical="center" wrapText="1"/>
    </xf>
    <xf numFmtId="170" fontId="96" fillId="0" borderId="0" xfId="1" applyFont="1" applyAlignment="1">
      <alignment horizontal="left" vertical="center" wrapText="1"/>
    </xf>
    <xf numFmtId="170" fontId="96" fillId="0" borderId="14" xfId="1" applyFont="1" applyBorder="1" applyAlignment="1">
      <alignment horizontal="left" vertical="center" wrapText="1"/>
    </xf>
    <xf numFmtId="170" fontId="96" fillId="0" borderId="13" xfId="1" applyFont="1" applyBorder="1" applyAlignment="1">
      <alignment horizontal="left" vertical="center" wrapText="1"/>
    </xf>
    <xf numFmtId="0" fontId="91" fillId="0" borderId="1" xfId="14" applyFont="1" applyBorder="1" applyAlignment="1">
      <alignment horizontal="left" vertical="center"/>
    </xf>
    <xf numFmtId="49" fontId="92" fillId="0" borderId="1" xfId="1" applyNumberFormat="1" applyFont="1" applyBorder="1" applyAlignment="1">
      <alignment horizontal="left" vertical="center" wrapText="1"/>
    </xf>
    <xf numFmtId="170" fontId="92" fillId="0" borderId="1" xfId="1" applyFont="1" applyBorder="1" applyAlignment="1">
      <alignment horizontal="left" vertical="center" wrapText="1"/>
    </xf>
    <xf numFmtId="0" fontId="91" fillId="0" borderId="1" xfId="14" applyFont="1" applyBorder="1" applyAlignment="1">
      <alignment horizontal="left" vertical="center" wrapText="1"/>
    </xf>
    <xf numFmtId="0" fontId="191" fillId="37" borderId="28" xfId="14" applyFont="1" applyFill="1" applyBorder="1" applyAlignment="1">
      <alignment horizontal="center" vertical="center" wrapText="1"/>
    </xf>
    <xf numFmtId="0" fontId="191" fillId="37" borderId="29" xfId="14" applyFont="1" applyFill="1" applyBorder="1" applyAlignment="1">
      <alignment horizontal="center" vertical="center" wrapText="1"/>
    </xf>
    <xf numFmtId="167" fontId="2" fillId="0" borderId="2" xfId="5" applyFont="1" applyBorder="1" applyAlignment="1">
      <alignment horizontal="center" vertical="center"/>
    </xf>
    <xf numFmtId="167" fontId="2" fillId="0" borderId="10" xfId="5" applyFont="1" applyBorder="1" applyAlignment="1">
      <alignment horizontal="center" vertical="center"/>
    </xf>
    <xf numFmtId="167" fontId="2" fillId="0" borderId="3" xfId="5" applyFont="1" applyBorder="1" applyAlignment="1">
      <alignment horizontal="center" vertical="center"/>
    </xf>
    <xf numFmtId="167" fontId="2" fillId="0" borderId="2" xfId="5" applyFont="1" applyBorder="1" applyAlignment="1">
      <alignment vertical="center"/>
    </xf>
    <xf numFmtId="167" fontId="2" fillId="0" borderId="10" xfId="5" applyFont="1" applyBorder="1" applyAlignment="1">
      <alignment vertical="center"/>
    </xf>
    <xf numFmtId="167" fontId="2" fillId="0" borderId="3" xfId="5" applyFont="1" applyBorder="1" applyAlignment="1">
      <alignment vertical="center"/>
    </xf>
    <xf numFmtId="167" fontId="2" fillId="0" borderId="2" xfId="5" applyFont="1" applyFill="1" applyBorder="1" applyAlignment="1">
      <alignment horizontal="center" vertical="center"/>
    </xf>
    <xf numFmtId="167" fontId="2" fillId="0" borderId="10" xfId="5" applyFont="1" applyFill="1" applyBorder="1" applyAlignment="1">
      <alignment horizontal="center" vertical="center"/>
    </xf>
    <xf numFmtId="167" fontId="2" fillId="0" borderId="3" xfId="5" applyFont="1" applyFill="1" applyBorder="1" applyAlignment="1">
      <alignment horizontal="center" vertical="center"/>
    </xf>
    <xf numFmtId="167" fontId="7" fillId="0" borderId="2" xfId="4" applyNumberFormat="1" applyFont="1" applyBorder="1" applyAlignment="1">
      <alignment horizontal="center" vertical="center"/>
    </xf>
    <xf numFmtId="167" fontId="7" fillId="0" borderId="10" xfId="4" applyNumberFormat="1" applyFont="1" applyBorder="1" applyAlignment="1">
      <alignment horizontal="center" vertical="center"/>
    </xf>
    <xf numFmtId="167" fontId="7" fillId="0" borderId="3" xfId="4" applyNumberFormat="1" applyFont="1" applyBorder="1" applyAlignment="1">
      <alignment horizontal="center" vertical="center"/>
    </xf>
    <xf numFmtId="1" fontId="7" fillId="0" borderId="2" xfId="4" applyNumberFormat="1" applyFont="1" applyBorder="1" applyAlignment="1">
      <alignment horizontal="center" vertical="center" wrapText="1"/>
    </xf>
    <xf numFmtId="1" fontId="7" fillId="0" borderId="10" xfId="4" applyNumberFormat="1" applyFont="1" applyBorder="1" applyAlignment="1">
      <alignment horizontal="center" vertical="center" wrapText="1"/>
    </xf>
    <xf numFmtId="1" fontId="7" fillId="0" borderId="3" xfId="4" applyNumberFormat="1" applyFont="1" applyBorder="1" applyAlignment="1">
      <alignment horizontal="center" vertical="center" wrapText="1"/>
    </xf>
    <xf numFmtId="49" fontId="7" fillId="0" borderId="2" xfId="4" applyNumberFormat="1" applyFont="1" applyBorder="1" applyAlignment="1">
      <alignment horizontal="center" vertical="center" wrapText="1"/>
    </xf>
    <xf numFmtId="49" fontId="7" fillId="0" borderId="10" xfId="4" applyNumberFormat="1" applyFont="1" applyBorder="1" applyAlignment="1">
      <alignment horizontal="center" vertical="center" wrapText="1"/>
    </xf>
    <xf numFmtId="49" fontId="7" fillId="0" borderId="3" xfId="4" applyNumberFormat="1" applyFont="1" applyBorder="1" applyAlignment="1">
      <alignment horizontal="center" vertical="center" wrapText="1"/>
    </xf>
    <xf numFmtId="167" fontId="82" fillId="0" borderId="2" xfId="5" applyFont="1" applyFill="1" applyBorder="1" applyAlignment="1">
      <alignment horizontal="center" vertical="center"/>
    </xf>
    <xf numFmtId="167" fontId="82" fillId="0" borderId="10" xfId="5" applyFont="1" applyFill="1" applyBorder="1" applyAlignment="1">
      <alignment horizontal="center" vertical="center"/>
    </xf>
    <xf numFmtId="167" fontId="82" fillId="0" borderId="3" xfId="5" applyFont="1" applyFill="1" applyBorder="1" applyAlignment="1">
      <alignment horizontal="center" vertical="center"/>
    </xf>
    <xf numFmtId="167" fontId="27" fillId="0" borderId="2" xfId="4" applyNumberFormat="1" applyFont="1" applyBorder="1" applyAlignment="1">
      <alignment horizontal="center" vertical="center"/>
    </xf>
    <xf numFmtId="167" fontId="27" fillId="0" borderId="10" xfId="4" applyNumberFormat="1" applyFont="1" applyBorder="1" applyAlignment="1">
      <alignment horizontal="center" vertical="center"/>
    </xf>
    <xf numFmtId="167" fontId="27" fillId="0" borderId="3" xfId="4" applyNumberFormat="1" applyFont="1" applyBorder="1" applyAlignment="1">
      <alignment horizontal="center" vertical="center"/>
    </xf>
    <xf numFmtId="167" fontId="32" fillId="0" borderId="2" xfId="5" applyFont="1" applyBorder="1" applyAlignment="1">
      <alignment horizontal="center" vertical="center"/>
    </xf>
    <xf numFmtId="167" fontId="32" fillId="0" borderId="10" xfId="5" applyFont="1" applyBorder="1" applyAlignment="1">
      <alignment horizontal="center" vertical="center"/>
    </xf>
    <xf numFmtId="167" fontId="32" fillId="0" borderId="3" xfId="5" applyFont="1" applyBorder="1" applyAlignment="1">
      <alignment horizontal="center" vertical="center"/>
    </xf>
    <xf numFmtId="0" fontId="7" fillId="0" borderId="10" xfId="0" applyFont="1" applyBorder="1" applyAlignment="1">
      <alignment horizontal="center" vertical="center"/>
    </xf>
    <xf numFmtId="0" fontId="7" fillId="0" borderId="143" xfId="0" applyFont="1" applyBorder="1" applyAlignment="1">
      <alignment horizontal="center" vertical="center"/>
    </xf>
    <xf numFmtId="49" fontId="2" fillId="0" borderId="1" xfId="5" applyNumberFormat="1" applyFont="1" applyFill="1" applyBorder="1" applyAlignment="1">
      <alignment horizontal="center" vertical="center" wrapText="1"/>
    </xf>
    <xf numFmtId="1" fontId="7" fillId="0" borderId="1" xfId="4" applyNumberFormat="1" applyFont="1" applyBorder="1" applyAlignment="1">
      <alignment horizontal="center" vertical="center" wrapText="1"/>
    </xf>
    <xf numFmtId="49" fontId="2" fillId="0" borderId="2" xfId="5" applyNumberFormat="1" applyFont="1" applyBorder="1" applyAlignment="1">
      <alignment horizontal="left" vertical="center" wrapText="1"/>
    </xf>
    <xf numFmtId="49" fontId="2" fillId="0" borderId="10" xfId="5" applyNumberFormat="1" applyFont="1" applyBorder="1" applyAlignment="1">
      <alignment horizontal="left" vertical="center" wrapText="1"/>
    </xf>
    <xf numFmtId="49" fontId="2" fillId="0" borderId="3" xfId="5" applyNumberFormat="1" applyFont="1" applyBorder="1" applyAlignment="1">
      <alignment horizontal="left" vertical="center" wrapText="1"/>
    </xf>
    <xf numFmtId="1" fontId="7" fillId="7" borderId="2" xfId="4" applyNumberFormat="1" applyFont="1" applyFill="1" applyBorder="1" applyAlignment="1">
      <alignment horizontal="center" vertical="center" wrapText="1"/>
    </xf>
    <xf numFmtId="1" fontId="7" fillId="7" borderId="10" xfId="4" applyNumberFormat="1" applyFont="1" applyFill="1" applyBorder="1" applyAlignment="1">
      <alignment horizontal="center" vertical="center" wrapText="1"/>
    </xf>
    <xf numFmtId="1" fontId="7" fillId="7" borderId="150" xfId="4" applyNumberFormat="1" applyFont="1" applyFill="1" applyBorder="1" applyAlignment="1">
      <alignment horizontal="center" vertical="center" wrapText="1"/>
    </xf>
    <xf numFmtId="43" fontId="32" fillId="0" borderId="2" xfId="5" applyNumberFormat="1" applyFont="1" applyBorder="1" applyAlignment="1">
      <alignment horizontal="center" vertical="center"/>
    </xf>
    <xf numFmtId="43" fontId="32" fillId="0" borderId="10" xfId="5" applyNumberFormat="1" applyFont="1" applyBorder="1" applyAlignment="1">
      <alignment horizontal="center" vertical="center"/>
    </xf>
    <xf numFmtId="43" fontId="32" fillId="0" borderId="3" xfId="5" applyNumberFormat="1" applyFont="1" applyBorder="1" applyAlignment="1">
      <alignment horizontal="center" vertical="center"/>
    </xf>
    <xf numFmtId="167" fontId="7" fillId="0" borderId="2" xfId="4" applyNumberFormat="1" applyFont="1" applyBorder="1" applyAlignment="1">
      <alignment vertical="center"/>
    </xf>
    <xf numFmtId="167" fontId="7" fillId="0" borderId="10" xfId="4" applyNumberFormat="1" applyFont="1" applyBorder="1" applyAlignment="1">
      <alignment vertical="center"/>
    </xf>
    <xf numFmtId="167" fontId="7" fillId="0" borderId="3" xfId="4" applyNumberFormat="1" applyFont="1" applyBorder="1" applyAlignment="1">
      <alignment vertical="center"/>
    </xf>
    <xf numFmtId="43" fontId="7" fillId="0" borderId="2" xfId="4" applyNumberFormat="1" applyFont="1" applyBorder="1" applyAlignment="1">
      <alignment horizontal="center" vertical="center"/>
    </xf>
    <xf numFmtId="43" fontId="7" fillId="0" borderId="10" xfId="4" applyNumberFormat="1" applyFont="1" applyBorder="1" applyAlignment="1">
      <alignment horizontal="center" vertical="center"/>
    </xf>
    <xf numFmtId="43" fontId="7" fillId="0" borderId="3" xfId="4" applyNumberFormat="1" applyFont="1" applyBorder="1" applyAlignment="1">
      <alignment horizontal="center" vertical="center"/>
    </xf>
    <xf numFmtId="0" fontId="154" fillId="0" borderId="10" xfId="0" applyFont="1" applyBorder="1" applyAlignment="1">
      <alignment horizontal="center" vertical="center"/>
    </xf>
    <xf numFmtId="0" fontId="154" fillId="0" borderId="143" xfId="0" applyFont="1" applyBorder="1" applyAlignment="1">
      <alignment horizontal="center" vertical="center"/>
    </xf>
    <xf numFmtId="0" fontId="27" fillId="0" borderId="28" xfId="4" applyFont="1" applyBorder="1" applyAlignment="1">
      <alignment horizontal="center" vertical="center" wrapText="1"/>
    </xf>
    <xf numFmtId="0" fontId="27" fillId="0" borderId="4" xfId="4" applyFont="1" applyBorder="1" applyAlignment="1">
      <alignment horizontal="center" vertical="center" wrapText="1"/>
    </xf>
    <xf numFmtId="0" fontId="27" fillId="0" borderId="14" xfId="4" applyFont="1" applyBorder="1" applyAlignment="1">
      <alignment horizontal="center" vertical="center" wrapText="1"/>
    </xf>
    <xf numFmtId="0" fontId="27" fillId="0" borderId="2" xfId="4" applyFont="1" applyBorder="1" applyAlignment="1">
      <alignment horizontal="center" vertical="center" wrapText="1"/>
    </xf>
    <xf numFmtId="0" fontId="27" fillId="0" borderId="10" xfId="4" applyFont="1" applyBorder="1" applyAlignment="1">
      <alignment horizontal="center" vertical="center" wrapText="1"/>
    </xf>
    <xf numFmtId="0" fontId="27" fillId="0" borderId="3" xfId="4" applyFont="1" applyBorder="1" applyAlignment="1">
      <alignment horizontal="center" vertical="center" wrapText="1"/>
    </xf>
    <xf numFmtId="1" fontId="27" fillId="0" borderId="2" xfId="4" applyNumberFormat="1" applyFont="1" applyBorder="1" applyAlignment="1">
      <alignment horizontal="center" vertical="center"/>
    </xf>
    <xf numFmtId="1" fontId="27" fillId="0" borderId="10" xfId="4" applyNumberFormat="1" applyFont="1" applyBorder="1" applyAlignment="1">
      <alignment horizontal="center" vertical="center"/>
    </xf>
    <xf numFmtId="1" fontId="27" fillId="0" borderId="3" xfId="4" applyNumberFormat="1" applyFont="1" applyBorder="1" applyAlignment="1">
      <alignment horizontal="center" vertical="center"/>
    </xf>
    <xf numFmtId="197" fontId="27" fillId="0" borderId="2" xfId="201" applyNumberFormat="1" applyFont="1" applyBorder="1" applyAlignment="1">
      <alignment horizontal="center" vertical="center"/>
    </xf>
    <xf numFmtId="197" fontId="27" fillId="0" borderId="10" xfId="201" applyNumberFormat="1" applyFont="1" applyBorder="1" applyAlignment="1">
      <alignment horizontal="center" vertical="center"/>
    </xf>
    <xf numFmtId="197" fontId="27" fillId="0" borderId="3" xfId="201" applyNumberFormat="1" applyFont="1" applyBorder="1" applyAlignment="1">
      <alignment horizontal="center" vertical="center"/>
    </xf>
    <xf numFmtId="0" fontId="7" fillId="0" borderId="2" xfId="4" applyFont="1" applyBorder="1" applyAlignment="1">
      <alignment horizontal="center" vertical="center"/>
    </xf>
    <xf numFmtId="0" fontId="7" fillId="0" borderId="10" xfId="4" applyFont="1" applyBorder="1" applyAlignment="1">
      <alignment horizontal="center" vertical="center"/>
    </xf>
    <xf numFmtId="0" fontId="7" fillId="0" borderId="3" xfId="4" applyFont="1" applyBorder="1" applyAlignment="1">
      <alignment horizontal="center" vertical="center"/>
    </xf>
    <xf numFmtId="167" fontId="2" fillId="0" borderId="2" xfId="265" applyFont="1" applyFill="1" applyBorder="1" applyAlignment="1">
      <alignment vertical="center"/>
    </xf>
    <xf numFmtId="167" fontId="2" fillId="0" borderId="3" xfId="265" applyFont="1" applyFill="1" applyBorder="1" applyAlignment="1">
      <alignment vertical="center"/>
    </xf>
    <xf numFmtId="167" fontId="2" fillId="0" borderId="0" xfId="265" applyFont="1" applyFill="1" applyBorder="1" applyAlignment="1">
      <alignment horizontal="center" vertical="center"/>
    </xf>
    <xf numFmtId="1" fontId="7" fillId="97" borderId="2" xfId="4" applyNumberFormat="1" applyFont="1" applyFill="1" applyBorder="1" applyAlignment="1">
      <alignment horizontal="center" vertical="center" wrapText="1"/>
    </xf>
    <xf numFmtId="1" fontId="7" fillId="97" borderId="10" xfId="4" applyNumberFormat="1" applyFont="1" applyFill="1" applyBorder="1" applyAlignment="1">
      <alignment horizontal="center" vertical="center" wrapText="1"/>
    </xf>
    <xf numFmtId="1" fontId="7" fillId="97" borderId="3" xfId="4" applyNumberFormat="1" applyFont="1" applyFill="1" applyBorder="1" applyAlignment="1">
      <alignment horizontal="center" vertical="center" wrapText="1"/>
    </xf>
    <xf numFmtId="1" fontId="7" fillId="7" borderId="3" xfId="4" applyNumberFormat="1" applyFont="1" applyFill="1" applyBorder="1" applyAlignment="1">
      <alignment horizontal="center" vertical="center" wrapText="1"/>
    </xf>
    <xf numFmtId="167" fontId="2" fillId="0" borderId="2" xfId="265" applyFont="1" applyFill="1" applyBorder="1" applyAlignment="1">
      <alignment horizontal="center" vertical="center"/>
    </xf>
    <xf numFmtId="167" fontId="2" fillId="0" borderId="10" xfId="265" applyFont="1" applyFill="1" applyBorder="1" applyAlignment="1">
      <alignment horizontal="center" vertical="center"/>
    </xf>
    <xf numFmtId="167" fontId="2" fillId="0" borderId="3" xfId="265" applyFont="1" applyFill="1" applyBorder="1" applyAlignment="1">
      <alignment horizontal="center" vertical="center"/>
    </xf>
    <xf numFmtId="167" fontId="2" fillId="0" borderId="10" xfId="265" applyFont="1" applyFill="1" applyBorder="1" applyAlignment="1">
      <alignment vertical="center"/>
    </xf>
    <xf numFmtId="206" fontId="2" fillId="0" borderId="2" xfId="265" applyNumberFormat="1" applyFont="1" applyFill="1" applyBorder="1" applyAlignment="1">
      <alignment horizontal="right" vertical="center"/>
    </xf>
    <xf numFmtId="206" fontId="2" fillId="0" borderId="10" xfId="265" applyNumberFormat="1" applyFont="1" applyFill="1" applyBorder="1" applyAlignment="1">
      <alignment horizontal="right" vertical="center"/>
    </xf>
    <xf numFmtId="206" fontId="2" fillId="0" borderId="3" xfId="265" applyNumberFormat="1" applyFont="1" applyFill="1" applyBorder="1" applyAlignment="1">
      <alignment horizontal="right" vertical="center"/>
    </xf>
    <xf numFmtId="218" fontId="2" fillId="0" borderId="0" xfId="265" applyNumberFormat="1" applyFont="1" applyFill="1" applyBorder="1" applyAlignment="1">
      <alignment horizontal="center" vertical="center"/>
    </xf>
    <xf numFmtId="167" fontId="27" fillId="0" borderId="28" xfId="265" applyFont="1" applyBorder="1" applyAlignment="1">
      <alignment horizontal="left" vertical="center" wrapText="1"/>
    </xf>
    <xf numFmtId="167" fontId="27" fillId="0" borderId="14" xfId="265" applyFont="1" applyBorder="1" applyAlignment="1">
      <alignment horizontal="left" vertical="center" wrapText="1"/>
    </xf>
    <xf numFmtId="167" fontId="2" fillId="0" borderId="2" xfId="265" applyFont="1" applyFill="1" applyBorder="1" applyAlignment="1">
      <alignment horizontal="center" vertical="center" wrapText="1"/>
    </xf>
    <xf numFmtId="167" fontId="2" fillId="0" borderId="3" xfId="265" applyFont="1" applyFill="1" applyBorder="1" applyAlignment="1">
      <alignment horizontal="center" vertical="center" wrapText="1"/>
    </xf>
    <xf numFmtId="49" fontId="7" fillId="0" borderId="2" xfId="4" applyNumberFormat="1" applyFont="1" applyBorder="1" applyAlignment="1">
      <alignment horizontal="left" vertical="center" wrapText="1"/>
    </xf>
    <xf numFmtId="49" fontId="7" fillId="0" borderId="10" xfId="4" applyNumberFormat="1" applyFont="1" applyBorder="1" applyAlignment="1">
      <alignment horizontal="left" vertical="center" wrapText="1"/>
    </xf>
    <xf numFmtId="49" fontId="2" fillId="0" borderId="30" xfId="5" applyNumberFormat="1" applyFont="1" applyFill="1" applyBorder="1" applyAlignment="1">
      <alignment horizontal="left" vertical="center" wrapText="1"/>
    </xf>
    <xf numFmtId="167" fontId="82" fillId="0" borderId="2" xfId="5" applyFont="1" applyBorder="1" applyAlignment="1">
      <alignment horizontal="center" vertical="center"/>
    </xf>
    <xf numFmtId="167" fontId="82" fillId="0" borderId="3" xfId="5" applyFont="1" applyBorder="1" applyAlignment="1">
      <alignment horizontal="center" vertical="center"/>
    </xf>
    <xf numFmtId="195" fontId="27" fillId="0" borderId="2" xfId="201" applyNumberFormat="1" applyFont="1" applyBorder="1" applyAlignment="1">
      <alignment horizontal="center" vertical="center" wrapText="1"/>
    </xf>
    <xf numFmtId="195" fontId="27" fillId="0" borderId="10" xfId="201" applyNumberFormat="1" applyFont="1" applyBorder="1" applyAlignment="1">
      <alignment horizontal="center" vertical="center" wrapText="1"/>
    </xf>
    <xf numFmtId="195" fontId="27" fillId="0" borderId="3" xfId="201" applyNumberFormat="1" applyFont="1" applyBorder="1" applyAlignment="1">
      <alignment horizontal="center" vertical="center" wrapText="1"/>
    </xf>
    <xf numFmtId="0" fontId="27" fillId="0" borderId="28" xfId="4" applyFont="1" applyBorder="1" applyAlignment="1">
      <alignment horizontal="left" vertical="center" wrapText="1"/>
    </xf>
    <xf numFmtId="0" fontId="27" fillId="0" borderId="4" xfId="4" applyFont="1" applyBorder="1" applyAlignment="1">
      <alignment horizontal="left" vertical="center" wrapText="1"/>
    </xf>
    <xf numFmtId="170" fontId="27" fillId="0" borderId="2" xfId="1" applyFont="1" applyFill="1" applyBorder="1" applyAlignment="1">
      <alignment horizontal="center" vertical="center" wrapText="1"/>
    </xf>
    <xf numFmtId="170" fontId="27" fillId="0" borderId="10" xfId="1" applyFont="1" applyFill="1" applyBorder="1" applyAlignment="1">
      <alignment horizontal="center" vertical="center" wrapText="1"/>
    </xf>
    <xf numFmtId="170" fontId="27" fillId="0" borderId="3" xfId="1" applyFont="1" applyFill="1" applyBorder="1" applyAlignment="1">
      <alignment horizontal="center" vertical="center" wrapText="1"/>
    </xf>
    <xf numFmtId="197" fontId="7" fillId="0" borderId="2" xfId="201" applyNumberFormat="1" applyFont="1" applyBorder="1" applyAlignment="1">
      <alignment horizontal="center" vertical="center"/>
    </xf>
    <xf numFmtId="197" fontId="7" fillId="0" borderId="10" xfId="201" applyNumberFormat="1" applyFont="1" applyBorder="1" applyAlignment="1">
      <alignment horizontal="center" vertical="center"/>
    </xf>
    <xf numFmtId="197" fontId="7" fillId="0" borderId="3" xfId="201" applyNumberFormat="1" applyFont="1" applyBorder="1" applyAlignment="1">
      <alignment horizontal="center" vertical="center"/>
    </xf>
    <xf numFmtId="195" fontId="7" fillId="0" borderId="2" xfId="201" applyNumberFormat="1" applyFont="1" applyBorder="1" applyAlignment="1">
      <alignment horizontal="center" vertical="center" wrapText="1"/>
    </xf>
    <xf numFmtId="195" fontId="7" fillId="0" borderId="10" xfId="201" applyNumberFormat="1" applyFont="1" applyBorder="1" applyAlignment="1">
      <alignment horizontal="center" vertical="center" wrapText="1"/>
    </xf>
    <xf numFmtId="195" fontId="7" fillId="0" borderId="3" xfId="201"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8" fillId="0" borderId="10" xfId="0" applyFont="1" applyBorder="1" applyAlignment="1">
      <alignment horizontal="center" vertical="center"/>
    </xf>
    <xf numFmtId="0" fontId="78" fillId="0" borderId="143" xfId="0" applyFont="1" applyBorder="1" applyAlignment="1">
      <alignment horizontal="center" vertical="center"/>
    </xf>
    <xf numFmtId="0" fontId="226" fillId="0" borderId="10" xfId="0" applyFont="1" applyBorder="1" applyAlignment="1">
      <alignment horizontal="center" vertical="center"/>
    </xf>
    <xf numFmtId="0" fontId="226" fillId="0" borderId="143" xfId="0" applyFont="1" applyBorder="1" applyAlignment="1">
      <alignment horizontal="center" vertical="center"/>
    </xf>
    <xf numFmtId="0" fontId="7" fillId="0" borderId="10" xfId="0" applyFont="1" applyBorder="1" applyAlignment="1">
      <alignment horizontal="center" vertical="center" wrapText="1"/>
    </xf>
    <xf numFmtId="0" fontId="7" fillId="0" borderId="143" xfId="0" applyFont="1" applyBorder="1" applyAlignment="1">
      <alignment horizontal="center" vertical="center" wrapText="1"/>
    </xf>
    <xf numFmtId="0" fontId="7" fillId="0" borderId="2" xfId="0" applyFont="1" applyBorder="1" applyAlignment="1">
      <alignment horizontal="center" vertical="center"/>
    </xf>
    <xf numFmtId="1" fontId="27" fillId="0" borderId="2" xfId="4" applyNumberFormat="1" applyFont="1" applyBorder="1" applyAlignment="1">
      <alignment horizontal="center" vertical="center" wrapText="1"/>
    </xf>
    <xf numFmtId="1" fontId="27" fillId="0" borderId="10" xfId="4" applyNumberFormat="1" applyFont="1" applyBorder="1" applyAlignment="1">
      <alignment horizontal="center" vertical="center" wrapText="1"/>
    </xf>
    <xf numFmtId="1" fontId="27" fillId="0" borderId="3" xfId="4" applyNumberFormat="1" applyFont="1" applyBorder="1" applyAlignment="1">
      <alignment horizontal="center" vertical="center" wrapText="1"/>
    </xf>
    <xf numFmtId="9" fontId="27" fillId="0" borderId="2" xfId="210" applyFont="1" applyBorder="1" applyAlignment="1">
      <alignment horizontal="center" vertical="center" wrapText="1"/>
    </xf>
    <xf numFmtId="9" fontId="27" fillId="0" borderId="10" xfId="210" applyFont="1" applyBorder="1" applyAlignment="1">
      <alignment horizontal="center" vertical="center" wrapText="1"/>
    </xf>
    <xf numFmtId="9" fontId="27" fillId="0" borderId="3" xfId="210" applyFont="1" applyBorder="1" applyAlignment="1">
      <alignment horizontal="center" vertical="center" wrapText="1"/>
    </xf>
    <xf numFmtId="0" fontId="27" fillId="0" borderId="2" xfId="4" applyFont="1" applyBorder="1" applyAlignment="1">
      <alignment horizontal="left" vertical="center" wrapText="1"/>
    </xf>
    <xf numFmtId="0" fontId="2" fillId="0" borderId="10" xfId="0" applyFont="1" applyBorder="1" applyAlignment="1">
      <alignment vertical="center" wrapText="1"/>
    </xf>
    <xf numFmtId="0" fontId="2" fillId="0" borderId="3" xfId="0" applyFont="1" applyBorder="1" applyAlignment="1">
      <alignment vertical="center" wrapText="1"/>
    </xf>
    <xf numFmtId="197" fontId="27" fillId="0" borderId="2" xfId="201" applyNumberFormat="1" applyFont="1" applyBorder="1" applyAlignment="1">
      <alignment horizontal="center" vertical="center" wrapText="1"/>
    </xf>
    <xf numFmtId="197" fontId="27" fillId="0" borderId="10" xfId="201" applyNumberFormat="1" applyFont="1" applyBorder="1" applyAlignment="1">
      <alignment horizontal="center" vertical="center" wrapText="1"/>
    </xf>
    <xf numFmtId="197" fontId="27" fillId="0" borderId="3" xfId="201" applyNumberFormat="1" applyFont="1" applyBorder="1" applyAlignment="1">
      <alignment horizontal="center" vertical="center" wrapText="1"/>
    </xf>
    <xf numFmtId="167" fontId="27" fillId="0" borderId="2" xfId="5" applyFont="1" applyFill="1" applyBorder="1" applyAlignment="1">
      <alignment horizontal="center" vertical="center"/>
    </xf>
    <xf numFmtId="167" fontId="27" fillId="0" borderId="10" xfId="5" applyFont="1" applyFill="1" applyBorder="1" applyAlignment="1">
      <alignment horizontal="center" vertical="center"/>
    </xf>
    <xf numFmtId="167" fontId="27" fillId="0" borderId="3" xfId="5" applyFont="1" applyFill="1" applyBorder="1" applyAlignment="1">
      <alignment horizontal="center" vertical="center"/>
    </xf>
    <xf numFmtId="49" fontId="27" fillId="0" borderId="2" xfId="5" applyNumberFormat="1" applyFont="1" applyFill="1" applyBorder="1" applyAlignment="1">
      <alignment horizontal="center" vertical="center" wrapText="1"/>
    </xf>
    <xf numFmtId="49" fontId="27" fillId="0" borderId="10" xfId="5" applyNumberFormat="1" applyFont="1" applyFill="1" applyBorder="1" applyAlignment="1">
      <alignment horizontal="center" vertical="center" wrapText="1"/>
    </xf>
    <xf numFmtId="49" fontId="27" fillId="0" borderId="3" xfId="5" applyNumberFormat="1" applyFont="1" applyFill="1" applyBorder="1" applyAlignment="1">
      <alignment horizontal="center" vertical="center" wrapText="1"/>
    </xf>
    <xf numFmtId="0" fontId="27" fillId="0" borderId="2" xfId="4" applyFont="1" applyBorder="1" applyAlignment="1">
      <alignment horizontal="center" vertical="center"/>
    </xf>
    <xf numFmtId="0" fontId="27" fillId="0" borderId="10" xfId="4" applyFont="1" applyBorder="1" applyAlignment="1">
      <alignment horizontal="center" vertical="center"/>
    </xf>
    <xf numFmtId="0" fontId="27" fillId="0" borderId="3" xfId="4" applyFont="1" applyBorder="1" applyAlignment="1">
      <alignment horizontal="center" vertical="center"/>
    </xf>
    <xf numFmtId="49" fontId="27" fillId="0" borderId="2" xfId="4" applyNumberFormat="1" applyFont="1" applyBorder="1" applyAlignment="1">
      <alignment horizontal="center" vertical="center" wrapText="1"/>
    </xf>
    <xf numFmtId="49" fontId="27" fillId="0" borderId="10" xfId="4" applyNumberFormat="1" applyFont="1" applyBorder="1" applyAlignment="1">
      <alignment horizontal="center" vertical="center" wrapText="1"/>
    </xf>
    <xf numFmtId="49" fontId="27" fillId="0" borderId="3" xfId="4" applyNumberFormat="1" applyFont="1" applyBorder="1" applyAlignment="1">
      <alignment horizontal="center" vertical="center" wrapText="1"/>
    </xf>
    <xf numFmtId="49" fontId="2" fillId="0" borderId="2" xfId="5" applyNumberFormat="1" applyFont="1" applyFill="1" applyBorder="1" applyAlignment="1">
      <alignment horizontal="left" vertical="center" wrapText="1"/>
    </xf>
    <xf numFmtId="0" fontId="2" fillId="0" borderId="10" xfId="0" applyFont="1" applyBorder="1" applyAlignment="1">
      <alignment horizontal="left" vertical="center" wrapText="1"/>
    </xf>
    <xf numFmtId="0" fontId="2" fillId="0" borderId="3" xfId="0" applyFont="1" applyBorder="1" applyAlignment="1">
      <alignment horizontal="left" vertical="center" wrapText="1"/>
    </xf>
    <xf numFmtId="0" fontId="82" fillId="0" borderId="2" xfId="4" applyFont="1" applyBorder="1" applyAlignment="1">
      <alignment horizontal="center" vertical="center" wrapText="1"/>
    </xf>
    <xf numFmtId="0" fontId="82" fillId="0" borderId="3" xfId="4" applyFont="1" applyBorder="1" applyAlignment="1">
      <alignment horizontal="center" vertical="center" wrapText="1"/>
    </xf>
    <xf numFmtId="195" fontId="7" fillId="0" borderId="1" xfId="4" applyNumberFormat="1" applyFont="1" applyBorder="1" applyAlignment="1">
      <alignment horizontal="center" vertical="center" wrapText="1"/>
    </xf>
    <xf numFmtId="195" fontId="7" fillId="0" borderId="12" xfId="4" applyNumberFormat="1" applyFont="1" applyBorder="1" applyAlignment="1">
      <alignment horizontal="center" vertical="center" wrapText="1"/>
    </xf>
    <xf numFmtId="195" fontId="7" fillId="0" borderId="11" xfId="4" applyNumberFormat="1" applyFont="1" applyBorder="1" applyAlignment="1">
      <alignment horizontal="center" vertical="center" wrapText="1"/>
    </xf>
    <xf numFmtId="195" fontId="7" fillId="0" borderId="9" xfId="4" applyNumberFormat="1" applyFont="1" applyBorder="1" applyAlignment="1">
      <alignment horizontal="center" vertical="center" wrapText="1"/>
    </xf>
    <xf numFmtId="0" fontId="2" fillId="0" borderId="3" xfId="0" applyFont="1" applyBorder="1" applyAlignment="1">
      <alignment horizontal="center" vertical="center"/>
    </xf>
    <xf numFmtId="0" fontId="27" fillId="0" borderId="2" xfId="4" quotePrefix="1" applyFont="1" applyBorder="1" applyAlignment="1">
      <alignment horizontal="left" vertical="center" wrapText="1"/>
    </xf>
    <xf numFmtId="0" fontId="27" fillId="0" borderId="10" xfId="4" quotePrefix="1" applyFont="1" applyBorder="1" applyAlignment="1">
      <alignment horizontal="left" vertical="center" wrapText="1"/>
    </xf>
    <xf numFmtId="0" fontId="27" fillId="0" borderId="10" xfId="4" applyFont="1" applyBorder="1" applyAlignment="1">
      <alignment horizontal="left" vertical="center" wrapText="1"/>
    </xf>
    <xf numFmtId="0" fontId="27" fillId="0" borderId="3" xfId="4" applyFont="1" applyBorder="1" applyAlignment="1">
      <alignment horizontal="left" vertical="center" wrapText="1"/>
    </xf>
    <xf numFmtId="49" fontId="27" fillId="0" borderId="2" xfId="265" applyNumberFormat="1" applyFont="1" applyFill="1" applyBorder="1" applyAlignment="1">
      <alignment horizontal="center" vertical="center" wrapText="1"/>
    </xf>
    <xf numFmtId="49" fontId="27" fillId="0" borderId="10" xfId="265" applyNumberFormat="1" applyFont="1" applyFill="1" applyBorder="1" applyAlignment="1">
      <alignment horizontal="center" vertical="center" wrapText="1"/>
    </xf>
    <xf numFmtId="49" fontId="27" fillId="0" borderId="3" xfId="265" applyNumberFormat="1" applyFont="1" applyFill="1" applyBorder="1" applyAlignment="1">
      <alignment horizontal="center" vertical="center" wrapText="1"/>
    </xf>
    <xf numFmtId="49" fontId="2" fillId="0" borderId="2" xfId="5" applyNumberFormat="1" applyFont="1" applyBorder="1" applyAlignment="1">
      <alignment horizontal="center" vertical="center" wrapText="1"/>
    </xf>
    <xf numFmtId="49" fontId="2" fillId="0" borderId="10" xfId="5" applyNumberFormat="1" applyFont="1" applyBorder="1" applyAlignment="1">
      <alignment horizontal="center" vertical="center" wrapText="1"/>
    </xf>
    <xf numFmtId="49" fontId="2" fillId="0" borderId="3" xfId="5" applyNumberFormat="1" applyFont="1" applyBorder="1" applyAlignment="1">
      <alignment horizontal="center" vertical="center" wrapText="1"/>
    </xf>
    <xf numFmtId="49" fontId="82" fillId="0" borderId="2" xfId="4" applyNumberFormat="1" applyFont="1" applyBorder="1" applyAlignment="1">
      <alignment horizontal="left" vertical="center" wrapText="1"/>
    </xf>
    <xf numFmtId="49" fontId="82" fillId="0" borderId="10" xfId="4" applyNumberFormat="1" applyFont="1" applyBorder="1" applyAlignment="1">
      <alignment horizontal="left" vertical="center" wrapText="1"/>
    </xf>
    <xf numFmtId="49" fontId="82" fillId="0" borderId="3" xfId="4" applyNumberFormat="1" applyFont="1" applyBorder="1" applyAlignment="1">
      <alignment horizontal="left" vertical="center" wrapText="1"/>
    </xf>
    <xf numFmtId="1" fontId="7" fillId="7" borderId="1" xfId="265" applyNumberFormat="1" applyFont="1" applyFill="1" applyBorder="1" applyAlignment="1">
      <alignment horizontal="center" vertical="center" wrapText="1"/>
    </xf>
    <xf numFmtId="1" fontId="7" fillId="0" borderId="1" xfId="265" applyNumberFormat="1" applyFont="1" applyFill="1" applyBorder="1" applyAlignment="1">
      <alignment horizontal="center" vertical="center" wrapText="1"/>
    </xf>
    <xf numFmtId="167" fontId="27" fillId="0" borderId="2" xfId="5" applyFont="1" applyBorder="1" applyAlignment="1">
      <alignment horizontal="center" vertical="center"/>
    </xf>
    <xf numFmtId="167" fontId="27" fillId="0" borderId="10" xfId="5" applyFont="1" applyBorder="1" applyAlignment="1">
      <alignment horizontal="center" vertical="center"/>
    </xf>
    <xf numFmtId="167" fontId="2" fillId="0" borderId="10" xfId="265" applyFont="1" applyFill="1" applyBorder="1" applyAlignment="1">
      <alignment horizontal="center" vertical="center" wrapText="1"/>
    </xf>
    <xf numFmtId="49" fontId="27" fillId="0" borderId="2" xfId="5" applyNumberFormat="1" applyFont="1" applyBorder="1" applyAlignment="1">
      <alignment horizontal="left" vertical="center" wrapText="1"/>
    </xf>
    <xf numFmtId="49" fontId="27" fillId="0" borderId="3" xfId="5" applyNumberFormat="1" applyFont="1" applyBorder="1" applyAlignment="1">
      <alignment horizontal="left" vertical="center" wrapText="1"/>
    </xf>
    <xf numFmtId="195" fontId="63" fillId="29" borderId="0" xfId="4" applyNumberFormat="1" applyFont="1" applyFill="1" applyAlignment="1">
      <alignment horizontal="center" vertical="center" wrapText="1"/>
    </xf>
    <xf numFmtId="1" fontId="7" fillId="101" borderId="2" xfId="4" applyNumberFormat="1" applyFont="1" applyFill="1" applyBorder="1" applyAlignment="1">
      <alignment horizontal="center" vertical="center" wrapText="1"/>
    </xf>
    <xf numFmtId="1" fontId="7" fillId="101" borderId="3" xfId="4" applyNumberFormat="1" applyFont="1" applyFill="1" applyBorder="1" applyAlignment="1">
      <alignment horizontal="center" vertical="center" wrapText="1"/>
    </xf>
    <xf numFmtId="43" fontId="7" fillId="0" borderId="1" xfId="4" applyNumberFormat="1" applyFont="1" applyBorder="1" applyAlignment="1">
      <alignment horizontal="center" vertical="center" wrapText="1"/>
    </xf>
    <xf numFmtId="49" fontId="7" fillId="0" borderId="1" xfId="4" applyNumberFormat="1" applyFont="1" applyBorder="1" applyAlignment="1">
      <alignment horizontal="center" vertical="center" wrapText="1"/>
    </xf>
    <xf numFmtId="0" fontId="32" fillId="0" borderId="55" xfId="0" applyFont="1" applyBorder="1" applyAlignment="1">
      <alignment horizontal="center" vertical="center" wrapText="1"/>
    </xf>
    <xf numFmtId="49" fontId="7" fillId="16" borderId="2" xfId="4" applyNumberFormat="1" applyFont="1" applyFill="1" applyBorder="1" applyAlignment="1">
      <alignment horizontal="center" vertical="center" wrapText="1"/>
    </xf>
    <xf numFmtId="49" fontId="7" fillId="16" borderId="3" xfId="4" applyNumberFormat="1" applyFont="1" applyFill="1" applyBorder="1" applyAlignment="1">
      <alignment horizontal="center" vertical="center"/>
    </xf>
    <xf numFmtId="49" fontId="7" fillId="16" borderId="3" xfId="4" applyNumberFormat="1" applyFont="1" applyFill="1" applyBorder="1" applyAlignment="1">
      <alignment horizontal="center" vertical="center" wrapText="1"/>
    </xf>
    <xf numFmtId="49" fontId="7" fillId="16" borderId="2" xfId="4" applyNumberFormat="1" applyFont="1" applyFill="1" applyBorder="1" applyAlignment="1">
      <alignment horizontal="center" vertical="center"/>
    </xf>
    <xf numFmtId="167" fontId="7" fillId="0" borderId="1" xfId="265" applyFont="1" applyBorder="1" applyAlignment="1">
      <alignment horizontal="center" vertical="center" wrapText="1"/>
    </xf>
    <xf numFmtId="0" fontId="7" fillId="34" borderId="1" xfId="4" applyFont="1" applyFill="1" applyBorder="1" applyAlignment="1">
      <alignment horizontal="center" vertical="center"/>
    </xf>
    <xf numFmtId="0" fontId="63" fillId="31" borderId="1" xfId="4" applyFont="1" applyFill="1" applyBorder="1" applyAlignment="1">
      <alignment horizontal="center" vertical="center" wrapText="1"/>
    </xf>
    <xf numFmtId="167" fontId="7" fillId="30" borderId="12" xfId="4" applyNumberFormat="1" applyFont="1" applyFill="1" applyBorder="1" applyAlignment="1">
      <alignment horizontal="center" vertical="center"/>
    </xf>
    <xf numFmtId="0" fontId="63" fillId="32" borderId="12" xfId="4" applyFont="1" applyFill="1" applyBorder="1" applyAlignment="1">
      <alignment horizontal="center" vertical="center"/>
    </xf>
    <xf numFmtId="167" fontId="63" fillId="33" borderId="12" xfId="265" applyFont="1" applyFill="1" applyBorder="1" applyAlignment="1">
      <alignment horizontal="center" vertical="center" wrapText="1"/>
    </xf>
    <xf numFmtId="49" fontId="10" fillId="16" borderId="2" xfId="4" applyNumberFormat="1" applyFont="1" applyFill="1" applyBorder="1" applyAlignment="1">
      <alignment horizontal="center" vertical="center" wrapText="1"/>
    </xf>
    <xf numFmtId="49" fontId="10" fillId="16" borderId="3" xfId="4" applyNumberFormat="1" applyFont="1" applyFill="1" applyBorder="1" applyAlignment="1">
      <alignment horizontal="center" vertical="center" wrapText="1"/>
    </xf>
    <xf numFmtId="1" fontId="27" fillId="48" borderId="2" xfId="4" applyNumberFormat="1" applyFont="1" applyFill="1" applyBorder="1" applyAlignment="1">
      <alignment horizontal="center" vertical="center" wrapText="1"/>
    </xf>
    <xf numFmtId="1" fontId="27" fillId="48" borderId="10" xfId="4" applyNumberFormat="1" applyFont="1" applyFill="1" applyBorder="1" applyAlignment="1">
      <alignment horizontal="center" vertical="center" wrapText="1"/>
    </xf>
    <xf numFmtId="1" fontId="27" fillId="48" borderId="3" xfId="4" applyNumberFormat="1" applyFont="1" applyFill="1" applyBorder="1" applyAlignment="1">
      <alignment horizontal="center" vertical="center" wrapText="1"/>
    </xf>
    <xf numFmtId="0" fontId="27" fillId="0" borderId="2" xfId="14" applyFont="1" applyBorder="1" applyAlignment="1">
      <alignment horizontal="center" vertical="center" wrapText="1"/>
    </xf>
    <xf numFmtId="0" fontId="27" fillId="0" borderId="10" xfId="14" applyFont="1" applyBorder="1" applyAlignment="1">
      <alignment horizontal="center" vertical="center" wrapText="1"/>
    </xf>
    <xf numFmtId="0" fontId="27" fillId="0" borderId="2" xfId="14" applyFont="1" applyBorder="1" applyAlignment="1">
      <alignment horizontal="left" vertical="center" wrapText="1"/>
    </xf>
    <xf numFmtId="0" fontId="27" fillId="0" borderId="10" xfId="14" applyFont="1" applyBorder="1" applyAlignment="1">
      <alignment horizontal="left" vertical="center" wrapText="1"/>
    </xf>
    <xf numFmtId="49" fontId="27" fillId="0" borderId="28" xfId="265" applyNumberFormat="1" applyFont="1" applyFill="1" applyBorder="1" applyAlignment="1">
      <alignment horizontal="center" vertical="center" wrapText="1"/>
    </xf>
    <xf numFmtId="49" fontId="27" fillId="0" borderId="4" xfId="265" applyNumberFormat="1" applyFont="1" applyFill="1" applyBorder="1" applyAlignment="1">
      <alignment horizontal="center" vertical="center" wrapText="1"/>
    </xf>
    <xf numFmtId="49" fontId="27" fillId="0" borderId="14" xfId="265" applyNumberFormat="1" applyFont="1" applyFill="1" applyBorder="1" applyAlignment="1">
      <alignment horizontal="center" vertical="center" wrapText="1"/>
    </xf>
    <xf numFmtId="1" fontId="7" fillId="0" borderId="2" xfId="265" applyNumberFormat="1" applyFont="1" applyFill="1" applyBorder="1" applyAlignment="1">
      <alignment horizontal="center" vertical="center" wrapText="1"/>
    </xf>
    <xf numFmtId="1" fontId="7" fillId="0" borderId="10" xfId="265" applyNumberFormat="1" applyFont="1" applyFill="1" applyBorder="1" applyAlignment="1">
      <alignment horizontal="center" vertical="center" wrapText="1"/>
    </xf>
    <xf numFmtId="1" fontId="7" fillId="0" borderId="3" xfId="265" applyNumberFormat="1" applyFont="1" applyFill="1" applyBorder="1" applyAlignment="1">
      <alignment horizontal="center" vertical="center" wrapText="1"/>
    </xf>
    <xf numFmtId="167" fontId="27" fillId="0" borderId="4" xfId="265" applyFont="1" applyBorder="1" applyAlignment="1">
      <alignment horizontal="left" vertical="center" wrapText="1"/>
    </xf>
    <xf numFmtId="167" fontId="2" fillId="0" borderId="28" xfId="5" applyFont="1" applyBorder="1" applyAlignment="1">
      <alignment horizontal="center" vertical="center"/>
    </xf>
    <xf numFmtId="167" fontId="2" fillId="0" borderId="4" xfId="5" applyFont="1" applyBorder="1" applyAlignment="1">
      <alignment horizontal="center" vertical="center"/>
    </xf>
    <xf numFmtId="167" fontId="2" fillId="0" borderId="14" xfId="5" applyFont="1" applyBorder="1" applyAlignment="1">
      <alignment horizontal="center" vertical="center"/>
    </xf>
    <xf numFmtId="49" fontId="7" fillId="16" borderId="28" xfId="265" applyNumberFormat="1" applyFont="1" applyFill="1" applyBorder="1" applyAlignment="1">
      <alignment horizontal="center" vertical="center" wrapText="1"/>
    </xf>
    <xf numFmtId="1" fontId="82" fillId="74" borderId="2" xfId="4" applyNumberFormat="1" applyFont="1" applyFill="1" applyBorder="1" applyAlignment="1">
      <alignment horizontal="center" vertical="center" wrapText="1"/>
    </xf>
    <xf numFmtId="1" fontId="82" fillId="74" borderId="10" xfId="4" applyNumberFormat="1" applyFont="1" applyFill="1" applyBorder="1" applyAlignment="1">
      <alignment horizontal="center" vertical="center" wrapText="1"/>
    </xf>
    <xf numFmtId="1" fontId="82" fillId="74" borderId="3" xfId="4" applyNumberFormat="1" applyFont="1" applyFill="1" applyBorder="1" applyAlignment="1">
      <alignment horizontal="center" vertical="center" wrapText="1"/>
    </xf>
    <xf numFmtId="49" fontId="27" fillId="0" borderId="2" xfId="4" applyNumberFormat="1" applyFont="1" applyBorder="1" applyAlignment="1">
      <alignment horizontal="left" vertical="center" wrapText="1"/>
    </xf>
    <xf numFmtId="49" fontId="27" fillId="0" borderId="10" xfId="4" applyNumberFormat="1" applyFont="1" applyBorder="1" applyAlignment="1">
      <alignment horizontal="left" vertical="center" wrapText="1"/>
    </xf>
    <xf numFmtId="3" fontId="27" fillId="0" borderId="2" xfId="4"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0" xfId="0" applyFont="1" applyBorder="1" applyAlignment="1">
      <alignment horizontal="center" vertical="center" wrapText="1"/>
    </xf>
    <xf numFmtId="0" fontId="2" fillId="0" borderId="3" xfId="0" applyFont="1" applyBorder="1" applyAlignment="1">
      <alignment horizontal="center" vertical="center" wrapText="1"/>
    </xf>
    <xf numFmtId="1" fontId="27" fillId="61" borderId="2" xfId="4" applyNumberFormat="1" applyFont="1" applyFill="1" applyBorder="1" applyAlignment="1">
      <alignment horizontal="center" vertical="center" wrapText="1"/>
    </xf>
    <xf numFmtId="1" fontId="27" fillId="61" borderId="10" xfId="4" applyNumberFormat="1" applyFont="1" applyFill="1" applyBorder="1" applyAlignment="1">
      <alignment horizontal="center" vertical="center" wrapText="1"/>
    </xf>
    <xf numFmtId="1" fontId="27" fillId="61" borderId="3" xfId="4" applyNumberFormat="1" applyFont="1" applyFill="1" applyBorder="1" applyAlignment="1">
      <alignment horizontal="center" vertical="center" wrapText="1"/>
    </xf>
    <xf numFmtId="1" fontId="27" fillId="69" borderId="2" xfId="4" applyNumberFormat="1" applyFont="1" applyFill="1" applyBorder="1" applyAlignment="1">
      <alignment horizontal="center" vertical="center" wrapText="1"/>
    </xf>
    <xf numFmtId="1" fontId="27" fillId="69" borderId="10" xfId="4" applyNumberFormat="1" applyFont="1" applyFill="1" applyBorder="1" applyAlignment="1">
      <alignment horizontal="center" vertical="center" wrapText="1"/>
    </xf>
    <xf numFmtId="1" fontId="27" fillId="69" borderId="3" xfId="4" applyNumberFormat="1" applyFont="1" applyFill="1" applyBorder="1" applyAlignment="1">
      <alignment horizontal="center" vertical="center" wrapText="1"/>
    </xf>
    <xf numFmtId="1" fontId="27" fillId="54" borderId="2" xfId="4" applyNumberFormat="1" applyFont="1" applyFill="1" applyBorder="1" applyAlignment="1">
      <alignment horizontal="center" vertical="center" wrapText="1"/>
    </xf>
    <xf numFmtId="1" fontId="27" fillId="54" borderId="3" xfId="4"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63" fillId="82" borderId="2" xfId="0" applyFont="1" applyFill="1" applyBorder="1" applyAlignment="1">
      <alignment horizontal="center" vertical="center"/>
    </xf>
    <xf numFmtId="0" fontId="63" fillId="82" borderId="10" xfId="0" applyFont="1" applyFill="1" applyBorder="1" applyAlignment="1">
      <alignment horizontal="center" vertical="center"/>
    </xf>
    <xf numFmtId="0" fontId="63" fillId="82" borderId="3" xfId="0" applyFont="1" applyFill="1" applyBorder="1" applyAlignment="1">
      <alignment horizontal="center" vertical="center"/>
    </xf>
    <xf numFmtId="1" fontId="7" fillId="16" borderId="2" xfId="4" applyNumberFormat="1" applyFont="1" applyFill="1" applyBorder="1" applyAlignment="1">
      <alignment horizontal="center" vertical="center" wrapText="1"/>
    </xf>
    <xf numFmtId="1" fontId="7" fillId="16" borderId="10" xfId="4" applyNumberFormat="1" applyFont="1" applyFill="1" applyBorder="1" applyAlignment="1">
      <alignment horizontal="center" vertical="center" wrapText="1"/>
    </xf>
    <xf numFmtId="1" fontId="7" fillId="16" borderId="3" xfId="4" applyNumberFormat="1" applyFont="1" applyFill="1" applyBorder="1" applyAlignment="1">
      <alignment horizontal="center" vertical="center" wrapText="1"/>
    </xf>
    <xf numFmtId="0" fontId="32" fillId="5" borderId="2"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32" fillId="5" borderId="3" xfId="0" applyFont="1" applyFill="1" applyBorder="1" applyAlignment="1">
      <alignment horizontal="center" vertical="center" wrapText="1"/>
    </xf>
    <xf numFmtId="1" fontId="2" fillId="0" borderId="2" xfId="5" applyNumberFormat="1" applyFont="1" applyFill="1" applyBorder="1" applyAlignment="1">
      <alignment horizontal="center" vertical="center"/>
    </xf>
    <xf numFmtId="1" fontId="2" fillId="0" borderId="10" xfId="5" applyNumberFormat="1" applyFont="1" applyFill="1" applyBorder="1" applyAlignment="1">
      <alignment horizontal="center" vertical="center"/>
    </xf>
    <xf numFmtId="1" fontId="2" fillId="0" borderId="3" xfId="5" applyNumberFormat="1" applyFont="1" applyFill="1" applyBorder="1" applyAlignment="1">
      <alignment horizontal="center" vertical="center"/>
    </xf>
    <xf numFmtId="195" fontId="7" fillId="0" borderId="2" xfId="201" applyNumberFormat="1" applyFont="1" applyBorder="1" applyAlignment="1">
      <alignment vertical="center" wrapText="1"/>
    </xf>
    <xf numFmtId="195" fontId="7" fillId="0" borderId="10" xfId="201" applyNumberFormat="1" applyFont="1" applyBorder="1" applyAlignment="1">
      <alignment vertical="center" wrapText="1"/>
    </xf>
    <xf numFmtId="195" fontId="7" fillId="0" borderId="3" xfId="201" applyNumberFormat="1" applyFont="1" applyBorder="1" applyAlignment="1">
      <alignment vertical="center" wrapText="1"/>
    </xf>
    <xf numFmtId="0" fontId="78" fillId="0" borderId="2" xfId="0" applyFont="1" applyBorder="1" applyAlignment="1">
      <alignment horizontal="center" vertical="center"/>
    </xf>
    <xf numFmtId="0" fontId="7" fillId="72" borderId="11" xfId="0" applyFont="1" applyFill="1" applyBorder="1" applyAlignment="1">
      <alignment horizontal="center" wrapText="1"/>
    </xf>
    <xf numFmtId="0" fontId="7" fillId="72" borderId="144" xfId="0" applyFont="1" applyFill="1" applyBorder="1" applyAlignment="1">
      <alignment horizontal="center" wrapText="1"/>
    </xf>
    <xf numFmtId="0" fontId="7" fillId="54" borderId="146" xfId="4" applyFont="1" applyFill="1" applyBorder="1" applyAlignment="1">
      <alignment horizontal="center" vertical="center"/>
    </xf>
    <xf numFmtId="0" fontId="7" fillId="54" borderId="147" xfId="4" applyFont="1" applyFill="1" applyBorder="1" applyAlignment="1">
      <alignment horizontal="center" vertical="center"/>
    </xf>
    <xf numFmtId="0" fontId="7" fillId="54" borderId="148" xfId="4" applyFont="1" applyFill="1" applyBorder="1" applyAlignment="1">
      <alignment horizontal="center" vertical="center"/>
    </xf>
    <xf numFmtId="0" fontId="7" fillId="88" borderId="145" xfId="0" applyFont="1" applyFill="1" applyBorder="1" applyAlignment="1">
      <alignment horizontal="center" wrapText="1"/>
    </xf>
    <xf numFmtId="0" fontId="27" fillId="0" borderId="10" xfId="0" applyFont="1" applyBorder="1" applyAlignment="1">
      <alignment horizontal="center" vertical="center"/>
    </xf>
    <xf numFmtId="0" fontId="27" fillId="0" borderId="143" xfId="0" applyFont="1" applyBorder="1" applyAlignment="1">
      <alignment horizontal="center" vertical="center"/>
    </xf>
    <xf numFmtId="0" fontId="7" fillId="28" borderId="23" xfId="4" applyFont="1" applyFill="1" applyBorder="1" applyAlignment="1">
      <alignment horizontal="center" vertical="center"/>
    </xf>
    <xf numFmtId="0" fontId="7" fillId="28" borderId="24" xfId="4" applyFont="1" applyFill="1" applyBorder="1" applyAlignment="1">
      <alignment horizontal="center" vertical="center"/>
    </xf>
    <xf numFmtId="0" fontId="7" fillId="28" borderId="124" xfId="4" applyFont="1" applyFill="1" applyBorder="1" applyAlignment="1">
      <alignment horizontal="center" vertical="center"/>
    </xf>
    <xf numFmtId="0" fontId="27" fillId="0" borderId="10" xfId="0" applyFont="1" applyBorder="1" applyAlignment="1">
      <alignment horizontal="center" vertical="center" wrapText="1"/>
    </xf>
    <xf numFmtId="0" fontId="27" fillId="0" borderId="143" xfId="0" applyFont="1" applyBorder="1" applyAlignment="1">
      <alignment horizontal="center" vertical="center" wrapText="1"/>
    </xf>
    <xf numFmtId="0" fontId="7" fillId="88" borderId="11" xfId="0" applyFont="1" applyFill="1" applyBorder="1" applyAlignment="1">
      <alignment horizontal="center" wrapText="1"/>
    </xf>
    <xf numFmtId="0" fontId="7" fillId="88" borderId="144" xfId="0" applyFont="1" applyFill="1" applyBorder="1" applyAlignment="1">
      <alignment horizontal="center" wrapText="1"/>
    </xf>
    <xf numFmtId="170" fontId="27" fillId="0" borderId="2" xfId="1" applyFont="1" applyFill="1" applyBorder="1" applyAlignment="1">
      <alignment vertical="center" wrapText="1"/>
    </xf>
    <xf numFmtId="170" fontId="27" fillId="0" borderId="10" xfId="1" applyFont="1" applyFill="1" applyBorder="1" applyAlignment="1">
      <alignment vertical="center" wrapText="1"/>
    </xf>
    <xf numFmtId="170" fontId="27" fillId="0" borderId="3" xfId="1" applyFont="1" applyFill="1" applyBorder="1" applyAlignment="1">
      <alignment vertical="center" wrapText="1"/>
    </xf>
    <xf numFmtId="43" fontId="7" fillId="0" borderId="2" xfId="201" applyFont="1" applyBorder="1" applyAlignment="1">
      <alignment horizontal="center" vertical="center" wrapText="1"/>
    </xf>
    <xf numFmtId="43" fontId="7" fillId="0" borderId="10" xfId="201" applyFont="1" applyBorder="1" applyAlignment="1">
      <alignment horizontal="center" vertical="center" wrapText="1"/>
    </xf>
    <xf numFmtId="43" fontId="7" fillId="0" borderId="3" xfId="201" applyFont="1" applyBorder="1" applyAlignment="1">
      <alignment horizontal="center" vertical="center" wrapText="1"/>
    </xf>
    <xf numFmtId="197" fontId="7" fillId="0" borderId="2" xfId="201" applyNumberFormat="1" applyFont="1" applyBorder="1" applyAlignment="1">
      <alignment vertical="center"/>
    </xf>
    <xf numFmtId="197" fontId="7" fillId="0" borderId="10" xfId="201" applyNumberFormat="1" applyFont="1" applyBorder="1" applyAlignment="1">
      <alignment vertical="center"/>
    </xf>
    <xf numFmtId="197" fontId="7" fillId="0" borderId="3" xfId="201" applyNumberFormat="1" applyFont="1" applyBorder="1" applyAlignment="1">
      <alignment vertical="center"/>
    </xf>
    <xf numFmtId="43" fontId="2" fillId="0" borderId="2" xfId="5" applyNumberFormat="1" applyFont="1" applyBorder="1" applyAlignment="1">
      <alignment horizontal="center" vertical="center"/>
    </xf>
    <xf numFmtId="43" fontId="2" fillId="0" borderId="10" xfId="5" applyNumberFormat="1" applyFont="1" applyBorder="1" applyAlignment="1">
      <alignment horizontal="center" vertical="center"/>
    </xf>
    <xf numFmtId="43" fontId="2" fillId="0" borderId="3" xfId="5" applyNumberFormat="1" applyFont="1" applyBorder="1" applyAlignment="1">
      <alignment horizontal="center" vertical="center"/>
    </xf>
    <xf numFmtId="0" fontId="7" fillId="7" borderId="23" xfId="4" applyFont="1" applyFill="1" applyBorder="1" applyAlignment="1">
      <alignment horizontal="center" vertical="center"/>
    </xf>
    <xf numFmtId="0" fontId="7" fillId="7" borderId="24" xfId="4" applyFont="1" applyFill="1" applyBorder="1" applyAlignment="1">
      <alignment horizontal="center" vertical="center"/>
    </xf>
    <xf numFmtId="0" fontId="7" fillId="7" borderId="124" xfId="4" applyFont="1" applyFill="1" applyBorder="1" applyAlignment="1">
      <alignment horizontal="center" vertical="center"/>
    </xf>
    <xf numFmtId="167" fontId="32" fillId="0" borderId="2" xfId="5" applyFont="1" applyBorder="1" applyAlignment="1">
      <alignment vertical="center"/>
    </xf>
    <xf numFmtId="167" fontId="32" fillId="0" borderId="3" xfId="5" applyFont="1" applyBorder="1" applyAlignment="1">
      <alignment vertical="center"/>
    </xf>
    <xf numFmtId="167" fontId="32" fillId="0" borderId="10" xfId="5" applyFont="1" applyBorder="1" applyAlignment="1">
      <alignment vertical="center"/>
    </xf>
    <xf numFmtId="43" fontId="7" fillId="0" borderId="2" xfId="201" applyFont="1" applyBorder="1" applyAlignment="1">
      <alignment horizontal="center" vertical="center"/>
    </xf>
    <xf numFmtId="43" fontId="7" fillId="0" borderId="10" xfId="201" applyFont="1" applyBorder="1" applyAlignment="1">
      <alignment horizontal="center" vertical="center"/>
    </xf>
    <xf numFmtId="43" fontId="7" fillId="0" borderId="3" xfId="201" applyFont="1" applyBorder="1" applyAlignment="1">
      <alignment horizontal="center" vertical="center"/>
    </xf>
    <xf numFmtId="0" fontId="7" fillId="8" borderId="23" xfId="4" applyFont="1" applyFill="1" applyBorder="1" applyAlignment="1">
      <alignment horizontal="center" vertical="center"/>
    </xf>
    <xf numFmtId="0" fontId="7" fillId="8" borderId="24" xfId="4" applyFont="1" applyFill="1" applyBorder="1" applyAlignment="1">
      <alignment horizontal="center" vertical="center"/>
    </xf>
    <xf numFmtId="0" fontId="7" fillId="8" borderId="124" xfId="4" applyFont="1" applyFill="1" applyBorder="1" applyAlignment="1">
      <alignment horizontal="center" vertical="center"/>
    </xf>
    <xf numFmtId="0" fontId="7" fillId="72" borderId="12" xfId="0" applyFont="1" applyFill="1" applyBorder="1" applyAlignment="1">
      <alignment horizontal="center" wrapText="1"/>
    </xf>
    <xf numFmtId="0" fontId="7" fillId="88" borderId="12" xfId="0" applyFont="1" applyFill="1" applyBorder="1" applyAlignment="1">
      <alignment horizontal="center" wrapText="1"/>
    </xf>
    <xf numFmtId="167" fontId="27" fillId="0" borderId="2" xfId="5" applyFont="1" applyFill="1" applyBorder="1" applyAlignment="1">
      <alignment vertical="center"/>
    </xf>
    <xf numFmtId="167" fontId="27" fillId="0" borderId="10" xfId="5" applyFont="1" applyFill="1" applyBorder="1" applyAlignment="1">
      <alignment vertical="center"/>
    </xf>
    <xf numFmtId="167" fontId="27" fillId="0" borderId="3" xfId="5" applyFont="1" applyFill="1" applyBorder="1" applyAlignment="1">
      <alignment vertical="center"/>
    </xf>
    <xf numFmtId="43" fontId="27" fillId="0" borderId="2" xfId="5" applyNumberFormat="1" applyFont="1" applyFill="1" applyBorder="1" applyAlignment="1">
      <alignment horizontal="center" vertical="center"/>
    </xf>
    <xf numFmtId="43" fontId="27" fillId="0" borderId="10" xfId="5" applyNumberFormat="1" applyFont="1" applyFill="1" applyBorder="1" applyAlignment="1">
      <alignment horizontal="center" vertical="center"/>
    </xf>
    <xf numFmtId="43" fontId="27" fillId="0" borderId="3" xfId="5" applyNumberFormat="1" applyFont="1" applyFill="1" applyBorder="1" applyAlignment="1">
      <alignment horizontal="center" vertical="center"/>
    </xf>
    <xf numFmtId="43" fontId="27" fillId="0" borderId="2" xfId="1" applyNumberFormat="1" applyFont="1" applyFill="1" applyBorder="1" applyAlignment="1">
      <alignment horizontal="center" vertical="center" wrapText="1"/>
    </xf>
    <xf numFmtId="43" fontId="27" fillId="0" borderId="10" xfId="1" applyNumberFormat="1" applyFont="1" applyFill="1" applyBorder="1" applyAlignment="1">
      <alignment horizontal="center" vertical="center" wrapText="1"/>
    </xf>
    <xf numFmtId="43" fontId="27" fillId="0" borderId="3" xfId="1" applyNumberFormat="1" applyFont="1" applyFill="1" applyBorder="1" applyAlignment="1">
      <alignment horizontal="center" vertical="center" wrapText="1"/>
    </xf>
    <xf numFmtId="0" fontId="226" fillId="0" borderId="2" xfId="0" applyFont="1" applyBorder="1" applyAlignment="1">
      <alignment horizontal="center" vertical="center"/>
    </xf>
    <xf numFmtId="0" fontId="226" fillId="0" borderId="3" xfId="0" applyFont="1" applyBorder="1" applyAlignment="1">
      <alignment horizontal="center" vertical="center"/>
    </xf>
    <xf numFmtId="0" fontId="0" fillId="0" borderId="0" xfId="6" applyFont="1" applyAlignment="1">
      <alignment horizontal="left" vertical="center" wrapText="1" indent="1"/>
    </xf>
    <xf numFmtId="0" fontId="3" fillId="0" borderId="0" xfId="6" applyAlignment="1">
      <alignment horizontal="left" vertical="center" wrapText="1" indent="1"/>
    </xf>
    <xf numFmtId="0" fontId="22" fillId="11" borderId="0" xfId="6" applyFont="1" applyFill="1" applyAlignment="1">
      <alignment horizontal="right"/>
    </xf>
    <xf numFmtId="0" fontId="21" fillId="14" borderId="0" xfId="6" applyFont="1" applyFill="1" applyAlignment="1">
      <alignment horizontal="center"/>
    </xf>
    <xf numFmtId="0" fontId="33" fillId="0" borderId="1" xfId="207" applyFont="1" applyBorder="1" applyAlignment="1">
      <alignment horizontal="center" vertical="center" wrapText="1"/>
    </xf>
    <xf numFmtId="0" fontId="132" fillId="0" borderId="2" xfId="207" applyFont="1" applyBorder="1" applyAlignment="1">
      <alignment horizontal="left" vertical="center" wrapText="1"/>
    </xf>
    <xf numFmtId="0" fontId="132" fillId="0" borderId="3" xfId="207" applyFont="1" applyBorder="1" applyAlignment="1">
      <alignment horizontal="left" vertical="center" wrapText="1"/>
    </xf>
    <xf numFmtId="0" fontId="192" fillId="0" borderId="2" xfId="207" applyBorder="1" applyAlignment="1">
      <alignment horizontal="left" vertical="center" wrapText="1"/>
    </xf>
    <xf numFmtId="0" fontId="192" fillId="0" borderId="10" xfId="207" applyBorder="1" applyAlignment="1">
      <alignment horizontal="left" vertical="center" wrapText="1"/>
    </xf>
    <xf numFmtId="0" fontId="192" fillId="0" borderId="3" xfId="207" applyBorder="1" applyAlignment="1">
      <alignment horizontal="left" vertical="center" wrapText="1"/>
    </xf>
    <xf numFmtId="0" fontId="192" fillId="0" borderId="28" xfId="207" applyBorder="1" applyAlignment="1">
      <alignment horizontal="left" vertical="center" wrapText="1"/>
    </xf>
    <xf numFmtId="0" fontId="192" fillId="0" borderId="4" xfId="207" applyBorder="1" applyAlignment="1">
      <alignment horizontal="left" vertical="center" wrapText="1"/>
    </xf>
    <xf numFmtId="0" fontId="192" fillId="0" borderId="2" xfId="207" applyBorder="1" applyAlignment="1">
      <alignment horizontal="center" vertical="center" wrapText="1"/>
    </xf>
    <xf numFmtId="0" fontId="192" fillId="0" borderId="10" xfId="207" applyBorder="1" applyAlignment="1">
      <alignment horizontal="center" vertical="center" wrapText="1"/>
    </xf>
    <xf numFmtId="0" fontId="192" fillId="0" borderId="3" xfId="207" applyBorder="1" applyAlignment="1">
      <alignment horizontal="center" vertical="center" wrapText="1"/>
    </xf>
    <xf numFmtId="170" fontId="192" fillId="0" borderId="2" xfId="1" applyFont="1" applyBorder="1" applyAlignment="1">
      <alignment horizontal="center" vertical="center" wrapText="1"/>
    </xf>
    <xf numFmtId="170" fontId="192" fillId="0" borderId="10" xfId="1" applyFont="1" applyBorder="1" applyAlignment="1">
      <alignment horizontal="center" vertical="center" wrapText="1"/>
    </xf>
    <xf numFmtId="170" fontId="192" fillId="0" borderId="3" xfId="1" applyFont="1" applyBorder="1" applyAlignment="1">
      <alignment horizontal="center" vertical="center" wrapText="1"/>
    </xf>
    <xf numFmtId="0" fontId="197" fillId="0" borderId="2" xfId="207" applyFont="1" applyBorder="1" applyAlignment="1">
      <alignment horizontal="left" vertical="center" wrapText="1"/>
    </xf>
    <xf numFmtId="0" fontId="197" fillId="0" borderId="10" xfId="207" applyFont="1" applyBorder="1" applyAlignment="1">
      <alignment horizontal="left" vertical="center" wrapText="1"/>
    </xf>
    <xf numFmtId="0" fontId="197" fillId="0" borderId="3" xfId="207" applyFont="1" applyBorder="1" applyAlignment="1">
      <alignment horizontal="left" vertical="center" wrapText="1"/>
    </xf>
    <xf numFmtId="0" fontId="194" fillId="0" borderId="2" xfId="207" applyFont="1" applyBorder="1" applyAlignment="1">
      <alignment horizontal="center" vertical="center" wrapText="1"/>
    </xf>
    <xf numFmtId="0" fontId="194" fillId="0" borderId="3" xfId="207" applyFont="1" applyBorder="1" applyAlignment="1">
      <alignment horizontal="center" vertical="center" wrapText="1"/>
    </xf>
    <xf numFmtId="170" fontId="192" fillId="0" borderId="2" xfId="1" applyFont="1" applyBorder="1" applyAlignment="1">
      <alignment horizontal="left" vertical="center" wrapText="1"/>
    </xf>
    <xf numFmtId="170" fontId="192" fillId="0" borderId="10" xfId="1" applyFont="1" applyBorder="1" applyAlignment="1">
      <alignment horizontal="left" vertical="center" wrapText="1"/>
    </xf>
    <xf numFmtId="170" fontId="192" fillId="0" borderId="3" xfId="1" applyFont="1" applyBorder="1" applyAlignment="1">
      <alignment horizontal="left" vertical="center" wrapText="1"/>
    </xf>
    <xf numFmtId="170" fontId="205" fillId="0" borderId="2" xfId="1" applyFont="1" applyBorder="1" applyAlignment="1">
      <alignment horizontal="left" vertical="center" wrapText="1"/>
    </xf>
    <xf numFmtId="170" fontId="205" fillId="0" borderId="10" xfId="1" applyFont="1" applyBorder="1" applyAlignment="1">
      <alignment horizontal="left" vertical="center" wrapText="1"/>
    </xf>
    <xf numFmtId="170" fontId="205" fillId="0" borderId="3" xfId="1" applyFont="1" applyBorder="1" applyAlignment="1">
      <alignment horizontal="left" vertical="center" wrapText="1"/>
    </xf>
    <xf numFmtId="49" fontId="193" fillId="56" borderId="12" xfId="207" applyNumberFormat="1" applyFont="1" applyFill="1" applyBorder="1" applyAlignment="1">
      <alignment horizontal="left" vertical="center" wrapText="1"/>
    </xf>
    <xf numFmtId="49" fontId="193" fillId="56" borderId="11" xfId="207" applyNumberFormat="1" applyFont="1" applyFill="1" applyBorder="1" applyAlignment="1">
      <alignment horizontal="left" vertical="center" wrapText="1"/>
    </xf>
    <xf numFmtId="0" fontId="132" fillId="0" borderId="10" xfId="207" applyFont="1" applyBorder="1" applyAlignment="1">
      <alignment horizontal="left" vertical="center" wrapText="1"/>
    </xf>
    <xf numFmtId="0" fontId="192" fillId="0" borderId="5" xfId="207" applyBorder="1" applyAlignment="1">
      <alignment horizontal="left" vertical="center" wrapText="1"/>
    </xf>
    <xf numFmtId="0" fontId="192" fillId="0" borderId="2" xfId="207" applyBorder="1" applyAlignment="1">
      <alignment vertical="center" wrapText="1"/>
    </xf>
    <xf numFmtId="0" fontId="192" fillId="0" borderId="10" xfId="207" applyBorder="1" applyAlignment="1">
      <alignment vertical="center" wrapText="1"/>
    </xf>
    <xf numFmtId="0" fontId="192" fillId="0" borderId="3" xfId="207" applyBorder="1" applyAlignment="1">
      <alignment vertical="center" wrapText="1"/>
    </xf>
    <xf numFmtId="170" fontId="197" fillId="0" borderId="2" xfId="1" applyFont="1" applyBorder="1" applyAlignment="1">
      <alignment horizontal="center" vertical="center" wrapText="1"/>
    </xf>
    <xf numFmtId="170" fontId="197" fillId="0" borderId="3" xfId="1" applyFont="1" applyBorder="1" applyAlignment="1">
      <alignment horizontal="center" vertical="center" wrapText="1"/>
    </xf>
    <xf numFmtId="49" fontId="204" fillId="0" borderId="2" xfId="207" applyNumberFormat="1" applyFont="1" applyBorder="1" applyAlignment="1">
      <alignment horizontal="left" vertical="center" wrapText="1"/>
    </xf>
    <xf numFmtId="49" fontId="204" fillId="0" borderId="3" xfId="207" applyNumberFormat="1" applyFont="1" applyBorder="1" applyAlignment="1">
      <alignment horizontal="left" vertical="center" wrapText="1"/>
    </xf>
    <xf numFmtId="0" fontId="33" fillId="92" borderId="15" xfId="207" applyFont="1" applyFill="1" applyBorder="1" applyAlignment="1">
      <alignment horizontal="center" vertical="center" textRotation="90" wrapText="1"/>
    </xf>
    <xf numFmtId="0" fontId="33" fillId="92" borderId="18" xfId="207" applyFont="1" applyFill="1" applyBorder="1" applyAlignment="1">
      <alignment horizontal="center" vertical="center" textRotation="90" wrapText="1"/>
    </xf>
    <xf numFmtId="0" fontId="33" fillId="92" borderId="20" xfId="207" applyFont="1" applyFill="1" applyBorder="1" applyAlignment="1">
      <alignment horizontal="center" vertical="center" textRotation="90" wrapText="1"/>
    </xf>
    <xf numFmtId="0" fontId="33" fillId="93" borderId="15" xfId="207" applyFont="1" applyFill="1" applyBorder="1" applyAlignment="1">
      <alignment horizontal="center" vertical="center" textRotation="90" wrapText="1"/>
    </xf>
    <xf numFmtId="0" fontId="33" fillId="93" borderId="18" xfId="207" applyFont="1" applyFill="1" applyBorder="1" applyAlignment="1">
      <alignment horizontal="center" vertical="center" textRotation="90" wrapText="1"/>
    </xf>
    <xf numFmtId="0" fontId="33" fillId="93" borderId="20" xfId="207" applyFont="1" applyFill="1" applyBorder="1" applyAlignment="1">
      <alignment horizontal="center" vertical="center" textRotation="90" wrapText="1"/>
    </xf>
    <xf numFmtId="0" fontId="33" fillId="91" borderId="15" xfId="207" applyFont="1" applyFill="1" applyBorder="1" applyAlignment="1">
      <alignment horizontal="center" vertical="center" textRotation="90" wrapText="1"/>
    </xf>
    <xf numFmtId="49" fontId="195" fillId="54" borderId="2" xfId="207" applyNumberFormat="1" applyFont="1" applyFill="1" applyBorder="1" applyAlignment="1">
      <alignment horizontal="left" vertical="center" wrapText="1"/>
    </xf>
    <xf numFmtId="49" fontId="195" fillId="54" borderId="3" xfId="207" applyNumberFormat="1" applyFont="1" applyFill="1" applyBorder="1" applyAlignment="1">
      <alignment horizontal="left" vertical="center" wrapText="1"/>
    </xf>
    <xf numFmtId="0" fontId="195" fillId="0" borderId="2" xfId="207" applyFont="1" applyBorder="1" applyAlignment="1">
      <alignment horizontal="left" vertical="center" wrapText="1"/>
    </xf>
    <xf numFmtId="0" fontId="195" fillId="0" borderId="3" xfId="207" applyFont="1" applyBorder="1" applyAlignment="1">
      <alignment horizontal="left" vertical="center" wrapText="1"/>
    </xf>
    <xf numFmtId="0" fontId="211" fillId="0" borderId="2" xfId="207" applyFont="1" applyBorder="1" applyAlignment="1">
      <alignment horizontal="left" vertical="center" wrapText="1"/>
    </xf>
    <xf numFmtId="0" fontId="211" fillId="0" borderId="10" xfId="207" applyFont="1" applyBorder="1" applyAlignment="1">
      <alignment horizontal="left" vertical="center" wrapText="1"/>
    </xf>
    <xf numFmtId="0" fontId="211" fillId="0" borderId="3" xfId="207" applyFont="1" applyBorder="1" applyAlignment="1">
      <alignment horizontal="left" vertical="center" wrapText="1"/>
    </xf>
    <xf numFmtId="0" fontId="34" fillId="0" borderId="120" xfId="0" applyFont="1" applyBorder="1" applyAlignment="1">
      <alignment horizontal="left" vertical="center" wrapText="1"/>
    </xf>
    <xf numFmtId="0" fontId="34" fillId="0" borderId="140" xfId="0" applyFont="1" applyBorder="1" applyAlignment="1">
      <alignment horizontal="left" vertical="center" wrapText="1"/>
    </xf>
    <xf numFmtId="0" fontId="34" fillId="0" borderId="121" xfId="0" applyFont="1" applyBorder="1" applyAlignment="1">
      <alignment horizontal="left" vertical="center" wrapText="1"/>
    </xf>
    <xf numFmtId="0" fontId="86" fillId="0" borderId="120" xfId="0" applyFont="1" applyBorder="1" applyAlignment="1">
      <alignment horizontal="left" vertical="center" wrapText="1"/>
    </xf>
    <xf numFmtId="0" fontId="86" fillId="0" borderId="140" xfId="0" applyFont="1" applyBorder="1" applyAlignment="1">
      <alignment horizontal="left" vertical="center" wrapText="1"/>
    </xf>
    <xf numFmtId="0" fontId="86" fillId="0" borderId="121" xfId="0" applyFont="1" applyBorder="1" applyAlignment="1">
      <alignment horizontal="left" vertical="center" wrapText="1"/>
    </xf>
    <xf numFmtId="0" fontId="193" fillId="56" borderId="11" xfId="207" applyFont="1" applyFill="1" applyBorder="1" applyAlignment="1">
      <alignment horizontal="left" vertical="center" wrapText="1"/>
    </xf>
    <xf numFmtId="0" fontId="193" fillId="10" borderId="12" xfId="207" applyFont="1" applyFill="1" applyBorder="1" applyAlignment="1">
      <alignment horizontal="center" vertical="center" wrapText="1"/>
    </xf>
    <xf numFmtId="0" fontId="193" fillId="10" borderId="11" xfId="207" applyFont="1" applyFill="1" applyBorder="1" applyAlignment="1">
      <alignment horizontal="center" vertical="center" wrapText="1"/>
    </xf>
    <xf numFmtId="0" fontId="193" fillId="10" borderId="9" xfId="207" applyFont="1" applyFill="1" applyBorder="1" applyAlignment="1">
      <alignment horizontal="center" vertical="center" wrapText="1"/>
    </xf>
    <xf numFmtId="0" fontId="194" fillId="49" borderId="2" xfId="207" applyFont="1" applyFill="1" applyBorder="1" applyAlignment="1">
      <alignment horizontal="center" vertical="center" wrapText="1"/>
    </xf>
    <xf numFmtId="0" fontId="194" fillId="49" borderId="3" xfId="207" applyFont="1" applyFill="1" applyBorder="1" applyAlignment="1">
      <alignment horizontal="center" vertical="center" wrapText="1"/>
    </xf>
    <xf numFmtId="0" fontId="193" fillId="10" borderId="2" xfId="207" applyFont="1" applyFill="1" applyBorder="1" applyAlignment="1">
      <alignment horizontal="center" vertical="center" wrapText="1"/>
    </xf>
    <xf numFmtId="0" fontId="193" fillId="10" borderId="3" xfId="207" applyFont="1" applyFill="1" applyBorder="1" applyAlignment="1">
      <alignment horizontal="center" vertical="center" wrapText="1"/>
    </xf>
    <xf numFmtId="202" fontId="6" fillId="0" borderId="78" xfId="0" applyNumberFormat="1" applyFont="1" applyBorder="1" applyAlignment="1">
      <alignment horizontal="center" vertical="center"/>
    </xf>
    <xf numFmtId="202" fontId="6" fillId="0" borderId="61" xfId="0" applyNumberFormat="1" applyFont="1" applyBorder="1" applyAlignment="1">
      <alignment horizontal="center" vertical="center"/>
    </xf>
    <xf numFmtId="0" fontId="7" fillId="81" borderId="78" xfId="0" applyFont="1" applyFill="1" applyBorder="1" applyAlignment="1">
      <alignment horizontal="center" vertical="center" wrapText="1"/>
    </xf>
    <xf numFmtId="0" fontId="7" fillId="81" borderId="61" xfId="0" applyFont="1" applyFill="1" applyBorder="1" applyAlignment="1">
      <alignment horizontal="center" vertical="center" wrapText="1"/>
    </xf>
    <xf numFmtId="0" fontId="7" fillId="81" borderId="70" xfId="0" applyFont="1" applyFill="1" applyBorder="1" applyAlignment="1">
      <alignment horizontal="center" vertical="center" wrapText="1"/>
    </xf>
    <xf numFmtId="0" fontId="242" fillId="5" borderId="78" xfId="0" applyFont="1" applyFill="1" applyBorder="1" applyAlignment="1">
      <alignment horizontal="center" vertical="center" wrapText="1"/>
    </xf>
    <xf numFmtId="0" fontId="242" fillId="5" borderId="61" xfId="0" applyFont="1" applyFill="1" applyBorder="1" applyAlignment="1">
      <alignment horizontal="center" vertical="center" wrapText="1"/>
    </xf>
    <xf numFmtId="0" fontId="242" fillId="5" borderId="70" xfId="0" applyFont="1" applyFill="1" applyBorder="1" applyAlignment="1">
      <alignment horizontal="center" vertical="center" wrapText="1"/>
    </xf>
    <xf numFmtId="202" fontId="6" fillId="0" borderId="70" xfId="0" applyNumberFormat="1" applyFont="1" applyBorder="1" applyAlignment="1">
      <alignment horizontal="center" vertical="center"/>
    </xf>
    <xf numFmtId="202" fontId="6" fillId="0" borderId="78" xfId="0" applyNumberFormat="1" applyFont="1" applyBorder="1" applyAlignment="1">
      <alignment horizontal="center" vertical="center" wrapText="1"/>
    </xf>
    <xf numFmtId="202" fontId="6" fillId="0" borderId="61" xfId="0" applyNumberFormat="1" applyFont="1" applyBorder="1" applyAlignment="1">
      <alignment horizontal="center" vertical="center" wrapText="1"/>
    </xf>
    <xf numFmtId="202" fontId="6" fillId="0" borderId="70" xfId="0" applyNumberFormat="1" applyFont="1" applyBorder="1" applyAlignment="1">
      <alignment horizontal="center" vertical="center" wrapText="1"/>
    </xf>
    <xf numFmtId="0" fontId="242" fillId="102" borderId="61" xfId="0" applyFont="1" applyFill="1" applyBorder="1" applyAlignment="1">
      <alignment horizontal="center" vertical="center" wrapText="1"/>
    </xf>
    <xf numFmtId="0" fontId="242" fillId="102" borderId="70" xfId="0" applyFont="1" applyFill="1" applyBorder="1" applyAlignment="1">
      <alignment horizontal="center" vertical="center" wrapText="1"/>
    </xf>
    <xf numFmtId="0" fontId="242" fillId="101" borderId="78" xfId="0" applyFont="1" applyFill="1" applyBorder="1" applyAlignment="1">
      <alignment horizontal="center" vertical="center" wrapText="1"/>
    </xf>
    <xf numFmtId="0" fontId="242" fillId="101" borderId="61" xfId="0" applyFont="1" applyFill="1" applyBorder="1" applyAlignment="1">
      <alignment horizontal="center" vertical="center" wrapText="1"/>
    </xf>
    <xf numFmtId="0" fontId="242" fillId="101" borderId="70" xfId="0" applyFont="1" applyFill="1" applyBorder="1" applyAlignment="1">
      <alignment horizontal="center" vertical="center" wrapText="1"/>
    </xf>
    <xf numFmtId="0" fontId="6" fillId="0" borderId="0" xfId="0" applyFont="1" applyAlignment="1">
      <alignment horizontal="right" vertical="center" wrapText="1"/>
    </xf>
    <xf numFmtId="0" fontId="181" fillId="0" borderId="112" xfId="0" applyFont="1" applyBorder="1" applyAlignment="1">
      <alignment horizontal="center" vertical="center" wrapText="1"/>
    </xf>
    <xf numFmtId="0" fontId="6" fillId="26" borderId="56" xfId="0" applyFont="1" applyFill="1" applyBorder="1" applyAlignment="1">
      <alignment horizontal="left" vertical="center" wrapText="1"/>
    </xf>
    <xf numFmtId="0" fontId="6" fillId="26" borderId="57" xfId="0" applyFont="1" applyFill="1" applyBorder="1" applyAlignment="1">
      <alignment horizontal="left" vertical="center" wrapText="1"/>
    </xf>
    <xf numFmtId="0" fontId="6" fillId="26" borderId="58" xfId="0" applyFont="1" applyFill="1" applyBorder="1" applyAlignment="1">
      <alignment horizontal="left" vertical="center" wrapText="1"/>
    </xf>
    <xf numFmtId="0" fontId="22" fillId="26" borderId="56" xfId="0" applyFont="1" applyFill="1" applyBorder="1" applyAlignment="1">
      <alignment horizontal="left" vertical="center" wrapText="1"/>
    </xf>
    <xf numFmtId="0" fontId="22" fillId="26" borderId="57" xfId="0" applyFont="1" applyFill="1" applyBorder="1" applyAlignment="1">
      <alignment horizontal="left" vertical="center" wrapText="1"/>
    </xf>
    <xf numFmtId="0" fontId="22" fillId="26" borderId="58" xfId="0" applyFont="1" applyFill="1" applyBorder="1" applyAlignment="1">
      <alignment horizontal="left" vertical="center" wrapText="1"/>
    </xf>
    <xf numFmtId="195" fontId="4" fillId="29" borderId="0" xfId="4" applyNumberFormat="1" applyFont="1" applyFill="1" applyAlignment="1">
      <alignment horizontal="center" vertical="center" wrapText="1"/>
    </xf>
    <xf numFmtId="49" fontId="7" fillId="16" borderId="1" xfId="4" applyNumberFormat="1" applyFont="1" applyFill="1" applyBorder="1" applyAlignment="1">
      <alignment horizontal="center" vertical="center"/>
    </xf>
    <xf numFmtId="49" fontId="7" fillId="16" borderId="28" xfId="1" applyNumberFormat="1" applyFont="1" applyFill="1" applyBorder="1" applyAlignment="1">
      <alignment horizontal="center" vertical="center" wrapText="1"/>
    </xf>
    <xf numFmtId="0" fontId="22" fillId="34" borderId="1" xfId="4" applyFont="1" applyFill="1" applyBorder="1" applyAlignment="1">
      <alignment horizontal="center" vertical="center"/>
    </xf>
    <xf numFmtId="195" fontId="7" fillId="0" borderId="2" xfId="4" applyNumberFormat="1" applyFont="1" applyBorder="1" applyAlignment="1">
      <alignment horizontal="center" vertical="center" wrapText="1"/>
    </xf>
    <xf numFmtId="195" fontId="7" fillId="0" borderId="3" xfId="4" applyNumberFormat="1" applyFont="1" applyBorder="1" applyAlignment="1">
      <alignment horizontal="center" vertical="center" wrapText="1"/>
    </xf>
    <xf numFmtId="167" fontId="78" fillId="0" borderId="2" xfId="5" applyFont="1" applyBorder="1" applyAlignment="1">
      <alignment horizontal="center" vertical="center"/>
    </xf>
    <xf numFmtId="167" fontId="78" fillId="0" borderId="3" xfId="5" applyFont="1" applyBorder="1" applyAlignment="1">
      <alignment horizontal="center" vertical="center"/>
    </xf>
    <xf numFmtId="170" fontId="2" fillId="0" borderId="2" xfId="1" applyFont="1" applyBorder="1" applyAlignment="1">
      <alignment horizontal="center" vertical="center"/>
    </xf>
    <xf numFmtId="170" fontId="2" fillId="0" borderId="10" xfId="1" applyFont="1" applyBorder="1" applyAlignment="1">
      <alignment horizontal="center" vertical="center"/>
    </xf>
    <xf numFmtId="170" fontId="2" fillId="0" borderId="3" xfId="1" applyFont="1" applyBorder="1" applyAlignment="1">
      <alignment horizontal="center" vertical="center"/>
    </xf>
    <xf numFmtId="170" fontId="2" fillId="0" borderId="0" xfId="1" applyFont="1" applyFill="1" applyBorder="1" applyAlignment="1">
      <alignment horizontal="center" vertical="center"/>
    </xf>
    <xf numFmtId="170" fontId="2" fillId="0" borderId="28" xfId="1" applyFont="1" applyBorder="1" applyAlignment="1">
      <alignment horizontal="center" vertical="center"/>
    </xf>
    <xf numFmtId="170" fontId="2" fillId="0" borderId="14" xfId="1" applyFont="1" applyBorder="1" applyAlignment="1">
      <alignment horizontal="center" vertical="center"/>
    </xf>
    <xf numFmtId="170" fontId="27" fillId="0" borderId="2" xfId="1" applyFont="1" applyBorder="1" applyAlignment="1">
      <alignment horizontal="center" vertical="center" wrapText="1"/>
    </xf>
    <xf numFmtId="170" fontId="27" fillId="0" borderId="10" xfId="1" applyFont="1" applyBorder="1" applyAlignment="1">
      <alignment horizontal="center" vertical="center" wrapText="1"/>
    </xf>
    <xf numFmtId="170" fontId="27" fillId="0" borderId="3" xfId="1" applyFont="1" applyBorder="1" applyAlignment="1">
      <alignment horizontal="center" vertical="center" wrapText="1"/>
    </xf>
    <xf numFmtId="194" fontId="84" fillId="48" borderId="7" xfId="0" applyNumberFormat="1" applyFont="1" applyFill="1" applyBorder="1" applyAlignment="1">
      <alignment horizontal="center" vertical="center" wrapText="1"/>
    </xf>
    <xf numFmtId="0" fontId="105" fillId="18" borderId="0" xfId="0" applyFont="1" applyFill="1" applyAlignment="1">
      <alignment horizontal="center" vertical="center" wrapText="1"/>
    </xf>
    <xf numFmtId="0" fontId="100" fillId="48" borderId="7" xfId="0" applyFont="1" applyFill="1" applyBorder="1" applyAlignment="1">
      <alignment horizontal="center"/>
    </xf>
    <xf numFmtId="0" fontId="101" fillId="45" borderId="7" xfId="0" applyFont="1" applyFill="1" applyBorder="1" applyAlignment="1">
      <alignment horizontal="center"/>
    </xf>
    <xf numFmtId="0" fontId="102" fillId="45" borderId="7" xfId="0" applyFont="1" applyFill="1" applyBorder="1" applyAlignment="1">
      <alignment horizontal="center" vertical="center" wrapText="1"/>
    </xf>
    <xf numFmtId="0" fontId="6" fillId="35" borderId="7" xfId="0" applyFont="1" applyFill="1" applyBorder="1" applyAlignment="1">
      <alignment horizontal="center" vertical="center" wrapText="1"/>
    </xf>
    <xf numFmtId="170" fontId="7" fillId="47" borderId="7" xfId="1" applyFont="1" applyFill="1" applyBorder="1" applyAlignment="1">
      <alignment horizontal="center" vertical="center" wrapText="1"/>
    </xf>
    <xf numFmtId="9" fontId="6" fillId="35" borderId="7" xfId="0" applyNumberFormat="1" applyFont="1" applyFill="1" applyBorder="1" applyAlignment="1">
      <alignment horizontal="center" vertical="center" wrapText="1"/>
    </xf>
    <xf numFmtId="14" fontId="0" fillId="0" borderId="6" xfId="0" applyNumberFormat="1" applyBorder="1" applyAlignment="1">
      <alignment horizontal="center" vertical="center" wrapText="1"/>
    </xf>
    <xf numFmtId="0" fontId="0" fillId="0" borderId="61" xfId="0" applyBorder="1" applyAlignment="1">
      <alignment horizontal="center" vertical="center" wrapText="1"/>
    </xf>
    <xf numFmtId="0" fontId="0" fillId="0" borderId="8" xfId="0" applyBorder="1" applyAlignment="1">
      <alignment horizontal="center" vertical="center" wrapText="1"/>
    </xf>
    <xf numFmtId="0" fontId="6" fillId="0" borderId="6" xfId="0" applyFont="1" applyBorder="1" applyAlignment="1">
      <alignment horizontal="center" vertical="center"/>
    </xf>
    <xf numFmtId="0" fontId="6" fillId="0" borderId="61" xfId="0" applyFont="1" applyBorder="1" applyAlignment="1">
      <alignment horizontal="center" vertical="center"/>
    </xf>
    <xf numFmtId="0" fontId="6" fillId="0" borderId="8" xfId="0" applyFont="1" applyBorder="1" applyAlignment="1">
      <alignment horizontal="center" vertical="center"/>
    </xf>
    <xf numFmtId="1" fontId="80" fillId="35" borderId="6" xfId="0" applyNumberFormat="1" applyFont="1" applyFill="1" applyBorder="1" applyAlignment="1">
      <alignment horizontal="center" vertical="center" wrapText="1"/>
    </xf>
    <xf numFmtId="1" fontId="80" fillId="35" borderId="61" xfId="0" applyNumberFormat="1" applyFont="1" applyFill="1" applyBorder="1" applyAlignment="1">
      <alignment horizontal="center" vertical="center" wrapText="1"/>
    </xf>
    <xf numFmtId="1" fontId="80" fillId="35" borderId="8" xfId="0" applyNumberFormat="1" applyFont="1" applyFill="1" applyBorder="1" applyAlignment="1">
      <alignment horizontal="center" vertical="center" wrapText="1"/>
    </xf>
    <xf numFmtId="1" fontId="80" fillId="51" borderId="6" xfId="0" applyNumberFormat="1" applyFont="1" applyFill="1" applyBorder="1" applyAlignment="1">
      <alignment horizontal="center" vertical="center" wrapText="1"/>
    </xf>
    <xf numFmtId="1" fontId="80" fillId="51" borderId="61" xfId="0" applyNumberFormat="1" applyFont="1" applyFill="1" applyBorder="1" applyAlignment="1">
      <alignment horizontal="center" vertical="center" wrapText="1"/>
    </xf>
    <xf numFmtId="1" fontId="80" fillId="51" borderId="8" xfId="0" applyNumberFormat="1" applyFont="1" applyFill="1" applyBorder="1" applyAlignment="1">
      <alignment horizontal="center" vertical="center" wrapText="1"/>
    </xf>
    <xf numFmtId="170" fontId="80" fillId="47" borderId="6" xfId="1" applyFont="1" applyFill="1" applyBorder="1" applyAlignment="1">
      <alignment horizontal="center" vertical="center" wrapText="1"/>
    </xf>
    <xf numFmtId="170" fontId="80" fillId="47" borderId="8" xfId="1" applyFont="1" applyFill="1" applyBorder="1" applyAlignment="1">
      <alignment horizontal="center" vertical="center" wrapText="1"/>
    </xf>
    <xf numFmtId="1" fontId="0" fillId="35" borderId="6" xfId="0" applyNumberFormat="1" applyFill="1" applyBorder="1" applyAlignment="1">
      <alignment horizontal="center" vertical="center"/>
    </xf>
    <xf numFmtId="1" fontId="0" fillId="35" borderId="8" xfId="0" applyNumberFormat="1" applyFill="1" applyBorder="1" applyAlignment="1">
      <alignment horizontal="center" vertical="center"/>
    </xf>
    <xf numFmtId="1" fontId="80" fillId="35" borderId="6" xfId="0" applyNumberFormat="1" applyFont="1" applyFill="1" applyBorder="1" applyAlignment="1">
      <alignment horizontal="left" vertical="center" wrapText="1"/>
    </xf>
    <xf numFmtId="1" fontId="80" fillId="35" borderId="8" xfId="0" applyNumberFormat="1" applyFont="1" applyFill="1" applyBorder="1" applyAlignment="1">
      <alignment horizontal="left" vertical="center" wrapText="1"/>
    </xf>
    <xf numFmtId="9" fontId="80" fillId="47" borderId="6" xfId="210" applyFont="1" applyFill="1" applyBorder="1" applyAlignment="1">
      <alignment horizontal="center" vertical="center" wrapText="1"/>
    </xf>
    <xf numFmtId="9" fontId="80" fillId="47" borderId="8" xfId="210" applyFont="1" applyFill="1" applyBorder="1" applyAlignment="1">
      <alignment horizontal="center" vertical="center" wrapText="1"/>
    </xf>
    <xf numFmtId="1" fontId="5" fillId="35" borderId="6" xfId="0" applyNumberFormat="1" applyFont="1" applyFill="1" applyBorder="1" applyAlignment="1">
      <alignment horizontal="center" vertical="center" wrapText="1"/>
    </xf>
    <xf numFmtId="1" fontId="5" fillId="35" borderId="61" xfId="0" applyNumberFormat="1" applyFont="1" applyFill="1" applyBorder="1" applyAlignment="1">
      <alignment horizontal="center" vertical="center" wrapText="1"/>
    </xf>
    <xf numFmtId="1" fontId="5" fillId="35" borderId="8" xfId="0" applyNumberFormat="1" applyFont="1" applyFill="1" applyBorder="1" applyAlignment="1">
      <alignment horizontal="center" vertical="center" wrapText="1"/>
    </xf>
    <xf numFmtId="9" fontId="80" fillId="47" borderId="61" xfId="210" applyFont="1" applyFill="1" applyBorder="1" applyAlignment="1">
      <alignment horizontal="center" vertical="center" wrapText="1"/>
    </xf>
    <xf numFmtId="170" fontId="80" fillId="47" borderId="61" xfId="1" applyFont="1" applyFill="1" applyBorder="1" applyAlignment="1">
      <alignment horizontal="center" vertical="center" wrapText="1"/>
    </xf>
    <xf numFmtId="1" fontId="80" fillId="35" borderId="61" xfId="0" applyNumberFormat="1" applyFont="1" applyFill="1" applyBorder="1" applyAlignment="1">
      <alignment horizontal="left" vertical="center" wrapText="1"/>
    </xf>
    <xf numFmtId="1" fontId="0" fillId="35" borderId="61" xfId="0" applyNumberFormat="1" applyFill="1" applyBorder="1" applyAlignment="1">
      <alignment horizontal="center" vertical="center"/>
    </xf>
    <xf numFmtId="0" fontId="100" fillId="48" borderId="23" xfId="0" applyFont="1" applyFill="1" applyBorder="1" applyAlignment="1">
      <alignment horizontal="center"/>
    </xf>
    <xf numFmtId="0" fontId="100" fillId="48" borderId="24" xfId="0" applyFont="1" applyFill="1" applyBorder="1" applyAlignment="1">
      <alignment horizontal="center"/>
    </xf>
    <xf numFmtId="0" fontId="100" fillId="48" borderId="124" xfId="0" applyFont="1" applyFill="1" applyBorder="1" applyAlignment="1">
      <alignment horizontal="center"/>
    </xf>
    <xf numFmtId="1" fontId="6" fillId="47" borderId="47" xfId="0" applyNumberFormat="1" applyFont="1" applyFill="1" applyBorder="1" applyAlignment="1" applyProtection="1">
      <alignment horizontal="center" vertical="center"/>
      <protection locked="0"/>
    </xf>
    <xf numFmtId="0" fontId="6" fillId="47" borderId="7" xfId="0" applyFont="1" applyFill="1" applyBorder="1" applyAlignment="1">
      <alignment horizontal="center" vertical="center"/>
    </xf>
    <xf numFmtId="0" fontId="105" fillId="18" borderId="0" xfId="0" applyFont="1" applyFill="1" applyAlignment="1">
      <alignment horizontal="center" vertical="center"/>
    </xf>
    <xf numFmtId="1" fontId="6" fillId="47" borderId="51" xfId="0" applyNumberFormat="1" applyFont="1" applyFill="1" applyBorder="1" applyAlignment="1" applyProtection="1">
      <alignment horizontal="center" vertical="center"/>
      <protection locked="0"/>
    </xf>
    <xf numFmtId="1" fontId="6" fillId="47" borderId="52" xfId="0" applyNumberFormat="1" applyFont="1" applyFill="1" applyBorder="1" applyAlignment="1" applyProtection="1">
      <alignment horizontal="center" vertical="center"/>
      <protection locked="0"/>
    </xf>
    <xf numFmtId="1" fontId="6" fillId="47" borderId="53" xfId="0" applyNumberFormat="1" applyFont="1" applyFill="1" applyBorder="1" applyAlignment="1" applyProtection="1">
      <alignment horizontal="center" vertical="center"/>
      <protection locked="0"/>
    </xf>
    <xf numFmtId="1" fontId="6" fillId="35" borderId="7" xfId="0" applyNumberFormat="1" applyFont="1" applyFill="1" applyBorder="1" applyAlignment="1">
      <alignment horizontal="center" vertical="center"/>
    </xf>
    <xf numFmtId="9" fontId="0" fillId="35" borderId="7" xfId="0" applyNumberFormat="1" applyFill="1" applyBorder="1" applyAlignment="1">
      <alignment horizontal="center" vertical="center"/>
    </xf>
    <xf numFmtId="0" fontId="6" fillId="35" borderId="7" xfId="0" applyFont="1" applyFill="1" applyBorder="1" applyAlignment="1">
      <alignment horizontal="center" vertical="center"/>
    </xf>
    <xf numFmtId="170" fontId="22" fillId="47" borderId="7" xfId="1" applyFont="1" applyFill="1" applyBorder="1" applyAlignment="1">
      <alignment horizontal="center" vertical="center" wrapText="1"/>
    </xf>
    <xf numFmtId="0" fontId="0" fillId="35" borderId="6" xfId="0" applyFill="1" applyBorder="1" applyAlignment="1">
      <alignment horizontal="center" vertical="center" wrapText="1"/>
    </xf>
    <xf numFmtId="0" fontId="0" fillId="35" borderId="61" xfId="0" applyFill="1" applyBorder="1" applyAlignment="1">
      <alignment horizontal="center" vertical="center" wrapText="1"/>
    </xf>
    <xf numFmtId="0" fontId="0" fillId="35" borderId="6" xfId="0" applyFill="1" applyBorder="1" applyAlignment="1">
      <alignment horizontal="center" vertical="center"/>
    </xf>
    <xf numFmtId="0" fontId="0" fillId="35" borderId="61" xfId="0" applyFill="1" applyBorder="1" applyAlignment="1">
      <alignment horizontal="center" vertical="center"/>
    </xf>
    <xf numFmtId="0" fontId="0" fillId="51" borderId="6" xfId="0" applyFill="1" applyBorder="1" applyAlignment="1">
      <alignment horizontal="center" vertical="center"/>
    </xf>
    <xf numFmtId="0" fontId="0" fillId="51" borderId="61" xfId="0" applyFill="1" applyBorder="1" applyAlignment="1">
      <alignment horizontal="center" vertical="center"/>
    </xf>
    <xf numFmtId="14" fontId="0" fillId="0" borderId="61" xfId="0" applyNumberFormat="1" applyBorder="1" applyAlignment="1">
      <alignment horizontal="center" vertical="center" wrapText="1"/>
    </xf>
    <xf numFmtId="1" fontId="0" fillId="35" borderId="15" xfId="0" applyNumberFormat="1" applyFill="1" applyBorder="1" applyAlignment="1">
      <alignment horizontal="center" vertical="center"/>
    </xf>
    <xf numFmtId="1" fontId="0" fillId="35" borderId="18" xfId="0" applyNumberFormat="1" applyFill="1" applyBorder="1" applyAlignment="1">
      <alignment horizontal="center" vertical="center"/>
    </xf>
    <xf numFmtId="1" fontId="6" fillId="47" borderId="47" xfId="0" applyNumberFormat="1" applyFont="1" applyFill="1" applyBorder="1" applyAlignment="1" applyProtection="1">
      <alignment horizontal="center" vertical="center" wrapText="1"/>
      <protection locked="0"/>
    </xf>
    <xf numFmtId="0" fontId="6" fillId="35" borderId="47" xfId="0" applyFont="1" applyFill="1" applyBorder="1" applyAlignment="1">
      <alignment horizontal="center" vertical="center" wrapText="1"/>
    </xf>
    <xf numFmtId="170" fontId="22" fillId="47" borderId="47" xfId="1" applyFont="1" applyFill="1" applyBorder="1" applyAlignment="1">
      <alignment horizontal="center" vertical="center" wrapText="1"/>
    </xf>
    <xf numFmtId="0" fontId="105" fillId="46" borderId="0" xfId="0" applyFont="1" applyFill="1" applyAlignment="1">
      <alignment horizontal="center"/>
    </xf>
    <xf numFmtId="0" fontId="100" fillId="48" borderId="0" xfId="0" applyFont="1" applyFill="1" applyAlignment="1">
      <alignment horizontal="center"/>
    </xf>
    <xf numFmtId="0" fontId="101" fillId="45" borderId="128" xfId="0" applyFont="1" applyFill="1" applyBorder="1" applyAlignment="1">
      <alignment horizontal="center"/>
    </xf>
    <xf numFmtId="0" fontId="101" fillId="45" borderId="129" xfId="0" applyFont="1" applyFill="1" applyBorder="1" applyAlignment="1">
      <alignment horizontal="center"/>
    </xf>
    <xf numFmtId="0" fontId="101" fillId="45" borderId="130" xfId="0" applyFont="1" applyFill="1" applyBorder="1" applyAlignment="1">
      <alignment horizontal="center"/>
    </xf>
    <xf numFmtId="0" fontId="102" fillId="45" borderId="137" xfId="0" applyFont="1" applyFill="1" applyBorder="1" applyAlignment="1">
      <alignment horizontal="center" vertical="center" wrapText="1"/>
    </xf>
    <xf numFmtId="0" fontId="102" fillId="45" borderId="136" xfId="0" applyFont="1" applyFill="1" applyBorder="1" applyAlignment="1">
      <alignment horizontal="center" vertical="center" wrapText="1"/>
    </xf>
    <xf numFmtId="0" fontId="102" fillId="45" borderId="138" xfId="0" applyFont="1" applyFill="1" applyBorder="1" applyAlignment="1">
      <alignment horizontal="center" vertical="center" wrapText="1"/>
    </xf>
    <xf numFmtId="0" fontId="102" fillId="45" borderId="135" xfId="0" applyFont="1" applyFill="1" applyBorder="1" applyAlignment="1">
      <alignment horizontal="center" vertical="center" wrapText="1"/>
    </xf>
    <xf numFmtId="0" fontId="101" fillId="45" borderId="132" xfId="0" applyFont="1" applyFill="1" applyBorder="1" applyAlignment="1">
      <alignment horizontal="center"/>
    </xf>
    <xf numFmtId="0" fontId="101" fillId="45" borderId="133" xfId="0" applyFont="1" applyFill="1" applyBorder="1" applyAlignment="1">
      <alignment horizontal="center"/>
    </xf>
    <xf numFmtId="0" fontId="101" fillId="45" borderId="134" xfId="0" applyFont="1" applyFill="1" applyBorder="1" applyAlignment="1">
      <alignment horizontal="center"/>
    </xf>
    <xf numFmtId="0" fontId="100" fillId="48" borderId="7" xfId="0" applyFont="1" applyFill="1" applyBorder="1" applyAlignment="1">
      <alignment horizontal="center" vertical="center" wrapText="1"/>
    </xf>
    <xf numFmtId="0" fontId="101" fillId="45" borderId="7" xfId="0" applyFont="1" applyFill="1" applyBorder="1" applyAlignment="1">
      <alignment horizontal="center" vertical="center" wrapText="1"/>
    </xf>
    <xf numFmtId="0" fontId="0" fillId="35" borderId="8" xfId="0" applyFill="1" applyBorder="1" applyAlignment="1">
      <alignment horizontal="center" vertical="center" wrapText="1"/>
    </xf>
    <xf numFmtId="0" fontId="0" fillId="35" borderId="8" xfId="0" applyFill="1" applyBorder="1" applyAlignment="1">
      <alignment horizontal="center" vertical="center"/>
    </xf>
    <xf numFmtId="0" fontId="0" fillId="51" borderId="8" xfId="0" applyFill="1" applyBorder="1" applyAlignment="1">
      <alignment horizontal="center" vertical="center"/>
    </xf>
    <xf numFmtId="0" fontId="101" fillId="45" borderId="7" xfId="0" applyFont="1" applyFill="1" applyBorder="1" applyAlignment="1">
      <alignment horizontal="center" vertical="center"/>
    </xf>
    <xf numFmtId="194" fontId="84" fillId="46" borderId="7" xfId="0" applyNumberFormat="1" applyFont="1" applyFill="1" applyBorder="1" applyAlignment="1">
      <alignment horizontal="center" vertical="center" wrapText="1"/>
    </xf>
    <xf numFmtId="0" fontId="100" fillId="46" borderId="7" xfId="0" applyFont="1" applyFill="1" applyBorder="1" applyAlignment="1">
      <alignment horizontal="center" vertical="center"/>
    </xf>
    <xf numFmtId="0" fontId="100" fillId="46" borderId="0" xfId="0" applyFont="1" applyFill="1" applyAlignment="1">
      <alignment horizontal="center" vertical="center" wrapText="1"/>
    </xf>
    <xf numFmtId="0" fontId="101" fillId="45" borderId="46" xfId="0" applyFont="1" applyFill="1" applyBorder="1" applyAlignment="1">
      <alignment horizontal="center" vertical="center" wrapText="1"/>
    </xf>
    <xf numFmtId="0" fontId="102" fillId="45" borderId="45" xfId="0" applyFont="1" applyFill="1" applyBorder="1" applyAlignment="1">
      <alignment horizontal="center" vertical="center" wrapText="1"/>
    </xf>
    <xf numFmtId="0" fontId="102" fillId="45" borderId="47" xfId="0" applyFont="1" applyFill="1" applyBorder="1" applyAlignment="1">
      <alignment horizontal="center" vertical="center" wrapText="1"/>
    </xf>
    <xf numFmtId="194" fontId="84" fillId="46" borderId="46" xfId="0" applyNumberFormat="1" applyFont="1" applyFill="1" applyBorder="1" applyAlignment="1">
      <alignment horizontal="center" vertical="center" wrapText="1"/>
    </xf>
    <xf numFmtId="0" fontId="102" fillId="45" borderId="50" xfId="0" applyFont="1" applyFill="1" applyBorder="1" applyAlignment="1">
      <alignment horizontal="center" vertical="center" wrapText="1"/>
    </xf>
    <xf numFmtId="194" fontId="84" fillId="46" borderId="45" xfId="0" applyNumberFormat="1" applyFont="1" applyFill="1" applyBorder="1" applyAlignment="1">
      <alignment horizontal="center" vertical="center" wrapText="1"/>
    </xf>
    <xf numFmtId="0" fontId="100" fillId="46" borderId="43" xfId="0" applyFont="1" applyFill="1" applyBorder="1" applyAlignment="1">
      <alignment horizontal="center"/>
    </xf>
    <xf numFmtId="0" fontId="101" fillId="45" borderId="43" xfId="0" applyFont="1" applyFill="1" applyBorder="1" applyAlignment="1">
      <alignment horizontal="center"/>
    </xf>
    <xf numFmtId="0" fontId="102" fillId="45" borderId="43" xfId="0" applyFont="1" applyFill="1" applyBorder="1" applyAlignment="1">
      <alignment horizontal="center" vertical="center" wrapText="1"/>
    </xf>
    <xf numFmtId="0" fontId="102" fillId="45" borderId="44" xfId="0" applyFont="1" applyFill="1" applyBorder="1" applyAlignment="1">
      <alignment horizontal="center" vertical="center" wrapText="1"/>
    </xf>
    <xf numFmtId="194" fontId="84" fillId="46" borderId="44" xfId="0" applyNumberFormat="1" applyFont="1" applyFill="1" applyBorder="1" applyAlignment="1">
      <alignment horizontal="center" vertical="center" wrapText="1"/>
    </xf>
    <xf numFmtId="14" fontId="0" fillId="0" borderId="8" xfId="0" applyNumberFormat="1" applyBorder="1" applyAlignment="1">
      <alignment horizontal="center" vertical="center" wrapText="1"/>
    </xf>
    <xf numFmtId="0" fontId="6" fillId="66" borderId="82" xfId="0" applyFont="1" applyFill="1" applyBorder="1" applyAlignment="1">
      <alignment horizontal="center" wrapText="1"/>
    </xf>
    <xf numFmtId="0" fontId="6" fillId="66" borderId="83" xfId="0" applyFont="1" applyFill="1" applyBorder="1" applyAlignment="1">
      <alignment horizontal="center"/>
    </xf>
    <xf numFmtId="0" fontId="6" fillId="66" borderId="84" xfId="0" applyFont="1" applyFill="1" applyBorder="1" applyAlignment="1">
      <alignment horizontal="center"/>
    </xf>
    <xf numFmtId="0" fontId="27" fillId="66" borderId="125" xfId="0" applyFont="1" applyFill="1" applyBorder="1" applyAlignment="1">
      <alignment horizontal="center" vertical="center" wrapText="1"/>
    </xf>
    <xf numFmtId="0" fontId="27" fillId="66" borderId="126" xfId="0" applyFont="1" applyFill="1" applyBorder="1" applyAlignment="1">
      <alignment horizontal="center" vertical="center" wrapText="1"/>
    </xf>
    <xf numFmtId="0" fontId="27" fillId="66" borderId="82" xfId="0" applyFont="1" applyFill="1" applyBorder="1" applyAlignment="1">
      <alignment horizontal="center" vertical="center" wrapText="1"/>
    </xf>
    <xf numFmtId="0" fontId="27" fillId="66" borderId="84" xfId="0" applyFont="1" applyFill="1" applyBorder="1" applyAlignment="1">
      <alignment horizontal="center" vertical="center" wrapText="1"/>
    </xf>
    <xf numFmtId="0" fontId="27" fillId="11" borderId="82" xfId="0" applyFont="1" applyFill="1" applyBorder="1" applyAlignment="1">
      <alignment horizontal="center" vertical="center" wrapText="1"/>
    </xf>
    <xf numFmtId="0" fontId="27" fillId="11" borderId="84" xfId="0" applyFont="1" applyFill="1" applyBorder="1" applyAlignment="1">
      <alignment horizontal="center" vertical="center" wrapText="1"/>
    </xf>
    <xf numFmtId="0" fontId="7" fillId="11" borderId="82" xfId="0" applyFont="1" applyFill="1" applyBorder="1" applyAlignment="1">
      <alignment horizontal="center" vertical="center" wrapText="1"/>
    </xf>
    <xf numFmtId="0" fontId="7" fillId="11" borderId="84" xfId="0" applyFont="1" applyFill="1" applyBorder="1" applyAlignment="1">
      <alignment horizontal="center" vertical="center" wrapText="1"/>
    </xf>
    <xf numFmtId="0" fontId="65" fillId="33" borderId="1" xfId="0" applyFont="1" applyFill="1" applyBorder="1" applyAlignment="1">
      <alignment horizontal="center"/>
    </xf>
    <xf numFmtId="0" fontId="0" fillId="0" borderId="2" xfId="0"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left" vertical="center" wrapText="1"/>
    </xf>
    <xf numFmtId="0" fontId="0" fillId="0" borderId="10" xfId="0" applyBorder="1" applyAlignment="1">
      <alignment horizontal="left" vertical="center" wrapText="1"/>
    </xf>
    <xf numFmtId="0" fontId="0" fillId="0" borderId="3" xfId="0" applyBorder="1" applyAlignment="1">
      <alignment horizontal="left" vertical="center" wrapText="1"/>
    </xf>
    <xf numFmtId="1" fontId="0" fillId="0" borderId="46" xfId="0" applyNumberFormat="1" applyBorder="1" applyAlignment="1">
      <alignment horizontal="center" vertical="center" wrapText="1"/>
    </xf>
    <xf numFmtId="0" fontId="181" fillId="0" borderId="46" xfId="0" applyFont="1" applyBorder="1" applyAlignment="1">
      <alignment horizontal="center" vertical="center" wrapText="1"/>
    </xf>
    <xf numFmtId="0" fontId="0" fillId="0" borderId="46" xfId="0" applyBorder="1" applyAlignment="1">
      <alignment horizontal="center" vertical="center" wrapText="1"/>
    </xf>
    <xf numFmtId="170" fontId="0" fillId="0" borderId="46" xfId="1" applyFont="1" applyBorder="1" applyAlignment="1">
      <alignment horizontal="center" vertical="center" wrapText="1"/>
    </xf>
    <xf numFmtId="170" fontId="3" fillId="0" borderId="46" xfId="1" applyFont="1" applyFill="1" applyBorder="1" applyAlignment="1">
      <alignment horizontal="center" vertical="center" wrapText="1"/>
    </xf>
    <xf numFmtId="0" fontId="8" fillId="62" borderId="63" xfId="12" applyFont="1" applyFill="1" applyBorder="1" applyAlignment="1">
      <alignment horizontal="center" vertical="center" wrapText="1"/>
    </xf>
    <xf numFmtId="0" fontId="8" fillId="62" borderId="64" xfId="12" applyFont="1" applyFill="1" applyBorder="1" applyAlignment="1">
      <alignment horizontal="center" vertical="center" wrapText="1"/>
    </xf>
    <xf numFmtId="0" fontId="6" fillId="0" borderId="0" xfId="11" applyFont="1" applyAlignment="1">
      <alignment horizontal="left"/>
    </xf>
    <xf numFmtId="0" fontId="27" fillId="0" borderId="65" xfId="12" applyFont="1" applyBorder="1" applyAlignment="1">
      <alignment horizontal="center" vertical="center" wrapText="1"/>
    </xf>
    <xf numFmtId="0" fontId="27" fillId="0" borderId="67" xfId="12" applyFont="1" applyBorder="1" applyAlignment="1">
      <alignment horizontal="center" vertical="center" wrapText="1"/>
    </xf>
    <xf numFmtId="0" fontId="27" fillId="0" borderId="69" xfId="12" applyFont="1" applyBorder="1" applyAlignment="1">
      <alignment horizontal="center" vertical="center" wrapText="1"/>
    </xf>
    <xf numFmtId="0" fontId="27" fillId="0" borderId="6" xfId="12" applyFont="1" applyBorder="1" applyAlignment="1">
      <alignment horizontal="center" vertical="center"/>
    </xf>
    <xf numFmtId="0" fontId="27" fillId="0" borderId="61" xfId="12" applyFont="1" applyBorder="1" applyAlignment="1">
      <alignment horizontal="center" vertical="center"/>
    </xf>
    <xf numFmtId="0" fontId="27" fillId="0" borderId="70" xfId="12" applyFont="1" applyBorder="1" applyAlignment="1">
      <alignment horizontal="center" vertical="center"/>
    </xf>
    <xf numFmtId="0" fontId="27" fillId="0" borderId="66" xfId="12" applyFont="1" applyBorder="1" applyAlignment="1">
      <alignment horizontal="center" vertical="center"/>
    </xf>
    <xf numFmtId="0" fontId="27" fillId="0" borderId="68" xfId="12" applyFont="1" applyBorder="1" applyAlignment="1">
      <alignment horizontal="center" vertical="center"/>
    </xf>
    <xf numFmtId="0" fontId="27" fillId="0" borderId="71" xfId="12" applyFont="1" applyBorder="1" applyAlignment="1">
      <alignment horizontal="center" vertical="center"/>
    </xf>
    <xf numFmtId="0" fontId="27" fillId="0" borderId="0" xfId="12" applyFont="1" applyAlignment="1">
      <alignment horizontal="left" vertical="center" wrapText="1"/>
    </xf>
    <xf numFmtId="49" fontId="27" fillId="0" borderId="7" xfId="201" applyNumberFormat="1" applyFont="1" applyBorder="1" applyAlignment="1">
      <alignment horizontal="left" vertical="center" wrapText="1"/>
    </xf>
    <xf numFmtId="43" fontId="27" fillId="0" borderId="73" xfId="201" applyFont="1" applyBorder="1" applyAlignment="1">
      <alignment horizontal="left" vertical="center" wrapText="1"/>
    </xf>
    <xf numFmtId="49" fontId="27" fillId="0" borderId="75" xfId="201" applyNumberFormat="1" applyFont="1" applyBorder="1" applyAlignment="1">
      <alignment horizontal="left" vertical="center" wrapText="1"/>
    </xf>
    <xf numFmtId="43" fontId="27" fillId="0" borderId="76" xfId="201" applyFont="1" applyBorder="1" applyAlignment="1">
      <alignment horizontal="left" vertical="center" wrapText="1"/>
    </xf>
    <xf numFmtId="0" fontId="27" fillId="0" borderId="0" xfId="13" applyFont="1" applyAlignment="1">
      <alignment horizontal="left" vertical="center" wrapText="1"/>
    </xf>
    <xf numFmtId="0" fontId="27" fillId="0" borderId="65" xfId="12" applyFont="1" applyBorder="1" applyAlignment="1">
      <alignment horizontal="center" vertical="center"/>
    </xf>
    <xf numFmtId="0" fontId="27" fillId="0" borderId="67" xfId="12" applyFont="1" applyBorder="1" applyAlignment="1">
      <alignment horizontal="center" vertical="center"/>
    </xf>
    <xf numFmtId="0" fontId="27" fillId="0" borderId="86" xfId="12" applyFont="1" applyBorder="1" applyAlignment="1">
      <alignment horizontal="center" vertical="center"/>
    </xf>
    <xf numFmtId="49" fontId="27" fillId="0" borderId="23" xfId="201" applyNumberFormat="1" applyFont="1" applyBorder="1" applyAlignment="1">
      <alignment horizontal="left" vertical="center" wrapText="1"/>
    </xf>
    <xf numFmtId="43" fontId="27" fillId="0" borderId="95" xfId="201" applyFont="1" applyBorder="1" applyAlignment="1">
      <alignment horizontal="left" vertical="center" wrapText="1"/>
    </xf>
    <xf numFmtId="0" fontId="7" fillId="0" borderId="61" xfId="12" applyFont="1" applyBorder="1" applyAlignment="1">
      <alignment horizontal="center" vertical="center" wrapText="1"/>
    </xf>
    <xf numFmtId="0" fontId="127" fillId="62" borderId="62" xfId="12" applyFont="1" applyFill="1" applyBorder="1" applyAlignment="1">
      <alignment horizontal="center" vertical="center" wrapText="1"/>
    </xf>
    <xf numFmtId="0" fontId="127" fillId="62" borderId="63" xfId="12" applyFont="1" applyFill="1" applyBorder="1" applyAlignment="1">
      <alignment horizontal="center" vertical="center" wrapText="1"/>
    </xf>
    <xf numFmtId="0" fontId="127" fillId="62" borderId="64" xfId="12" applyFont="1" applyFill="1" applyBorder="1" applyAlignment="1">
      <alignment horizontal="center" vertical="center" wrapText="1"/>
    </xf>
    <xf numFmtId="0" fontId="22" fillId="0" borderId="6" xfId="12" applyFont="1" applyBorder="1" applyAlignment="1">
      <alignment horizontal="center" vertical="center" wrapText="1"/>
    </xf>
    <xf numFmtId="17" fontId="27" fillId="0" borderId="75" xfId="12" applyNumberFormat="1" applyFont="1" applyBorder="1" applyAlignment="1">
      <alignment horizontal="center" vertical="center" wrapText="1"/>
    </xf>
    <xf numFmtId="12" fontId="27" fillId="0" borderId="76" xfId="12" applyNumberFormat="1" applyFont="1" applyBorder="1" applyAlignment="1">
      <alignment horizontal="center" vertical="center" wrapText="1"/>
    </xf>
    <xf numFmtId="0" fontId="6" fillId="0" borderId="62" xfId="0" applyFont="1" applyBorder="1" applyAlignment="1">
      <alignment horizontal="center" vertical="center"/>
    </xf>
    <xf numFmtId="0" fontId="6" fillId="0" borderId="72" xfId="0" applyFont="1" applyBorder="1" applyAlignment="1">
      <alignment horizontal="center" vertical="center"/>
    </xf>
    <xf numFmtId="0" fontId="6" fillId="0" borderId="74" xfId="0" applyFont="1" applyBorder="1" applyAlignment="1">
      <alignment horizontal="center" vertical="center"/>
    </xf>
    <xf numFmtId="49" fontId="5" fillId="0" borderId="0" xfId="0" applyNumberFormat="1" applyFont="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114" fillId="0" borderId="0" xfId="0" applyFont="1" applyAlignment="1">
      <alignment horizontal="center" vertical="center"/>
    </xf>
    <xf numFmtId="0" fontId="115" fillId="0" borderId="0" xfId="0" applyFont="1" applyAlignment="1">
      <alignment horizontal="center" vertical="center"/>
    </xf>
    <xf numFmtId="0" fontId="122" fillId="0" borderId="7" xfId="14" applyFont="1" applyBorder="1" applyAlignment="1">
      <alignment horizontal="center" vertical="center" wrapText="1"/>
    </xf>
    <xf numFmtId="0" fontId="64" fillId="62" borderId="7" xfId="13" applyFont="1" applyFill="1" applyBorder="1" applyAlignment="1">
      <alignment horizontal="center" vertical="center" wrapText="1"/>
    </xf>
    <xf numFmtId="49" fontId="122" fillId="0" borderId="6" xfId="14" applyNumberFormat="1" applyFont="1" applyBorder="1" applyAlignment="1">
      <alignment horizontal="center" vertical="center" wrapText="1"/>
    </xf>
    <xf numFmtId="49" fontId="122" fillId="0" borderId="61" xfId="14" applyNumberFormat="1" applyFont="1" applyBorder="1" applyAlignment="1">
      <alignment horizontal="center" vertical="center" wrapText="1"/>
    </xf>
    <xf numFmtId="0" fontId="122" fillId="0" borderId="15" xfId="14" applyFont="1" applyBorder="1" applyAlignment="1">
      <alignment horizontal="center" vertical="center" wrapText="1"/>
    </xf>
    <xf numFmtId="0" fontId="122" fillId="0" borderId="93" xfId="14" applyFont="1" applyBorder="1" applyAlignment="1">
      <alignment horizontal="center" vertical="center" wrapText="1"/>
    </xf>
    <xf numFmtId="0" fontId="122" fillId="0" borderId="18" xfId="14" applyFont="1" applyBorder="1" applyAlignment="1">
      <alignment horizontal="center" vertical="center" wrapText="1"/>
    </xf>
    <xf numFmtId="0" fontId="122" fillId="0" borderId="35" xfId="14" applyFont="1" applyBorder="1" applyAlignment="1">
      <alignment horizontal="center" vertical="center" wrapText="1"/>
    </xf>
    <xf numFmtId="0" fontId="122" fillId="0" borderId="65" xfId="13" applyFont="1" applyBorder="1" applyAlignment="1">
      <alignment horizontal="left" vertical="center" wrapText="1"/>
    </xf>
    <xf numFmtId="0" fontId="122" fillId="0" borderId="67" xfId="13" applyFont="1" applyBorder="1" applyAlignment="1">
      <alignment horizontal="left" vertical="center" wrapText="1"/>
    </xf>
    <xf numFmtId="2" fontId="122" fillId="0" borderId="6" xfId="13" applyNumberFormat="1" applyFont="1" applyBorder="1" applyAlignment="1">
      <alignment horizontal="left" vertical="center" wrapText="1"/>
    </xf>
    <xf numFmtId="2" fontId="122" fillId="0" borderId="61" xfId="13" applyNumberFormat="1" applyFont="1" applyBorder="1" applyAlignment="1">
      <alignment horizontal="left" vertical="center" wrapText="1"/>
    </xf>
    <xf numFmtId="3" fontId="122" fillId="0" borderId="6" xfId="13" applyNumberFormat="1" applyFont="1" applyBorder="1" applyAlignment="1">
      <alignment horizontal="center" vertical="center" wrapText="1"/>
    </xf>
    <xf numFmtId="3" fontId="122" fillId="0" borderId="61" xfId="13" applyNumberFormat="1" applyFont="1" applyBorder="1" applyAlignment="1">
      <alignment horizontal="center" vertical="center" wrapText="1"/>
    </xf>
    <xf numFmtId="0" fontId="122" fillId="0" borderId="6" xfId="13" applyFont="1" applyBorder="1" applyAlignment="1">
      <alignment horizontal="center" vertical="center" wrapText="1"/>
    </xf>
    <xf numFmtId="0" fontId="122" fillId="0" borderId="61" xfId="13" applyFont="1" applyBorder="1" applyAlignment="1">
      <alignment horizontal="center" vertical="center" wrapText="1"/>
    </xf>
    <xf numFmtId="167" fontId="122" fillId="0" borderId="6" xfId="17" applyFont="1" applyBorder="1" applyAlignment="1">
      <alignment horizontal="center" vertical="center" wrapText="1"/>
    </xf>
    <xf numFmtId="167" fontId="122" fillId="0" borderId="61" xfId="17" applyFont="1" applyBorder="1" applyAlignment="1">
      <alignment horizontal="center" vertical="center" wrapText="1"/>
    </xf>
    <xf numFmtId="9" fontId="122" fillId="0" borderId="6" xfId="10" applyFont="1" applyBorder="1" applyAlignment="1">
      <alignment horizontal="center" vertical="center" wrapText="1"/>
    </xf>
    <xf numFmtId="9" fontId="122" fillId="0" borderId="61" xfId="10" applyFont="1" applyBorder="1" applyAlignment="1">
      <alignment horizontal="center" vertical="center" wrapText="1"/>
    </xf>
    <xf numFmtId="170" fontId="122" fillId="0" borderId="17" xfId="1" applyFont="1" applyFill="1" applyBorder="1" applyAlignment="1">
      <alignment horizontal="center" vertical="center" wrapText="1"/>
    </xf>
    <xf numFmtId="170" fontId="122" fillId="0" borderId="19" xfId="1" applyFont="1" applyFill="1" applyBorder="1" applyAlignment="1">
      <alignment horizontal="center" vertical="center" wrapText="1"/>
    </xf>
    <xf numFmtId="49" fontId="122" fillId="0" borderId="8" xfId="14" applyNumberFormat="1" applyFont="1" applyBorder="1" applyAlignment="1">
      <alignment horizontal="center" vertical="center" wrapText="1"/>
    </xf>
    <xf numFmtId="0" fontId="122" fillId="53" borderId="65" xfId="13" applyFont="1" applyFill="1" applyBorder="1" applyAlignment="1">
      <alignment horizontal="left" vertical="center" wrapText="1"/>
    </xf>
    <xf numFmtId="0" fontId="122" fillId="53" borderId="67" xfId="13" applyFont="1" applyFill="1" applyBorder="1" applyAlignment="1">
      <alignment horizontal="left" vertical="center" wrapText="1"/>
    </xf>
    <xf numFmtId="15" fontId="131" fillId="0" borderId="7" xfId="191" applyNumberFormat="1" applyFont="1" applyBorder="1" applyAlignment="1">
      <alignment horizontal="center" vertical="center" wrapText="1"/>
    </xf>
    <xf numFmtId="15" fontId="131" fillId="0" borderId="73" xfId="191" applyNumberFormat="1" applyFont="1" applyBorder="1" applyAlignment="1">
      <alignment horizontal="center" vertical="center" wrapText="1"/>
    </xf>
    <xf numFmtId="170" fontId="122" fillId="0" borderId="6" xfId="1" applyFont="1" applyBorder="1" applyAlignment="1">
      <alignment horizontal="center" vertical="center" wrapText="1"/>
    </xf>
    <xf numFmtId="170" fontId="122" fillId="0" borderId="8" xfId="1" applyFont="1" applyBorder="1" applyAlignment="1">
      <alignment horizontal="center" vertical="center" wrapText="1"/>
    </xf>
    <xf numFmtId="170" fontId="122" fillId="0" borderId="6" xfId="1" applyFont="1" applyFill="1" applyBorder="1" applyAlignment="1">
      <alignment horizontal="center" vertical="center" wrapText="1"/>
    </xf>
    <xf numFmtId="170" fontId="122" fillId="0" borderId="61" xfId="1" applyFont="1" applyFill="1" applyBorder="1" applyAlignment="1">
      <alignment horizontal="center" vertical="center" wrapText="1"/>
    </xf>
    <xf numFmtId="0" fontId="122" fillId="0" borderId="8" xfId="13" applyFont="1" applyBorder="1" applyAlignment="1">
      <alignment horizontal="center" vertical="center" wrapText="1"/>
    </xf>
    <xf numFmtId="195" fontId="122" fillId="0" borderId="2" xfId="201" applyNumberFormat="1" applyFont="1" applyBorder="1" applyAlignment="1">
      <alignment horizontal="center" vertical="center"/>
    </xf>
    <xf numFmtId="195" fontId="122" fillId="0" borderId="3" xfId="201" applyNumberFormat="1" applyFont="1" applyBorder="1" applyAlignment="1">
      <alignment horizontal="center" vertical="center"/>
    </xf>
    <xf numFmtId="15" fontId="131" fillId="0" borderId="97" xfId="191" applyNumberFormat="1" applyFont="1" applyBorder="1" applyAlignment="1">
      <alignment horizontal="center" vertical="center" wrapText="1"/>
    </xf>
    <xf numFmtId="15" fontId="131" fillId="0" borderId="98" xfId="191" applyNumberFormat="1" applyFont="1" applyBorder="1" applyAlignment="1">
      <alignment horizontal="center" vertical="center" wrapText="1"/>
    </xf>
    <xf numFmtId="0" fontId="128" fillId="62" borderId="8" xfId="13" applyFont="1" applyFill="1" applyBorder="1" applyAlignment="1">
      <alignment horizontal="center" vertical="center" wrapText="1"/>
    </xf>
    <xf numFmtId="0" fontId="128" fillId="62" borderId="75" xfId="13" applyFont="1" applyFill="1" applyBorder="1" applyAlignment="1">
      <alignment horizontal="center" vertical="center" wrapText="1"/>
    </xf>
    <xf numFmtId="0" fontId="121" fillId="0" borderId="0" xfId="14" applyFont="1" applyAlignment="1">
      <alignment horizontal="right" vertical="center"/>
    </xf>
    <xf numFmtId="0" fontId="63" fillId="10" borderId="1" xfId="14" applyFont="1" applyFill="1" applyBorder="1" applyAlignment="1">
      <alignment horizontal="center" vertical="center"/>
    </xf>
    <xf numFmtId="0" fontId="128" fillId="62" borderId="8" xfId="13" applyFont="1" applyFill="1" applyBorder="1" applyAlignment="1">
      <alignment horizontal="center" vertical="center"/>
    </xf>
    <xf numFmtId="0" fontId="64" fillId="62" borderId="63" xfId="13" applyFont="1" applyFill="1" applyBorder="1" applyAlignment="1">
      <alignment horizontal="center" vertical="center" wrapText="1"/>
    </xf>
    <xf numFmtId="0" fontId="64" fillId="62" borderId="75" xfId="13" applyFont="1" applyFill="1" applyBorder="1" applyAlignment="1">
      <alignment horizontal="center" vertical="center" wrapText="1"/>
    </xf>
    <xf numFmtId="0" fontId="7" fillId="0" borderId="32" xfId="13" applyFont="1" applyBorder="1" applyAlignment="1">
      <alignment horizontal="left" vertical="center" wrapText="1"/>
    </xf>
    <xf numFmtId="0" fontId="121" fillId="3" borderId="82" xfId="13" applyFont="1" applyFill="1" applyBorder="1" applyAlignment="1">
      <alignment horizontal="left" vertical="center" wrapText="1"/>
    </xf>
    <xf numFmtId="0" fontId="121" fillId="3" borderId="83" xfId="13" applyFont="1" applyFill="1" applyBorder="1" applyAlignment="1">
      <alignment horizontal="left" vertical="center" wrapText="1"/>
    </xf>
    <xf numFmtId="0" fontId="133" fillId="62" borderId="82" xfId="13" applyFont="1" applyFill="1" applyBorder="1" applyAlignment="1">
      <alignment horizontal="left" vertical="center" wrapText="1"/>
    </xf>
    <xf numFmtId="0" fontId="133" fillId="62" borderId="83" xfId="13" applyFont="1" applyFill="1" applyBorder="1" applyAlignment="1">
      <alignment horizontal="left" vertical="center" wrapText="1"/>
    </xf>
    <xf numFmtId="0" fontId="133" fillId="62" borderId="84" xfId="13" applyFont="1" applyFill="1" applyBorder="1" applyAlignment="1">
      <alignment horizontal="left" vertical="center" wrapText="1"/>
    </xf>
    <xf numFmtId="0" fontId="64" fillId="62" borderId="86" xfId="13" applyFont="1" applyFill="1" applyBorder="1" applyAlignment="1">
      <alignment horizontal="left" vertical="center" wrapText="1"/>
    </xf>
    <xf numFmtId="0" fontId="64" fillId="62" borderId="65" xfId="13" applyFont="1" applyFill="1" applyBorder="1" applyAlignment="1">
      <alignment horizontal="left" vertical="center" wrapText="1"/>
    </xf>
    <xf numFmtId="170" fontId="122" fillId="0" borderId="8" xfId="1" applyFont="1" applyFill="1" applyBorder="1" applyAlignment="1">
      <alignment horizontal="center" vertical="center" wrapText="1"/>
    </xf>
    <xf numFmtId="0" fontId="122" fillId="0" borderId="20" xfId="14" applyFont="1" applyBorder="1" applyAlignment="1">
      <alignment horizontal="center" vertical="center" wrapText="1"/>
    </xf>
    <xf numFmtId="0" fontId="122" fillId="0" borderId="90" xfId="14" applyFont="1" applyBorder="1" applyAlignment="1">
      <alignment horizontal="center" vertical="center" wrapText="1"/>
    </xf>
    <xf numFmtId="0" fontId="64" fillId="62" borderId="8" xfId="13" applyFont="1" applyFill="1" applyBorder="1" applyAlignment="1">
      <alignment horizontal="center" vertical="center" wrapText="1"/>
    </xf>
    <xf numFmtId="0" fontId="64" fillId="62" borderId="6" xfId="13" applyFont="1" applyFill="1" applyBorder="1" applyAlignment="1">
      <alignment horizontal="center" vertical="center" wrapText="1"/>
    </xf>
    <xf numFmtId="0" fontId="64" fillId="62" borderId="74" xfId="13" applyFont="1" applyFill="1" applyBorder="1" applyAlignment="1">
      <alignment horizontal="left" vertical="center" wrapText="1"/>
    </xf>
    <xf numFmtId="0" fontId="64" fillId="62" borderId="8" xfId="13" applyFont="1" applyFill="1" applyBorder="1" applyAlignment="1">
      <alignment horizontal="center" vertical="center"/>
    </xf>
    <xf numFmtId="0" fontId="64" fillId="62" borderId="75" xfId="13" applyFont="1" applyFill="1" applyBorder="1" applyAlignment="1">
      <alignment horizontal="center" vertical="center"/>
    </xf>
    <xf numFmtId="0" fontId="64" fillId="62" borderId="77" xfId="13" applyFont="1" applyFill="1" applyBorder="1" applyAlignment="1">
      <alignment horizontal="center" vertical="center" wrapText="1"/>
    </xf>
    <xf numFmtId="0" fontId="64" fillId="62" borderId="76" xfId="13" applyFont="1" applyFill="1" applyBorder="1" applyAlignment="1">
      <alignment horizontal="center" vertical="center" wrapText="1"/>
    </xf>
    <xf numFmtId="0" fontId="64" fillId="62" borderId="61" xfId="13" applyFont="1" applyFill="1" applyBorder="1" applyAlignment="1">
      <alignment horizontal="center" vertical="center" wrapText="1"/>
    </xf>
    <xf numFmtId="0" fontId="64" fillId="62" borderId="70" xfId="13" applyFont="1" applyFill="1" applyBorder="1" applyAlignment="1">
      <alignment horizontal="center" vertical="center" wrapText="1"/>
    </xf>
    <xf numFmtId="0" fontId="122" fillId="0" borderId="23" xfId="14" applyFont="1" applyBorder="1" applyAlignment="1">
      <alignment horizontal="center" vertical="center" wrapText="1"/>
    </xf>
    <xf numFmtId="0" fontId="122" fillId="0" borderId="95" xfId="14" applyFont="1" applyBorder="1" applyAlignment="1">
      <alignment horizontal="center" vertical="center" wrapText="1"/>
    </xf>
    <xf numFmtId="0" fontId="122" fillId="0" borderId="80" xfId="14" applyFont="1" applyBorder="1" applyAlignment="1">
      <alignment horizontal="center" vertical="center" wrapText="1"/>
    </xf>
    <xf numFmtId="0" fontId="122" fillId="0" borderId="94" xfId="14" applyFont="1" applyBorder="1" applyAlignment="1">
      <alignment horizontal="center" vertical="center" wrapText="1"/>
    </xf>
    <xf numFmtId="0" fontId="64" fillId="62" borderId="80" xfId="13" applyFont="1" applyFill="1" applyBorder="1" applyAlignment="1">
      <alignment horizontal="center" vertical="center" wrapText="1"/>
    </xf>
    <xf numFmtId="0" fontId="64" fillId="62" borderId="87" xfId="13" applyFont="1" applyFill="1" applyBorder="1" applyAlignment="1">
      <alignment horizontal="center" vertical="center" wrapText="1"/>
    </xf>
    <xf numFmtId="0" fontId="64" fillId="62" borderId="81" xfId="13" applyFont="1" applyFill="1" applyBorder="1" applyAlignment="1">
      <alignment horizontal="center" vertical="center" wrapText="1"/>
    </xf>
    <xf numFmtId="1" fontId="131" fillId="0" borderId="79" xfId="191" applyNumberFormat="1" applyFont="1" applyBorder="1" applyAlignment="1">
      <alignment horizontal="center" vertical="center" wrapText="1"/>
    </xf>
    <xf numFmtId="1" fontId="131" fillId="0" borderId="77" xfId="191" applyNumberFormat="1" applyFont="1" applyBorder="1" applyAlignment="1">
      <alignment horizontal="center" vertical="center" wrapText="1"/>
    </xf>
    <xf numFmtId="0" fontId="64" fillId="62" borderId="66" xfId="13" applyFont="1" applyFill="1" applyBorder="1" applyAlignment="1">
      <alignment horizontal="center" vertical="center" wrapText="1"/>
    </xf>
    <xf numFmtId="0" fontId="64" fillId="62" borderId="6" xfId="13" applyFont="1" applyFill="1" applyBorder="1" applyAlignment="1">
      <alignment horizontal="center" vertical="center"/>
    </xf>
    <xf numFmtId="9" fontId="122" fillId="3" borderId="89" xfId="10" applyFont="1" applyFill="1" applyBorder="1" applyAlignment="1">
      <alignment horizontal="center" vertical="center" wrapText="1"/>
    </xf>
    <xf numFmtId="9" fontId="122" fillId="3" borderId="27" xfId="10" applyFont="1" applyFill="1" applyBorder="1" applyAlignment="1">
      <alignment horizontal="center" vertical="center" wrapText="1"/>
    </xf>
    <xf numFmtId="9" fontId="122" fillId="3" borderId="42" xfId="10" applyFont="1" applyFill="1" applyBorder="1" applyAlignment="1">
      <alignment horizontal="center" vertical="center" wrapText="1"/>
    </xf>
    <xf numFmtId="0" fontId="133" fillId="62" borderId="40" xfId="13" applyFont="1" applyFill="1" applyBorder="1" applyAlignment="1">
      <alignment horizontal="left" vertical="center" wrapText="1"/>
    </xf>
    <xf numFmtId="0" fontId="133" fillId="62" borderId="27" xfId="13" applyFont="1" applyFill="1" applyBorder="1" applyAlignment="1">
      <alignment horizontal="left" vertical="center" wrapText="1"/>
    </xf>
    <xf numFmtId="0" fontId="133" fillId="62" borderId="42" xfId="13" applyFont="1" applyFill="1" applyBorder="1" applyAlignment="1">
      <alignment horizontal="left" vertical="center" wrapText="1"/>
    </xf>
    <xf numFmtId="0" fontId="121" fillId="3" borderId="82" xfId="16" applyFont="1" applyFill="1" applyBorder="1" applyAlignment="1">
      <alignment horizontal="left" vertical="center"/>
    </xf>
    <xf numFmtId="0" fontId="121" fillId="3" borderId="83" xfId="16" applyFont="1" applyFill="1" applyBorder="1" applyAlignment="1">
      <alignment horizontal="left" vertical="center"/>
    </xf>
    <xf numFmtId="0" fontId="64" fillId="62" borderId="63" xfId="13" applyFont="1" applyFill="1" applyBorder="1" applyAlignment="1">
      <alignment horizontal="center" vertical="center"/>
    </xf>
    <xf numFmtId="10" fontId="64" fillId="62" borderId="63" xfId="13" applyNumberFormat="1" applyFont="1" applyFill="1" applyBorder="1" applyAlignment="1">
      <alignment horizontal="center" vertical="center" wrapText="1"/>
    </xf>
    <xf numFmtId="10" fontId="64" fillId="62" borderId="75" xfId="13" applyNumberFormat="1" applyFont="1" applyFill="1" applyBorder="1" applyAlignment="1">
      <alignment horizontal="center" vertical="center" wrapText="1"/>
    </xf>
    <xf numFmtId="2" fontId="122" fillId="0" borderId="18" xfId="13" applyNumberFormat="1" applyFont="1" applyBorder="1" applyAlignment="1">
      <alignment horizontal="left" vertical="center" wrapText="1"/>
    </xf>
    <xf numFmtId="2" fontId="122" fillId="0" borderId="20" xfId="13" applyNumberFormat="1" applyFont="1" applyBorder="1" applyAlignment="1">
      <alignment horizontal="left" vertical="center" wrapText="1"/>
    </xf>
    <xf numFmtId="0" fontId="122" fillId="0" borderId="86" xfId="13" applyFont="1" applyBorder="1" applyAlignment="1">
      <alignment horizontal="left" vertical="center" wrapText="1"/>
    </xf>
    <xf numFmtId="2" fontId="122" fillId="0" borderId="8" xfId="13" applyNumberFormat="1" applyFont="1" applyBorder="1" applyAlignment="1">
      <alignment horizontal="left" vertical="center" wrapText="1"/>
    </xf>
    <xf numFmtId="1" fontId="122" fillId="0" borderId="61" xfId="210" applyNumberFormat="1" applyFont="1" applyBorder="1" applyAlignment="1">
      <alignment horizontal="center" vertical="center" wrapText="1"/>
    </xf>
    <xf numFmtId="1" fontId="122" fillId="0" borderId="8" xfId="210" applyNumberFormat="1" applyFont="1" applyBorder="1" applyAlignment="1">
      <alignment horizontal="center" vertical="center" wrapText="1"/>
    </xf>
    <xf numFmtId="0" fontId="122" fillId="0" borderId="61" xfId="14" applyFont="1" applyBorder="1" applyAlignment="1">
      <alignment horizontal="center" vertical="center" wrapText="1"/>
    </xf>
    <xf numFmtId="0" fontId="122" fillId="0" borderId="8" xfId="14" applyFont="1" applyBorder="1" applyAlignment="1">
      <alignment horizontal="center" vertical="center" wrapText="1"/>
    </xf>
    <xf numFmtId="167" fontId="122" fillId="0" borderId="8" xfId="17" applyFont="1" applyBorder="1" applyAlignment="1">
      <alignment horizontal="center" vertical="center" wrapText="1"/>
    </xf>
    <xf numFmtId="0" fontId="7" fillId="0" borderId="0" xfId="14" applyFont="1" applyAlignment="1">
      <alignment horizontal="right" vertical="center"/>
    </xf>
    <xf numFmtId="9" fontId="122" fillId="0" borderId="8" xfId="10" applyFont="1" applyBorder="1" applyAlignment="1">
      <alignment horizontal="center" vertical="center" wrapText="1"/>
    </xf>
    <xf numFmtId="9" fontId="122" fillId="3" borderId="89" xfId="10" applyFont="1" applyFill="1" applyBorder="1" applyAlignment="1">
      <alignment horizontal="center" vertical="center"/>
    </xf>
    <xf numFmtId="9" fontId="122" fillId="3" borderId="27" xfId="10" applyFont="1" applyFill="1" applyBorder="1" applyAlignment="1">
      <alignment horizontal="center" vertical="center"/>
    </xf>
    <xf numFmtId="9" fontId="122" fillId="3" borderId="42" xfId="10" applyFont="1" applyFill="1" applyBorder="1" applyAlignment="1">
      <alignment horizontal="center" vertical="center"/>
    </xf>
    <xf numFmtId="0" fontId="122" fillId="3" borderId="89" xfId="16" applyFont="1" applyFill="1" applyBorder="1" applyAlignment="1">
      <alignment horizontal="center" vertical="center"/>
    </xf>
    <xf numFmtId="0" fontId="122" fillId="3" borderId="27" xfId="16" applyFont="1" applyFill="1" applyBorder="1" applyAlignment="1">
      <alignment horizontal="center" vertical="center"/>
    </xf>
    <xf numFmtId="0" fontId="122" fillId="3" borderId="42" xfId="16" applyFont="1" applyFill="1" applyBorder="1" applyAlignment="1">
      <alignment horizontal="center" vertical="center"/>
    </xf>
    <xf numFmtId="0" fontId="121" fillId="3" borderId="40" xfId="16" applyFont="1" applyFill="1" applyBorder="1" applyAlignment="1">
      <alignment horizontal="left" vertical="center"/>
    </xf>
    <xf numFmtId="0" fontId="121" fillId="3" borderId="27" xfId="16" applyFont="1" applyFill="1" applyBorder="1" applyAlignment="1">
      <alignment horizontal="left" vertical="center"/>
    </xf>
    <xf numFmtId="0" fontId="121" fillId="3" borderId="88" xfId="16" applyFont="1" applyFill="1" applyBorder="1" applyAlignment="1">
      <alignment horizontal="left" vertical="center"/>
    </xf>
    <xf numFmtId="0" fontId="121" fillId="0" borderId="0" xfId="13" applyFont="1" applyAlignment="1">
      <alignment horizontal="center" vertical="center" wrapText="1"/>
    </xf>
    <xf numFmtId="10" fontId="128" fillId="62" borderId="8" xfId="13" applyNumberFormat="1" applyFont="1" applyFill="1" applyBorder="1" applyAlignment="1">
      <alignment horizontal="center" vertical="center" wrapText="1"/>
    </xf>
    <xf numFmtId="10" fontId="128" fillId="62" borderId="75" xfId="13" applyNumberFormat="1" applyFont="1" applyFill="1" applyBorder="1" applyAlignment="1">
      <alignment horizontal="center" vertical="center" wrapText="1"/>
    </xf>
    <xf numFmtId="0" fontId="128" fillId="62" borderId="61" xfId="13" applyFont="1" applyFill="1" applyBorder="1" applyAlignment="1">
      <alignment horizontal="center" vertical="center" wrapText="1"/>
    </xf>
    <xf numFmtId="0" fontId="128" fillId="62" borderId="70" xfId="13" applyFont="1" applyFill="1" applyBorder="1" applyAlignment="1">
      <alignment horizontal="center" vertical="center" wrapText="1"/>
    </xf>
    <xf numFmtId="0" fontId="128" fillId="62" borderId="20" xfId="13" applyFont="1" applyFill="1" applyBorder="1" applyAlignment="1">
      <alignment horizontal="center" vertical="center" wrapText="1"/>
    </xf>
    <xf numFmtId="0" fontId="128" fillId="62" borderId="22" xfId="13" applyFont="1" applyFill="1" applyBorder="1" applyAlignment="1">
      <alignment horizontal="center" vertical="center" wrapText="1"/>
    </xf>
    <xf numFmtId="0" fontId="128" fillId="62" borderId="68" xfId="13" applyFont="1" applyFill="1" applyBorder="1" applyAlignment="1">
      <alignment horizontal="center" vertical="center" wrapText="1"/>
    </xf>
    <xf numFmtId="0" fontId="128" fillId="62" borderId="71" xfId="13" applyFont="1" applyFill="1" applyBorder="1" applyAlignment="1">
      <alignment horizontal="center" vertical="center" wrapText="1"/>
    </xf>
    <xf numFmtId="0" fontId="128" fillId="62" borderId="86" xfId="13" applyFont="1" applyFill="1" applyBorder="1" applyAlignment="1">
      <alignment horizontal="left" vertical="center" wrapText="1"/>
    </xf>
    <xf numFmtId="0" fontId="128" fillId="62" borderId="74" xfId="13" applyFont="1" applyFill="1" applyBorder="1" applyAlignment="1">
      <alignment horizontal="left" vertical="center" wrapText="1"/>
    </xf>
    <xf numFmtId="1" fontId="131" fillId="0" borderId="68" xfId="191" applyNumberFormat="1" applyFont="1" applyBorder="1" applyAlignment="1">
      <alignment horizontal="center" vertical="center" wrapText="1"/>
    </xf>
    <xf numFmtId="0" fontId="64" fillId="62" borderId="78" xfId="13" applyFont="1" applyFill="1" applyBorder="1" applyAlignment="1">
      <alignment horizontal="center" vertical="center" wrapText="1"/>
    </xf>
    <xf numFmtId="0" fontId="64" fillId="62" borderId="85" xfId="13" applyFont="1" applyFill="1" applyBorder="1" applyAlignment="1">
      <alignment horizontal="center" vertical="center" wrapText="1"/>
    </xf>
    <xf numFmtId="0" fontId="64" fillId="62" borderId="34" xfId="13" applyFont="1" applyFill="1" applyBorder="1" applyAlignment="1">
      <alignment horizontal="center" vertical="center" wrapText="1"/>
    </xf>
    <xf numFmtId="0" fontId="64" fillId="62" borderId="18" xfId="13" applyFont="1" applyFill="1" applyBorder="1" applyAlignment="1">
      <alignment horizontal="center" vertical="center" wrapText="1"/>
    </xf>
    <xf numFmtId="0" fontId="64" fillId="62" borderId="35" xfId="13" applyFont="1" applyFill="1" applyBorder="1" applyAlignment="1">
      <alignment horizontal="center" vertical="center" wrapText="1"/>
    </xf>
    <xf numFmtId="0" fontId="64" fillId="62" borderId="79" xfId="13" applyFont="1" applyFill="1" applyBorder="1" applyAlignment="1">
      <alignment horizontal="center" vertical="center" wrapText="1"/>
    </xf>
    <xf numFmtId="0" fontId="64" fillId="62" borderId="71" xfId="13" applyFont="1" applyFill="1" applyBorder="1" applyAlignment="1">
      <alignment horizontal="center" vertical="center" wrapText="1"/>
    </xf>
    <xf numFmtId="0" fontId="64" fillId="62" borderId="62" xfId="13" applyFont="1" applyFill="1" applyBorder="1" applyAlignment="1">
      <alignment horizontal="left" vertical="center" wrapText="1"/>
    </xf>
    <xf numFmtId="0" fontId="122" fillId="53" borderId="86" xfId="13" applyFont="1" applyFill="1" applyBorder="1" applyAlignment="1">
      <alignment horizontal="left" vertical="center" wrapText="1"/>
    </xf>
    <xf numFmtId="3" fontId="122" fillId="0" borderId="8" xfId="13" applyNumberFormat="1" applyFont="1" applyBorder="1" applyAlignment="1">
      <alignment horizontal="center" vertical="center" wrapText="1"/>
    </xf>
    <xf numFmtId="170" fontId="122" fillId="0" borderId="22" xfId="1" applyFont="1" applyFill="1" applyBorder="1" applyAlignment="1">
      <alignment horizontal="center" vertical="center" wrapText="1"/>
    </xf>
    <xf numFmtId="170" fontId="122" fillId="0" borderId="61" xfId="1" applyFont="1" applyBorder="1" applyAlignment="1">
      <alignment horizontal="center" vertical="center" wrapText="1"/>
    </xf>
    <xf numFmtId="15" fontId="131" fillId="0" borderId="23" xfId="191" applyNumberFormat="1" applyFont="1" applyBorder="1" applyAlignment="1">
      <alignment horizontal="center" vertical="center" wrapText="1"/>
    </xf>
    <xf numFmtId="15" fontId="131" fillId="0" borderId="95" xfId="191" applyNumberFormat="1" applyFont="1" applyBorder="1" applyAlignment="1">
      <alignment horizontal="center" vertical="center" wrapText="1"/>
    </xf>
    <xf numFmtId="0" fontId="34" fillId="0" borderId="104" xfId="0" applyFont="1" applyBorder="1" applyAlignment="1">
      <alignment horizontal="left" vertical="center" wrapText="1"/>
    </xf>
    <xf numFmtId="0" fontId="34" fillId="0" borderId="105" xfId="0" applyFont="1" applyBorder="1" applyAlignment="1">
      <alignment horizontal="left" vertical="center" wrapText="1"/>
    </xf>
    <xf numFmtId="0" fontId="34" fillId="0" borderId="106" xfId="0" applyFont="1" applyBorder="1" applyAlignment="1">
      <alignment horizontal="left" vertical="center" wrapText="1"/>
    </xf>
    <xf numFmtId="0" fontId="34" fillId="0" borderId="107" xfId="0" applyFont="1" applyBorder="1" applyAlignment="1">
      <alignment horizontal="left" vertical="center" wrapText="1"/>
    </xf>
    <xf numFmtId="0" fontId="122" fillId="0" borderId="104" xfId="0" applyFont="1" applyBorder="1" applyAlignment="1">
      <alignment horizontal="left" vertical="center" wrapText="1"/>
    </xf>
    <xf numFmtId="0" fontId="122" fillId="0" borderId="105" xfId="0" applyFont="1" applyBorder="1" applyAlignment="1">
      <alignment horizontal="left" vertical="center" wrapText="1"/>
    </xf>
    <xf numFmtId="0" fontId="122" fillId="0" borderId="106" xfId="0" applyFont="1" applyBorder="1" applyAlignment="1">
      <alignment horizontal="left" vertical="center" wrapText="1"/>
    </xf>
    <xf numFmtId="0" fontId="122" fillId="0" borderId="107" xfId="0" applyFont="1" applyBorder="1" applyAlignment="1">
      <alignment horizontal="left" vertical="center" wrapText="1"/>
    </xf>
    <xf numFmtId="49" fontId="34" fillId="0" borderId="99" xfId="1" applyNumberFormat="1" applyFont="1" applyFill="1" applyBorder="1" applyAlignment="1">
      <alignment horizontal="left" vertical="center" wrapText="1"/>
    </xf>
    <xf numFmtId="49" fontId="34" fillId="0" borderId="101" xfId="1" applyNumberFormat="1" applyFont="1" applyFill="1" applyBorder="1" applyAlignment="1">
      <alignment horizontal="left" vertical="center" wrapText="1"/>
    </xf>
    <xf numFmtId="0" fontId="34" fillId="0" borderId="91" xfId="0" applyFont="1" applyBorder="1" applyAlignment="1">
      <alignment horizontal="left" vertical="center" wrapText="1"/>
    </xf>
    <xf numFmtId="0" fontId="34" fillId="0" borderId="92" xfId="0" applyFont="1" applyBorder="1" applyAlignment="1">
      <alignment horizontal="left" vertical="center" wrapText="1"/>
    </xf>
    <xf numFmtId="0" fontId="34" fillId="0" borderId="102" xfId="0" applyFont="1" applyBorder="1" applyAlignment="1">
      <alignment horizontal="left" vertical="center" wrapText="1"/>
    </xf>
    <xf numFmtId="0" fontId="34" fillId="0" borderId="103" xfId="0" applyFont="1" applyBorder="1" applyAlignment="1">
      <alignment horizontal="left" vertical="center" wrapText="1"/>
    </xf>
    <xf numFmtId="49" fontId="62" fillId="0" borderId="99" xfId="0" applyNumberFormat="1" applyFont="1" applyBorder="1" applyAlignment="1">
      <alignment horizontal="left" vertical="top" wrapText="1"/>
    </xf>
    <xf numFmtId="49" fontId="62" fillId="0" borderId="101" xfId="0" applyNumberFormat="1" applyFont="1" applyBorder="1" applyAlignment="1">
      <alignment horizontal="left" vertical="top" wrapText="1"/>
    </xf>
    <xf numFmtId="0" fontId="125" fillId="67" borderId="99" xfId="1" applyNumberFormat="1" applyFont="1" applyFill="1" applyBorder="1" applyAlignment="1">
      <alignment horizontal="left" vertical="center" wrapText="1" indent="2"/>
    </xf>
    <xf numFmtId="0" fontId="125" fillId="67" borderId="101" xfId="1" applyNumberFormat="1" applyFont="1" applyFill="1" applyBorder="1" applyAlignment="1">
      <alignment horizontal="left" vertical="center" wrapText="1" indent="2"/>
    </xf>
    <xf numFmtId="0" fontId="111" fillId="0" borderId="91" xfId="0" applyFont="1" applyBorder="1" applyAlignment="1">
      <alignment horizontal="left" vertical="center" wrapText="1"/>
    </xf>
    <xf numFmtId="0" fontId="111" fillId="0" borderId="92" xfId="0" applyFont="1" applyBorder="1" applyAlignment="1">
      <alignment horizontal="left" vertical="center" wrapText="1"/>
    </xf>
    <xf numFmtId="0" fontId="111" fillId="0" borderId="102" xfId="0" applyFont="1" applyBorder="1" applyAlignment="1">
      <alignment horizontal="left" vertical="center" wrapText="1"/>
    </xf>
    <xf numFmtId="0" fontId="111" fillId="0" borderId="103" xfId="0" applyFont="1" applyBorder="1" applyAlignment="1">
      <alignment horizontal="left" vertical="center" wrapText="1"/>
    </xf>
    <xf numFmtId="49" fontId="112" fillId="0" borderId="99" xfId="0" applyNumberFormat="1" applyFont="1" applyBorder="1" applyAlignment="1">
      <alignment horizontal="left" vertical="top" wrapText="1"/>
    </xf>
    <xf numFmtId="49" fontId="112" fillId="0" borderId="101" xfId="0" applyNumberFormat="1" applyFont="1" applyBorder="1" applyAlignment="1">
      <alignment horizontal="left" vertical="top" wrapText="1"/>
    </xf>
    <xf numFmtId="49" fontId="34" fillId="51" borderId="99" xfId="1" applyNumberFormat="1" applyFont="1" applyFill="1" applyBorder="1" applyAlignment="1">
      <alignment horizontal="left" vertical="center" wrapText="1"/>
    </xf>
    <xf numFmtId="49" fontId="34" fillId="51" borderId="101" xfId="1" applyNumberFormat="1" applyFont="1" applyFill="1" applyBorder="1" applyAlignment="1">
      <alignment horizontal="left" vertical="center" wrapText="1"/>
    </xf>
    <xf numFmtId="49" fontId="62" fillId="0" borderId="99" xfId="0" applyNumberFormat="1" applyFont="1" applyBorder="1" applyAlignment="1">
      <alignment horizontal="left" vertical="center" wrapText="1"/>
    </xf>
    <xf numFmtId="49" fontId="62" fillId="0" borderId="101" xfId="0" applyNumberFormat="1" applyFont="1" applyBorder="1" applyAlignment="1">
      <alignment horizontal="left" vertical="center" wrapText="1"/>
    </xf>
    <xf numFmtId="0" fontId="122" fillId="0" borderId="99" xfId="1" applyNumberFormat="1" applyFont="1" applyFill="1" applyBorder="1" applyAlignment="1">
      <alignment horizontal="left" vertical="center" wrapText="1"/>
    </xf>
    <xf numFmtId="0" fontId="122" fillId="0" borderId="101" xfId="1" applyNumberFormat="1" applyFont="1" applyFill="1" applyBorder="1" applyAlignment="1">
      <alignment horizontal="left" vertical="center" wrapText="1"/>
    </xf>
    <xf numFmtId="0" fontId="34" fillId="67" borderId="91" xfId="0" applyFont="1" applyFill="1" applyBorder="1" applyAlignment="1">
      <alignment horizontal="left" vertical="center" wrapText="1"/>
    </xf>
    <xf numFmtId="0" fontId="34" fillId="67" borderId="92" xfId="0" applyFont="1" applyFill="1" applyBorder="1" applyAlignment="1">
      <alignment horizontal="left" vertical="center" wrapText="1"/>
    </xf>
    <xf numFmtId="0" fontId="34" fillId="67" borderId="102" xfId="0" applyFont="1" applyFill="1" applyBorder="1" applyAlignment="1">
      <alignment horizontal="left" vertical="center" wrapText="1"/>
    </xf>
    <xf numFmtId="0" fontId="34" fillId="67" borderId="103" xfId="0" applyFont="1" applyFill="1" applyBorder="1" applyAlignment="1">
      <alignment horizontal="left" vertical="center" wrapText="1"/>
    </xf>
    <xf numFmtId="49" fontId="62" fillId="67" borderId="99" xfId="0" applyNumberFormat="1" applyFont="1" applyFill="1" applyBorder="1" applyAlignment="1">
      <alignment horizontal="left" vertical="center" wrapText="1"/>
    </xf>
    <xf numFmtId="49" fontId="62" fillId="67" borderId="101" xfId="0" applyNumberFormat="1" applyFont="1" applyFill="1" applyBorder="1" applyAlignment="1">
      <alignment horizontal="left" vertical="center" wrapText="1"/>
    </xf>
    <xf numFmtId="0" fontId="122" fillId="0" borderId="99" xfId="1" applyNumberFormat="1" applyFont="1" applyFill="1" applyBorder="1" applyAlignment="1">
      <alignment horizontal="left" vertical="center" wrapText="1" indent="2"/>
    </xf>
    <xf numFmtId="0" fontId="122" fillId="0" borderId="101" xfId="1" applyNumberFormat="1" applyFont="1" applyFill="1" applyBorder="1" applyAlignment="1">
      <alignment horizontal="left" vertical="center" wrapText="1" indent="2"/>
    </xf>
    <xf numFmtId="0" fontId="122" fillId="0" borderId="99" xfId="1" applyNumberFormat="1" applyFont="1" applyBorder="1" applyAlignment="1">
      <alignment horizontal="left" vertical="center" wrapText="1" indent="2"/>
    </xf>
    <xf numFmtId="0" fontId="122" fillId="0" borderId="101" xfId="1" applyNumberFormat="1" applyFont="1" applyBorder="1" applyAlignment="1">
      <alignment horizontal="left" vertical="center" wrapText="1" indent="2"/>
    </xf>
    <xf numFmtId="0" fontId="149" fillId="0" borderId="99" xfId="1" applyNumberFormat="1" applyFont="1" applyBorder="1" applyAlignment="1">
      <alignment horizontal="left" vertical="center" wrapText="1" indent="2"/>
    </xf>
    <xf numFmtId="0" fontId="149" fillId="0" borderId="101" xfId="1" applyNumberFormat="1" applyFont="1" applyBorder="1" applyAlignment="1">
      <alignment horizontal="left" vertical="center" wrapText="1" indent="2"/>
    </xf>
    <xf numFmtId="0" fontId="152" fillId="0" borderId="91" xfId="0" applyFont="1" applyBorder="1" applyAlignment="1">
      <alignment horizontal="left" vertical="center" wrapText="1"/>
    </xf>
    <xf numFmtId="0" fontId="152" fillId="0" borderId="92" xfId="0" applyFont="1" applyBorder="1" applyAlignment="1">
      <alignment horizontal="left" vertical="center" wrapText="1"/>
    </xf>
    <xf numFmtId="0" fontId="152" fillId="0" borderId="102" xfId="0" applyFont="1" applyBorder="1" applyAlignment="1">
      <alignment horizontal="left" vertical="center" wrapText="1"/>
    </xf>
    <xf numFmtId="0" fontId="152" fillId="0" borderId="103" xfId="0" applyFont="1" applyBorder="1" applyAlignment="1">
      <alignment horizontal="left" vertical="center" wrapText="1"/>
    </xf>
    <xf numFmtId="49" fontId="153" fillId="0" borderId="99" xfId="0" applyNumberFormat="1" applyFont="1" applyBorder="1" applyAlignment="1">
      <alignment horizontal="left" vertical="top" wrapText="1"/>
    </xf>
    <xf numFmtId="49" fontId="153" fillId="0" borderId="101" xfId="0" applyNumberFormat="1" applyFont="1" applyBorder="1" applyAlignment="1">
      <alignment horizontal="left" vertical="top" wrapText="1"/>
    </xf>
    <xf numFmtId="49" fontId="62" fillId="67" borderId="99" xfId="0" applyNumberFormat="1" applyFont="1" applyFill="1" applyBorder="1" applyAlignment="1">
      <alignment horizontal="left" vertical="top" wrapText="1"/>
    </xf>
    <xf numFmtId="49" fontId="62" fillId="67" borderId="101" xfId="0" applyNumberFormat="1" applyFont="1" applyFill="1" applyBorder="1" applyAlignment="1">
      <alignment horizontal="left" vertical="top" wrapText="1"/>
    </xf>
    <xf numFmtId="0" fontId="34" fillId="54" borderId="91" xfId="0" applyFont="1" applyFill="1" applyBorder="1" applyAlignment="1">
      <alignment horizontal="left" vertical="center" wrapText="1"/>
    </xf>
    <xf numFmtId="0" fontId="34" fillId="54" borderId="92" xfId="0" applyFont="1" applyFill="1" applyBorder="1" applyAlignment="1">
      <alignment horizontal="left" vertical="center" wrapText="1"/>
    </xf>
    <xf numFmtId="0" fontId="34" fillId="0" borderId="99" xfId="1" applyNumberFormat="1" applyFont="1" applyBorder="1" applyAlignment="1">
      <alignment horizontal="left" vertical="center" wrapText="1"/>
    </xf>
    <xf numFmtId="0" fontId="34" fillId="0" borderId="101" xfId="1" applyNumberFormat="1" applyFont="1" applyBorder="1" applyAlignment="1">
      <alignment horizontal="left" vertical="center" wrapText="1"/>
    </xf>
    <xf numFmtId="49" fontId="9" fillId="0" borderId="99" xfId="0" applyNumberFormat="1" applyFont="1" applyBorder="1" applyAlignment="1">
      <alignment horizontal="left" vertical="top" wrapText="1"/>
    </xf>
    <xf numFmtId="49" fontId="9" fillId="0" borderId="101" xfId="0" applyNumberFormat="1" applyFont="1" applyBorder="1" applyAlignment="1">
      <alignment horizontal="left" vertical="top" wrapText="1"/>
    </xf>
    <xf numFmtId="0" fontId="34" fillId="0" borderId="99" xfId="1" applyNumberFormat="1" applyFont="1" applyBorder="1" applyAlignment="1">
      <alignment horizontal="left" vertical="center" wrapText="1" indent="2"/>
    </xf>
    <xf numFmtId="0" fontId="34" fillId="0" borderId="101" xfId="1" applyNumberFormat="1" applyFont="1" applyBorder="1" applyAlignment="1">
      <alignment horizontal="left" vertical="center" wrapText="1" indent="2"/>
    </xf>
    <xf numFmtId="0" fontId="111" fillId="7" borderId="56" xfId="0" applyFont="1" applyFill="1" applyBorder="1" applyAlignment="1">
      <alignment horizontal="center" vertical="center" wrapText="1"/>
    </xf>
    <xf numFmtId="0" fontId="111" fillId="7" borderId="58" xfId="0" applyFont="1" applyFill="1" applyBorder="1" applyAlignment="1">
      <alignment horizontal="center" vertical="center" wrapText="1"/>
    </xf>
    <xf numFmtId="0" fontId="34" fillId="7" borderId="91" xfId="0" applyFont="1" applyFill="1" applyBorder="1" applyAlignment="1">
      <alignment horizontal="left" vertical="center" wrapText="1"/>
    </xf>
    <xf numFmtId="0" fontId="34" fillId="7" borderId="92" xfId="0" applyFont="1" applyFill="1" applyBorder="1" applyAlignment="1">
      <alignment horizontal="left" vertical="center" wrapText="1"/>
    </xf>
    <xf numFmtId="0" fontId="34" fillId="7" borderId="102" xfId="0" applyFont="1" applyFill="1" applyBorder="1" applyAlignment="1">
      <alignment horizontal="left" vertical="center" wrapText="1"/>
    </xf>
    <xf numFmtId="0" fontId="34" fillId="7" borderId="103" xfId="0" applyFont="1" applyFill="1" applyBorder="1" applyAlignment="1">
      <alignment horizontal="left" vertical="center" wrapText="1"/>
    </xf>
    <xf numFmtId="49" fontId="9" fillId="7" borderId="99" xfId="0" applyNumberFormat="1" applyFont="1" applyFill="1" applyBorder="1" applyAlignment="1">
      <alignment horizontal="left" vertical="top" wrapText="1"/>
    </xf>
    <xf numFmtId="49" fontId="9" fillId="7" borderId="101" xfId="0" applyNumberFormat="1" applyFont="1" applyFill="1" applyBorder="1" applyAlignment="1">
      <alignment horizontal="left" vertical="top" wrapText="1"/>
    </xf>
    <xf numFmtId="0" fontId="34" fillId="0" borderId="108" xfId="1" applyNumberFormat="1" applyFont="1" applyBorder="1" applyAlignment="1">
      <alignment horizontal="left" vertical="center" wrapText="1" indent="2"/>
    </xf>
    <xf numFmtId="0" fontId="34" fillId="0" borderId="109" xfId="0" applyFont="1" applyBorder="1" applyAlignment="1">
      <alignment horizontal="left" vertical="center" wrapText="1"/>
    </xf>
    <xf numFmtId="0" fontId="34" fillId="0" borderId="110" xfId="0" applyFont="1" applyBorder="1" applyAlignment="1">
      <alignment horizontal="left" vertical="center" wrapText="1"/>
    </xf>
    <xf numFmtId="49" fontId="9" fillId="0" borderId="108" xfId="0" applyNumberFormat="1" applyFont="1" applyBorder="1" applyAlignment="1">
      <alignment horizontal="left" vertical="top" wrapText="1"/>
    </xf>
    <xf numFmtId="0" fontId="35" fillId="7" borderId="99" xfId="1" applyNumberFormat="1" applyFont="1" applyFill="1" applyBorder="1" applyAlignment="1">
      <alignment horizontal="left" vertical="center" wrapText="1" indent="1"/>
    </xf>
    <xf numFmtId="0" fontId="35" fillId="7" borderId="101" xfId="1" applyNumberFormat="1" applyFont="1" applyFill="1" applyBorder="1" applyAlignment="1">
      <alignment horizontal="left" vertical="center" wrapText="1" indent="1"/>
    </xf>
    <xf numFmtId="0" fontId="35" fillId="7" borderId="91" xfId="0" applyFont="1" applyFill="1" applyBorder="1" applyAlignment="1">
      <alignment horizontal="left" vertical="center" wrapText="1"/>
    </xf>
    <xf numFmtId="0" fontId="35" fillId="7" borderId="92" xfId="0" applyFont="1" applyFill="1" applyBorder="1" applyAlignment="1">
      <alignment horizontal="left" vertical="center" wrapText="1"/>
    </xf>
    <xf numFmtId="0" fontId="35" fillId="7" borderId="102" xfId="0" applyFont="1" applyFill="1" applyBorder="1" applyAlignment="1">
      <alignment horizontal="left" vertical="center" wrapText="1"/>
    </xf>
    <xf numFmtId="0" fontId="35" fillId="7" borderId="103" xfId="0" applyFont="1" applyFill="1" applyBorder="1" applyAlignment="1">
      <alignment horizontal="left" vertical="center" wrapText="1"/>
    </xf>
    <xf numFmtId="49" fontId="110" fillId="0" borderId="99" xfId="0" applyNumberFormat="1" applyFont="1" applyBorder="1" applyAlignment="1">
      <alignment horizontal="left" vertical="top" wrapText="1"/>
    </xf>
    <xf numFmtId="49" fontId="110" fillId="0" borderId="101" xfId="0" applyNumberFormat="1" applyFont="1" applyBorder="1" applyAlignment="1">
      <alignment horizontal="left" vertical="top" wrapText="1"/>
    </xf>
    <xf numFmtId="0" fontId="34" fillId="0" borderId="99" xfId="1" applyNumberFormat="1" applyFont="1" applyBorder="1" applyAlignment="1">
      <alignment horizontal="left" vertical="center" wrapText="1" indent="1"/>
    </xf>
    <xf numFmtId="0" fontId="34" fillId="0" borderId="101" xfId="1" applyNumberFormat="1" applyFont="1" applyBorder="1" applyAlignment="1">
      <alignment horizontal="left" vertical="center" wrapText="1" indent="1"/>
    </xf>
    <xf numFmtId="0" fontId="162" fillId="0" borderId="99" xfId="1" applyNumberFormat="1" applyFont="1" applyBorder="1" applyAlignment="1">
      <alignment horizontal="left" vertical="center" wrapText="1" indent="1"/>
    </xf>
    <xf numFmtId="0" fontId="162" fillId="0" borderId="101" xfId="1" applyNumberFormat="1" applyFont="1" applyBorder="1" applyAlignment="1">
      <alignment horizontal="left" vertical="center" wrapText="1" indent="1"/>
    </xf>
    <xf numFmtId="0" fontId="162" fillId="0" borderId="91" xfId="0" applyFont="1" applyBorder="1" applyAlignment="1">
      <alignment horizontal="left" vertical="center" wrapText="1"/>
    </xf>
    <xf numFmtId="0" fontId="162" fillId="0" borderId="92" xfId="0" applyFont="1" applyBorder="1" applyAlignment="1">
      <alignment horizontal="left" vertical="center" wrapText="1"/>
    </xf>
    <xf numFmtId="0" fontId="162" fillId="0" borderId="102" xfId="0" applyFont="1" applyBorder="1" applyAlignment="1">
      <alignment horizontal="left" vertical="center" wrapText="1"/>
    </xf>
    <xf numFmtId="0" fontId="162" fillId="0" borderId="103" xfId="0" applyFont="1" applyBorder="1" applyAlignment="1">
      <alignment horizontal="left" vertical="center" wrapText="1"/>
    </xf>
    <xf numFmtId="49" fontId="163" fillId="0" borderId="99" xfId="0" applyNumberFormat="1" applyFont="1" applyBorder="1" applyAlignment="1">
      <alignment horizontal="left" vertical="top" wrapText="1"/>
    </xf>
    <xf numFmtId="49" fontId="163" fillId="0" borderId="101" xfId="0" applyNumberFormat="1" applyFont="1" applyBorder="1" applyAlignment="1">
      <alignment horizontal="left" vertical="top" wrapText="1"/>
    </xf>
    <xf numFmtId="0" fontId="152" fillId="7" borderId="99" xfId="1" applyNumberFormat="1" applyFont="1" applyFill="1" applyBorder="1" applyAlignment="1">
      <alignment horizontal="left" vertical="center" wrapText="1" indent="2"/>
    </xf>
    <xf numFmtId="0" fontId="152" fillId="7" borderId="101" xfId="1" applyNumberFormat="1" applyFont="1" applyFill="1" applyBorder="1" applyAlignment="1">
      <alignment horizontal="left" vertical="center" wrapText="1" indent="2"/>
    </xf>
    <xf numFmtId="49" fontId="156" fillId="0" borderId="99" xfId="0" applyNumberFormat="1" applyFont="1" applyBorder="1" applyAlignment="1">
      <alignment horizontal="left" vertical="top" wrapText="1"/>
    </xf>
    <xf numFmtId="49" fontId="156" fillId="0" borderId="101" xfId="0" applyNumberFormat="1" applyFont="1" applyBorder="1" applyAlignment="1">
      <alignment horizontal="left" vertical="top" wrapText="1"/>
    </xf>
    <xf numFmtId="0" fontId="34" fillId="7" borderId="99" xfId="1" applyNumberFormat="1" applyFont="1" applyFill="1" applyBorder="1" applyAlignment="1">
      <alignment horizontal="left" vertical="center" wrapText="1"/>
    </xf>
    <xf numFmtId="0" fontId="34" fillId="7" borderId="101" xfId="1" applyNumberFormat="1" applyFont="1" applyFill="1" applyBorder="1" applyAlignment="1">
      <alignment horizontal="left" vertical="center" wrapText="1"/>
    </xf>
    <xf numFmtId="0" fontId="111" fillId="0" borderId="99" xfId="1" applyNumberFormat="1" applyFont="1" applyBorder="1" applyAlignment="1">
      <alignment horizontal="left" vertical="center" wrapText="1" indent="2"/>
    </xf>
    <xf numFmtId="0" fontId="111" fillId="0" borderId="101" xfId="1" applyNumberFormat="1" applyFont="1" applyBorder="1" applyAlignment="1">
      <alignment horizontal="left" vertical="center" wrapText="1" indent="2"/>
    </xf>
    <xf numFmtId="0" fontId="152" fillId="0" borderId="99" xfId="1" applyNumberFormat="1" applyFont="1" applyBorder="1" applyAlignment="1">
      <alignment horizontal="left" vertical="center" wrapText="1" indent="2"/>
    </xf>
    <xf numFmtId="0" fontId="152" fillId="0" borderId="101" xfId="1" applyNumberFormat="1" applyFont="1" applyBorder="1" applyAlignment="1">
      <alignment horizontal="left" vertical="center" wrapText="1" indent="2"/>
    </xf>
    <xf numFmtId="49" fontId="164" fillId="0" borderId="99" xfId="0" applyNumberFormat="1" applyFont="1" applyBorder="1" applyAlignment="1">
      <alignment horizontal="left" vertical="top" wrapText="1"/>
    </xf>
    <xf numFmtId="49" fontId="164" fillId="0" borderId="101" xfId="0" applyNumberFormat="1" applyFont="1" applyBorder="1" applyAlignment="1">
      <alignment horizontal="left" vertical="top"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108" xfId="1" applyNumberFormat="1" applyFont="1" applyBorder="1" applyAlignment="1">
      <alignment horizontal="left" vertical="center" wrapText="1"/>
    </xf>
    <xf numFmtId="49" fontId="9" fillId="7" borderId="108" xfId="0" applyNumberFormat="1" applyFont="1" applyFill="1" applyBorder="1" applyAlignment="1">
      <alignment horizontal="left" vertical="top" wrapText="1"/>
    </xf>
    <xf numFmtId="1" fontId="122" fillId="0" borderId="99" xfId="0" applyNumberFormat="1" applyFont="1" applyBorder="1" applyAlignment="1">
      <alignment horizontal="left" vertical="center" wrapText="1"/>
    </xf>
    <xf numFmtId="1" fontId="122" fillId="0" borderId="101" xfId="0" applyNumberFormat="1" applyFont="1" applyBorder="1" applyAlignment="1">
      <alignment horizontal="left" vertical="center" wrapText="1"/>
    </xf>
    <xf numFmtId="0" fontId="34" fillId="7" borderId="56" xfId="0" applyFont="1" applyFill="1" applyBorder="1" applyAlignment="1">
      <alignment horizontal="center" vertical="center" wrapText="1"/>
    </xf>
    <xf numFmtId="0" fontId="34" fillId="7" borderId="58" xfId="0" applyFont="1" applyFill="1" applyBorder="1" applyAlignment="1">
      <alignment horizontal="center" vertical="center" wrapText="1"/>
    </xf>
    <xf numFmtId="49" fontId="112" fillId="7" borderId="99" xfId="0" applyNumberFormat="1" applyFont="1" applyFill="1" applyBorder="1" applyAlignment="1">
      <alignment horizontal="left" vertical="top" wrapText="1"/>
    </xf>
    <xf numFmtId="49" fontId="112" fillId="7" borderId="101" xfId="0" applyNumberFormat="1" applyFont="1" applyFill="1" applyBorder="1" applyAlignment="1">
      <alignment horizontal="left" vertical="top" wrapText="1"/>
    </xf>
    <xf numFmtId="0" fontId="34" fillId="7" borderId="56" xfId="0" applyFont="1" applyFill="1" applyBorder="1" applyAlignment="1">
      <alignment horizontal="left" vertical="center" wrapText="1"/>
    </xf>
    <xf numFmtId="0" fontId="34" fillId="7" borderId="58" xfId="0" applyFont="1" applyFill="1" applyBorder="1" applyAlignment="1">
      <alignment horizontal="left" vertical="center" wrapText="1"/>
    </xf>
    <xf numFmtId="1" fontId="34" fillId="0" borderId="113" xfId="0" applyNumberFormat="1" applyFont="1" applyBorder="1" applyAlignment="1">
      <alignment horizontal="left" vertical="center" wrapText="1"/>
    </xf>
    <xf numFmtId="1" fontId="34" fillId="0" borderId="13" xfId="0" applyNumberFormat="1" applyFont="1" applyBorder="1" applyAlignment="1">
      <alignment horizontal="left" vertical="center" wrapText="1"/>
    </xf>
    <xf numFmtId="0" fontId="34" fillId="7" borderId="12" xfId="0" applyFont="1" applyFill="1" applyBorder="1" applyAlignment="1">
      <alignment horizontal="center" vertical="center" wrapText="1"/>
    </xf>
    <xf numFmtId="0" fontId="34" fillId="7" borderId="9" xfId="0" applyFont="1" applyFill="1" applyBorder="1" applyAlignment="1">
      <alignment horizontal="center" vertical="center" wrapText="1"/>
    </xf>
    <xf numFmtId="1" fontId="149" fillId="0" borderId="56" xfId="0" applyNumberFormat="1" applyFont="1" applyBorder="1" applyAlignment="1">
      <alignment horizontal="left" vertical="center" wrapText="1"/>
    </xf>
    <xf numFmtId="1" fontId="149" fillId="0" borderId="58" xfId="0" applyNumberFormat="1" applyFont="1" applyBorder="1" applyAlignment="1">
      <alignment horizontal="left" vertical="center" wrapText="1"/>
    </xf>
    <xf numFmtId="0" fontId="34" fillId="0" borderId="99" xfId="1" applyNumberFormat="1" applyFont="1" applyFill="1" applyBorder="1" applyAlignment="1">
      <alignment horizontal="left" vertical="center" wrapText="1"/>
    </xf>
    <xf numFmtId="0" fontId="34" fillId="0" borderId="101" xfId="1" applyNumberFormat="1" applyFont="1" applyFill="1" applyBorder="1" applyAlignment="1">
      <alignment horizontal="left" vertical="center" wrapText="1"/>
    </xf>
    <xf numFmtId="1" fontId="125" fillId="0" borderId="56" xfId="0" applyNumberFormat="1" applyFont="1" applyBorder="1" applyAlignment="1">
      <alignment horizontal="left" vertical="center" wrapText="1"/>
    </xf>
    <xf numFmtId="1" fontId="125" fillId="0" borderId="58" xfId="0" applyNumberFormat="1" applyFont="1" applyBorder="1" applyAlignment="1">
      <alignment horizontal="left" vertical="center" wrapText="1"/>
    </xf>
    <xf numFmtId="0" fontId="34" fillId="0" borderId="56" xfId="0" applyFont="1" applyBorder="1" applyAlignment="1">
      <alignment horizontal="left" vertical="center" wrapText="1"/>
    </xf>
    <xf numFmtId="0" fontId="34" fillId="0" borderId="58" xfId="0" applyFont="1" applyBorder="1" applyAlignment="1">
      <alignment horizontal="left" vertical="center" wrapText="1"/>
    </xf>
    <xf numFmtId="1" fontId="34" fillId="0" borderId="99" xfId="0" applyNumberFormat="1" applyFont="1" applyBorder="1" applyAlignment="1">
      <alignment horizontal="left" vertical="center" wrapText="1"/>
    </xf>
    <xf numFmtId="1" fontId="34" fillId="0" borderId="101" xfId="0" applyNumberFormat="1" applyFont="1" applyBorder="1" applyAlignment="1">
      <alignment horizontal="left" vertical="center" wrapText="1"/>
    </xf>
    <xf numFmtId="1" fontId="27" fillId="0" borderId="1" xfId="4" applyNumberFormat="1" applyFont="1" applyBorder="1" applyAlignment="1">
      <alignment horizontal="center" vertical="center" wrapText="1"/>
    </xf>
    <xf numFmtId="195" fontId="27" fillId="0" borderId="2" xfId="201" applyNumberFormat="1" applyFont="1" applyFill="1" applyBorder="1" applyAlignment="1">
      <alignment horizontal="center" vertical="center"/>
    </xf>
    <xf numFmtId="195" fontId="27" fillId="0" borderId="3" xfId="201" applyNumberFormat="1" applyFont="1" applyFill="1" applyBorder="1" applyAlignment="1">
      <alignment horizontal="center" vertical="center"/>
    </xf>
    <xf numFmtId="1" fontId="27" fillId="0" borderId="2" xfId="14" applyNumberFormat="1" applyFont="1" applyBorder="1" applyAlignment="1">
      <alignment horizontal="center" vertical="center" wrapText="1"/>
    </xf>
    <xf numFmtId="1" fontId="27" fillId="0" borderId="3" xfId="14" applyNumberFormat="1" applyFont="1" applyBorder="1" applyAlignment="1">
      <alignment horizontal="center" vertical="center" wrapText="1"/>
    </xf>
    <xf numFmtId="197" fontId="27" fillId="0" borderId="2" xfId="201" applyNumberFormat="1" applyFont="1" applyFill="1" applyBorder="1" applyAlignment="1">
      <alignment horizontal="center" vertical="center"/>
    </xf>
    <xf numFmtId="197" fontId="27" fillId="0" borderId="3" xfId="201" applyNumberFormat="1" applyFont="1" applyFill="1" applyBorder="1" applyAlignment="1">
      <alignment horizontal="center" vertical="center"/>
    </xf>
    <xf numFmtId="49" fontId="122" fillId="0" borderId="2" xfId="4" applyNumberFormat="1" applyFont="1" applyBorder="1" applyAlignment="1">
      <alignment horizontal="left" vertical="center" wrapText="1"/>
    </xf>
    <xf numFmtId="49" fontId="122" fillId="0" borderId="3" xfId="4" applyNumberFormat="1" applyFont="1" applyBorder="1" applyAlignment="1">
      <alignment horizontal="left" vertical="center" wrapText="1"/>
    </xf>
    <xf numFmtId="49" fontId="27" fillId="0" borderId="3" xfId="4" applyNumberFormat="1" applyFont="1" applyBorder="1" applyAlignment="1">
      <alignment horizontal="left" vertical="center" wrapText="1"/>
    </xf>
    <xf numFmtId="1" fontId="148" fillId="0" borderId="2" xfId="4" applyNumberFormat="1" applyFont="1" applyBorder="1" applyAlignment="1">
      <alignment horizontal="center" vertical="center" wrapText="1"/>
    </xf>
    <xf numFmtId="1" fontId="148" fillId="0" borderId="10" xfId="4" applyNumberFormat="1" applyFont="1" applyBorder="1" applyAlignment="1">
      <alignment horizontal="center" vertical="center" wrapText="1"/>
    </xf>
    <xf numFmtId="1" fontId="148" fillId="0" borderId="3" xfId="4" applyNumberFormat="1" applyFont="1" applyBorder="1" applyAlignment="1">
      <alignment horizontal="center" vertical="center" wrapText="1"/>
    </xf>
    <xf numFmtId="49" fontId="148" fillId="0" borderId="2" xfId="4" applyNumberFormat="1" applyFont="1" applyBorder="1" applyAlignment="1">
      <alignment horizontal="center" vertical="center" wrapText="1"/>
    </xf>
    <xf numFmtId="49" fontId="148" fillId="0" borderId="10" xfId="4" applyNumberFormat="1" applyFont="1" applyBorder="1" applyAlignment="1">
      <alignment horizontal="center" vertical="center" wrapText="1"/>
    </xf>
    <xf numFmtId="49" fontId="148" fillId="0" borderId="3" xfId="4" applyNumberFormat="1" applyFont="1" applyBorder="1" applyAlignment="1">
      <alignment horizontal="center" vertical="center" wrapText="1"/>
    </xf>
    <xf numFmtId="49" fontId="62" fillId="0" borderId="2" xfId="5" applyNumberFormat="1" applyFont="1" applyBorder="1" applyAlignment="1">
      <alignment horizontal="center" vertical="center" wrapText="1"/>
    </xf>
    <xf numFmtId="49" fontId="62" fillId="0" borderId="10" xfId="5" applyNumberFormat="1" applyFont="1" applyBorder="1" applyAlignment="1">
      <alignment horizontal="center" vertical="center" wrapText="1"/>
    </xf>
    <xf numFmtId="49" fontId="62" fillId="0" borderId="3" xfId="5" applyNumberFormat="1" applyFont="1" applyBorder="1" applyAlignment="1">
      <alignment horizontal="center" vertical="center" wrapText="1"/>
    </xf>
    <xf numFmtId="1" fontId="63" fillId="75" borderId="2" xfId="4" applyNumberFormat="1" applyFont="1" applyFill="1" applyBorder="1" applyAlignment="1">
      <alignment horizontal="center" vertical="center" wrapText="1"/>
    </xf>
    <xf numFmtId="1" fontId="63" fillId="75" borderId="10" xfId="4" applyNumberFormat="1" applyFont="1" applyFill="1" applyBorder="1" applyAlignment="1">
      <alignment horizontal="center" vertical="center" wrapText="1"/>
    </xf>
    <xf numFmtId="1" fontId="63" fillId="75" borderId="3" xfId="4" applyNumberFormat="1" applyFont="1" applyFill="1" applyBorder="1" applyAlignment="1">
      <alignment horizontal="center" vertical="center" wrapText="1"/>
    </xf>
    <xf numFmtId="49" fontId="34" fillId="0" borderId="2" xfId="5" applyNumberFormat="1" applyFont="1" applyFill="1" applyBorder="1" applyAlignment="1">
      <alignment horizontal="left" vertical="center" wrapText="1"/>
    </xf>
    <xf numFmtId="0" fontId="0" fillId="0" borderId="10" xfId="0" applyBorder="1" applyAlignment="1">
      <alignment horizontal="left" vertical="center"/>
    </xf>
    <xf numFmtId="0" fontId="0" fillId="0" borderId="3" xfId="0" applyBorder="1" applyAlignment="1">
      <alignment horizontal="left" vertical="center"/>
    </xf>
    <xf numFmtId="0" fontId="0" fillId="0" borderId="10" xfId="0" applyBorder="1" applyAlignment="1">
      <alignment vertical="center" wrapText="1"/>
    </xf>
    <xf numFmtId="0" fontId="0" fillId="0" borderId="3" xfId="0" applyBorder="1" applyAlignment="1">
      <alignment vertical="center" wrapText="1"/>
    </xf>
    <xf numFmtId="1" fontId="27" fillId="7" borderId="2" xfId="4" applyNumberFormat="1" applyFont="1" applyFill="1" applyBorder="1" applyAlignment="1">
      <alignment horizontal="center" vertical="center" wrapText="1"/>
    </xf>
    <xf numFmtId="1" fontId="27" fillId="7" borderId="3" xfId="4" applyNumberFormat="1" applyFont="1" applyFill="1" applyBorder="1" applyAlignment="1">
      <alignment horizontal="center" vertical="center" wrapText="1"/>
    </xf>
    <xf numFmtId="0" fontId="122" fillId="0" borderId="2" xfId="4" quotePrefix="1" applyFont="1" applyBorder="1" applyAlignment="1">
      <alignment horizontal="left" vertical="center" wrapText="1"/>
    </xf>
    <xf numFmtId="0" fontId="122" fillId="0" borderId="10" xfId="4" applyFont="1" applyBorder="1" applyAlignment="1">
      <alignment horizontal="left" vertical="center" wrapText="1"/>
    </xf>
    <xf numFmtId="0" fontId="122" fillId="0" borderId="3" xfId="4" applyFont="1" applyBorder="1" applyAlignment="1">
      <alignment horizontal="left" vertical="center" wrapText="1"/>
    </xf>
    <xf numFmtId="0" fontId="0" fillId="0" borderId="3" xfId="0" applyBorder="1" applyAlignment="1">
      <alignment horizontal="right" vertical="center" wrapText="1"/>
    </xf>
    <xf numFmtId="167" fontId="2" fillId="0" borderId="2" xfId="5" applyFont="1" applyFill="1" applyBorder="1" applyAlignment="1">
      <alignment vertical="center"/>
    </xf>
    <xf numFmtId="0" fontId="0" fillId="0" borderId="3" xfId="0" applyBorder="1" applyAlignment="1">
      <alignment vertical="center"/>
    </xf>
    <xf numFmtId="0" fontId="0" fillId="0" borderId="3" xfId="0" applyBorder="1" applyAlignment="1">
      <alignment horizontal="center" vertical="center" wrapText="1"/>
    </xf>
    <xf numFmtId="49" fontId="2" fillId="0" borderId="2" xfId="5" applyNumberFormat="1" applyFont="1" applyBorder="1" applyAlignment="1">
      <alignment horizontal="center" vertical="center"/>
    </xf>
    <xf numFmtId="49" fontId="2" fillId="0" borderId="10" xfId="5" applyNumberFormat="1" applyFont="1" applyBorder="1" applyAlignment="1">
      <alignment horizontal="center" vertical="center"/>
    </xf>
    <xf numFmtId="49" fontId="2" fillId="0" borderId="3" xfId="5" applyNumberFormat="1" applyFont="1" applyBorder="1" applyAlignment="1">
      <alignment horizontal="center" vertical="center"/>
    </xf>
    <xf numFmtId="1" fontId="0" fillId="0" borderId="10" xfId="0" applyNumberFormat="1" applyBorder="1" applyAlignment="1">
      <alignment horizontal="center" vertical="center"/>
    </xf>
    <xf numFmtId="1" fontId="0" fillId="0" borderId="3" xfId="0" applyNumberFormat="1" applyBorder="1" applyAlignment="1">
      <alignment horizontal="center" vertical="center"/>
    </xf>
    <xf numFmtId="0" fontId="0" fillId="0" borderId="10" xfId="0" applyBorder="1" applyAlignment="1">
      <alignment vertical="center"/>
    </xf>
    <xf numFmtId="1" fontId="82" fillId="7" borderId="2" xfId="4" applyNumberFormat="1" applyFont="1" applyFill="1" applyBorder="1" applyAlignment="1">
      <alignment horizontal="center" vertical="center" wrapText="1"/>
    </xf>
    <xf numFmtId="1" fontId="82" fillId="7" borderId="10" xfId="4" applyNumberFormat="1" applyFont="1" applyFill="1" applyBorder="1" applyAlignment="1">
      <alignment horizontal="center" vertical="center" wrapText="1"/>
    </xf>
    <xf numFmtId="1" fontId="82" fillId="7" borderId="3" xfId="4" applyNumberFormat="1" applyFont="1" applyFill="1" applyBorder="1" applyAlignment="1">
      <alignment horizontal="center" vertical="center" wrapText="1"/>
    </xf>
    <xf numFmtId="49" fontId="2" fillId="0" borderId="10" xfId="5" applyNumberFormat="1" applyFont="1" applyBorder="1" applyAlignment="1">
      <alignment horizontal="left" vertical="center"/>
    </xf>
    <xf numFmtId="49" fontId="2" fillId="0" borderId="3" xfId="5" applyNumberFormat="1" applyFont="1" applyBorder="1" applyAlignment="1">
      <alignment horizontal="left" vertical="center"/>
    </xf>
    <xf numFmtId="195" fontId="27" fillId="0" borderId="2" xfId="201" applyNumberFormat="1" applyFont="1" applyBorder="1" applyAlignment="1">
      <alignment horizontal="center" vertical="center"/>
    </xf>
    <xf numFmtId="195" fontId="27" fillId="0" borderId="10" xfId="201" applyNumberFormat="1" applyFont="1" applyBorder="1" applyAlignment="1">
      <alignment horizontal="center" vertical="center"/>
    </xf>
    <xf numFmtId="49" fontId="2" fillId="0" borderId="1" xfId="5" applyNumberFormat="1" applyFont="1" applyFill="1" applyBorder="1" applyAlignment="1">
      <alignment horizontal="center" vertical="center"/>
    </xf>
    <xf numFmtId="195" fontId="27" fillId="0" borderId="3" xfId="201" applyNumberFormat="1" applyFont="1" applyBorder="1" applyAlignment="1">
      <alignment horizontal="center" vertical="center"/>
    </xf>
    <xf numFmtId="195" fontId="2" fillId="0" borderId="2" xfId="201" applyNumberFormat="1" applyFont="1" applyBorder="1" applyAlignment="1">
      <alignment horizontal="center" vertical="center"/>
    </xf>
    <xf numFmtId="195" fontId="2" fillId="0" borderId="10" xfId="201" applyNumberFormat="1" applyFont="1" applyBorder="1" applyAlignment="1">
      <alignment horizontal="center" vertical="center"/>
    </xf>
    <xf numFmtId="195" fontId="2" fillId="0" borderId="3" xfId="201" applyNumberFormat="1" applyFont="1" applyBorder="1" applyAlignment="1">
      <alignment horizontal="center" vertical="center"/>
    </xf>
    <xf numFmtId="49" fontId="35" fillId="0" borderId="2" xfId="5" applyNumberFormat="1" applyFont="1" applyBorder="1" applyAlignment="1">
      <alignment horizontal="left" vertical="top" wrapText="1"/>
    </xf>
    <xf numFmtId="49" fontId="35" fillId="0" borderId="3" xfId="5" applyNumberFormat="1" applyFont="1" applyBorder="1" applyAlignment="1">
      <alignment horizontal="left" vertical="top" wrapText="1"/>
    </xf>
    <xf numFmtId="1" fontId="27" fillId="0" borderId="2" xfId="4" applyNumberFormat="1" applyFont="1" applyBorder="1" applyAlignment="1">
      <alignment horizontal="center" vertical="top" wrapText="1"/>
    </xf>
    <xf numFmtId="1" fontId="27" fillId="0" borderId="10" xfId="4" applyNumberFormat="1" applyFont="1" applyBorder="1" applyAlignment="1">
      <alignment horizontal="center" vertical="top" wrapText="1"/>
    </xf>
    <xf numFmtId="1" fontId="27" fillId="0" borderId="3" xfId="4" applyNumberFormat="1" applyFont="1" applyBorder="1" applyAlignment="1">
      <alignment horizontal="center" vertical="top" wrapText="1"/>
    </xf>
    <xf numFmtId="167" fontId="82" fillId="0" borderId="10" xfId="5" applyFont="1" applyBorder="1" applyAlignment="1">
      <alignment horizontal="center" vertical="center"/>
    </xf>
    <xf numFmtId="170" fontId="27" fillId="0" borderId="1" xfId="1" applyFont="1" applyBorder="1" applyAlignment="1">
      <alignment horizontal="center" vertical="center"/>
    </xf>
    <xf numFmtId="170" fontId="2" fillId="0" borderId="1" xfId="1" applyFont="1" applyBorder="1" applyAlignment="1">
      <alignment horizontal="center" vertical="center"/>
    </xf>
    <xf numFmtId="49" fontId="2" fillId="0" borderId="2" xfId="1" applyNumberFormat="1" applyFont="1" applyBorder="1" applyAlignment="1">
      <alignment horizontal="center" vertical="center"/>
    </xf>
    <xf numFmtId="49" fontId="2" fillId="0" borderId="10" xfId="1" applyNumberFormat="1" applyFont="1" applyBorder="1" applyAlignment="1">
      <alignment horizontal="center" vertical="center"/>
    </xf>
    <xf numFmtId="49" fontId="2" fillId="0" borderId="3" xfId="1" applyNumberFormat="1" applyFont="1" applyBorder="1" applyAlignment="1">
      <alignment horizontal="center" vertical="center"/>
    </xf>
    <xf numFmtId="1" fontId="27" fillId="64" borderId="1" xfId="4" applyNumberFormat="1" applyFont="1" applyFill="1" applyBorder="1" applyAlignment="1">
      <alignment horizontal="center" vertical="center" wrapText="1"/>
    </xf>
    <xf numFmtId="170" fontId="27" fillId="0" borderId="1" xfId="1" applyFont="1" applyBorder="1" applyAlignment="1">
      <alignment horizontal="center" vertical="center" wrapText="1"/>
    </xf>
    <xf numFmtId="0" fontId="27" fillId="0" borderId="28" xfId="14" applyFont="1" applyBorder="1" applyAlignment="1">
      <alignment horizontal="center" vertical="center" wrapText="1"/>
    </xf>
    <xf numFmtId="0" fontId="27" fillId="0" borderId="4" xfId="14" applyFont="1" applyBorder="1" applyAlignment="1">
      <alignment horizontal="center" vertical="center" wrapText="1"/>
    </xf>
    <xf numFmtId="170" fontId="27" fillId="0" borderId="29" xfId="1" applyFont="1" applyBorder="1" applyAlignment="1">
      <alignment horizontal="center" vertical="center" wrapText="1"/>
    </xf>
    <xf numFmtId="170" fontId="27" fillId="0" borderId="0" xfId="1" applyFont="1" applyBorder="1" applyAlignment="1">
      <alignment horizontal="center" vertical="center" wrapText="1"/>
    </xf>
    <xf numFmtId="49" fontId="27" fillId="0" borderId="2" xfId="1" applyNumberFormat="1" applyFont="1" applyFill="1" applyBorder="1" applyAlignment="1">
      <alignment horizontal="center" vertical="center" wrapText="1"/>
    </xf>
    <xf numFmtId="49" fontId="27" fillId="0" borderId="10" xfId="1" applyNumberFormat="1" applyFont="1" applyFill="1" applyBorder="1" applyAlignment="1">
      <alignment horizontal="center" vertical="center" wrapText="1"/>
    </xf>
    <xf numFmtId="49" fontId="27" fillId="0" borderId="3" xfId="1" applyNumberFormat="1" applyFont="1" applyFill="1" applyBorder="1" applyAlignment="1">
      <alignment horizontal="center" vertical="center" wrapText="1"/>
    </xf>
    <xf numFmtId="49" fontId="27" fillId="0" borderId="2" xfId="1" applyNumberFormat="1" applyFont="1" applyFill="1" applyBorder="1" applyAlignment="1">
      <alignment horizontal="left" vertical="center" wrapText="1"/>
    </xf>
    <xf numFmtId="49" fontId="27" fillId="0" borderId="10" xfId="1" applyNumberFormat="1" applyFont="1" applyFill="1" applyBorder="1" applyAlignment="1">
      <alignment horizontal="left" vertical="center" wrapText="1"/>
    </xf>
    <xf numFmtId="49" fontId="27" fillId="0" borderId="3" xfId="1" applyNumberFormat="1" applyFont="1" applyFill="1" applyBorder="1" applyAlignment="1">
      <alignment horizontal="left" vertical="center" wrapText="1"/>
    </xf>
    <xf numFmtId="1" fontId="27" fillId="0" borderId="1" xfId="1" applyNumberFormat="1" applyFont="1" applyFill="1" applyBorder="1" applyAlignment="1">
      <alignment horizontal="center" vertical="center" wrapText="1"/>
    </xf>
    <xf numFmtId="1" fontId="27" fillId="0" borderId="2" xfId="201" applyNumberFormat="1" applyFont="1" applyFill="1" applyBorder="1" applyAlignment="1">
      <alignment horizontal="center" vertical="center" wrapText="1"/>
    </xf>
    <xf numFmtId="1" fontId="27" fillId="0" borderId="10" xfId="201" applyNumberFormat="1" applyFont="1" applyFill="1" applyBorder="1" applyAlignment="1">
      <alignment horizontal="center" vertical="center" wrapText="1"/>
    </xf>
    <xf numFmtId="1" fontId="27" fillId="0" borderId="3" xfId="201" applyNumberFormat="1" applyFont="1" applyFill="1" applyBorder="1" applyAlignment="1">
      <alignment horizontal="center" vertical="center" wrapText="1"/>
    </xf>
    <xf numFmtId="49" fontId="34" fillId="0" borderId="2" xfId="5" applyNumberFormat="1" applyFont="1" applyBorder="1" applyAlignment="1">
      <alignment horizontal="left" vertical="center" wrapText="1"/>
    </xf>
    <xf numFmtId="49" fontId="34" fillId="0" borderId="10" xfId="5" applyNumberFormat="1" applyFont="1" applyBorder="1" applyAlignment="1">
      <alignment horizontal="left" vertical="center" wrapText="1"/>
    </xf>
    <xf numFmtId="49" fontId="34" fillId="0" borderId="3" xfId="5" applyNumberFormat="1" applyFont="1" applyBorder="1" applyAlignment="1">
      <alignment horizontal="left" vertical="center" wrapText="1"/>
    </xf>
    <xf numFmtId="49" fontId="122" fillId="0" borderId="10" xfId="4" applyNumberFormat="1" applyFont="1" applyBorder="1" applyAlignment="1">
      <alignment horizontal="left" vertical="center" wrapText="1"/>
    </xf>
    <xf numFmtId="167" fontId="27" fillId="0" borderId="3" xfId="5" applyFont="1" applyBorder="1" applyAlignment="1">
      <alignment horizontal="center" vertical="center"/>
    </xf>
    <xf numFmtId="49" fontId="34" fillId="0" borderId="30" xfId="5" applyNumberFormat="1" applyFont="1" applyBorder="1" applyAlignment="1">
      <alignment horizontal="left" vertical="center" wrapText="1"/>
    </xf>
    <xf numFmtId="0" fontId="27" fillId="0" borderId="1" xfId="4" applyFont="1" applyBorder="1" applyAlignment="1">
      <alignment horizontal="center" vertical="center" wrapText="1"/>
    </xf>
    <xf numFmtId="1" fontId="27" fillId="0" borderId="1" xfId="4" applyNumberFormat="1" applyFont="1" applyBorder="1" applyAlignment="1">
      <alignment horizontal="center" vertical="center"/>
    </xf>
    <xf numFmtId="0" fontId="27" fillId="0" borderId="1" xfId="4" applyFont="1" applyBorder="1" applyAlignment="1">
      <alignment horizontal="center" vertical="center"/>
    </xf>
    <xf numFmtId="167" fontId="2" fillId="0" borderId="1" xfId="5" applyFont="1" applyBorder="1" applyAlignment="1">
      <alignment horizontal="center" vertical="center"/>
    </xf>
    <xf numFmtId="0" fontId="4" fillId="31" borderId="1" xfId="4" applyFont="1" applyFill="1" applyBorder="1" applyAlignment="1">
      <alignment horizontal="center" vertical="center" wrapText="1"/>
    </xf>
    <xf numFmtId="167" fontId="22" fillId="30" borderId="12" xfId="4" applyNumberFormat="1" applyFont="1" applyFill="1" applyBorder="1" applyAlignment="1">
      <alignment horizontal="center" vertical="center"/>
    </xf>
    <xf numFmtId="195" fontId="4" fillId="29" borderId="11" xfId="4" applyNumberFormat="1" applyFont="1" applyFill="1" applyBorder="1" applyAlignment="1">
      <alignment horizontal="center" vertical="center" wrapText="1"/>
    </xf>
    <xf numFmtId="195" fontId="4" fillId="29" borderId="9" xfId="4" applyNumberFormat="1" applyFont="1" applyFill="1" applyBorder="1" applyAlignment="1">
      <alignment horizontal="center" vertical="center" wrapText="1"/>
    </xf>
    <xf numFmtId="170" fontId="63" fillId="33" borderId="12" xfId="1" applyFont="1" applyFill="1" applyBorder="1" applyAlignment="1">
      <alignment horizontal="center" vertical="center" wrapText="1"/>
    </xf>
    <xf numFmtId="0" fontId="4" fillId="32" borderId="12" xfId="4" applyFont="1" applyFill="1" applyBorder="1" applyAlignment="1">
      <alignment horizontal="center" vertical="center"/>
    </xf>
    <xf numFmtId="170" fontId="7" fillId="0" borderId="1" xfId="1" applyFont="1" applyBorder="1" applyAlignment="1">
      <alignment horizontal="center" vertical="center" wrapText="1"/>
    </xf>
    <xf numFmtId="1" fontId="27" fillId="0" borderId="2" xfId="1" applyNumberFormat="1" applyFont="1" applyFill="1" applyBorder="1" applyAlignment="1">
      <alignment horizontal="center" vertical="center" wrapText="1"/>
    </xf>
    <xf numFmtId="1" fontId="27" fillId="0" borderId="10" xfId="1" applyNumberFormat="1" applyFont="1" applyFill="1" applyBorder="1" applyAlignment="1">
      <alignment horizontal="center" vertical="center" wrapText="1"/>
    </xf>
    <xf numFmtId="1" fontId="27" fillId="0" borderId="3" xfId="1" applyNumberFormat="1" applyFont="1" applyFill="1" applyBorder="1" applyAlignment="1">
      <alignment horizontal="center" vertical="center" wrapText="1"/>
    </xf>
    <xf numFmtId="0" fontId="27" fillId="0" borderId="3" xfId="14" applyFont="1" applyBorder="1" applyAlignment="1">
      <alignment horizontal="center" vertical="center" wrapText="1"/>
    </xf>
    <xf numFmtId="0" fontId="27" fillId="0" borderId="3" xfId="14" applyFont="1" applyBorder="1" applyAlignment="1">
      <alignment horizontal="left" vertical="center" wrapText="1"/>
    </xf>
    <xf numFmtId="1" fontId="27" fillId="0" borderId="2" xfId="201" applyNumberFormat="1" applyFont="1" applyBorder="1" applyAlignment="1">
      <alignment horizontal="center" vertical="center" wrapText="1"/>
    </xf>
    <xf numFmtId="1" fontId="27" fillId="0" borderId="3" xfId="201" applyNumberFormat="1" applyFont="1" applyBorder="1" applyAlignment="1">
      <alignment horizontal="center" vertical="center" wrapText="1"/>
    </xf>
    <xf numFmtId="170" fontId="27" fillId="0" borderId="28" xfId="1" applyFont="1" applyBorder="1" applyAlignment="1">
      <alignment horizontal="center" vertical="center" wrapText="1"/>
    </xf>
    <xf numFmtId="170" fontId="27" fillId="0" borderId="4" xfId="1" applyFont="1" applyBorder="1" applyAlignment="1">
      <alignment horizontal="center" vertical="center" wrapText="1"/>
    </xf>
    <xf numFmtId="170" fontId="27" fillId="0" borderId="14" xfId="1" applyFont="1" applyBorder="1" applyAlignment="1">
      <alignment horizontal="center" vertical="center" wrapText="1"/>
    </xf>
    <xf numFmtId="43" fontId="27" fillId="16" borderId="2" xfId="201" applyFont="1" applyFill="1" applyBorder="1" applyAlignment="1">
      <alignment horizontal="center" vertical="center" wrapText="1"/>
    </xf>
    <xf numFmtId="43" fontId="27" fillId="16" borderId="3" xfId="201" applyFont="1" applyFill="1" applyBorder="1" applyAlignment="1">
      <alignment horizontal="center" vertical="center" wrapText="1"/>
    </xf>
    <xf numFmtId="1" fontId="27" fillId="16" borderId="2" xfId="4" applyNumberFormat="1" applyFont="1" applyFill="1" applyBorder="1" applyAlignment="1">
      <alignment horizontal="center" vertical="center" wrapText="1"/>
    </xf>
    <xf numFmtId="1" fontId="27" fillId="16" borderId="3" xfId="4" applyNumberFormat="1" applyFont="1" applyFill="1" applyBorder="1" applyAlignment="1">
      <alignment horizontal="center" vertical="center" wrapText="1"/>
    </xf>
    <xf numFmtId="1" fontId="82" fillId="16" borderId="2" xfId="14" applyNumberFormat="1" applyFont="1" applyFill="1" applyBorder="1" applyAlignment="1">
      <alignment horizontal="center" vertical="center" wrapText="1"/>
    </xf>
    <xf numFmtId="1" fontId="82" fillId="16" borderId="3" xfId="14" applyNumberFormat="1" applyFont="1" applyFill="1" applyBorder="1" applyAlignment="1">
      <alignment horizontal="center" vertical="center" wrapText="1"/>
    </xf>
    <xf numFmtId="1" fontId="82" fillId="0" borderId="10" xfId="14" applyNumberFormat="1" applyFont="1" applyBorder="1" applyAlignment="1">
      <alignment horizontal="center" vertical="center" wrapText="1"/>
    </xf>
    <xf numFmtId="1" fontId="27" fillId="0" borderId="10" xfId="14" applyNumberFormat="1" applyFont="1" applyBorder="1" applyAlignment="1">
      <alignment horizontal="center" vertical="center" wrapText="1"/>
    </xf>
    <xf numFmtId="49" fontId="35" fillId="0" borderId="2" xfId="5" applyNumberFormat="1" applyFont="1" applyBorder="1" applyAlignment="1">
      <alignment horizontal="left" vertical="center" wrapText="1"/>
    </xf>
    <xf numFmtId="49" fontId="35" fillId="0" borderId="3" xfId="5" applyNumberFormat="1" applyFont="1" applyBorder="1" applyAlignment="1">
      <alignment horizontal="left" vertical="center" wrapText="1"/>
    </xf>
    <xf numFmtId="170" fontId="27" fillId="0" borderId="2" xfId="1" applyFont="1" applyBorder="1" applyAlignment="1">
      <alignment horizontal="center" vertical="center"/>
    </xf>
    <xf numFmtId="170" fontId="27" fillId="0" borderId="10" xfId="1" applyFont="1" applyBorder="1" applyAlignment="1">
      <alignment horizontal="center" vertical="center"/>
    </xf>
    <xf numFmtId="170" fontId="27" fillId="0" borderId="3" xfId="1" applyFont="1" applyBorder="1" applyAlignment="1">
      <alignment horizontal="center" vertical="center"/>
    </xf>
    <xf numFmtId="49" fontId="2" fillId="0" borderId="2" xfId="5" applyNumberFormat="1" applyFont="1" applyFill="1" applyBorder="1" applyAlignment="1">
      <alignment horizontal="center" vertical="center"/>
    </xf>
    <xf numFmtId="49" fontId="2" fillId="0" borderId="10" xfId="5" applyNumberFormat="1" applyFont="1" applyFill="1" applyBorder="1" applyAlignment="1">
      <alignment horizontal="center" vertical="center"/>
    </xf>
    <xf numFmtId="49" fontId="2" fillId="0" borderId="3" xfId="5" applyNumberFormat="1" applyFont="1" applyFill="1" applyBorder="1" applyAlignment="1">
      <alignment horizontal="center" vertical="center"/>
    </xf>
    <xf numFmtId="1" fontId="27" fillId="53" borderId="2" xfId="4" applyNumberFormat="1" applyFont="1" applyFill="1" applyBorder="1" applyAlignment="1">
      <alignment horizontal="center" vertical="center" wrapText="1"/>
    </xf>
    <xf numFmtId="1" fontId="27" fillId="53" borderId="10" xfId="4" applyNumberFormat="1" applyFont="1" applyFill="1" applyBorder="1" applyAlignment="1">
      <alignment horizontal="center" vertical="center" wrapText="1"/>
    </xf>
    <xf numFmtId="1" fontId="27" fillId="53" borderId="3" xfId="4" applyNumberFormat="1" applyFont="1" applyFill="1" applyBorder="1" applyAlignment="1">
      <alignment horizontal="center" vertical="center" wrapText="1"/>
    </xf>
    <xf numFmtId="0" fontId="122" fillId="0" borderId="2" xfId="4" applyFont="1" applyBorder="1" applyAlignment="1">
      <alignment horizontal="left" vertical="center" wrapText="1"/>
    </xf>
    <xf numFmtId="0" fontId="120" fillId="10" borderId="0" xfId="0" applyFont="1" applyFill="1" applyAlignment="1">
      <alignment horizontal="center" vertical="center" wrapText="1"/>
    </xf>
    <xf numFmtId="0" fontId="32" fillId="0" borderId="0" xfId="0" applyFont="1" applyAlignment="1">
      <alignment horizontal="center" vertical="center"/>
    </xf>
    <xf numFmtId="0" fontId="25" fillId="0" borderId="15" xfId="4" applyFont="1" applyBorder="1" applyAlignment="1">
      <alignment horizontal="center" vertical="center" wrapText="1"/>
    </xf>
    <xf numFmtId="0" fontId="25" fillId="0" borderId="16" xfId="4" applyFont="1" applyBorder="1" applyAlignment="1">
      <alignment horizontal="center" vertical="center" wrapText="1"/>
    </xf>
    <xf numFmtId="0" fontId="25" fillId="0" borderId="17" xfId="4" applyFont="1" applyBorder="1" applyAlignment="1">
      <alignment horizontal="center" vertical="center" wrapText="1"/>
    </xf>
    <xf numFmtId="0" fontId="11" fillId="0" borderId="19" xfId="4" applyBorder="1" applyAlignment="1">
      <alignment horizontal="center" vertical="center"/>
    </xf>
    <xf numFmtId="0" fontId="29" fillId="0" borderId="25" xfId="0" applyFont="1" applyBorder="1" applyAlignment="1">
      <alignment horizontal="center" vertical="center" wrapText="1"/>
    </xf>
    <xf numFmtId="0" fontId="29" fillId="0" borderId="25" xfId="0" applyFont="1" applyBorder="1" applyAlignment="1">
      <alignment vertical="center" wrapText="1"/>
    </xf>
  </cellXfs>
  <cellStyles count="267">
    <cellStyle name="args.style" xfId="18" xr:uid="{00000000-0005-0000-0000-000000000000}"/>
    <cellStyle name="Calc Currency (0)" xfId="19" xr:uid="{00000000-0005-0000-0000-000001000000}"/>
    <cellStyle name="Comma" xfId="201" xr:uid="{00000000-0005-0000-0000-000002000000}"/>
    <cellStyle name="Comma [0]" xfId="1" xr:uid="{00000000-0005-0000-0000-000003000000}"/>
    <cellStyle name="Comma [0] 2" xfId="103" xr:uid="{00000000-0005-0000-0000-000004000000}"/>
    <cellStyle name="Comma [0] 2 2" xfId="198" xr:uid="{00000000-0005-0000-0000-000005000000}"/>
    <cellStyle name="Comma [0] 2 3" xfId="231" xr:uid="{00000000-0005-0000-0000-000006000000}"/>
    <cellStyle name="Comma [0] 3" xfId="235" xr:uid="{00000000-0005-0000-0000-000007000000}"/>
    <cellStyle name="Comma 10" xfId="216" xr:uid="{00000000-0005-0000-0000-000008000000}"/>
    <cellStyle name="Comma 11" xfId="248" xr:uid="{00000000-0005-0000-0000-000009000000}"/>
    <cellStyle name="Comma 12" xfId="243" xr:uid="{00000000-0005-0000-0000-00000A000000}"/>
    <cellStyle name="Comma 13" xfId="244" xr:uid="{00000000-0005-0000-0000-00000B000000}"/>
    <cellStyle name="Comma 14" xfId="249" xr:uid="{00000000-0005-0000-0000-00000C000000}"/>
    <cellStyle name="Comma 15" xfId="241" xr:uid="{00000000-0005-0000-0000-00000D000000}"/>
    <cellStyle name="Comma 16" xfId="247" xr:uid="{00000000-0005-0000-0000-00000E000000}"/>
    <cellStyle name="Comma 17" xfId="257" xr:uid="{00000000-0005-0000-0000-00000F000000}"/>
    <cellStyle name="Comma 18" xfId="260" xr:uid="{00000000-0005-0000-0000-000010000000}"/>
    <cellStyle name="Comma 19" xfId="240" xr:uid="{00000000-0005-0000-0000-000011000000}"/>
    <cellStyle name="Comma 2" xfId="200" xr:uid="{00000000-0005-0000-0000-000012000000}"/>
    <cellStyle name="Comma 2 2" xfId="223" xr:uid="{00000000-0005-0000-0000-000013000000}"/>
    <cellStyle name="Comma 3" xfId="230" xr:uid="{00000000-0005-0000-0000-000014000000}"/>
    <cellStyle name="Comma 4" xfId="237" xr:uid="{00000000-0005-0000-0000-000015000000}"/>
    <cellStyle name="Comma 5" xfId="213" xr:uid="{00000000-0005-0000-0000-000016000000}"/>
    <cellStyle name="Comma 6" xfId="239" xr:uid="{00000000-0005-0000-0000-000017000000}"/>
    <cellStyle name="Comma 7" xfId="251" xr:uid="{00000000-0005-0000-0000-000018000000}"/>
    <cellStyle name="Comma 8" xfId="259" xr:uid="{00000000-0005-0000-0000-000019000000}"/>
    <cellStyle name="Comma 9" xfId="256" xr:uid="{00000000-0005-0000-0000-00001A000000}"/>
    <cellStyle name="Copied" xfId="20" xr:uid="{00000000-0005-0000-0000-00001B000000}"/>
    <cellStyle name="COST1" xfId="21" xr:uid="{00000000-0005-0000-0000-00001C000000}"/>
    <cellStyle name="CUADRO - Style1" xfId="22" xr:uid="{00000000-0005-0000-0000-00001D000000}"/>
    <cellStyle name="CUERPO - Style2" xfId="23" xr:uid="{00000000-0005-0000-0000-00001E000000}"/>
    <cellStyle name="Currency" xfId="209" xr:uid="{00000000-0005-0000-0000-00001F000000}"/>
    <cellStyle name="Currency [0]" xfId="212" xr:uid="{00000000-0005-0000-0000-000020000000}"/>
    <cellStyle name="Currency [0] 2" xfId="229" xr:uid="{00000000-0005-0000-0000-000021000000}"/>
    <cellStyle name="Currency [0] 3" xfId="238" xr:uid="{00000000-0005-0000-0000-000022000000}"/>
    <cellStyle name="Currency 2" xfId="224" xr:uid="{00000000-0005-0000-0000-000023000000}"/>
    <cellStyle name="Currency 3" xfId="228" xr:uid="{00000000-0005-0000-0000-000024000000}"/>
    <cellStyle name="Currency 4" xfId="236" xr:uid="{00000000-0005-0000-0000-000025000000}"/>
    <cellStyle name="Diseño" xfId="24" xr:uid="{00000000-0005-0000-0000-000026000000}"/>
    <cellStyle name="Entered" xfId="25" xr:uid="{00000000-0005-0000-0000-000027000000}"/>
    <cellStyle name="Euro" xfId="26" xr:uid="{00000000-0005-0000-0000-000028000000}"/>
    <cellStyle name="Euro 2" xfId="27" xr:uid="{00000000-0005-0000-0000-000029000000}"/>
    <cellStyle name="Euro 3" xfId="28" xr:uid="{00000000-0005-0000-0000-00002A000000}"/>
    <cellStyle name="Euro 4" xfId="29" xr:uid="{00000000-0005-0000-0000-00002B000000}"/>
    <cellStyle name="Euro 5" xfId="30" xr:uid="{00000000-0005-0000-0000-00002C000000}"/>
    <cellStyle name="Grey" xfId="31" xr:uid="{00000000-0005-0000-0000-00002D000000}"/>
    <cellStyle name="Header1" xfId="32" xr:uid="{00000000-0005-0000-0000-00002E000000}"/>
    <cellStyle name="Header2" xfId="33" xr:uid="{00000000-0005-0000-0000-00002F000000}"/>
    <cellStyle name="Hipervínculo" xfId="219" builtinId="8"/>
    <cellStyle name="Hipervínculo visitado" xfId="74" builtinId="9" hidden="1"/>
    <cellStyle name="Hipervínculo visitado" xfId="112" builtinId="9" hidden="1"/>
    <cellStyle name="Hipervínculo visitado" xfId="72" builtinId="9" hidden="1"/>
    <cellStyle name="Hipervínculo visitado" xfId="102" builtinId="9" hidden="1"/>
    <cellStyle name="Hipervínculo visitado" xfId="186" builtinId="9" hidden="1"/>
    <cellStyle name="Hipervínculo visitado" xfId="175" builtinId="9" hidden="1"/>
    <cellStyle name="Hipervínculo visitado" xfId="82" builtinId="9" hidden="1"/>
    <cellStyle name="Hipervínculo visitado" xfId="79" builtinId="9" hidden="1"/>
    <cellStyle name="Hipervínculo visitado" xfId="150" builtinId="9" hidden="1"/>
    <cellStyle name="Hipervínculo visitado" xfId="176" builtinId="9" hidden="1"/>
    <cellStyle name="Hipervínculo visitado" xfId="167" builtinId="9" hidden="1"/>
    <cellStyle name="Hipervínculo visitado" xfId="130" builtinId="9" hidden="1"/>
    <cellStyle name="Hipervínculo visitado" xfId="144" builtinId="9" hidden="1"/>
    <cellStyle name="Hipervínculo visitado" xfId="174" builtinId="9" hidden="1"/>
    <cellStyle name="Hipervínculo visitado" xfId="114" builtinId="9" hidden="1"/>
    <cellStyle name="Hipervínculo visitado" xfId="108" builtinId="9" hidden="1"/>
    <cellStyle name="Hipervínculo visitado" xfId="99" builtinId="9" hidden="1"/>
    <cellStyle name="Hipervínculo visitado" xfId="109" builtinId="9" hidden="1"/>
    <cellStyle name="Hipervínculo visitado" xfId="94" builtinId="9" hidden="1"/>
    <cellStyle name="Hipervínculo visitado" xfId="147" builtinId="9" hidden="1"/>
    <cellStyle name="Hipervínculo visitado" xfId="98" builtinId="9" hidden="1"/>
    <cellStyle name="Hipervínculo visitado" xfId="76" builtinId="9" hidden="1"/>
    <cellStyle name="Hipervínculo visitado" xfId="84" builtinId="9" hidden="1"/>
    <cellStyle name="Hipervínculo visitado" xfId="92" builtinId="9" hidden="1"/>
    <cellStyle name="Hipervínculo visitado" xfId="158" builtinId="9" hidden="1"/>
    <cellStyle name="Hipervínculo visitado" xfId="134" builtinId="9" hidden="1"/>
    <cellStyle name="Hipervínculo visitado" xfId="177" builtinId="9" hidden="1"/>
    <cellStyle name="Hipervínculo visitado" xfId="172" builtinId="9" hidden="1"/>
    <cellStyle name="Hipervínculo visitado" xfId="161" builtinId="9" hidden="1"/>
    <cellStyle name="Hipervínculo visitado" xfId="86" builtinId="9" hidden="1"/>
    <cellStyle name="Hipervínculo visitado" xfId="115" builtinId="9" hidden="1"/>
    <cellStyle name="Hipervínculo visitado" xfId="131" builtinId="9" hidden="1"/>
    <cellStyle name="Hipervínculo visitado" xfId="156" builtinId="9" hidden="1"/>
    <cellStyle name="Hipervínculo visitado" xfId="173" builtinId="9" hidden="1"/>
    <cellStyle name="Hipervínculo visitado" xfId="140" builtinId="9" hidden="1"/>
    <cellStyle name="Hipervínculo visitado" xfId="179" builtinId="9" hidden="1"/>
    <cellStyle name="Hipervínculo visitado" xfId="105" builtinId="9" hidden="1"/>
    <cellStyle name="Hipervínculo visitado" xfId="128" builtinId="9" hidden="1"/>
    <cellStyle name="Hipervínculo visitado" xfId="169" builtinId="9" hidden="1"/>
    <cellStyle name="Hipervínculo visitado" xfId="148" builtinId="9" hidden="1"/>
    <cellStyle name="Hipervínculo visitado" xfId="121" builtinId="9" hidden="1"/>
    <cellStyle name="Hipervínculo visitado" xfId="182" builtinId="9" hidden="1"/>
    <cellStyle name="Hipervínculo visitado" xfId="78" builtinId="9" hidden="1"/>
    <cellStyle name="Hipervínculo visitado" xfId="75" builtinId="9" hidden="1"/>
    <cellStyle name="Hipervínculo visitado" xfId="125" builtinId="9" hidden="1"/>
    <cellStyle name="Hipervínculo visitado" xfId="85" builtinId="9" hidden="1"/>
    <cellStyle name="Hipervínculo visitado" xfId="87" builtinId="9" hidden="1"/>
    <cellStyle name="Hipervínculo visitado" xfId="151" builtinId="9" hidden="1"/>
    <cellStyle name="Hipervínculo visitado" xfId="183" builtinId="9" hidden="1"/>
    <cellStyle name="Hipervínculo visitado" xfId="80" builtinId="9" hidden="1"/>
    <cellStyle name="Hipervínculo visitado" xfId="95" builtinId="9" hidden="1"/>
    <cellStyle name="Hipervínculo visitado" xfId="159" builtinId="9" hidden="1"/>
    <cellStyle name="Hipervínculo visitado" xfId="163" builtinId="9" hidden="1"/>
    <cellStyle name="Hipervínculo visitado" xfId="152" builtinId="9" hidden="1"/>
    <cellStyle name="Hipervínculo visitado" xfId="122" builtinId="9" hidden="1"/>
    <cellStyle name="Hipervínculo visitado" xfId="170" builtinId="9" hidden="1"/>
    <cellStyle name="Hipervínculo visitado" xfId="111" builtinId="9" hidden="1"/>
    <cellStyle name="Hipervínculo visitado" xfId="101" builtinId="9" hidden="1"/>
    <cellStyle name="Hipervínculo visitado" xfId="139" builtinId="9" hidden="1"/>
    <cellStyle name="Hipervínculo visitado" xfId="162" builtinId="9" hidden="1"/>
    <cellStyle name="Hipervínculo visitado" xfId="178" builtinId="9" hidden="1"/>
    <cellStyle name="Hipervínculo visitado" xfId="117" builtinId="9" hidden="1"/>
    <cellStyle name="Hipervínculo visitado" xfId="123" builtinId="9" hidden="1"/>
    <cellStyle name="Hipervínculo visitado" xfId="129" builtinId="9" hidden="1"/>
    <cellStyle name="Hipervínculo visitado" xfId="71" builtinId="9" hidden="1"/>
    <cellStyle name="Hipervínculo visitado" xfId="97" builtinId="9" hidden="1"/>
    <cellStyle name="Hipervínculo visitado" xfId="104" builtinId="9" hidden="1"/>
    <cellStyle name="Hipervínculo visitado" xfId="160" builtinId="9" hidden="1"/>
    <cellStyle name="Hipervínculo visitado" xfId="77" builtinId="9" hidden="1"/>
    <cellStyle name="Hipervínculo visitado" xfId="106" builtinId="9" hidden="1"/>
    <cellStyle name="Hipervínculo visitado" xfId="166" builtinId="9" hidden="1"/>
    <cellStyle name="Hipervínculo visitado" xfId="100" builtinId="9" hidden="1"/>
    <cellStyle name="Hipervínculo visitado" xfId="116" builtinId="9" hidden="1"/>
    <cellStyle name="Hipervínculo visitado" xfId="110" builtinId="9" hidden="1"/>
    <cellStyle name="Hipervínculo visitado" xfId="89" builtinId="9" hidden="1"/>
    <cellStyle name="Hipervínculo visitado" xfId="81" builtinId="9" hidden="1"/>
    <cellStyle name="Hipervínculo visitado" xfId="93" builtinId="9" hidden="1"/>
    <cellStyle name="Hipervínculo visitado" xfId="143" builtinId="9" hidden="1"/>
    <cellStyle name="Hipervínculo visitado" xfId="118" builtinId="9" hidden="1"/>
    <cellStyle name="Hipervínculo visitado" xfId="88" builtinId="9" hidden="1"/>
    <cellStyle name="Hipervínculo visitado" xfId="136" builtinId="9" hidden="1"/>
    <cellStyle name="Hipervínculo visitado" xfId="142" builtinId="9" hidden="1"/>
    <cellStyle name="Hipervínculo visitado" xfId="90" builtinId="9" hidden="1"/>
    <cellStyle name="Hipervínculo visitado" xfId="137" builtinId="9" hidden="1"/>
    <cellStyle name="Hipervínculo visitado" xfId="157" builtinId="9" hidden="1"/>
    <cellStyle name="Hipervínculo visitado" xfId="83" builtinId="9" hidden="1"/>
    <cellStyle name="Hipervínculo visitado" xfId="133" builtinId="9" hidden="1"/>
    <cellStyle name="Hipervínculo visitado" xfId="184" builtinId="9" hidden="1"/>
    <cellStyle name="Hipervínculo visitado" xfId="181" builtinId="9" hidden="1"/>
    <cellStyle name="Hipervínculo visitado" xfId="165" builtinId="9" hidden="1"/>
    <cellStyle name="Hipervínculo visitado" xfId="187" builtinId="9" hidden="1"/>
    <cellStyle name="Hipervínculo visitado" xfId="135" builtinId="9" hidden="1"/>
    <cellStyle name="Hipervínculo visitado" xfId="153" builtinId="9" hidden="1"/>
    <cellStyle name="Hipervínculo visitado" xfId="126" builtinId="9" hidden="1"/>
    <cellStyle name="Hipervínculo visitado" xfId="120" builtinId="9" hidden="1"/>
    <cellStyle name="Hipervínculo visitado" xfId="113" builtinId="9" hidden="1"/>
    <cellStyle name="Hipervínculo visitado" xfId="149" builtinId="9" hidden="1"/>
    <cellStyle name="Hipervínculo visitado" xfId="107" builtinId="9" hidden="1"/>
    <cellStyle name="Hipervínculo visitado" xfId="132" builtinId="9" hidden="1"/>
    <cellStyle name="Hipervínculo visitado" xfId="164" builtinId="9" hidden="1"/>
    <cellStyle name="Hipervínculo visitado" xfId="96" builtinId="9" hidden="1"/>
    <cellStyle name="Hipervínculo visitado" xfId="185" builtinId="9" hidden="1"/>
    <cellStyle name="Hipervínculo visitado" xfId="138" builtinId="9" hidden="1"/>
    <cellStyle name="Hipervínculo visitado" xfId="145" builtinId="9" hidden="1"/>
    <cellStyle name="Hipervínculo visitado" xfId="154" builtinId="9" hidden="1"/>
    <cellStyle name="Hipervínculo visitado" xfId="124" builtinId="9" hidden="1"/>
    <cellStyle name="Hipervínculo visitado" xfId="155" builtinId="9" hidden="1"/>
    <cellStyle name="Hipervínculo visitado" xfId="141" builtinId="9" hidden="1"/>
    <cellStyle name="Hipervínculo visitado" xfId="119" builtinId="9" hidden="1"/>
    <cellStyle name="Hipervínculo visitado" xfId="91" builtinId="9" hidden="1"/>
    <cellStyle name="Hipervínculo visitado" xfId="171" builtinId="9" hidden="1"/>
    <cellStyle name="Hipervínculo visitado" xfId="180" builtinId="9" hidden="1"/>
    <cellStyle name="Hipervínculo visitado" xfId="168" builtinId="9" hidden="1"/>
    <cellStyle name="Hipervínculo visitado" xfId="73" builtinId="9" hidden="1"/>
    <cellStyle name="Hipervínculo visitado" xfId="127" builtinId="9" hidden="1"/>
    <cellStyle name="Hipervínculo visitado" xfId="146" builtinId="9" hidden="1"/>
    <cellStyle name="Input [yellow]" xfId="34" xr:uid="{00000000-0005-0000-0000-0000A5000000}"/>
    <cellStyle name="Input [yellow] 2" xfId="35" xr:uid="{00000000-0005-0000-0000-0000A6000000}"/>
    <cellStyle name="Input Cells" xfId="36" xr:uid="{00000000-0005-0000-0000-0000A7000000}"/>
    <cellStyle name="Linked Cells" xfId="37" xr:uid="{00000000-0005-0000-0000-0000A8000000}"/>
    <cellStyle name="Millares [0]" xfId="265" builtinId="6"/>
    <cellStyle name="Millares [0] 2" xfId="5" xr:uid="{00000000-0005-0000-0000-0000AA000000}"/>
    <cellStyle name="Millares [0] 2 2" xfId="17" xr:uid="{00000000-0005-0000-0000-0000AB000000}"/>
    <cellStyle name="Millares [0] 2 2 2" xfId="196" xr:uid="{00000000-0005-0000-0000-0000AC000000}"/>
    <cellStyle name="Millares [0] 2 3" xfId="8" xr:uid="{00000000-0005-0000-0000-0000AD000000}"/>
    <cellStyle name="Millares [0] 2 3 2" xfId="194" xr:uid="{00000000-0005-0000-0000-0000AE000000}"/>
    <cellStyle name="Millares [0] 2 4" xfId="192" xr:uid="{00000000-0005-0000-0000-0000AF000000}"/>
    <cellStyle name="Millares [0] 3" xfId="70" xr:uid="{00000000-0005-0000-0000-0000B0000000}"/>
    <cellStyle name="Millares 10" xfId="208" xr:uid="{00000000-0005-0000-0000-0000B1000000}"/>
    <cellStyle name="Millares 11" xfId="218" xr:uid="{00000000-0005-0000-0000-0000B2000000}"/>
    <cellStyle name="Millares 12" xfId="245" xr:uid="{00000000-0005-0000-0000-0000B3000000}"/>
    <cellStyle name="Millares 13" xfId="258" xr:uid="{00000000-0005-0000-0000-0000B4000000}"/>
    <cellStyle name="Millares 14" xfId="255" xr:uid="{00000000-0005-0000-0000-0000B5000000}"/>
    <cellStyle name="Millares 15" xfId="211" xr:uid="{00000000-0005-0000-0000-0000B6000000}"/>
    <cellStyle name="Millares 16" xfId="253" xr:uid="{00000000-0005-0000-0000-0000B7000000}"/>
    <cellStyle name="Millares 17" xfId="250" xr:uid="{00000000-0005-0000-0000-0000B8000000}"/>
    <cellStyle name="Millares 18" xfId="246" xr:uid="{00000000-0005-0000-0000-0000B9000000}"/>
    <cellStyle name="Millares 19" xfId="242" xr:uid="{00000000-0005-0000-0000-0000BA000000}"/>
    <cellStyle name="Millares 2" xfId="15" xr:uid="{00000000-0005-0000-0000-0000BB000000}"/>
    <cellStyle name="Millares 2 2" xfId="38" xr:uid="{00000000-0005-0000-0000-0000BC000000}"/>
    <cellStyle name="Millares 2 3" xfId="195" xr:uid="{00000000-0005-0000-0000-0000BD000000}"/>
    <cellStyle name="Millares 20" xfId="252" xr:uid="{00000000-0005-0000-0000-0000BE000000}"/>
    <cellStyle name="Millares 21" xfId="254" xr:uid="{00000000-0005-0000-0000-0000BF000000}"/>
    <cellStyle name="Millares 22" xfId="261" xr:uid="{00000000-0005-0000-0000-0000C0000000}"/>
    <cellStyle name="Millares 23" xfId="262" xr:uid="{00000000-0005-0000-0000-0000C1000000}"/>
    <cellStyle name="Millares 24" xfId="263" xr:uid="{00000000-0005-0000-0000-0000C2000000}"/>
    <cellStyle name="Millares 25" xfId="264" xr:uid="{00000000-0005-0000-0000-0000C3000000}"/>
    <cellStyle name="Millares 3" xfId="39" xr:uid="{00000000-0005-0000-0000-0000C4000000}"/>
    <cellStyle name="Millares 4" xfId="40" xr:uid="{00000000-0005-0000-0000-0000C5000000}"/>
    <cellStyle name="Millares 5" xfId="190" xr:uid="{00000000-0005-0000-0000-0000C6000000}"/>
    <cellStyle name="Millares 5 2" xfId="199" xr:uid="{00000000-0005-0000-0000-0000C7000000}"/>
    <cellStyle name="Millares 6" xfId="203" xr:uid="{00000000-0005-0000-0000-0000C8000000}"/>
    <cellStyle name="Millares 7" xfId="202" xr:uid="{00000000-0005-0000-0000-0000C9000000}"/>
    <cellStyle name="Millares 8" xfId="204" xr:uid="{00000000-0005-0000-0000-0000CA000000}"/>
    <cellStyle name="Millares 9" xfId="205" xr:uid="{00000000-0005-0000-0000-0000CB000000}"/>
    <cellStyle name="Milliers [0]_!!!GO" xfId="41" xr:uid="{00000000-0005-0000-0000-0000CC000000}"/>
    <cellStyle name="Milliers_!!!GO" xfId="42" xr:uid="{00000000-0005-0000-0000-0000CD000000}"/>
    <cellStyle name="Moneda 2" xfId="43" xr:uid="{00000000-0005-0000-0000-0000CF000000}"/>
    <cellStyle name="Moneda 2 2" xfId="44" xr:uid="{00000000-0005-0000-0000-0000D0000000}"/>
    <cellStyle name="Moneda 2 3" xfId="45" xr:uid="{00000000-0005-0000-0000-0000D1000000}"/>
    <cellStyle name="Moneda 2 4" xfId="46" xr:uid="{00000000-0005-0000-0000-0000D2000000}"/>
    <cellStyle name="Moneda 3" xfId="188" xr:uid="{00000000-0005-0000-0000-0000D3000000}"/>
    <cellStyle name="Moneda 5 2" xfId="7" xr:uid="{00000000-0005-0000-0000-0000D4000000}"/>
    <cellStyle name="Moneda 5 2 2" xfId="193" xr:uid="{00000000-0005-0000-0000-0000D5000000}"/>
    <cellStyle name="Monétaire [0]_!!!GO" xfId="47" xr:uid="{00000000-0005-0000-0000-0000D6000000}"/>
    <cellStyle name="Monétaire_!!!GO" xfId="48" xr:uid="{00000000-0005-0000-0000-0000D7000000}"/>
    <cellStyle name="Neutral" xfId="206" builtinId="28"/>
    <cellStyle name="Normal" xfId="0" builtinId="0"/>
    <cellStyle name="Normal - Style1" xfId="49" xr:uid="{00000000-0005-0000-0000-0000DA000000}"/>
    <cellStyle name="Normal 10" xfId="189" xr:uid="{00000000-0005-0000-0000-0000DB000000}"/>
    <cellStyle name="Normal 14" xfId="14" xr:uid="{00000000-0005-0000-0000-0000DC000000}"/>
    <cellStyle name="Normal 2" xfId="4" xr:uid="{00000000-0005-0000-0000-0000DD000000}"/>
    <cellStyle name="Normal 2 2" xfId="13" xr:uid="{00000000-0005-0000-0000-0000DE000000}"/>
    <cellStyle name="Normal 2 3" xfId="232" xr:uid="{00000000-0005-0000-0000-0000DF000000}"/>
    <cellStyle name="Normal 2 4" xfId="214" xr:uid="{00000000-0005-0000-0000-0000E0000000}"/>
    <cellStyle name="Normal 23 2" xfId="6" xr:uid="{00000000-0005-0000-0000-0000E1000000}"/>
    <cellStyle name="Normal 3" xfId="12" xr:uid="{00000000-0005-0000-0000-0000E2000000}"/>
    <cellStyle name="Normal 3 2" xfId="233" xr:uid="{00000000-0005-0000-0000-0000E3000000}"/>
    <cellStyle name="Normal 3 3" xfId="222" xr:uid="{00000000-0005-0000-0000-0000E4000000}"/>
    <cellStyle name="Normal 3 4" xfId="215" xr:uid="{00000000-0005-0000-0000-0000E5000000}"/>
    <cellStyle name="Normal 31" xfId="11" xr:uid="{00000000-0005-0000-0000-0000E6000000}"/>
    <cellStyle name="Normal 4" xfId="50" xr:uid="{00000000-0005-0000-0000-0000E7000000}"/>
    <cellStyle name="Normal 4 2" xfId="217" xr:uid="{00000000-0005-0000-0000-0000E8000000}"/>
    <cellStyle name="Normal 5" xfId="51" xr:uid="{00000000-0005-0000-0000-0000E9000000}"/>
    <cellStyle name="Normal 5 2" xfId="226" xr:uid="{00000000-0005-0000-0000-0000EA000000}"/>
    <cellStyle name="Normal 6" xfId="52" xr:uid="{00000000-0005-0000-0000-0000EB000000}"/>
    <cellStyle name="Normal 6 2" xfId="220" xr:uid="{00000000-0005-0000-0000-0000EC000000}"/>
    <cellStyle name="Normal 7" xfId="3" xr:uid="{00000000-0005-0000-0000-0000ED000000}"/>
    <cellStyle name="Normal 8" xfId="207" xr:uid="{00000000-0005-0000-0000-0000EE000000}"/>
    <cellStyle name="Normal 9 2" xfId="16" xr:uid="{00000000-0005-0000-0000-0000EF000000}"/>
    <cellStyle name="Normal_PA 2" xfId="191" xr:uid="{00000000-0005-0000-0000-0000F0000000}"/>
    <cellStyle name="Normal_PEP" xfId="2" xr:uid="{00000000-0005-0000-0000-0000F1000000}"/>
    <cellStyle name="NOTAS - Style3" xfId="53" xr:uid="{00000000-0005-0000-0000-0000F2000000}"/>
    <cellStyle name="Œ…‹æØ‚è [0.00]_!!!GO" xfId="54" xr:uid="{00000000-0005-0000-0000-0000F3000000}"/>
    <cellStyle name="Œ…‹æØ‚è_!!!GO" xfId="55" xr:uid="{00000000-0005-0000-0000-0000F4000000}"/>
    <cellStyle name="PEN-Cuerpo-no dec" xfId="56" xr:uid="{00000000-0005-0000-0000-0000F5000000}"/>
    <cellStyle name="PEN-Encabezado" xfId="57" xr:uid="{00000000-0005-0000-0000-0000F6000000}"/>
    <cellStyle name="PEN-Fuente" xfId="58" xr:uid="{00000000-0005-0000-0000-0000F7000000}"/>
    <cellStyle name="PEN-Titulo" xfId="59" xr:uid="{00000000-0005-0000-0000-0000F8000000}"/>
    <cellStyle name="per.style" xfId="60" xr:uid="{00000000-0005-0000-0000-0000F9000000}"/>
    <cellStyle name="Percent" xfId="210" xr:uid="{00000000-0005-0000-0000-0000FA000000}"/>
    <cellStyle name="Percent [2]" xfId="61" xr:uid="{00000000-0005-0000-0000-0000FB000000}"/>
    <cellStyle name="Percent 2" xfId="225" xr:uid="{00000000-0005-0000-0000-0000FC000000}"/>
    <cellStyle name="Percent 3" xfId="227" xr:uid="{00000000-0005-0000-0000-0000FD000000}"/>
    <cellStyle name="Percent 4" xfId="221" xr:uid="{00000000-0005-0000-0000-0000FE000000}"/>
    <cellStyle name="Percent 5" xfId="234" xr:uid="{00000000-0005-0000-0000-0000FF000000}"/>
    <cellStyle name="Porcentaje" xfId="266" builtinId="5"/>
    <cellStyle name="Porcentaje 2" xfId="10" xr:uid="{00000000-0005-0000-0000-000001010000}"/>
    <cellStyle name="Porcentaje 4 2" xfId="9" xr:uid="{00000000-0005-0000-0000-000002010000}"/>
    <cellStyle name="pricing" xfId="62" xr:uid="{00000000-0005-0000-0000-000003010000}"/>
    <cellStyle name="pricing 2" xfId="197" xr:uid="{00000000-0005-0000-0000-000004010000}"/>
    <cellStyle name="PSChar" xfId="63" xr:uid="{00000000-0005-0000-0000-000005010000}"/>
    <cellStyle name="RECUAD - Style4" xfId="64" xr:uid="{00000000-0005-0000-0000-000006010000}"/>
    <cellStyle name="RECUAD - Style5" xfId="65" xr:uid="{00000000-0005-0000-0000-000007010000}"/>
    <cellStyle name="RevList" xfId="66" xr:uid="{00000000-0005-0000-0000-000008010000}"/>
    <cellStyle name="Subtotal" xfId="67" xr:uid="{00000000-0005-0000-0000-000009010000}"/>
    <cellStyle name="TITULO - Style5" xfId="68" xr:uid="{00000000-0005-0000-0000-00000A010000}"/>
    <cellStyle name="TITULO - Style6" xfId="69" xr:uid="{00000000-0005-0000-0000-00000B010000}"/>
  </cellStyles>
  <dxfs count="672">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000"/>
        </patternFill>
      </fill>
    </dxf>
    <dxf>
      <font>
        <color rgb="FF006100"/>
      </font>
      <fill>
        <patternFill>
          <bgColor rgb="FFC6EFCE"/>
        </patternFill>
      </fill>
    </dxf>
    <dxf>
      <fill>
        <patternFill>
          <bgColor rgb="FF00B0F0"/>
        </patternFill>
      </fill>
    </dxf>
    <dxf>
      <fill>
        <patternFill>
          <bgColor rgb="FF7030A0"/>
        </patternFill>
      </fill>
    </dxf>
    <dxf>
      <fill>
        <patternFill>
          <bgColor rgb="FF996633"/>
        </patternFill>
      </fill>
    </dxf>
    <dxf>
      <fill>
        <patternFill>
          <bgColor theme="3" tint="0.749961851863155"/>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000"/>
        </patternFill>
      </fill>
    </dxf>
    <dxf>
      <font>
        <color rgb="FF006100"/>
      </font>
      <fill>
        <patternFill>
          <bgColor rgb="FFC6EFCE"/>
        </patternFill>
      </fill>
    </dxf>
    <dxf>
      <fill>
        <patternFill>
          <bgColor rgb="FF00B0F0"/>
        </patternFill>
      </fill>
    </dxf>
    <dxf>
      <fill>
        <patternFill>
          <bgColor rgb="FF7030A0"/>
        </patternFill>
      </fill>
    </dxf>
    <dxf>
      <fill>
        <patternFill>
          <bgColor rgb="FF996633"/>
        </patternFill>
      </fill>
    </dxf>
    <dxf>
      <fill>
        <patternFill>
          <bgColor theme="3" tint="0.749961851863155"/>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ill>
        <patternFill>
          <bgColor rgb="FFFFC000"/>
        </patternFill>
      </fill>
    </dxf>
    <dxf>
      <font>
        <color rgb="FF006100"/>
      </font>
      <fill>
        <patternFill>
          <bgColor rgb="FFC6EFCE"/>
        </patternFill>
      </fill>
    </dxf>
    <dxf>
      <fill>
        <patternFill>
          <bgColor rgb="FF00B0F0"/>
        </patternFill>
      </fill>
    </dxf>
    <dxf>
      <fill>
        <patternFill>
          <bgColor rgb="FF7030A0"/>
        </patternFill>
      </fill>
    </dxf>
    <dxf>
      <fill>
        <patternFill>
          <bgColor rgb="FF996633"/>
        </patternFill>
      </fill>
    </dxf>
    <dxf>
      <fill>
        <patternFill>
          <bgColor theme="3" tint="0.749961851863155"/>
        </patternFill>
      </fill>
    </dxf>
    <dxf>
      <fill>
        <patternFill>
          <bgColor theme="0" tint="-0.24994659260841701"/>
        </patternFill>
      </fill>
    </dxf>
    <dxf>
      <font>
        <color rgb="FF9C0006"/>
      </font>
      <fill>
        <patternFill>
          <bgColor rgb="FFFFC7CE"/>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C0006"/>
      </font>
      <fill>
        <patternFill>
          <bgColor rgb="FFFFC7CE"/>
        </patternFill>
      </fill>
    </dxf>
    <dxf>
      <font>
        <color rgb="FF9C0006"/>
      </font>
      <fill>
        <patternFill>
          <bgColor rgb="FFFFC7CE"/>
        </patternFill>
      </fill>
    </dxf>
    <dxf>
      <font>
        <color rgb="FF92D050"/>
      </font>
      <fill>
        <patternFill>
          <bgColor rgb="FF92D050"/>
        </patternFill>
      </fill>
    </dxf>
    <dxf>
      <font>
        <color rgb="FF92D050"/>
      </font>
      <fill>
        <patternFill>
          <bgColor rgb="FF92D050"/>
        </patternFill>
      </fill>
    </dxf>
    <dxf>
      <font>
        <color rgb="FF9C0006"/>
      </font>
      <fill>
        <patternFill>
          <bgColor rgb="FFFFC7CE"/>
        </patternFill>
      </fill>
    </dxf>
    <dxf>
      <font>
        <color rgb="FF9C0006"/>
      </font>
      <fill>
        <patternFill>
          <bgColor rgb="FFFFC7CE"/>
        </patternFill>
      </fill>
    </dxf>
    <dxf>
      <font>
        <color rgb="FF92D050"/>
      </font>
      <fill>
        <patternFill>
          <bgColor rgb="FF92D050"/>
        </patternFill>
      </fill>
    </dxf>
    <dxf>
      <font>
        <color rgb="FF92D050"/>
      </font>
      <fill>
        <patternFill>
          <bgColor rgb="FF92D050"/>
        </patternFill>
      </fill>
    </dxf>
    <dxf>
      <font>
        <color rgb="FF9C0006"/>
      </font>
      <fill>
        <patternFill>
          <bgColor rgb="FFFFC7CE"/>
        </patternFill>
      </fill>
    </dxf>
    <dxf>
      <font>
        <color rgb="FF92D050"/>
      </font>
      <fill>
        <patternFill>
          <bgColor rgb="FF92D050"/>
        </patternFill>
      </fill>
    </dxf>
    <dxf>
      <font>
        <color rgb="FF92D05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C0006"/>
      </font>
      <fill>
        <patternFill>
          <bgColor rgb="FFFFC7CE"/>
        </patternFill>
      </fill>
    </dxf>
    <dxf>
      <font>
        <color rgb="FF9C0006"/>
      </font>
      <fill>
        <patternFill>
          <bgColor rgb="FFFFC7CE"/>
        </patternFill>
      </fill>
    </dxf>
    <dxf>
      <font>
        <color rgb="FF92D050"/>
      </font>
      <fill>
        <patternFill>
          <bgColor rgb="FF92D050"/>
        </patternFill>
      </fill>
    </dxf>
    <dxf>
      <font>
        <color rgb="FF92D050"/>
      </font>
      <fill>
        <patternFill>
          <bgColor rgb="FF92D050"/>
        </patternFill>
      </fill>
    </dxf>
    <dxf>
      <font>
        <color rgb="FF9C0006"/>
      </font>
      <fill>
        <patternFill>
          <bgColor rgb="FFFFC7CE"/>
        </patternFill>
      </fill>
    </dxf>
    <dxf>
      <font>
        <color rgb="FF9C0006"/>
      </font>
      <fill>
        <patternFill>
          <bgColor rgb="FFFFC7CE"/>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alignment horizontal="center" textRotation="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none">
          <fgColor rgb="FFD9D9D9"/>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rgb="FFD9D9D9"/>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rgb="FFD9D9D9"/>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rgb="FFD9D9D9"/>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rgb="FF000000"/>
        <name val="Calibri"/>
        <scheme val="none"/>
      </font>
      <fill>
        <patternFill patternType="none">
          <fgColor rgb="FFD9D9D9"/>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20" formatCode="d\-mmm\-yy"/>
      <fill>
        <patternFill patternType="none">
          <fgColor rgb="FFD9D9D9"/>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none"/>
      </font>
      <numFmt numFmtId="20" formatCode="d\-mmm\-yy"/>
      <fill>
        <patternFill patternType="none">
          <fgColor rgb="FFD9D9D9"/>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none"/>
      </font>
      <fill>
        <patternFill patternType="none">
          <fgColor rgb="FFD9D9D9"/>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202" formatCode="_(&quot;$&quot;* #,##0_);_(&quot;$&quot;* \(#,##0\);_(&quot;$&quot;* &quot;-&quot;??_);_(@_)"/>
      <fill>
        <patternFill patternType="none">
          <fgColor rgb="FFD9D9D9"/>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rgb="FFD9D9D9"/>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scheme val="none"/>
      </font>
      <fill>
        <patternFill patternType="none">
          <fgColor rgb="FFD9D9D9"/>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rgb="FF363636"/>
        <name val="Arial"/>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rgb="FF363636"/>
        <name val="Arial"/>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rgb="FF363636"/>
        <name val="Arial"/>
        <scheme val="none"/>
      </font>
      <fill>
        <patternFill patternType="none">
          <fgColor indexed="64"/>
          <bgColor auto="1"/>
        </patternFill>
      </fill>
      <alignment horizontal="center" vertical="center" textRotation="0" wrapText="1" indent="0" justifyLastLine="0" shrinkToFit="0" readingOrder="0"/>
    </dxf>
    <dxf>
      <fill>
        <patternFill patternType="solid">
          <fgColor rgb="FFFFC000"/>
          <bgColor rgb="FF000000"/>
        </patternFill>
      </fill>
    </dxf>
    <dxf>
      <fill>
        <patternFill patternType="none">
          <bgColor auto="1"/>
        </patternFill>
      </fill>
    </dxf>
    <dxf>
      <font>
        <b/>
        <i val="0"/>
        <strike val="0"/>
        <condense val="0"/>
        <extend val="0"/>
        <outline val="0"/>
        <shadow val="0"/>
        <u val="none"/>
        <vertAlign val="baseline"/>
        <sz val="10"/>
        <color rgb="FF363636"/>
        <name val="Arial"/>
        <scheme val="none"/>
      </font>
      <fill>
        <patternFill patternType="none">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ill>
        <patternFill>
          <bgColor theme="0" tint="-0.34946745200964385"/>
        </patternFill>
      </fill>
    </dxf>
  </dxfs>
  <tableStyles count="2" defaultTableStyle="TableStyleMedium2" defaultPivotStyle="PivotStyleLight16">
    <tableStyle name="Invisible" pivot="0" table="0" count="0" xr9:uid="{D867564A-424A-434E-977C-9B607C3FEF98}"/>
    <tableStyle name="Slicer Style 1" pivot="0" table="0" count="1" xr9:uid="{00000000-0011-0000-FFFF-FFFF00000000}">
      <tableStyleElement type="wholeTable" dxfId="671"/>
    </tableStyle>
  </tableStyles>
  <colors>
    <mruColors>
      <color rgb="FF99CC00"/>
      <color rgb="FFEDED00"/>
      <color rgb="FF7030A0"/>
      <color rgb="FFFF66FF"/>
      <color rgb="FFF2F2F2"/>
      <color rgb="FFBDD7EE"/>
      <color rgb="FFE4EEF8"/>
      <color rgb="FFEAF2FA"/>
      <color rgb="FF203764"/>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eetMetadata" Target="metadata.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PY"/>
              <a:t>Curva S Unidad</a:t>
            </a:r>
            <a:r>
              <a:rPr lang="es-PY" baseline="0"/>
              <a:t> Coordinadora del Programa - MH</a:t>
            </a:r>
            <a:endParaRPr lang="es-PY"/>
          </a:p>
        </c:rich>
      </c:tx>
      <c:layout>
        <c:manualLayout>
          <c:xMode val="edge"/>
          <c:yMode val="edge"/>
          <c:x val="0.161603386987585"/>
          <c:y val="3.8747387981460997E-2"/>
        </c:manualLayout>
      </c:layout>
      <c:overlay val="0"/>
    </c:title>
    <c:autoTitleDeleted val="0"/>
    <c:plotArea>
      <c:layout>
        <c:manualLayout>
          <c:layoutTarget val="inner"/>
          <c:xMode val="edge"/>
          <c:yMode val="edge"/>
          <c:x val="0.13293241516919599"/>
          <c:y val="3.1280015617882503E-2"/>
          <c:w val="0.646107130747825"/>
          <c:h val="0.77628587849677533"/>
        </c:manualLayout>
      </c:layout>
      <c:barChart>
        <c:barDir val="col"/>
        <c:grouping val="clustered"/>
        <c:varyColors val="0"/>
        <c:ser>
          <c:idx val="1"/>
          <c:order val="1"/>
          <c:tx>
            <c:v>Valor Anual</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'7_Curva S'!$C$7:$H$7</c:f>
              <c:numCache>
                <c:formatCode>_-"$"* #,##0_-;\-"$"* #,##0_-;_-"$"*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5FA-4E92-86EB-1D438532E85E}"/>
            </c:ext>
          </c:extLst>
        </c:ser>
        <c:dLbls>
          <c:showLegendKey val="0"/>
          <c:showVal val="0"/>
          <c:showCatName val="0"/>
          <c:showSerName val="0"/>
          <c:showPercent val="0"/>
          <c:showBubbleSize val="0"/>
        </c:dLbls>
        <c:gapWidth val="150"/>
        <c:axId val="141484824"/>
        <c:axId val="141482864"/>
      </c:barChart>
      <c:lineChart>
        <c:grouping val="standard"/>
        <c:varyColors val="0"/>
        <c:ser>
          <c:idx val="0"/>
          <c:order val="0"/>
          <c:tx>
            <c:v>Valor Acumulado</c:v>
          </c:tx>
          <c:spPr>
            <a:ln>
              <a:solidFill>
                <a:schemeClr val="accent1">
                  <a:lumMod val="75000"/>
                </a:schemeClr>
              </a:solidFill>
            </a:ln>
          </c:spPr>
          <c:marker>
            <c:symbol val="none"/>
          </c:marker>
          <c:cat>
            <c:strRef>
              <c:f>'7_Curva S'!$C$6:$H$6</c:f>
              <c:strCache>
                <c:ptCount val="6"/>
                <c:pt idx="0">
                  <c:v>Año 1*
2023</c:v>
                </c:pt>
                <c:pt idx="1">
                  <c:v>Año 2
2024</c:v>
                </c:pt>
                <c:pt idx="2">
                  <c:v>Año 3
2025</c:v>
                </c:pt>
                <c:pt idx="3">
                  <c:v>Año 4
2026</c:v>
                </c:pt>
                <c:pt idx="4">
                  <c:v>Año 5
2027</c:v>
                </c:pt>
                <c:pt idx="5">
                  <c:v>Año 6*
2028</c:v>
                </c:pt>
              </c:strCache>
            </c:strRef>
          </c:cat>
          <c:val>
            <c:numRef>
              <c:f>'7_Curva S'!$C$8:$H$8</c:f>
              <c:numCache>
                <c:formatCode>_-"$"* #,##0_-;\-"$"* #,##0_-;_-"$"* "-"??_-;_-@_-</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CB56-4541-9275-CA63F3CF0E9E}"/>
            </c:ext>
          </c:extLst>
        </c:ser>
        <c:dLbls>
          <c:showLegendKey val="0"/>
          <c:showVal val="0"/>
          <c:showCatName val="0"/>
          <c:showSerName val="0"/>
          <c:showPercent val="0"/>
          <c:showBubbleSize val="0"/>
        </c:dLbls>
        <c:marker val="1"/>
        <c:smooth val="0"/>
        <c:axId val="141484824"/>
        <c:axId val="141482864"/>
      </c:lineChart>
      <c:catAx>
        <c:axId val="141484824"/>
        <c:scaling>
          <c:orientation val="minMax"/>
        </c:scaling>
        <c:delete val="0"/>
        <c:axPos val="b"/>
        <c:numFmt formatCode="General" sourceLinked="0"/>
        <c:majorTickMark val="out"/>
        <c:minorTickMark val="none"/>
        <c:tickLblPos val="nextTo"/>
        <c:crossAx val="141482864"/>
        <c:crosses val="autoZero"/>
        <c:auto val="1"/>
        <c:lblAlgn val="ctr"/>
        <c:lblOffset val="100"/>
        <c:noMultiLvlLbl val="0"/>
      </c:catAx>
      <c:valAx>
        <c:axId val="141482864"/>
        <c:scaling>
          <c:orientation val="minMax"/>
        </c:scaling>
        <c:delete val="0"/>
        <c:axPos val="l"/>
        <c:majorGridlines/>
        <c:numFmt formatCode="_-&quot;$&quot;* #,##0_-;\-&quot;$&quot;* #,##0_-;_-&quot;$&quot;* &quot;-&quot;??_-;_-@_-" sourceLinked="1"/>
        <c:majorTickMark val="out"/>
        <c:minorTickMark val="none"/>
        <c:tickLblPos val="nextTo"/>
        <c:crossAx val="1414848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PY"/>
              <a:t>Curva S Unidad</a:t>
            </a:r>
            <a:r>
              <a:rPr lang="es-PY" baseline="0"/>
              <a:t> Coordinadora del Programa - MH</a:t>
            </a:r>
            <a:endParaRPr lang="es-PY"/>
          </a:p>
        </c:rich>
      </c:tx>
      <c:layout>
        <c:manualLayout>
          <c:xMode val="edge"/>
          <c:yMode val="edge"/>
          <c:x val="0.161603386987585"/>
          <c:y val="3.8747387981460997E-2"/>
        </c:manualLayout>
      </c:layout>
      <c:overlay val="0"/>
    </c:title>
    <c:autoTitleDeleted val="0"/>
    <c:plotArea>
      <c:layout>
        <c:manualLayout>
          <c:layoutTarget val="inner"/>
          <c:xMode val="edge"/>
          <c:yMode val="edge"/>
          <c:x val="0.13293241516919599"/>
          <c:y val="3.1280015617882503E-2"/>
          <c:w val="0.646107130747825"/>
          <c:h val="0.77628587849677533"/>
        </c:manualLayout>
      </c:layout>
      <c:barChart>
        <c:barDir val="col"/>
        <c:grouping val="clustered"/>
        <c:varyColors val="0"/>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'7_Curva S'!$L$7:$Q$7</c:f>
              <c:numCache>
                <c:formatCode>_-"$"* #,##0_-;\-"$"* #,##0_-;_-"$"*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244-4F11-8411-36508D87DEB3}"/>
            </c:ext>
          </c:extLst>
        </c:ser>
        <c:dLbls>
          <c:showLegendKey val="0"/>
          <c:showVal val="0"/>
          <c:showCatName val="0"/>
          <c:showSerName val="0"/>
          <c:showPercent val="0"/>
          <c:showBubbleSize val="0"/>
        </c:dLbls>
        <c:gapWidth val="150"/>
        <c:axId val="141484824"/>
        <c:axId val="141482864"/>
      </c:barChart>
      <c:lineChart>
        <c:grouping val="standard"/>
        <c:varyColors val="0"/>
        <c:ser>
          <c:idx val="0"/>
          <c:order val="0"/>
          <c:marker>
            <c:symbol val="none"/>
          </c:marker>
          <c:cat>
            <c:strRef>
              <c:f>'7_Curva S'!$L$6:$Q$6</c:f>
              <c:strCache>
                <c:ptCount val="6"/>
                <c:pt idx="0">
                  <c:v>Año 1*
2023</c:v>
                </c:pt>
                <c:pt idx="1">
                  <c:v>Año 2
2024</c:v>
                </c:pt>
                <c:pt idx="2">
                  <c:v>Año 3
2025</c:v>
                </c:pt>
                <c:pt idx="3">
                  <c:v>Año 4
2026</c:v>
                </c:pt>
                <c:pt idx="4">
                  <c:v>Año 5
2027</c:v>
                </c:pt>
                <c:pt idx="5">
                  <c:v>Año 6*
2028</c:v>
                </c:pt>
              </c:strCache>
            </c:strRef>
          </c:cat>
          <c:val>
            <c:numRef>
              <c:f>'7_Curva S'!$L$8:$Q$8</c:f>
              <c:numCache>
                <c:formatCode>_-"$"* #,##0_-;\-"$"* #,##0_-;_-"$"* "-"??_-;_-@_-</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7244-4F11-8411-36508D87DEB3}"/>
            </c:ext>
          </c:extLst>
        </c:ser>
        <c:dLbls>
          <c:showLegendKey val="0"/>
          <c:showVal val="0"/>
          <c:showCatName val="0"/>
          <c:showSerName val="0"/>
          <c:showPercent val="0"/>
          <c:showBubbleSize val="0"/>
        </c:dLbls>
        <c:marker val="1"/>
        <c:smooth val="0"/>
        <c:axId val="141484824"/>
        <c:axId val="141482864"/>
      </c:lineChart>
      <c:catAx>
        <c:axId val="141484824"/>
        <c:scaling>
          <c:orientation val="minMax"/>
        </c:scaling>
        <c:delete val="0"/>
        <c:axPos val="b"/>
        <c:numFmt formatCode="General" sourceLinked="0"/>
        <c:majorTickMark val="out"/>
        <c:minorTickMark val="none"/>
        <c:tickLblPos val="nextTo"/>
        <c:crossAx val="141482864"/>
        <c:crosses val="autoZero"/>
        <c:auto val="1"/>
        <c:lblAlgn val="ctr"/>
        <c:lblOffset val="100"/>
        <c:noMultiLvlLbl val="0"/>
      </c:catAx>
      <c:valAx>
        <c:axId val="141482864"/>
        <c:scaling>
          <c:orientation val="minMax"/>
        </c:scaling>
        <c:delete val="0"/>
        <c:axPos val="l"/>
        <c:majorGridlines/>
        <c:numFmt formatCode="_-&quot;$&quot;* #,##0_-;\-&quot;$&quot;* #,##0_-;_-&quot;$&quot;* &quot;-&quot;??_-;_-@_-" sourceLinked="1"/>
        <c:majorTickMark val="out"/>
        <c:minorTickMark val="none"/>
        <c:tickLblPos val="nextTo"/>
        <c:crossAx val="1414848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93241516919599"/>
          <c:y val="3.1280015617882503E-2"/>
          <c:w val="0.646107130747825"/>
          <c:h val="0.77628587849677533"/>
        </c:manualLayout>
      </c:layout>
      <c:barChart>
        <c:barDir val="col"/>
        <c:grouping val="clustered"/>
        <c:varyColors val="0"/>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1"/>
              <c:layout>
                <c:manualLayout>
                  <c:x val="-3.2231115048067506E-2"/>
                  <c:y val="-7.0133244328539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79-4AAD-972E-1908B1F907F2}"/>
                </c:ext>
              </c:extLst>
            </c:dLbl>
            <c:dLbl>
              <c:idx val="4"/>
              <c:layout>
                <c:manualLayout>
                  <c:x val="1.4324940021363336E-2"/>
                  <c:y val="-9.8186542059955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79-4AAD-972E-1908B1F907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'7_Curva S'!$Y$7:$AD$7</c:f>
              <c:numCache>
                <c:formatCode>_-"$"* #,##0_-;\-"$"* #,##0_-;_-"$"*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E99-413A-B0C7-BDBFBCC03065}"/>
            </c:ext>
          </c:extLst>
        </c:ser>
        <c:dLbls>
          <c:showLegendKey val="0"/>
          <c:showVal val="0"/>
          <c:showCatName val="0"/>
          <c:showSerName val="0"/>
          <c:showPercent val="0"/>
          <c:showBubbleSize val="0"/>
        </c:dLbls>
        <c:gapWidth val="150"/>
        <c:axId val="141484824"/>
        <c:axId val="141482864"/>
      </c:barChart>
      <c:lineChart>
        <c:grouping val="standard"/>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1"/>
              <c:layout>
                <c:manualLayout>
                  <c:x val="8.3562150124619899E-3"/>
                  <c:y val="-0.154293137522787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79-4AAD-972E-1908B1F907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'7_Curva S'!$Y$6:$AD$6</c:f>
              <c:strCache>
                <c:ptCount val="6"/>
                <c:pt idx="0">
                  <c:v>Año 1*
2023</c:v>
                </c:pt>
                <c:pt idx="1">
                  <c:v>Año 2
2024</c:v>
                </c:pt>
                <c:pt idx="2">
                  <c:v>Año 3
2025</c:v>
                </c:pt>
                <c:pt idx="3">
                  <c:v>Año 4
2026</c:v>
                </c:pt>
                <c:pt idx="4">
                  <c:v>Año 5
2027</c:v>
                </c:pt>
                <c:pt idx="5">
                  <c:v>Año 6*
2028</c:v>
                </c:pt>
              </c:strCache>
            </c:strRef>
          </c:cat>
          <c:val>
            <c:numRef>
              <c:f>'7_Curva S'!$Y$8:$AD$8</c:f>
              <c:numCache>
                <c:formatCode>_-"$"* #,##0_-;\-"$"* #,##0_-;_-"$"* "-"??_-;_-@_-</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5E99-413A-B0C7-BDBFBCC03065}"/>
            </c:ext>
          </c:extLst>
        </c:ser>
        <c:dLbls>
          <c:showLegendKey val="0"/>
          <c:showVal val="0"/>
          <c:showCatName val="0"/>
          <c:showSerName val="0"/>
          <c:showPercent val="0"/>
          <c:showBubbleSize val="0"/>
        </c:dLbls>
        <c:marker val="1"/>
        <c:smooth val="0"/>
        <c:axId val="141484824"/>
        <c:axId val="141482864"/>
      </c:lineChart>
      <c:catAx>
        <c:axId val="141484824"/>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DO"/>
          </a:p>
        </c:txPr>
        <c:crossAx val="141482864"/>
        <c:crosses val="autoZero"/>
        <c:auto val="1"/>
        <c:lblAlgn val="ctr"/>
        <c:lblOffset val="100"/>
        <c:noMultiLvlLbl val="0"/>
      </c:catAx>
      <c:valAx>
        <c:axId val="141482864"/>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DO"/>
          </a:p>
        </c:txPr>
        <c:crossAx val="141484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D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86139</xdr:rowOff>
    </xdr:from>
    <xdr:to>
      <xdr:col>14</xdr:col>
      <xdr:colOff>67144</xdr:colOff>
      <xdr:row>26</xdr:row>
      <xdr:rowOff>144177</xdr:rowOff>
    </xdr:to>
    <xdr:pic>
      <xdr:nvPicPr>
        <xdr:cNvPr id="2" name="Imagen 1">
          <a:extLst>
            <a:ext uri="{FF2B5EF4-FFF2-40B4-BE49-F238E27FC236}">
              <a16:creationId xmlns:a16="http://schemas.microsoft.com/office/drawing/2014/main" id="{492D4B21-4575-E1D1-5183-ACC0B4A2532F}"/>
            </a:ext>
          </a:extLst>
        </xdr:cNvPr>
        <xdr:cNvPicPr>
          <a:picLocks noChangeAspect="1"/>
        </xdr:cNvPicPr>
      </xdr:nvPicPr>
      <xdr:blipFill>
        <a:blip xmlns:r="http://schemas.openxmlformats.org/officeDocument/2006/relationships" r:embed="rId1"/>
        <a:stretch>
          <a:fillRect/>
        </a:stretch>
      </xdr:blipFill>
      <xdr:spPr>
        <a:xfrm>
          <a:off x="0" y="470452"/>
          <a:ext cx="11013440" cy="45107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487680</xdr:colOff>
      <xdr:row>2</xdr:row>
      <xdr:rowOff>99060</xdr:rowOff>
    </xdr:from>
    <xdr:to>
      <xdr:col>13</xdr:col>
      <xdr:colOff>419300</xdr:colOff>
      <xdr:row>26</xdr:row>
      <xdr:rowOff>135572</xdr:rowOff>
    </xdr:to>
    <xdr:pic>
      <xdr:nvPicPr>
        <xdr:cNvPr id="2" name="Imagen 1">
          <a:extLst>
            <a:ext uri="{FF2B5EF4-FFF2-40B4-BE49-F238E27FC236}">
              <a16:creationId xmlns:a16="http://schemas.microsoft.com/office/drawing/2014/main" id="{650F5C93-D5DE-F09B-A533-732F89856CD6}"/>
            </a:ext>
          </a:extLst>
        </xdr:cNvPr>
        <xdr:cNvPicPr>
          <a:picLocks noChangeAspect="1"/>
        </xdr:cNvPicPr>
      </xdr:nvPicPr>
      <xdr:blipFill>
        <a:blip xmlns:r="http://schemas.openxmlformats.org/officeDocument/2006/relationships" r:embed="rId1"/>
        <a:stretch>
          <a:fillRect/>
        </a:stretch>
      </xdr:blipFill>
      <xdr:spPr>
        <a:xfrm>
          <a:off x="487680" y="464820"/>
          <a:ext cx="10134800" cy="44256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114300</xdr:colOff>
      <xdr:row>39</xdr:row>
      <xdr:rowOff>19225</xdr:rowOff>
    </xdr:to>
    <xdr:pic>
      <xdr:nvPicPr>
        <xdr:cNvPr id="2" name="Imagen 1">
          <a:extLst>
            <a:ext uri="{FF2B5EF4-FFF2-40B4-BE49-F238E27FC236}">
              <a16:creationId xmlns:a16="http://schemas.microsoft.com/office/drawing/2014/main" id="{0E96F210-31BB-C237-1B41-5C6202228514}"/>
            </a:ext>
          </a:extLst>
        </xdr:cNvPr>
        <xdr:cNvPicPr>
          <a:picLocks noChangeAspect="1"/>
        </xdr:cNvPicPr>
      </xdr:nvPicPr>
      <xdr:blipFill rotWithShape="1">
        <a:blip xmlns:r="http://schemas.openxmlformats.org/officeDocument/2006/relationships" r:embed="rId1"/>
        <a:srcRect l="23748" t="9628" r="23495"/>
        <a:stretch/>
      </xdr:blipFill>
      <xdr:spPr>
        <a:xfrm>
          <a:off x="0" y="0"/>
          <a:ext cx="7677150" cy="79598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158751</xdr:colOff>
      <xdr:row>14</xdr:row>
      <xdr:rowOff>47624</xdr:rowOff>
    </xdr:from>
    <xdr:to>
      <xdr:col>9</xdr:col>
      <xdr:colOff>419100</xdr:colOff>
      <xdr:row>38</xdr:row>
      <xdr:rowOff>133350</xdr:rowOff>
    </xdr:to>
    <xdr:graphicFrame macro="">
      <xdr:nvGraphicFramePr>
        <xdr:cNvPr id="2" name="1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640080</xdr:colOff>
      <xdr:row>14</xdr:row>
      <xdr:rowOff>53340</xdr:rowOff>
    </xdr:from>
    <xdr:to>
      <xdr:col>22</xdr:col>
      <xdr:colOff>77469</xdr:colOff>
      <xdr:row>38</xdr:row>
      <xdr:rowOff>139066</xdr:rowOff>
    </xdr:to>
    <xdr:graphicFrame macro="">
      <xdr:nvGraphicFramePr>
        <xdr:cNvPr id="3" name="1 Gráfico">
          <a:extLst>
            <a:ext uri="{FF2B5EF4-FFF2-40B4-BE49-F238E27FC236}">
              <a16:creationId xmlns:a16="http://schemas.microsoft.com/office/drawing/2014/main" id="{97E6A699-E1EF-4AEB-8631-D0EED7300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439270</xdr:colOff>
      <xdr:row>14</xdr:row>
      <xdr:rowOff>62753</xdr:rowOff>
    </xdr:from>
    <xdr:to>
      <xdr:col>35</xdr:col>
      <xdr:colOff>486258</xdr:colOff>
      <xdr:row>38</xdr:row>
      <xdr:rowOff>148479</xdr:rowOff>
    </xdr:to>
    <xdr:graphicFrame macro="">
      <xdr:nvGraphicFramePr>
        <xdr:cNvPr id="4" name="1 Gráfico">
          <a:extLst>
            <a:ext uri="{FF2B5EF4-FFF2-40B4-BE49-F238E27FC236}">
              <a16:creationId xmlns:a16="http://schemas.microsoft.com/office/drawing/2014/main" id="{55A543F9-8166-415C-A9C9-A152345DB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167640</xdr:colOff>
      <xdr:row>38</xdr:row>
      <xdr:rowOff>713</xdr:rowOff>
    </xdr:to>
    <xdr:pic>
      <xdr:nvPicPr>
        <xdr:cNvPr id="2" name="Imagen 1">
          <a:extLst>
            <a:ext uri="{FF2B5EF4-FFF2-40B4-BE49-F238E27FC236}">
              <a16:creationId xmlns:a16="http://schemas.microsoft.com/office/drawing/2014/main" id="{E2C5007A-5842-4301-8245-6EE8B7ECE13C}"/>
            </a:ext>
          </a:extLst>
        </xdr:cNvPr>
        <xdr:cNvPicPr>
          <a:picLocks noChangeAspect="1"/>
        </xdr:cNvPicPr>
      </xdr:nvPicPr>
      <xdr:blipFill rotWithShape="1">
        <a:blip xmlns:r="http://schemas.openxmlformats.org/officeDocument/2006/relationships" r:embed="rId1"/>
        <a:srcRect l="14374" t="9630" r="19485" b="8148"/>
        <a:stretch/>
      </xdr:blipFill>
      <xdr:spPr>
        <a:xfrm>
          <a:off x="0" y="182880"/>
          <a:ext cx="9677400" cy="6767273"/>
        </a:xfrm>
        <a:prstGeom prst="rect">
          <a:avLst/>
        </a:prstGeom>
      </xdr:spPr>
    </xdr:pic>
    <xdr:clientData/>
  </xdr:twoCellAnchor>
  <xdr:twoCellAnchor editAs="oneCell">
    <xdr:from>
      <xdr:col>13</xdr:col>
      <xdr:colOff>275167</xdr:colOff>
      <xdr:row>0</xdr:row>
      <xdr:rowOff>0</xdr:rowOff>
    </xdr:from>
    <xdr:to>
      <xdr:col>31</xdr:col>
      <xdr:colOff>642195</xdr:colOff>
      <xdr:row>45</xdr:row>
      <xdr:rowOff>713</xdr:rowOff>
    </xdr:to>
    <xdr:pic>
      <xdr:nvPicPr>
        <xdr:cNvPr id="3" name="Imagen 2">
          <a:extLst>
            <a:ext uri="{FF2B5EF4-FFF2-40B4-BE49-F238E27FC236}">
              <a16:creationId xmlns:a16="http://schemas.microsoft.com/office/drawing/2014/main" id="{F9646277-4CA4-4290-D213-1C6B0CBBDC95}"/>
            </a:ext>
          </a:extLst>
        </xdr:cNvPr>
        <xdr:cNvPicPr>
          <a:picLocks noChangeAspect="1"/>
        </xdr:cNvPicPr>
      </xdr:nvPicPr>
      <xdr:blipFill>
        <a:blip xmlns:r="http://schemas.openxmlformats.org/officeDocument/2006/relationships" r:embed="rId2"/>
        <a:stretch>
          <a:fillRect/>
        </a:stretch>
      </xdr:blipFill>
      <xdr:spPr>
        <a:xfrm>
          <a:off x="10181167" y="0"/>
          <a:ext cx="14083028" cy="80969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133</xdr:row>
      <xdr:rowOff>102495</xdr:rowOff>
    </xdr:from>
    <xdr:to>
      <xdr:col>4</xdr:col>
      <xdr:colOff>1171645</xdr:colOff>
      <xdr:row>165</xdr:row>
      <xdr:rowOff>109341</xdr:rowOff>
    </xdr:to>
    <xdr:pic>
      <xdr:nvPicPr>
        <xdr:cNvPr id="2" name="Imagen 1">
          <a:extLst>
            <a:ext uri="{FF2B5EF4-FFF2-40B4-BE49-F238E27FC236}">
              <a16:creationId xmlns:a16="http://schemas.microsoft.com/office/drawing/2014/main" id="{62EE7A45-3BC9-4037-8D12-F46C3461165E}"/>
            </a:ext>
          </a:extLst>
        </xdr:cNvPr>
        <xdr:cNvPicPr>
          <a:picLocks noChangeAspect="1"/>
        </xdr:cNvPicPr>
      </xdr:nvPicPr>
      <xdr:blipFill>
        <a:blip xmlns:r="http://schemas.openxmlformats.org/officeDocument/2006/relationships" r:embed="rId1"/>
        <a:stretch>
          <a:fillRect/>
        </a:stretch>
      </xdr:blipFill>
      <xdr:spPr>
        <a:xfrm>
          <a:off x="342900" y="35230695"/>
          <a:ext cx="9613054" cy="6346689"/>
        </a:xfrm>
        <a:prstGeom prst="rect">
          <a:avLst/>
        </a:prstGeom>
      </xdr:spPr>
    </xdr:pic>
    <xdr:clientData/>
  </xdr:twoCellAnchor>
  <xdr:twoCellAnchor editAs="oneCell">
    <xdr:from>
      <xdr:col>8</xdr:col>
      <xdr:colOff>0</xdr:colOff>
      <xdr:row>129</xdr:row>
      <xdr:rowOff>64395</xdr:rowOff>
    </xdr:from>
    <xdr:to>
      <xdr:col>16</xdr:col>
      <xdr:colOff>649636</xdr:colOff>
      <xdr:row>160</xdr:row>
      <xdr:rowOff>101330</xdr:rowOff>
    </xdr:to>
    <xdr:pic>
      <xdr:nvPicPr>
        <xdr:cNvPr id="3" name="Imagen 2">
          <a:extLst>
            <a:ext uri="{FF2B5EF4-FFF2-40B4-BE49-F238E27FC236}">
              <a16:creationId xmlns:a16="http://schemas.microsoft.com/office/drawing/2014/main" id="{23C3F001-8654-42B0-AC52-AA4AEF101124}"/>
            </a:ext>
          </a:extLst>
        </xdr:cNvPr>
        <xdr:cNvPicPr>
          <a:picLocks noChangeAspect="1"/>
        </xdr:cNvPicPr>
      </xdr:nvPicPr>
      <xdr:blipFill>
        <a:blip xmlns:r="http://schemas.openxmlformats.org/officeDocument/2006/relationships" r:embed="rId2"/>
        <a:stretch>
          <a:fillRect/>
        </a:stretch>
      </xdr:blipFill>
      <xdr:spPr>
        <a:xfrm>
          <a:off x="11902440" y="34400115"/>
          <a:ext cx="10895826" cy="61786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471055</xdr:colOff>
      <xdr:row>0</xdr:row>
      <xdr:rowOff>0</xdr:rowOff>
    </xdr:from>
    <xdr:to>
      <xdr:col>35</xdr:col>
      <xdr:colOff>48374</xdr:colOff>
      <xdr:row>45</xdr:row>
      <xdr:rowOff>713</xdr:rowOff>
    </xdr:to>
    <xdr:pic>
      <xdr:nvPicPr>
        <xdr:cNvPr id="2" name="Imagen 1">
          <a:extLst>
            <a:ext uri="{FF2B5EF4-FFF2-40B4-BE49-F238E27FC236}">
              <a16:creationId xmlns:a16="http://schemas.microsoft.com/office/drawing/2014/main" id="{DEE0112D-34A8-E60A-34E5-7D46580873BA}"/>
            </a:ext>
          </a:extLst>
        </xdr:cNvPr>
        <xdr:cNvPicPr>
          <a:picLocks noChangeAspect="1"/>
        </xdr:cNvPicPr>
      </xdr:nvPicPr>
      <xdr:blipFill>
        <a:blip xmlns:r="http://schemas.openxmlformats.org/officeDocument/2006/relationships" r:embed="rId1"/>
        <a:stretch>
          <a:fillRect/>
        </a:stretch>
      </xdr:blipFill>
      <xdr:spPr>
        <a:xfrm>
          <a:off x="13106400" y="0"/>
          <a:ext cx="14581792" cy="8105622"/>
        </a:xfrm>
        <a:prstGeom prst="rect">
          <a:avLst/>
        </a:prstGeom>
      </xdr:spPr>
    </xdr:pic>
    <xdr:clientData/>
  </xdr:twoCellAnchor>
  <xdr:twoCellAnchor editAs="oneCell">
    <xdr:from>
      <xdr:col>0</xdr:col>
      <xdr:colOff>110836</xdr:colOff>
      <xdr:row>0</xdr:row>
      <xdr:rowOff>27709</xdr:rowOff>
    </xdr:from>
    <xdr:to>
      <xdr:col>12</xdr:col>
      <xdr:colOff>339089</xdr:colOff>
      <xdr:row>35</xdr:row>
      <xdr:rowOff>76272</xdr:rowOff>
    </xdr:to>
    <xdr:pic>
      <xdr:nvPicPr>
        <xdr:cNvPr id="3" name="Imagen 2">
          <a:extLst>
            <a:ext uri="{FF2B5EF4-FFF2-40B4-BE49-F238E27FC236}">
              <a16:creationId xmlns:a16="http://schemas.microsoft.com/office/drawing/2014/main" id="{E6132BB8-8C3E-EC9A-1EBE-797D280D5688}"/>
            </a:ext>
          </a:extLst>
        </xdr:cNvPr>
        <xdr:cNvPicPr>
          <a:picLocks noChangeAspect="1"/>
        </xdr:cNvPicPr>
      </xdr:nvPicPr>
      <xdr:blipFill>
        <a:blip xmlns:r="http://schemas.openxmlformats.org/officeDocument/2006/relationships" r:embed="rId2"/>
        <a:stretch>
          <a:fillRect/>
        </a:stretch>
      </xdr:blipFill>
      <xdr:spPr>
        <a:xfrm>
          <a:off x="110836" y="27709"/>
          <a:ext cx="9704762" cy="6352381"/>
        </a:xfrm>
        <a:prstGeom prst="rect">
          <a:avLst/>
        </a:prstGeom>
      </xdr:spPr>
    </xdr:pic>
    <xdr:clientData/>
  </xdr:twoCellAnchor>
  <xdr:twoCellAnchor editAs="oneCell">
    <xdr:from>
      <xdr:col>0</xdr:col>
      <xdr:colOff>166254</xdr:colOff>
      <xdr:row>34</xdr:row>
      <xdr:rowOff>166255</xdr:rowOff>
    </xdr:from>
    <xdr:to>
      <xdr:col>12</xdr:col>
      <xdr:colOff>270697</xdr:colOff>
      <xdr:row>57</xdr:row>
      <xdr:rowOff>80889</xdr:rowOff>
    </xdr:to>
    <xdr:pic>
      <xdr:nvPicPr>
        <xdr:cNvPr id="4" name="Imagen 3">
          <a:extLst>
            <a:ext uri="{FF2B5EF4-FFF2-40B4-BE49-F238E27FC236}">
              <a16:creationId xmlns:a16="http://schemas.microsoft.com/office/drawing/2014/main" id="{4287811C-7EFD-DCA1-A28B-BA82CBEEF31B}"/>
            </a:ext>
          </a:extLst>
        </xdr:cNvPr>
        <xdr:cNvPicPr>
          <a:picLocks noChangeAspect="1"/>
        </xdr:cNvPicPr>
      </xdr:nvPicPr>
      <xdr:blipFill>
        <a:blip xmlns:r="http://schemas.openxmlformats.org/officeDocument/2006/relationships" r:embed="rId3"/>
        <a:stretch>
          <a:fillRect/>
        </a:stretch>
      </xdr:blipFill>
      <xdr:spPr>
        <a:xfrm>
          <a:off x="166254" y="6289964"/>
          <a:ext cx="9580952" cy="4057143"/>
        </a:xfrm>
        <a:prstGeom prst="rect">
          <a:avLst/>
        </a:prstGeom>
      </xdr:spPr>
    </xdr:pic>
    <xdr:clientData/>
  </xdr:twoCellAnchor>
  <xdr:twoCellAnchor editAs="oneCell">
    <xdr:from>
      <xdr:col>0</xdr:col>
      <xdr:colOff>152401</xdr:colOff>
      <xdr:row>57</xdr:row>
      <xdr:rowOff>27709</xdr:rowOff>
    </xdr:from>
    <xdr:to>
      <xdr:col>12</xdr:col>
      <xdr:colOff>323511</xdr:colOff>
      <xdr:row>95</xdr:row>
      <xdr:rowOff>31182</xdr:rowOff>
    </xdr:to>
    <xdr:pic>
      <xdr:nvPicPr>
        <xdr:cNvPr id="7" name="Imagen 6">
          <a:extLst>
            <a:ext uri="{FF2B5EF4-FFF2-40B4-BE49-F238E27FC236}">
              <a16:creationId xmlns:a16="http://schemas.microsoft.com/office/drawing/2014/main" id="{7347004D-4D44-8F41-B38F-22C1ED29127D}"/>
            </a:ext>
          </a:extLst>
        </xdr:cNvPr>
        <xdr:cNvPicPr>
          <a:picLocks noChangeAspect="1"/>
        </xdr:cNvPicPr>
      </xdr:nvPicPr>
      <xdr:blipFill>
        <a:blip xmlns:r="http://schemas.openxmlformats.org/officeDocument/2006/relationships" r:embed="rId4"/>
        <a:stretch>
          <a:fillRect/>
        </a:stretch>
      </xdr:blipFill>
      <xdr:spPr>
        <a:xfrm>
          <a:off x="152401" y="10293927"/>
          <a:ext cx="9647619" cy="6847619"/>
        </a:xfrm>
        <a:prstGeom prst="rect">
          <a:avLst/>
        </a:prstGeom>
      </xdr:spPr>
    </xdr:pic>
    <xdr:clientData/>
  </xdr:twoCellAnchor>
  <xdr:twoCellAnchor editAs="oneCell">
    <xdr:from>
      <xdr:col>0</xdr:col>
      <xdr:colOff>55418</xdr:colOff>
      <xdr:row>96</xdr:row>
      <xdr:rowOff>152399</xdr:rowOff>
    </xdr:from>
    <xdr:to>
      <xdr:col>19</xdr:col>
      <xdr:colOff>222373</xdr:colOff>
      <xdr:row>144</xdr:row>
      <xdr:rowOff>97639</xdr:rowOff>
    </xdr:to>
    <xdr:pic>
      <xdr:nvPicPr>
        <xdr:cNvPr id="8" name="Imagen 7">
          <a:extLst>
            <a:ext uri="{FF2B5EF4-FFF2-40B4-BE49-F238E27FC236}">
              <a16:creationId xmlns:a16="http://schemas.microsoft.com/office/drawing/2014/main" id="{CA3C1980-5DA6-CD97-DFB5-728FA12770B6}"/>
            </a:ext>
          </a:extLst>
        </xdr:cNvPr>
        <xdr:cNvPicPr>
          <a:picLocks noChangeAspect="1"/>
        </xdr:cNvPicPr>
      </xdr:nvPicPr>
      <xdr:blipFill>
        <a:blip xmlns:r="http://schemas.openxmlformats.org/officeDocument/2006/relationships" r:embed="rId5"/>
        <a:stretch>
          <a:fillRect/>
        </a:stretch>
      </xdr:blipFill>
      <xdr:spPr>
        <a:xfrm>
          <a:off x="55418" y="17442872"/>
          <a:ext cx="15171428" cy="85904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274320</xdr:colOff>
      <xdr:row>1</xdr:row>
      <xdr:rowOff>175260</xdr:rowOff>
    </xdr:from>
    <xdr:to>
      <xdr:col>8</xdr:col>
      <xdr:colOff>411480</xdr:colOff>
      <xdr:row>22</xdr:row>
      <xdr:rowOff>15240</xdr:rowOff>
    </xdr:to>
    <xdr:pic>
      <xdr:nvPicPr>
        <xdr:cNvPr id="2" name="Imagen 1" descr="Vista previa de imagen">
          <a:extLst>
            <a:ext uri="{FF2B5EF4-FFF2-40B4-BE49-F238E27FC236}">
              <a16:creationId xmlns:a16="http://schemas.microsoft.com/office/drawing/2014/main" id="{5D111F8D-4D63-4117-95EC-172C0AC47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 y="358140"/>
          <a:ext cx="6477000" cy="3680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Federico Emilio Montero Lebrón" id="{FFD74A0B-1669-459A-A3AA-29A06F7BF787}" userId="S::fmontero@hacienda.gov.do::c2e79902-97df-408e-b5ea-d7283cb25747" providerId="AD"/>
  <person displayName="Judy Massiel Rojas De Jesús" id="{D8FD2C40-25E9-42EC-A583-558A642866FB}" userId="S::judrojas@hacienda.gov.do::5d321765-c503-4463-b4d5-21017192ab8b" providerId="AD"/>
  <person displayName="Raúl Antonio Barbosa Ceballos" id="{052E94C8-3EA0-47EF-8E72-F956477F1EEC}" userId="S::rbarbosa@hacienda.gov.do::5540d31c-c271-4564-97b4-14c94cdc8e99" providerId="AD"/>
  <person displayName="Marcia Mendieta" id="{B59C2A81-36F4-47C3-9DEC-9B07BA2CBCB4}" userId="S::marciam@grupovonbargen.com::af25b54d-f29b-4ec1-acc0-e533bf825b1d" providerId="AD"/>
  <person displayName="Carlos von Knobloch" id="{C2CF4157-590E-4205-9F83-28AA8295BD88}" userId="S::carlosvk@grupovonbargen.com::2401d00e-b735-460d-99a9-b02ba79a1d68" providerId="AD"/>
  <person displayName="Usuario invitado" id="{26BE5A70-F787-464E-8601-1A143BCADEE9}" userId="S::urn:spo:anon#809a85b4cab17bba929f1365848a1bbad794913c7e4a0e3ce191ac2b8521ffc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_ADQUISICIONES" displayName="TABLA_ADQUISICIONES" ref="A1:P156" totalsRowShown="0" headerRowDxfId="670" dataDxfId="669">
  <autoFilter ref="A1:P156" xr:uid="{00000000-0009-0000-0100-000001000000}"/>
  <sortState xmlns:xlrd2="http://schemas.microsoft.com/office/spreadsheetml/2017/richdata2" ref="A2:O71">
    <sortCondition sortBy="cellColor" ref="E1:E156" dxfId="668"/>
  </sortState>
  <tableColumns count="16">
    <tableColumn id="1" xr3:uid="{00000000-0010-0000-0000-000001000000}" name="componente" dataDxfId="667"/>
    <tableColumn id="2" xr3:uid="{00000000-0010-0000-0000-000002000000}" name="Sub Componente" dataDxfId="666"/>
    <tableColumn id="3" xr3:uid="{00000000-0010-0000-0000-000003000000}" name="Producto" dataDxfId="665"/>
    <tableColumn id="4" xr3:uid="{00000000-0010-0000-0000-000004000000}" name="EDT" dataDxfId="664"/>
    <tableColumn id="5" xr3:uid="{00000000-0010-0000-0000-000005000000}" name="ID PA" dataDxfId="663"/>
    <tableColumn id="6" xr3:uid="{00000000-0010-0000-0000-000006000000}" name="Actividades" dataDxfId="662"/>
    <tableColumn id="7" xr3:uid="{00000000-0010-0000-0000-000007000000}" name="Monto" dataDxfId="661"/>
    <tableColumn id="8" xr3:uid="{00000000-0010-0000-0000-000008000000}" name="Modalidad" dataDxfId="660"/>
    <tableColumn id="9" xr3:uid="{00000000-0010-0000-0000-000009000000}" name="Fecha límite prevista para P/R" dataDxfId="659"/>
    <tableColumn id="10" xr3:uid="{00000000-0010-0000-0000-00000A000000}" name="Fecha estimada de inicio de ejecución" dataDxfId="658"/>
    <tableColumn id="11" xr3:uid="{00000000-0010-0000-0000-00000B000000}" name="Estatus Adqusiciones" dataDxfId="657"/>
    <tableColumn id="12" xr3:uid="{00000000-0010-0000-0000-00000C000000}" name="Etapa " dataDxfId="656"/>
    <tableColumn id="13" xr3:uid="{00000000-0010-0000-0000-00000D000000}" name="Detalle Estatus  Adquisición" dataDxfId="655"/>
    <tableColumn id="14" xr3:uid="{00000000-0010-0000-0000-00000E000000}" name="Status P/R" dataDxfId="654"/>
    <tableColumn id="15" xr3:uid="{00000000-0010-0000-0000-00000F000000}" name="Año de Ejecución" dataDxfId="653"/>
    <tableColumn id="16" xr3:uid="{00000000-0010-0000-0000-000010000000}" name="PA FINANCIERO" dataDxfId="65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71" dT="2023-08-23T19:47:49.98" personId="{26BE5A70-F787-464E-8601-1A143BCADEE9}" id="{DCC71A3A-CE73-481D-90AF-2CF4FEA9C8D6}">
    <text>Eddy Gomera (DGIP):
Fueron eliminadas las dos filas siguientes correspondientes a los Hitos 7 y 8, por estar repetidos.</text>
  </threadedComment>
</ThreadedComments>
</file>

<file path=xl/threadedComments/threadedComment2.xml><?xml version="1.0" encoding="utf-8"?>
<ThreadedComments xmlns="http://schemas.microsoft.com/office/spreadsheetml/2018/threadedcomments" xmlns:x="http://schemas.openxmlformats.org/spreadsheetml/2006/main">
  <threadedComment ref="H132" dT="2024-08-23T15:41:29.31" personId="{D8FD2C40-25E9-42EC-A583-558A642866FB}" id="{B97C94E7-A79D-498A-9CB5-FF260254A42F}">
    <text>Esta es la línea 1.2.2.5.1, ha sido movida al paquete de trabajo 1.2.2.4 con un presupuesto de 30,000 dólares</text>
  </threadedComment>
</ThreadedComments>
</file>

<file path=xl/threadedComments/threadedComment3.xml><?xml version="1.0" encoding="utf-8"?>
<ThreadedComments xmlns="http://schemas.microsoft.com/office/spreadsheetml/2018/threadedcomments" xmlns:x="http://schemas.openxmlformats.org/spreadsheetml/2006/main">
  <threadedComment ref="W132" dT="2024-08-23T15:11:31.40" personId="{D8FD2C40-25E9-42EC-A583-558A642866FB}" id="{E489CE40-F279-40EE-9941-10C1A66EFB61}">
    <text>VALIDAR TIPO DE CONTRATACION</text>
  </threadedComment>
  <threadedComment ref="H133" dT="2024-08-23T15:41:29.31" personId="{D8FD2C40-25E9-42EC-A583-558A642866FB}" id="{B2178F10-6504-479D-9435-0D67141F3143}">
    <text>Esta es la línea 1.2.2.5.1, ha sido movida al paquete de trabajo 1.2.2.4 con un presupuesto de 30,000 dólares</text>
  </threadedComment>
  <threadedComment ref="H150" dT="2024-09-06T13:54:06.11" personId="{052E94C8-3EA0-47EF-8E72-F956477F1EEC}" id="{4809DA21-E099-45EE-B9F0-0CA79E789C1B}">
    <text xml:space="preserve">Son 10 perfiles </text>
  </threadedComment>
</ThreadedComments>
</file>

<file path=xl/threadedComments/threadedComment4.xml><?xml version="1.0" encoding="utf-8"?>
<ThreadedComments xmlns="http://schemas.microsoft.com/office/spreadsheetml/2018/threadedcomments" xmlns:x="http://schemas.openxmlformats.org/spreadsheetml/2006/main">
  <threadedComment ref="F43" dT="2024-02-01T17:55:27.68" personId="{C2CF4157-590E-4205-9F83-28AA8295BD88}" id="{9DE480A8-30CD-4F99-B17D-A3FA8CC84F50}">
    <text>En el componente 1 Estrategia de Gestión del Cambio se agregaban como paquetes de trabajo a los productos</text>
  </threadedComment>
  <threadedComment ref="F72" dT="2024-02-01T12:44:46.92" personId="{C2CF4157-590E-4205-9F83-28AA8295BD88}" id="{5BC01845-CBCF-4A85-AD7A-A152F2A4D151}">
    <text>Se puede llevar presupuesto del subc 3.2 al 3.1?</text>
  </threadedComment>
</ThreadedComments>
</file>

<file path=xl/threadedComments/threadedComment5.xml><?xml version="1.0" encoding="utf-8"?>
<ThreadedComments xmlns="http://schemas.microsoft.com/office/spreadsheetml/2018/threadedcomments" xmlns:x="http://schemas.openxmlformats.org/spreadsheetml/2006/main">
  <threadedComment ref="D36" dT="2024-04-08T16:01:34.56" personId="{052E94C8-3EA0-47EF-8E72-F956477F1EEC}" id="{EC03BEC2-C2EF-4B9F-9E84-8219F96BC172}">
    <text xml:space="preserve">Equipo de MEPYD
</text>
  </threadedComment>
  <threadedComment ref="C43" dT="2024-04-22T14:46:50.18" personId="{FFD74A0B-1669-459A-A3AA-29A06F7BF787}" id="{7EC31494-FE33-4F4F-A08B-CCA2EAD51D1E}">
    <text>Producto 19 apunta a un Indicador</text>
  </threadedComment>
  <threadedComment ref="D43" dT="2024-04-22T14:46:03.87" personId="{FFD74A0B-1669-459A-A3AA-29A06F7BF787}" id="{6F83BF54-BFCC-4F85-A475-6F764EDF09F3}">
    <text>ID PA 37 tiene alta prioridad</text>
  </threadedComment>
  <threadedComment ref="D43" dT="2024-04-22T14:46:31.34" personId="{FFD74A0B-1669-459A-A3AA-29A06F7BF787}" id="{15BF66DB-048C-4974-AFE6-2A16647BE1AD}" parentId="{6F83BF54-BFCC-4F85-A475-6F764EDF09F3}">
    <text xml:space="preserve">Enero 2025 ( ver con Marcos)
</text>
  </threadedComment>
  <threadedComment ref="D47" dT="2024-04-22T14:48:42.86" personId="{FFD74A0B-1669-459A-A3AA-29A06F7BF787}" id="{E17E5D3E-D080-4B42-9353-F0D425C316C8}">
    <text>Debe de estar listo para este viernes</text>
  </threadedComment>
  <threadedComment ref="D47" dT="2024-04-23T22:44:34.41" personId="{FFD74A0B-1669-459A-A3AA-29A06F7BF787}" id="{4D99E4D8-4F98-4426-8296-AA49F1B43830}" parentId="{E17E5D3E-D080-4B42-9353-F0D425C316C8}">
    <text xml:space="preserve">Ya se encuentra en revisión por el área de adquisiciones 
</text>
  </threadedComment>
  <threadedComment ref="D62" dT="2024-04-12T15:46:36.33" personId="{052E94C8-3EA0-47EF-8E72-F956477F1EEC}" id="{F7A559F2-1F78-46B8-A889-6657A47BD780}">
    <text>Equipo Waldo</text>
  </threadedComment>
  <threadedComment ref="D63" dT="2024-04-12T15:46:55.93" personId="{052E94C8-3EA0-47EF-8E72-F956477F1EEC}" id="{72E7DEFA-259B-4010-B4F1-07DB5B0D18E7}">
    <text>Equipo Waldo</text>
  </threadedComment>
  <threadedComment ref="D64" dT="2024-04-12T15:47:07.34" personId="{052E94C8-3EA0-47EF-8E72-F956477F1EEC}" id="{C2989C83-4A61-4C75-8437-E066B570152A}">
    <text>Equipo Waldo</text>
  </threadedComment>
  <threadedComment ref="D65" dT="2024-04-12T15:47:33.22" personId="{052E94C8-3EA0-47EF-8E72-F956477F1EEC}" id="{D0364F8B-BFED-4FDA-BC26-CD96F4EE716E}">
    <text>Equipo Waldo</text>
  </threadedComment>
  <threadedComment ref="D66" dT="2024-04-12T15:47:41.13" personId="{052E94C8-3EA0-47EF-8E72-F956477F1EEC}" id="{DE487A6F-514C-40EF-996B-14D244E1422B}">
    <text>Equipo Waldo</text>
  </threadedComment>
</ThreadedComments>
</file>

<file path=xl/threadedComments/threadedComment6.xml><?xml version="1.0" encoding="utf-8"?>
<ThreadedComments xmlns="http://schemas.microsoft.com/office/spreadsheetml/2018/threadedcomments" xmlns:x="http://schemas.openxmlformats.org/spreadsheetml/2006/main">
  <threadedComment ref="D11" dT="2023-07-23T22:09:08.10" personId="{C2CF4157-590E-4205-9F83-28AA8295BD88}" id="{4D5E30D0-DA6F-40F8-A02A-37345960C7F4}">
    <text>Asistencia técnica a la implementación a corto plazo de la interoperabilidad entre el presupuesto, proyectos de inversión, procesos de contratación y contratos a partir de los mecanismos actuales, incluyendo construcción o mejora de servicios web y ajustes a los sistemas actuales</text>
  </threadedComment>
  <threadedComment ref="D33" dT="2023-07-23T23:01:47.70" personId="{C2CF4157-590E-4205-9F83-28AA8295BD88}" id="{A5AD4871-E16A-4371-B2EC-EFF2C55E47F0}">
    <text>Mejoras al PTF incluyendo temas de usabilidad, navegación, accesibilidad para personas con discapacidad y autoservicio en los reportes.
 Comenzaran con la realización de un proyectos piloto orientado a los ciudadanos, mejorando la usabilidad e incluyendo mecanismos de participación ciudadana.</text>
  </threadedComment>
  <threadedComment ref="D41" dT="2023-07-23T23:12:40.32" personId="{C2CF4157-590E-4205-9F83-28AA8295BD88}" id="{FDE09759-3ECD-4469-B742-861D5DE771D0}">
    <text xml:space="preserve">Mejoras al tablero de control gerencial sobre la gestión fiscal y financiera del MH Incluye: mejorar la coordinación con las fuentes, la calidad de la información, ampliando el alcance con gobiernos locales y entidades. ¿cómo va la ejecución vs. inversión, compras, tesorería? | descriptivo - prospectivo. Preguntas de eficiencia en el gasto y cumplimiento de los objetivos en el plan de desarrollo. "
</text>
  </threadedComment>
</ThreadedComments>
</file>

<file path=xl/threadedComments/threadedComment7.xml><?xml version="1.0" encoding="utf-8"?>
<ThreadedComments xmlns="http://schemas.microsoft.com/office/spreadsheetml/2018/threadedcomments" xmlns:x="http://schemas.openxmlformats.org/spreadsheetml/2006/main">
  <threadedComment ref="L115" dT="2021-11-16T16:53:25.73" personId="{B59C2A81-36F4-47C3-9DEC-9B07BA2CBCB4}" id="{0629A688-F87E-411D-978A-483670C719D6}">
    <text>Validar el total en conversación con CGR</text>
  </threadedComment>
  <threadedComment ref="L159" dT="2021-11-16T16:53:25.73" personId="{B59C2A81-36F4-47C3-9DEC-9B07BA2CBCB4}" id="{7843964B-6C2A-4682-8D5D-4D69508B2A51}">
    <text>Validar el total en conversación con CGR</text>
  </threadedComment>
</ThreadedComments>
</file>

<file path=xl/threadedComments/threadedComment8.xml><?xml version="1.0" encoding="utf-8"?>
<ThreadedComments xmlns="http://schemas.microsoft.com/office/spreadsheetml/2018/threadedcomments" xmlns:x="http://schemas.openxmlformats.org/spreadsheetml/2006/main">
  <threadedComment ref="D11" dT="2023-07-23T22:09:08.10" personId="{C2CF4157-590E-4205-9F83-28AA8295BD88}" id="{218ED5E2-6675-47F6-9BBF-FAC9F07C129E}">
    <text>Asistencia técnica a la implementación a corto plazo de la interoperabilidad entre el presupuesto, proyectos de inversión, procesos de contratación y contratos a partir de los mecanismos actuales, incluyendo construcción o mejora de servicios web y ajustes a los sistemas actuales</text>
  </threadedComment>
  <threadedComment ref="D28" dT="2023-07-23T23:01:47.70" personId="{C2CF4157-590E-4205-9F83-28AA8295BD88}" id="{28CC1FE7-D1CF-4F0A-AD87-20F3F476F10A}">
    <text>Mejoras al PTF incluyendo temas de usabilidad, navegación, accesibilidad para personas con discapacidad y autoservicio en los reportes.
 Comenzaran con la realización de un proyectos piloto orientado a los ciudadanos, mejorando la usabilidad e incluyendo mecanismos de participación ciudadana.</text>
  </threadedComment>
  <threadedComment ref="D35" dT="2023-07-23T23:12:40.32" personId="{C2CF4157-590E-4205-9F83-28AA8295BD88}" id="{20028EC8-AE83-4252-B6A1-951A30B43943}">
    <text xml:space="preserve">Mejoras al tablero de control gerencial sobre la gestión fiscal y financiera del MH Incluye: mejorar la coordinación con las fuentes, la calidad de la información, ampliando el alcance con gobiernos locales y entidades. ¿cómo va la ejecución vs. inversión, compras, tesorería? | descriptivo - prospectivo. Preguntas de eficiencia en el gasto y cumplimiento de los objetivos en el plan de desarrollo. "
</tex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7.bin"/><Relationship Id="rId5" Type="http://schemas.microsoft.com/office/2017/10/relationships/threadedComment" Target="../threadedComments/threadedComment4.xml"/><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 Id="rId4" Type="http://schemas.microsoft.com/office/2017/10/relationships/threadedComment" Target="../threadedComments/threadedComment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6.bin"/><Relationship Id="rId4" Type="http://schemas.microsoft.com/office/2017/10/relationships/threadedComment" Target="../threadedComments/threadedComment7.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4"/>
  <sheetViews>
    <sheetView showGridLines="0" zoomScale="80" zoomScaleNormal="80" workbookViewId="0">
      <selection activeCell="T37" sqref="T37"/>
    </sheetView>
  </sheetViews>
  <sheetFormatPr baseColWidth="10" defaultColWidth="8.83203125" defaultRowHeight="15"/>
  <cols>
    <col min="2" max="2" width="17" bestFit="1" customWidth="1"/>
    <col min="3" max="3" width="12.5" customWidth="1"/>
    <col min="7" max="7" width="17" bestFit="1" customWidth="1"/>
    <col min="14" max="14" width="17" bestFit="1" customWidth="1"/>
  </cols>
  <sheetData>
    <row r="1" spans="1:17">
      <c r="B1" s="3551" t="s">
        <v>0</v>
      </c>
      <c r="C1" s="3551"/>
      <c r="D1" s="3551"/>
      <c r="E1" s="3551"/>
      <c r="N1" s="3551" t="s">
        <v>1</v>
      </c>
      <c r="O1" s="3551"/>
      <c r="P1" s="3551"/>
      <c r="Q1" s="3551"/>
    </row>
    <row r="2" spans="1:17">
      <c r="B2" t="s">
        <v>2</v>
      </c>
      <c r="N2" t="s">
        <v>2</v>
      </c>
    </row>
    <row r="3" spans="1:17">
      <c r="C3" s="322" t="s">
        <v>3</v>
      </c>
      <c r="D3" s="322" t="s">
        <v>4</v>
      </c>
      <c r="E3" s="322" t="s">
        <v>5</v>
      </c>
      <c r="O3" s="322" t="s">
        <v>3</v>
      </c>
      <c r="P3" s="322" t="s">
        <v>4</v>
      </c>
      <c r="Q3" s="322" t="s">
        <v>5</v>
      </c>
    </row>
    <row r="4" spans="1:17">
      <c r="B4" t="s">
        <v>6</v>
      </c>
      <c r="C4">
        <f>+SUM(D4:E4)</f>
        <v>4</v>
      </c>
      <c r="D4">
        <v>3</v>
      </c>
      <c r="E4">
        <v>1</v>
      </c>
      <c r="N4" t="s">
        <v>6</v>
      </c>
      <c r="O4">
        <f>+SUM(P4:Q4)</f>
        <v>4</v>
      </c>
      <c r="P4">
        <v>3</v>
      </c>
      <c r="Q4">
        <v>1</v>
      </c>
    </row>
    <row r="5" spans="1:17">
      <c r="B5" t="s">
        <v>7</v>
      </c>
      <c r="C5">
        <f>+SUM(D5:E5)</f>
        <v>14</v>
      </c>
      <c r="D5">
        <v>11</v>
      </c>
      <c r="E5">
        <v>3</v>
      </c>
      <c r="N5" t="s">
        <v>7</v>
      </c>
      <c r="O5">
        <f>+SUM(P5:Q5)</f>
        <v>13</v>
      </c>
      <c r="P5" s="2245">
        <v>10</v>
      </c>
      <c r="Q5">
        <v>3</v>
      </c>
    </row>
    <row r="6" spans="1:17">
      <c r="B6" t="s">
        <v>8</v>
      </c>
      <c r="C6">
        <f>+SUM(D6:E6)</f>
        <v>38</v>
      </c>
      <c r="D6">
        <v>25</v>
      </c>
      <c r="E6">
        <v>13</v>
      </c>
      <c r="N6" t="s">
        <v>8</v>
      </c>
      <c r="O6">
        <f>+SUM(P6:Q6)</f>
        <v>19</v>
      </c>
      <c r="P6" s="2245">
        <v>14</v>
      </c>
      <c r="Q6" s="2245">
        <v>5</v>
      </c>
    </row>
    <row r="7" spans="1:17">
      <c r="B7" t="s">
        <v>9</v>
      </c>
      <c r="C7">
        <f>+SUM(D7:E7)</f>
        <v>98</v>
      </c>
      <c r="D7">
        <v>60</v>
      </c>
      <c r="E7">
        <v>38</v>
      </c>
      <c r="N7" t="s">
        <v>9</v>
      </c>
      <c r="O7">
        <f>+SUM(P7:Q7)</f>
        <v>98</v>
      </c>
      <c r="P7">
        <f>+D7</f>
        <v>60</v>
      </c>
      <c r="Q7">
        <f>+E7</f>
        <v>38</v>
      </c>
    </row>
    <row r="8" spans="1:17">
      <c r="C8" s="2246">
        <f>+C7/C6</f>
        <v>2.5789473684210527</v>
      </c>
      <c r="D8" s="2246">
        <f>+D7/D6</f>
        <v>2.4</v>
      </c>
      <c r="E8" s="2246">
        <f>+E7/E6</f>
        <v>2.9230769230769229</v>
      </c>
      <c r="O8" s="2247">
        <f>+O7/O6</f>
        <v>5.1578947368421053</v>
      </c>
      <c r="P8" s="2247">
        <f>+P7/P6</f>
        <v>4.2857142857142856</v>
      </c>
      <c r="Q8" s="2247">
        <f>+Q7/Q6</f>
        <v>7.6</v>
      </c>
    </row>
    <row r="9" spans="1:17" s="2248" customFormat="1"/>
    <row r="10" spans="1:17">
      <c r="A10" s="2249" t="s">
        <v>10</v>
      </c>
    </row>
    <row r="11" spans="1:17">
      <c r="B11" s="1160" t="s">
        <v>11</v>
      </c>
      <c r="N11" s="1160" t="s">
        <v>11</v>
      </c>
    </row>
    <row r="12" spans="1:17">
      <c r="B12" t="s">
        <v>12</v>
      </c>
      <c r="N12" t="s">
        <v>12</v>
      </c>
    </row>
    <row r="13" spans="1:17">
      <c r="B13" t="s">
        <v>13</v>
      </c>
      <c r="N13" t="s">
        <v>13</v>
      </c>
    </row>
    <row r="14" spans="1:17">
      <c r="B14" t="s">
        <v>14</v>
      </c>
      <c r="N14" t="s">
        <v>14</v>
      </c>
    </row>
    <row r="15" spans="1:17">
      <c r="B15" t="s">
        <v>15</v>
      </c>
      <c r="N15" s="1805" t="s">
        <v>16</v>
      </c>
    </row>
    <row r="16" spans="1:17">
      <c r="B16" t="s">
        <v>17</v>
      </c>
      <c r="N16" s="1805" t="s">
        <v>18</v>
      </c>
    </row>
    <row r="18" spans="2:14">
      <c r="B18" s="1160" t="s">
        <v>19</v>
      </c>
      <c r="N18" s="1160" t="s">
        <v>19</v>
      </c>
    </row>
    <row r="19" spans="2:14">
      <c r="B19" t="s">
        <v>20</v>
      </c>
      <c r="N19" t="s">
        <v>20</v>
      </c>
    </row>
    <row r="20" spans="2:14">
      <c r="B20" t="s">
        <v>21</v>
      </c>
      <c r="N20" s="1805" t="s">
        <v>22</v>
      </c>
    </row>
    <row r="21" spans="2:14">
      <c r="B21" t="s">
        <v>23</v>
      </c>
      <c r="N21" s="2245" t="s">
        <v>24</v>
      </c>
    </row>
    <row r="22" spans="2:14">
      <c r="B22" t="s">
        <v>25</v>
      </c>
      <c r="N22" t="s">
        <v>26</v>
      </c>
    </row>
    <row r="23" spans="2:14">
      <c r="B23" t="s">
        <v>27</v>
      </c>
      <c r="N23" t="s">
        <v>28</v>
      </c>
    </row>
    <row r="25" spans="2:14">
      <c r="B25" s="1160" t="s">
        <v>29</v>
      </c>
      <c r="N25" s="1160" t="s">
        <v>29</v>
      </c>
    </row>
    <row r="26" spans="2:14">
      <c r="B26" t="s">
        <v>30</v>
      </c>
      <c r="N26" t="s">
        <v>30</v>
      </c>
    </row>
    <row r="27" spans="2:14">
      <c r="B27" t="s">
        <v>31</v>
      </c>
      <c r="N27" t="s">
        <v>31</v>
      </c>
    </row>
    <row r="28" spans="2:14">
      <c r="B28" t="s">
        <v>32</v>
      </c>
      <c r="N28" s="1805" t="s">
        <v>33</v>
      </c>
    </row>
    <row r="30" spans="2:14">
      <c r="B30" s="1160" t="s">
        <v>34</v>
      </c>
      <c r="N30" s="1160" t="s">
        <v>34</v>
      </c>
    </row>
    <row r="31" spans="2:14">
      <c r="B31" t="s">
        <v>35</v>
      </c>
      <c r="N31" s="2250" t="s">
        <v>35</v>
      </c>
    </row>
    <row r="32" spans="2:14">
      <c r="B32" t="s">
        <v>36</v>
      </c>
      <c r="N32" s="1805" t="s">
        <v>37</v>
      </c>
    </row>
    <row r="34" spans="1:14" s="2248" customFormat="1"/>
    <row r="35" spans="1:14">
      <c r="A35" s="2249" t="s">
        <v>38</v>
      </c>
    </row>
    <row r="36" spans="1:14">
      <c r="B36" s="1160" t="s">
        <v>39</v>
      </c>
      <c r="N36" s="1160" t="s">
        <v>40</v>
      </c>
    </row>
    <row r="37" spans="1:14">
      <c r="B37" t="s">
        <v>41</v>
      </c>
      <c r="N37" t="s">
        <v>42</v>
      </c>
    </row>
    <row r="38" spans="1:14">
      <c r="B38" t="s">
        <v>43</v>
      </c>
      <c r="N38" t="s">
        <v>43</v>
      </c>
    </row>
    <row r="39" spans="1:14">
      <c r="B39" t="s">
        <v>44</v>
      </c>
      <c r="N39" s="1805" t="s">
        <v>45</v>
      </c>
    </row>
    <row r="40" spans="1:14">
      <c r="B40" t="s">
        <v>46</v>
      </c>
      <c r="N40" t="s">
        <v>46</v>
      </c>
    </row>
    <row r="41" spans="1:14">
      <c r="B41" t="s">
        <v>47</v>
      </c>
      <c r="N41" s="1805" t="s">
        <v>48</v>
      </c>
    </row>
    <row r="43" spans="1:14">
      <c r="B43" s="1160" t="s">
        <v>49</v>
      </c>
      <c r="N43" s="2251" t="s">
        <v>50</v>
      </c>
    </row>
    <row r="44" spans="1:14">
      <c r="B44" t="s">
        <v>51</v>
      </c>
      <c r="N44" t="s">
        <v>51</v>
      </c>
    </row>
    <row r="45" spans="1:14">
      <c r="B45" t="s">
        <v>52</v>
      </c>
      <c r="N45" s="1805" t="s">
        <v>53</v>
      </c>
    </row>
    <row r="47" spans="1:14">
      <c r="B47" s="1160" t="s">
        <v>54</v>
      </c>
      <c r="N47" s="2252" t="s">
        <v>55</v>
      </c>
    </row>
    <row r="48" spans="1:14">
      <c r="B48" t="s">
        <v>56</v>
      </c>
      <c r="N48" s="1805" t="s">
        <v>57</v>
      </c>
    </row>
    <row r="50" spans="2:14">
      <c r="B50" s="1160" t="s">
        <v>58</v>
      </c>
      <c r="N50" s="1160" t="s">
        <v>59</v>
      </c>
    </row>
    <row r="51" spans="2:14">
      <c r="B51" t="s">
        <v>60</v>
      </c>
      <c r="N51" s="2250" t="s">
        <v>61</v>
      </c>
    </row>
    <row r="52" spans="2:14">
      <c r="B52" t="s">
        <v>62</v>
      </c>
      <c r="N52" s="1805" t="s">
        <v>63</v>
      </c>
    </row>
    <row r="54" spans="2:14" s="2248" customFormat="1"/>
  </sheetData>
  <mergeCells count="2">
    <mergeCell ref="B1:E1"/>
    <mergeCell ref="N1:Q1"/>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L1:R33"/>
  <sheetViews>
    <sheetView showGridLines="0" zoomScale="130" zoomScaleNormal="130" zoomScalePageLayoutView="120" workbookViewId="0">
      <pane ySplit="3" topLeftCell="A4" activePane="bottomLeft" state="frozen"/>
      <selection sqref="A1:M1"/>
      <selection pane="bottomLeft" activeCell="M4" sqref="M4"/>
    </sheetView>
  </sheetViews>
  <sheetFormatPr baseColWidth="10" defaultColWidth="11.5" defaultRowHeight="15" outlineLevelRow="1"/>
  <cols>
    <col min="10" max="10" width="7.5" customWidth="1"/>
    <col min="11" max="11" width="2.1640625" customWidth="1"/>
    <col min="12" max="12" width="4.5" style="732" customWidth="1"/>
    <col min="13" max="13" width="58.5" style="2567" customWidth="1"/>
    <col min="14" max="14" width="13.83203125" style="403" bestFit="1" customWidth="1"/>
    <col min="15" max="15" width="9.5" style="403" bestFit="1" customWidth="1"/>
    <col min="16" max="16" width="13.83203125" style="403" bestFit="1" customWidth="1"/>
    <col min="17" max="17" width="6.5" style="565" bestFit="1" customWidth="1"/>
  </cols>
  <sheetData>
    <row r="1" spans="12:18">
      <c r="L1" s="3650" t="s">
        <v>489</v>
      </c>
      <c r="M1" s="3650"/>
      <c r="N1" s="3650"/>
      <c r="O1" s="3650"/>
      <c r="P1" s="3650"/>
      <c r="Q1" s="3650"/>
    </row>
    <row r="2" spans="12:18">
      <c r="L2" s="3645" t="s">
        <v>483</v>
      </c>
      <c r="M2" s="3646"/>
      <c r="N2" s="3646"/>
      <c r="O2" s="3646"/>
      <c r="P2" s="3646"/>
      <c r="Q2" s="3647"/>
    </row>
    <row r="3" spans="12:18" ht="36">
      <c r="L3" s="60" t="s">
        <v>484</v>
      </c>
      <c r="M3" s="2565" t="s">
        <v>6</v>
      </c>
      <c r="N3" s="456" t="s">
        <v>485</v>
      </c>
      <c r="O3" s="456" t="s">
        <v>490</v>
      </c>
      <c r="P3" s="456" t="s">
        <v>488</v>
      </c>
      <c r="Q3" s="560" t="s">
        <v>156</v>
      </c>
    </row>
    <row r="4" spans="12:18" ht="24">
      <c r="L4" s="729" t="s">
        <v>3957</v>
      </c>
      <c r="M4" s="2563" t="e">
        <f>+'8_MP'!#REF!</f>
        <v>#REF!</v>
      </c>
      <c r="N4" s="459" t="s">
        <v>3958</v>
      </c>
      <c r="O4" s="459">
        <v>0</v>
      </c>
      <c r="P4" s="459" t="e">
        <f>+O4+N4</f>
        <v>#VALUE!</v>
      </c>
      <c r="Q4" s="561" t="e">
        <f>+P4/$P$17</f>
        <v>#VALUE!</v>
      </c>
      <c r="R4" s="2599"/>
    </row>
    <row r="5" spans="12:18">
      <c r="L5" s="729"/>
      <c r="M5" s="2563"/>
      <c r="N5" s="459"/>
      <c r="O5" s="459"/>
      <c r="P5" s="459"/>
      <c r="Q5" s="561"/>
    </row>
    <row r="6" spans="12:18" ht="24" hidden="1">
      <c r="L6" s="729" t="str">
        <f>'8_MP'!D368</f>
        <v>3</v>
      </c>
      <c r="M6" s="2563" t="str">
        <f>+'8_MP'!H368</f>
        <v xml:space="preserve">Componente 3: Fortalecimiento del acceso a la información, participación ciudadana e integridad en la administración pública y sector privado </v>
      </c>
      <c r="N6" s="459">
        <f>+N7+N11+N13+N15</f>
        <v>7205000</v>
      </c>
      <c r="O6" s="459">
        <v>0</v>
      </c>
      <c r="P6" s="459">
        <f t="shared" ref="P6:P14" si="0">+O6+N6</f>
        <v>7205000</v>
      </c>
      <c r="Q6" s="561" t="e">
        <f>+P6/$P$17</f>
        <v>#VALUE!</v>
      </c>
    </row>
    <row r="7" spans="12:18" outlineLevel="1">
      <c r="L7" s="730" t="str">
        <f>'8_MP'!D369</f>
        <v>3.1</v>
      </c>
      <c r="M7" s="2564" t="str">
        <f>+'8_MP'!H369</f>
        <v>Subcomponente 3.1. Innovación pública para la Integridad y prevención de la corrupción</v>
      </c>
      <c r="N7" s="461">
        <f>+SUM(N8:N10)</f>
        <v>1908000</v>
      </c>
      <c r="O7" s="461">
        <v>0</v>
      </c>
      <c r="P7" s="461">
        <f>+N7+O7</f>
        <v>1908000</v>
      </c>
      <c r="Q7" s="562" t="e">
        <f>+P7/$P$17</f>
        <v>#VALUE!</v>
      </c>
    </row>
    <row r="8" spans="12:18" ht="23" customHeight="1" outlineLevel="1">
      <c r="L8" s="679" t="str">
        <f>+'8_MP'!D370</f>
        <v>3.1.1</v>
      </c>
      <c r="M8" s="2562" t="str">
        <f>+'8_MP'!H370</f>
        <v>Producto 16: Sistema Nacional Integrado de Transparencia e Integridad Implementado. Incluye Plataforma de seguimiento y evaluación de componentes de integridad y sistema para el seguimiento de compromisos internacionales</v>
      </c>
      <c r="N8" s="462">
        <f>+'8_MP'!AN370</f>
        <v>1239000</v>
      </c>
      <c r="O8" s="462">
        <v>0</v>
      </c>
      <c r="P8" s="462">
        <f t="shared" si="0"/>
        <v>1239000</v>
      </c>
      <c r="Q8" s="563" t="e">
        <f>+P8/$P$17</f>
        <v>#VALUE!</v>
      </c>
    </row>
    <row r="9" spans="12:18" ht="24" outlineLevel="1">
      <c r="L9" s="679" t="str">
        <f>+'8_MP'!D393</f>
        <v>3.1.2</v>
      </c>
      <c r="M9" s="2562" t="str">
        <f>+'8_MP'!H393</f>
        <v>Producto 17: Marco regulatorio en materia de integridad, fortalecido. Incluye protección a denunciantes y normativas sobre conflictos de interes</v>
      </c>
      <c r="N9" s="462">
        <f>+'8_MP'!AN393</f>
        <v>366000</v>
      </c>
      <c r="O9" s="462">
        <v>0</v>
      </c>
      <c r="P9" s="462">
        <f t="shared" si="0"/>
        <v>366000</v>
      </c>
      <c r="Q9" s="563" t="e">
        <f>+P9/$P$17</f>
        <v>#VALUE!</v>
      </c>
    </row>
    <row r="10" spans="12:18">
      <c r="L10" s="1206" t="str">
        <f>+'8_MP'!D398</f>
        <v>3.1.3</v>
      </c>
      <c r="M10" s="2562" t="str">
        <f>+'8_MP'!H398</f>
        <v>Producto 18: Programa de cumplimiento e integridad para el sector privado desarrollado</v>
      </c>
      <c r="N10" s="462">
        <f>+'8_MP'!AN398</f>
        <v>303000</v>
      </c>
      <c r="O10" s="462">
        <v>0</v>
      </c>
      <c r="P10" s="462">
        <f t="shared" si="0"/>
        <v>303000</v>
      </c>
      <c r="Q10" s="563" t="e">
        <f>+P10/$P$17</f>
        <v>#VALUE!</v>
      </c>
    </row>
    <row r="11" spans="12:18" outlineLevel="1">
      <c r="L11" s="730" t="str">
        <f>+'8_MP'!D405</f>
        <v>3.2</v>
      </c>
      <c r="M11" s="2568" t="str">
        <f>+'8_MP'!H405</f>
        <v>Subcomponente 3.2. Participación, control social y gestión de denuncias de corrupción administrativa</v>
      </c>
      <c r="N11" s="461">
        <f>+N12</f>
        <v>915000</v>
      </c>
      <c r="O11" s="461">
        <v>0</v>
      </c>
      <c r="P11" s="461">
        <f>+N11+O11</f>
        <v>915000</v>
      </c>
      <c r="Q11" s="562" t="e">
        <f>+P11/$P$17</f>
        <v>#VALUE!</v>
      </c>
    </row>
    <row r="12" spans="12:18" ht="36" outlineLevel="1">
      <c r="L12" s="679" t="str">
        <f>+'8_MP'!D406</f>
        <v>3.2.1</v>
      </c>
      <c r="M12" s="2562" t="str">
        <f>+'8_MP'!H406</f>
        <v>Producto 19: Sistema para realizar investigaciones, seguimiento y respuesta a las denuncias ciudadanas desarrollado. Incluye metodologías y plataforma tecnológica de participación ciudadana y seguimiento de denuncias con enfoque de género y diversidad.</v>
      </c>
      <c r="N12" s="462">
        <f>+'8_MP'!AN406</f>
        <v>915000</v>
      </c>
      <c r="O12" s="462">
        <v>0</v>
      </c>
      <c r="P12" s="462">
        <f t="shared" si="0"/>
        <v>915000</v>
      </c>
      <c r="Q12" s="563" t="e">
        <f>+P12/$P$17</f>
        <v>#VALUE!</v>
      </c>
    </row>
    <row r="13" spans="12:18" outlineLevel="1">
      <c r="L13" s="730" t="str">
        <f>+'8_MP'!D421</f>
        <v>3.3</v>
      </c>
      <c r="M13" s="2564" t="str">
        <f>+'8_MP'!H421</f>
        <v xml:space="preserve">Subcomponente 3.3. Innovación para la transparencia y el acceso a la información </v>
      </c>
      <c r="N13" s="461">
        <f>+N14</f>
        <v>3325000</v>
      </c>
      <c r="O13" s="461">
        <v>0</v>
      </c>
      <c r="P13" s="461">
        <f>+O13+N13</f>
        <v>3325000</v>
      </c>
      <c r="Q13" s="562" t="e">
        <f>+P13/$P$17</f>
        <v>#VALUE!</v>
      </c>
    </row>
    <row r="14" spans="12:18">
      <c r="L14" s="679" t="str">
        <f>'8_MP'!D422</f>
        <v>3.3.1</v>
      </c>
      <c r="M14" s="2562" t="str">
        <f>+'8_MP'!H422</f>
        <v>Producto 20: Plataforma tecnológica Nacional de Transparencia diseñado e implementado</v>
      </c>
      <c r="N14" s="462">
        <f>+'8_MP'!AN422</f>
        <v>3325000</v>
      </c>
      <c r="O14" s="462">
        <v>0</v>
      </c>
      <c r="P14" s="462">
        <f t="shared" si="0"/>
        <v>3325000</v>
      </c>
      <c r="Q14" s="563" t="e">
        <f>+P14/$P$17</f>
        <v>#VALUE!</v>
      </c>
    </row>
    <row r="15" spans="12:18" outlineLevel="1">
      <c r="L15" s="730" t="str">
        <f>+'8_MP'!D439</f>
        <v>3.4</v>
      </c>
      <c r="M15" s="2564" t="str">
        <f>+'8_MP'!H439</f>
        <v>Subcomponente 3.4. Comunicación y capacitación para la transparencia y la integridad</v>
      </c>
      <c r="N15" s="461">
        <f>+N16</f>
        <v>1057000</v>
      </c>
      <c r="O15" s="461">
        <v>0</v>
      </c>
      <c r="P15" s="461">
        <f>+O15+N15</f>
        <v>1057000</v>
      </c>
      <c r="Q15" s="562" t="e">
        <f>+P15/$P$17</f>
        <v>#VALUE!</v>
      </c>
    </row>
    <row r="16" spans="12:18" ht="36">
      <c r="L16" s="679" t="str">
        <f>+'8_MP'!D440</f>
        <v>3.4.1</v>
      </c>
      <c r="M16" s="2562" t="str">
        <f>+'8_MP'!H440</f>
        <v>Producto 21: Programa de Gestión del Cambio para la transparencia e integridad, desarrollado. Incluye programa de comunicación y difusión a la ciudadanía sobre DIGEIG y capacitación  interna de las nuevas modalidades de gestión</v>
      </c>
      <c r="N16" s="462">
        <f>+'8_MP'!AN440</f>
        <v>1057000</v>
      </c>
      <c r="O16" s="462">
        <v>0</v>
      </c>
      <c r="P16" s="462">
        <f>+O16+N16</f>
        <v>1057000</v>
      </c>
      <c r="Q16" s="563" t="e">
        <f>+P16/$P$17</f>
        <v>#VALUE!</v>
      </c>
    </row>
    <row r="17" spans="12:17" outlineLevel="1">
      <c r="L17" s="3"/>
      <c r="M17" s="4" t="s">
        <v>488</v>
      </c>
      <c r="N17" s="5" t="e">
        <f>+N4+N5+N6</f>
        <v>#VALUE!</v>
      </c>
      <c r="O17" s="5">
        <f>+O4+O5+O6</f>
        <v>0</v>
      </c>
      <c r="P17" s="5" t="e">
        <f>+P4+P5+P6</f>
        <v>#VALUE!</v>
      </c>
      <c r="Q17" s="1138" t="e">
        <f>+Q4+Q5+Q6</f>
        <v>#VALUE!</v>
      </c>
    </row>
    <row r="18" spans="12:17" hidden="1">
      <c r="L18" s="214"/>
      <c r="M18" s="2566"/>
      <c r="N18" s="457"/>
      <c r="O18" s="457"/>
      <c r="P18" s="2708"/>
      <c r="Q18" s="564"/>
    </row>
    <row r="19" spans="12:17">
      <c r="L19" s="214"/>
      <c r="M19" s="2566"/>
      <c r="N19" s="458"/>
      <c r="O19" s="458"/>
      <c r="P19" s="458"/>
      <c r="Q19" s="564"/>
    </row>
    <row r="21" spans="12:17" s="137" customFormat="1" outlineLevel="1">
      <c r="L21" s="732"/>
      <c r="M21" s="2567"/>
      <c r="N21" s="403"/>
      <c r="O21" s="403"/>
      <c r="P21" s="403"/>
      <c r="Q21" s="565"/>
    </row>
    <row r="22" spans="12:17" outlineLevel="1"/>
    <row r="23" spans="12:17" outlineLevel="1"/>
    <row r="25" spans="12:17" outlineLevel="1"/>
    <row r="27" spans="12:17" outlineLevel="1"/>
    <row r="29" spans="12:17" outlineLevel="1"/>
    <row r="31" spans="12:17" outlineLevel="1"/>
    <row r="32" spans="12:17" outlineLevel="1"/>
    <row r="33" outlineLevel="1"/>
  </sheetData>
  <mergeCells count="2">
    <mergeCell ref="L2:Q2"/>
    <mergeCell ref="L1:Q1"/>
  </mergeCells>
  <phoneticPr fontId="9" type="noConversion"/>
  <pageMargins left="0.7" right="0.7" top="0.75" bottom="0.75" header="0.3" footer="0.3"/>
  <pageSetup paperSize="9" orientation="portrait" r:id="rId1"/>
  <ignoredErrors>
    <ignoredError sqref="P7 P11"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G41"/>
  <sheetViews>
    <sheetView zoomScale="150" zoomScaleNormal="100" zoomScalePageLayoutView="120" workbookViewId="0">
      <pane ySplit="3" topLeftCell="A34" activePane="bottomLeft" state="frozen"/>
      <selection activeCell="A54" sqref="A54"/>
      <selection pane="bottomLeft" activeCell="A39" sqref="A39:XFD42"/>
    </sheetView>
  </sheetViews>
  <sheetFormatPr baseColWidth="10" defaultColWidth="11.5" defaultRowHeight="15" outlineLevelRow="1"/>
  <cols>
    <col min="1" max="1" width="4.5" style="322" bestFit="1" customWidth="1"/>
    <col min="2" max="2" width="50" style="2567" customWidth="1"/>
    <col min="3" max="3" width="1.1640625" customWidth="1"/>
    <col min="4" max="4" width="6.5" style="322" bestFit="1" customWidth="1"/>
    <col min="5" max="5" width="50" style="454" customWidth="1"/>
    <col min="6" max="6" width="1.1640625" customWidth="1"/>
    <col min="7" max="7" width="28" style="1795" customWidth="1"/>
  </cols>
  <sheetData>
    <row r="1" spans="1:7">
      <c r="A1" s="3650" t="s">
        <v>491</v>
      </c>
      <c r="B1" s="3650"/>
      <c r="D1" s="3650" t="s">
        <v>492</v>
      </c>
      <c r="E1" s="3650"/>
      <c r="G1" s="2596"/>
    </row>
    <row r="2" spans="1:7" ht="31.25" customHeight="1">
      <c r="A2" s="3645" t="s">
        <v>483</v>
      </c>
      <c r="B2" s="3646"/>
      <c r="D2" s="3645" t="s">
        <v>483</v>
      </c>
      <c r="E2" s="3646"/>
      <c r="G2" s="2597"/>
    </row>
    <row r="3" spans="1:7">
      <c r="A3" s="60" t="s">
        <v>484</v>
      </c>
      <c r="B3" s="452" t="s">
        <v>6</v>
      </c>
      <c r="D3" s="60" t="s">
        <v>484</v>
      </c>
      <c r="E3" s="452" t="s">
        <v>6</v>
      </c>
      <c r="G3" s="456" t="s">
        <v>493</v>
      </c>
    </row>
    <row r="4" spans="1:7" hidden="1">
      <c r="A4" s="2621" t="s">
        <v>518</v>
      </c>
      <c r="B4" s="460" t="s">
        <v>258</v>
      </c>
      <c r="D4" s="2621" t="str">
        <f>'8_MP'!D215</f>
        <v>2</v>
      </c>
      <c r="E4" s="460">
        <f>'8_MP'!H215</f>
        <v>0</v>
      </c>
      <c r="G4" s="459"/>
    </row>
    <row r="5" spans="1:7" hidden="1">
      <c r="A5" s="2622" t="s">
        <v>519</v>
      </c>
      <c r="B5" s="710" t="s">
        <v>259</v>
      </c>
      <c r="D5" s="2622">
        <f>'8_MP'!$D$216</f>
        <v>0</v>
      </c>
      <c r="E5" s="1910">
        <f>'8_MP'!$H$216</f>
        <v>0</v>
      </c>
      <c r="G5" s="461"/>
    </row>
    <row r="6" spans="1:7" hidden="1" outlineLevel="1">
      <c r="A6" s="2619" t="s">
        <v>520</v>
      </c>
      <c r="B6" s="592" t="s">
        <v>521</v>
      </c>
      <c r="D6" s="2619">
        <f>'8_MP'!$D$217</f>
        <v>0</v>
      </c>
      <c r="E6" s="592">
        <f>'8_MP'!$H$217</f>
        <v>0</v>
      </c>
      <c r="G6" s="462"/>
    </row>
    <row r="7" spans="1:7" hidden="1" outlineLevel="1">
      <c r="A7" s="2619" t="s">
        <v>522</v>
      </c>
      <c r="B7" s="592" t="s">
        <v>523</v>
      </c>
      <c r="D7" s="2619">
        <f>'8_MP'!$D$247</f>
        <v>0</v>
      </c>
      <c r="E7" s="592">
        <f>'8_MP'!$H$247</f>
        <v>0</v>
      </c>
      <c r="G7" s="462"/>
    </row>
    <row r="8" spans="1:7" ht="36" hidden="1" outlineLevel="1">
      <c r="A8" s="2619" t="s">
        <v>524</v>
      </c>
      <c r="B8" s="592" t="s">
        <v>525</v>
      </c>
      <c r="D8" s="2619">
        <f>'8_MP'!$D$230</f>
        <v>0</v>
      </c>
      <c r="E8" s="592">
        <f>'8_MP'!$H$230</f>
        <v>0</v>
      </c>
      <c r="G8" s="1528" t="s">
        <v>526</v>
      </c>
    </row>
    <row r="9" spans="1:7" ht="24" hidden="1" outlineLevel="1">
      <c r="A9" s="2619" t="s">
        <v>527</v>
      </c>
      <c r="B9" s="592" t="s">
        <v>528</v>
      </c>
      <c r="D9" s="2619">
        <f>'8_MP'!$D$265</f>
        <v>0</v>
      </c>
      <c r="E9" s="592">
        <f>'8_MP'!$H$265</f>
        <v>0</v>
      </c>
      <c r="G9" s="462"/>
    </row>
    <row r="10" spans="1:7" hidden="1" collapsed="1">
      <c r="A10" s="2622" t="s">
        <v>529</v>
      </c>
      <c r="B10" s="710" t="s">
        <v>268</v>
      </c>
      <c r="D10" s="2622">
        <f>'8_MP'!$D$277</f>
        <v>0</v>
      </c>
      <c r="E10" s="1910">
        <f>'8_MP'!$H$277</f>
        <v>0</v>
      </c>
      <c r="G10" s="461"/>
    </row>
    <row r="11" spans="1:7" ht="24" hidden="1" outlineLevel="1">
      <c r="A11" s="2619" t="s">
        <v>530</v>
      </c>
      <c r="B11" s="592" t="s">
        <v>531</v>
      </c>
      <c r="D11" s="2619">
        <f>'8_MP'!$D$278</f>
        <v>0</v>
      </c>
      <c r="E11" s="592">
        <f>'8_MP'!$H$278</f>
        <v>0</v>
      </c>
      <c r="G11" s="462" t="s">
        <v>532</v>
      </c>
    </row>
    <row r="12" spans="1:7" ht="24" hidden="1" outlineLevel="1">
      <c r="A12" s="2619" t="s">
        <v>533</v>
      </c>
      <c r="B12" s="592" t="s">
        <v>534</v>
      </c>
      <c r="D12" s="2619">
        <f>'8_MP'!$D$291</f>
        <v>0</v>
      </c>
      <c r="E12" s="592">
        <f>'8_MP'!$H$291</f>
        <v>0</v>
      </c>
      <c r="G12" s="462"/>
    </row>
    <row r="13" spans="1:7" ht="24" hidden="1" outlineLevel="1">
      <c r="A13" s="2619" t="s">
        <v>535</v>
      </c>
      <c r="B13" s="592" t="s">
        <v>536</v>
      </c>
      <c r="D13" s="2619">
        <f>'8_MP'!$D$309</f>
        <v>0</v>
      </c>
      <c r="E13" s="592">
        <f>'8_MP'!$H$309</f>
        <v>0</v>
      </c>
      <c r="G13" s="462" t="s">
        <v>532</v>
      </c>
    </row>
    <row r="14" spans="1:7" hidden="1" outlineLevel="1">
      <c r="A14" s="2619"/>
      <c r="B14" s="592"/>
      <c r="D14" s="2619">
        <f>'8_MP'!$D$316</f>
        <v>0</v>
      </c>
      <c r="E14" s="592">
        <f>'8_MP'!$H$316</f>
        <v>0</v>
      </c>
      <c r="G14" s="462" t="s">
        <v>537</v>
      </c>
    </row>
    <row r="15" spans="1:7" ht="24" hidden="1" collapsed="1">
      <c r="A15" s="2622" t="s">
        <v>538</v>
      </c>
      <c r="B15" s="710" t="s">
        <v>281</v>
      </c>
      <c r="D15" s="2622">
        <f>'8_MP'!$D$323</f>
        <v>0</v>
      </c>
      <c r="E15" s="1910">
        <f>'8_MP'!$H$323</f>
        <v>0</v>
      </c>
      <c r="G15" s="461"/>
    </row>
    <row r="16" spans="1:7" ht="24" hidden="1" outlineLevel="1">
      <c r="A16" s="2619" t="s">
        <v>539</v>
      </c>
      <c r="B16" s="592" t="s">
        <v>540</v>
      </c>
      <c r="D16" s="2619" t="str">
        <f>'8_MP'!$D$325</f>
        <v>2.3.1.1</v>
      </c>
      <c r="E16" s="592" t="str">
        <f>'8_MP'!$H$325</f>
        <v xml:space="preserve"> Generación de Capacidades, arquitectura y herramientas analíticas TI</v>
      </c>
      <c r="G16" s="462" t="s">
        <v>541</v>
      </c>
    </row>
    <row r="17" spans="1:7" ht="24" hidden="1" outlineLevel="1">
      <c r="A17" s="2619" t="s">
        <v>542</v>
      </c>
      <c r="B17" s="592" t="s">
        <v>543</v>
      </c>
      <c r="D17" s="2619" t="str">
        <f>'8_MP'!$D$340</f>
        <v>2.3.1.1.5</v>
      </c>
      <c r="E17" s="592" t="str">
        <f>'8_MP'!$H$340</f>
        <v>Arquitectura Empresarial realizada, incluyendo la construcción e implementación de componentes de software</v>
      </c>
      <c r="G17" s="462" t="s">
        <v>541</v>
      </c>
    </row>
    <row r="18" spans="1:7" ht="36" hidden="1" outlineLevel="1">
      <c r="A18" s="2619" t="s">
        <v>544</v>
      </c>
      <c r="B18" s="592" t="s">
        <v>545</v>
      </c>
      <c r="D18" s="2619" t="str">
        <f>'8_MP'!$D$349</f>
        <v>2.3.1.1.6</v>
      </c>
      <c r="E18" s="592" t="str">
        <f>'8_MP'!$H$349</f>
        <v>Tableros y herramientas de analítica implementados, incluyendo modelos de analítica descriptiva y predictiva, orientados a la toma de decisiones estratégicas y al apoyo operativo de la misionalidad de la CGR</v>
      </c>
      <c r="G18" s="462" t="s">
        <v>541</v>
      </c>
    </row>
    <row r="19" spans="1:7" ht="24" hidden="1" outlineLevel="1">
      <c r="A19" s="2619"/>
      <c r="B19" s="592"/>
      <c r="D19" s="2619" t="str">
        <f>'8_MP'!$D$358</f>
        <v>2.3.1.2</v>
      </c>
      <c r="E19" s="592" t="str">
        <f>'8_MP'!$H$358</f>
        <v>Fortalecimiento de la infraestructura, servicios de TI y de los controles de ciberseguridad, implementados</v>
      </c>
      <c r="G19" s="462" t="s">
        <v>541</v>
      </c>
    </row>
    <row r="20" spans="1:7" ht="24" hidden="1" outlineLevel="1">
      <c r="A20" s="2619" t="s">
        <v>546</v>
      </c>
      <c r="B20" s="592" t="s">
        <v>547</v>
      </c>
      <c r="D20" s="2619" t="str">
        <f>'8_MP'!$D$356</f>
        <v>2.3.1.1.7</v>
      </c>
      <c r="E20" s="592" t="str">
        <f>'8_MP'!$H$356</f>
        <v>Sistema de información para la gestión integral de riesgos en los procesos de control interno, diseñado e implementado</v>
      </c>
      <c r="G20" s="462"/>
    </row>
    <row r="21" spans="1:7" hidden="1" outlineLevel="1">
      <c r="A21" s="2619" t="s">
        <v>548</v>
      </c>
      <c r="B21" s="592" t="s">
        <v>549</v>
      </c>
      <c r="D21" s="2619"/>
      <c r="E21" s="592"/>
      <c r="G21" s="462" t="s">
        <v>550</v>
      </c>
    </row>
    <row r="22" spans="1:7" hidden="1" collapsed="1">
      <c r="A22" s="2619" t="s">
        <v>551</v>
      </c>
      <c r="B22" s="592" t="s">
        <v>552</v>
      </c>
      <c r="D22" s="2619"/>
      <c r="E22" s="592"/>
      <c r="G22" s="462" t="s">
        <v>550</v>
      </c>
    </row>
    <row r="23" spans="1:7" ht="24">
      <c r="A23" s="2621" t="s">
        <v>553</v>
      </c>
      <c r="B23" s="460" t="s">
        <v>554</v>
      </c>
      <c r="D23" s="2621" t="str">
        <f>'8_MP'!D368</f>
        <v>3</v>
      </c>
      <c r="E23" s="460" t="str">
        <f>'8_MP'!H368</f>
        <v xml:space="preserve">Componente 3: Fortalecimiento del acceso a la información, participación ciudadana e integridad en la administración pública y sector privado </v>
      </c>
      <c r="G23" s="459"/>
    </row>
    <row r="24" spans="1:7" s="137" customFormat="1" outlineLevel="1">
      <c r="A24" s="2622" t="s">
        <v>555</v>
      </c>
      <c r="B24" s="710" t="s">
        <v>39</v>
      </c>
      <c r="D24" s="2622" t="str">
        <f>'8_MP'!D369</f>
        <v>3.1</v>
      </c>
      <c r="E24" s="710" t="str">
        <f>'8_MP'!H369</f>
        <v>Subcomponente 3.1. Innovación pública para la Integridad y prevención de la corrupción</v>
      </c>
      <c r="F24"/>
      <c r="G24" s="461"/>
    </row>
    <row r="25" spans="1:7" ht="48.5" customHeight="1" outlineLevel="1">
      <c r="A25" s="2619" t="s">
        <v>556</v>
      </c>
      <c r="B25" s="592" t="s">
        <v>557</v>
      </c>
      <c r="D25" s="2619" t="str">
        <f>+'8_MP'!D370</f>
        <v>3.1.1</v>
      </c>
      <c r="E25" s="2562" t="str">
        <f>+'8_MP'!H370</f>
        <v>Producto 16: Sistema Nacional Integrado de Transparencia e Integridad Implementado. Incluye Plataforma de seguimiento y evaluación de componentes de integridad y sistema para el seguimiento de compromisos internacionales</v>
      </c>
      <c r="G25" s="462" t="s">
        <v>558</v>
      </c>
    </row>
    <row r="26" spans="1:7" ht="24" outlineLevel="1">
      <c r="A26" s="2619" t="s">
        <v>559</v>
      </c>
      <c r="B26" s="592" t="s">
        <v>41</v>
      </c>
      <c r="D26" s="2619" t="str">
        <f>+'8_MP'!D393</f>
        <v>3.1.2</v>
      </c>
      <c r="E26" s="2562" t="str">
        <f>+'8_MP'!H393</f>
        <v>Producto 17: Marco regulatorio en materia de integridad, fortalecido. Incluye protección a denunciantes y normativas sobre conflictos de interes</v>
      </c>
      <c r="G26" s="462" t="s">
        <v>560</v>
      </c>
    </row>
    <row r="27" spans="1:7" outlineLevel="1">
      <c r="A27" s="2619" t="s">
        <v>561</v>
      </c>
      <c r="B27" s="592" t="s">
        <v>43</v>
      </c>
      <c r="D27" s="2619"/>
      <c r="E27" s="2562"/>
      <c r="G27" s="462"/>
    </row>
    <row r="28" spans="1:7" ht="24" outlineLevel="1">
      <c r="A28" s="2619" t="s">
        <v>562</v>
      </c>
      <c r="B28" s="592" t="s">
        <v>44</v>
      </c>
      <c r="D28" s="2620" t="str">
        <f>+'8_MP'!D398</f>
        <v>3.1.3</v>
      </c>
      <c r="E28" s="2562" t="str">
        <f>+'8_MP'!H398</f>
        <v>Producto 18: Programa de cumplimiento e integridad para el sector privado desarrollado</v>
      </c>
      <c r="G28" s="462" t="s">
        <v>563</v>
      </c>
    </row>
    <row r="29" spans="1:7" ht="24" outlineLevel="1">
      <c r="A29" s="2619" t="s">
        <v>564</v>
      </c>
      <c r="B29" s="592" t="s">
        <v>46</v>
      </c>
      <c r="D29" s="2619"/>
      <c r="E29" s="592"/>
      <c r="G29" s="462"/>
    </row>
    <row r="30" spans="1:7" ht="24" outlineLevel="1">
      <c r="A30" s="2619" t="s">
        <v>565</v>
      </c>
      <c r="B30" s="592" t="s">
        <v>47</v>
      </c>
      <c r="D30" s="2619"/>
      <c r="E30" s="592"/>
      <c r="G30" s="462"/>
    </row>
    <row r="31" spans="1:7" ht="24">
      <c r="A31" s="2622" t="s">
        <v>566</v>
      </c>
      <c r="B31" s="710" t="s">
        <v>49</v>
      </c>
      <c r="D31" s="2622" t="str">
        <f>+'8_MP'!D405</f>
        <v>3.2</v>
      </c>
      <c r="E31" s="710" t="str">
        <f>+'8_MP'!H405</f>
        <v>Subcomponente 3.2. Participación, control social y gestión de denuncias de corrupción administrativa</v>
      </c>
      <c r="G31" s="461"/>
    </row>
    <row r="32" spans="1:7" ht="48" outlineLevel="1">
      <c r="A32" s="2619" t="s">
        <v>567</v>
      </c>
      <c r="B32" s="592" t="s">
        <v>51</v>
      </c>
      <c r="D32" s="2620" t="str">
        <f>+'8_MP'!D406</f>
        <v>3.2.1</v>
      </c>
      <c r="E32" s="2562" t="str">
        <f>+'8_MP'!H406</f>
        <v>Producto 19: Sistema para realizar investigaciones, seguimiento y respuesta a las denuncias ciudadanas desarrollado. Incluye metodologías y plataforma tecnológica de participación ciudadana y seguimiento de denuncias con enfoque de género y diversidad.</v>
      </c>
      <c r="G32" s="462" t="s">
        <v>568</v>
      </c>
    </row>
    <row r="33" spans="1:7" ht="24" outlineLevel="1">
      <c r="A33" s="2619" t="s">
        <v>569</v>
      </c>
      <c r="B33" s="592" t="s">
        <v>52</v>
      </c>
      <c r="D33" s="2619"/>
      <c r="E33" s="592"/>
      <c r="G33" s="462"/>
    </row>
    <row r="34" spans="1:7" ht="25.5" customHeight="1">
      <c r="A34" s="2622" t="s">
        <v>570</v>
      </c>
      <c r="B34" s="710" t="s">
        <v>54</v>
      </c>
      <c r="D34" s="2622" t="str">
        <f>+'8_MP'!D421</f>
        <v>3.3</v>
      </c>
      <c r="E34" s="710" t="str">
        <f>+'8_MP'!H421</f>
        <v xml:space="preserve">Subcomponente 3.3. Innovación para la transparencia y el acceso a la información </v>
      </c>
      <c r="G34" s="461"/>
    </row>
    <row r="35" spans="1:7" ht="24" outlineLevel="1">
      <c r="A35" s="2619" t="s">
        <v>571</v>
      </c>
      <c r="B35" s="592" t="s">
        <v>56</v>
      </c>
      <c r="D35" s="2619" t="str">
        <f>+'8_MP'!D422</f>
        <v>3.3.1</v>
      </c>
      <c r="E35" s="2562" t="str">
        <f>+'8_MP'!H422</f>
        <v>Producto 20: Plataforma tecnológica Nacional de Transparencia diseñado e implementado</v>
      </c>
      <c r="G35" s="462" t="s">
        <v>563</v>
      </c>
    </row>
    <row r="36" spans="1:7">
      <c r="A36" s="2622" t="s">
        <v>572</v>
      </c>
      <c r="B36" s="710" t="s">
        <v>58</v>
      </c>
      <c r="D36" s="2622" t="str">
        <f>+'8_MP'!D439</f>
        <v>3.4</v>
      </c>
      <c r="E36" s="710" t="str">
        <f>+'8_MP'!H439</f>
        <v>Subcomponente 3.4. Comunicación y capacitación para la transparencia y la integridad</v>
      </c>
      <c r="G36" s="461"/>
    </row>
    <row r="37" spans="1:7" ht="36" outlineLevel="1">
      <c r="A37" s="2619" t="s">
        <v>573</v>
      </c>
      <c r="B37" s="592" t="s">
        <v>60</v>
      </c>
      <c r="D37" s="2619" t="str">
        <f>+'8_MP'!D440</f>
        <v>3.4.1</v>
      </c>
      <c r="E37" s="2562" t="str">
        <f>+'8_MP'!H440</f>
        <v>Producto 21: Programa de Gestión del Cambio para la transparencia e integridad, desarrollado. Incluye programa de comunicación y difusión a la ciudadanía sobre DIGEIG y capacitación  interna de las nuevas modalidades de gestión</v>
      </c>
      <c r="G37" s="462" t="s">
        <v>574</v>
      </c>
    </row>
    <row r="38" spans="1:7" outlineLevel="1">
      <c r="A38" s="2619" t="s">
        <v>575</v>
      </c>
      <c r="B38" s="592" t="s">
        <v>62</v>
      </c>
      <c r="D38" s="2619"/>
      <c r="E38" s="592"/>
      <c r="G38" s="462"/>
    </row>
    <row r="39" spans="1:7">
      <c r="A39" s="2623"/>
      <c r="B39" s="2608" t="s">
        <v>488</v>
      </c>
      <c r="D39" s="2623"/>
      <c r="E39" s="2608" t="s">
        <v>488</v>
      </c>
      <c r="G39" s="2598"/>
    </row>
    <row r="40" spans="1:7">
      <c r="D40" s="2624"/>
      <c r="E40" s="453"/>
    </row>
    <row r="41" spans="1:7">
      <c r="D41" s="2624"/>
      <c r="E41" s="453"/>
    </row>
  </sheetData>
  <mergeCells count="4">
    <mergeCell ref="A1:B1"/>
    <mergeCell ref="D1:E1"/>
    <mergeCell ref="A2:B2"/>
    <mergeCell ref="D2:E2"/>
  </mergeCells>
  <phoneticPr fontId="9"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Q41"/>
  <sheetViews>
    <sheetView showGridLines="0" zoomScaleNormal="100" zoomScalePageLayoutView="120" workbookViewId="0">
      <pane ySplit="3" topLeftCell="A22" activePane="bottomLeft" state="frozen"/>
      <selection activeCell="A54" sqref="A54"/>
      <selection pane="bottomLeft" activeCell="F39" sqref="F39"/>
    </sheetView>
  </sheetViews>
  <sheetFormatPr baseColWidth="10" defaultColWidth="11.5" defaultRowHeight="15" outlineLevelRow="1"/>
  <cols>
    <col min="1" max="1" width="4.5" bestFit="1" customWidth="1"/>
    <col min="2" max="2" width="29.83203125" customWidth="1"/>
    <col min="3" max="3" width="10.5" customWidth="1"/>
    <col min="4" max="4" width="13.83203125" customWidth="1"/>
    <col min="5" max="5" width="10.5" customWidth="1"/>
    <col min="6" max="6" width="6.5" customWidth="1"/>
    <col min="7" max="7" width="2.83203125" customWidth="1"/>
    <col min="8" max="8" width="5.5" style="732" customWidth="1"/>
    <col min="9" max="9" width="46.5" style="454" customWidth="1"/>
    <col min="10" max="10" width="10.5" style="2617" customWidth="1"/>
    <col min="11" max="11" width="9.5" style="2617" customWidth="1"/>
    <col min="12" max="12" width="10.5" style="2617" customWidth="1"/>
    <col min="13" max="13" width="6.5" style="2618" customWidth="1"/>
    <col min="14" max="14" width="1.1640625" customWidth="1"/>
    <col min="15" max="15" width="8.5" hidden="1" customWidth="1"/>
    <col min="16" max="17" width="11.1640625" hidden="1" customWidth="1"/>
    <col min="18" max="18" width="11.5" customWidth="1"/>
  </cols>
  <sheetData>
    <row r="1" spans="1:17">
      <c r="A1" s="3650" t="s">
        <v>584</v>
      </c>
      <c r="B1" s="3650"/>
      <c r="C1" s="3650"/>
      <c r="D1" s="3650"/>
      <c r="E1" s="3650"/>
      <c r="F1" s="3650"/>
      <c r="H1" s="3650" t="s">
        <v>585</v>
      </c>
      <c r="I1" s="3650"/>
      <c r="J1" s="3650"/>
      <c r="K1" s="3650"/>
      <c r="L1" s="3650"/>
      <c r="M1" s="3650"/>
      <c r="O1" s="3652" t="s">
        <v>586</v>
      </c>
      <c r="P1" s="3652"/>
      <c r="Q1" s="3652"/>
    </row>
    <row r="2" spans="1:17" ht="33" customHeight="1">
      <c r="A2" s="3645" t="s">
        <v>483</v>
      </c>
      <c r="B2" s="3646"/>
      <c r="C2" s="3646"/>
      <c r="D2" s="3646"/>
      <c r="E2" s="3646"/>
      <c r="F2" s="3647"/>
      <c r="H2" s="3645" t="s">
        <v>483</v>
      </c>
      <c r="I2" s="3646"/>
      <c r="J2" s="3646"/>
      <c r="K2" s="3646"/>
      <c r="L2" s="3646"/>
      <c r="M2" s="3647"/>
      <c r="O2" s="3651"/>
      <c r="P2" s="3651"/>
      <c r="Q2" s="3651"/>
    </row>
    <row r="3" spans="1:17" ht="36">
      <c r="A3" s="60" t="s">
        <v>484</v>
      </c>
      <c r="B3" s="452" t="s">
        <v>6</v>
      </c>
      <c r="C3" s="456" t="s">
        <v>485</v>
      </c>
      <c r="D3" s="456" t="s">
        <v>490</v>
      </c>
      <c r="E3" s="456" t="s">
        <v>488</v>
      </c>
      <c r="F3" s="560" t="s">
        <v>156</v>
      </c>
      <c r="H3" s="60" t="s">
        <v>484</v>
      </c>
      <c r="I3" s="452" t="s">
        <v>6</v>
      </c>
      <c r="J3" s="456" t="s">
        <v>485</v>
      </c>
      <c r="K3" s="456" t="s">
        <v>490</v>
      </c>
      <c r="L3" s="456" t="s">
        <v>488</v>
      </c>
      <c r="M3" s="560" t="s">
        <v>156</v>
      </c>
      <c r="O3" s="456" t="s">
        <v>4</v>
      </c>
      <c r="P3" s="456" t="s">
        <v>5</v>
      </c>
      <c r="Q3" s="456" t="s">
        <v>488</v>
      </c>
    </row>
    <row r="4" spans="1:17" hidden="1">
      <c r="A4" s="729"/>
      <c r="B4" s="460"/>
      <c r="C4" s="459"/>
      <c r="D4" s="459"/>
      <c r="E4" s="459"/>
      <c r="F4" s="561"/>
      <c r="H4" s="729"/>
      <c r="I4" s="460"/>
      <c r="J4" s="2609"/>
      <c r="K4" s="2609"/>
      <c r="L4" s="2609"/>
      <c r="M4" s="561"/>
      <c r="O4" s="459"/>
      <c r="P4" s="459"/>
      <c r="Q4" s="459"/>
    </row>
    <row r="5" spans="1:17" hidden="1">
      <c r="A5" s="730"/>
      <c r="B5" s="710"/>
      <c r="C5" s="461"/>
      <c r="D5" s="461"/>
      <c r="E5" s="461"/>
      <c r="F5" s="562"/>
      <c r="H5" s="730"/>
      <c r="I5" s="1910"/>
      <c r="J5" s="2610"/>
      <c r="K5" s="2610"/>
      <c r="L5" s="2610"/>
      <c r="M5" s="562"/>
      <c r="O5" s="461"/>
      <c r="P5" s="1677"/>
      <c r="Q5" s="1677"/>
    </row>
    <row r="6" spans="1:17" hidden="1" outlineLevel="1">
      <c r="A6" s="679"/>
      <c r="B6" s="592"/>
      <c r="C6" s="462"/>
      <c r="D6" s="462"/>
      <c r="E6" s="462"/>
      <c r="F6" s="563"/>
      <c r="H6" s="679"/>
      <c r="I6" s="592"/>
      <c r="J6" s="2324"/>
      <c r="K6" s="2324"/>
      <c r="L6" s="2324"/>
      <c r="M6" s="563"/>
      <c r="O6" s="462"/>
      <c r="P6" s="462"/>
      <c r="Q6" s="462"/>
    </row>
    <row r="7" spans="1:17" hidden="1" outlineLevel="1">
      <c r="A7" s="679"/>
      <c r="B7" s="592"/>
      <c r="C7" s="462"/>
      <c r="D7" s="462"/>
      <c r="E7" s="462"/>
      <c r="F7" s="563"/>
      <c r="H7" s="679"/>
      <c r="I7" s="592"/>
      <c r="J7" s="2324"/>
      <c r="K7" s="2324"/>
      <c r="L7" s="2324"/>
      <c r="M7" s="563"/>
      <c r="O7" s="462"/>
      <c r="P7" s="462"/>
      <c r="Q7" s="462"/>
    </row>
    <row r="8" spans="1:17" hidden="1" outlineLevel="1">
      <c r="A8" s="679"/>
      <c r="B8" s="592"/>
      <c r="C8" s="462"/>
      <c r="D8" s="462"/>
      <c r="E8" s="462"/>
      <c r="F8" s="563"/>
      <c r="H8" s="679"/>
      <c r="I8" s="592"/>
      <c r="J8" s="2324"/>
      <c r="K8" s="2324"/>
      <c r="L8" s="2324"/>
      <c r="M8" s="563"/>
      <c r="O8" s="462"/>
      <c r="P8" s="462"/>
      <c r="Q8" s="462"/>
    </row>
    <row r="9" spans="1:17" hidden="1" outlineLevel="1">
      <c r="A9" s="679"/>
      <c r="B9" s="592"/>
      <c r="C9" s="462"/>
      <c r="D9" s="462"/>
      <c r="E9" s="462"/>
      <c r="F9" s="563"/>
      <c r="H9" s="679"/>
      <c r="I9" s="592"/>
      <c r="J9" s="2324"/>
      <c r="K9" s="2324"/>
      <c r="L9" s="2324"/>
      <c r="M9" s="563"/>
      <c r="O9" s="462"/>
      <c r="P9" s="462"/>
      <c r="Q9" s="462"/>
    </row>
    <row r="10" spans="1:17" hidden="1" collapsed="1">
      <c r="A10" s="730"/>
      <c r="B10" s="710"/>
      <c r="C10" s="461"/>
      <c r="D10" s="461"/>
      <c r="E10" s="461"/>
      <c r="F10" s="562"/>
      <c r="H10" s="730"/>
      <c r="I10" s="1910"/>
      <c r="J10" s="2610"/>
      <c r="K10" s="2610"/>
      <c r="L10" s="2610"/>
      <c r="M10" s="562"/>
      <c r="O10" s="461"/>
      <c r="P10" s="1677"/>
      <c r="Q10" s="1677"/>
    </row>
    <row r="11" spans="1:17" hidden="1" outlineLevel="1">
      <c r="A11" s="679"/>
      <c r="B11" s="592"/>
      <c r="C11" s="462"/>
      <c r="D11" s="462"/>
      <c r="E11" s="462"/>
      <c r="F11" s="563"/>
      <c r="H11" s="679"/>
      <c r="I11" s="592"/>
      <c r="J11" s="2324"/>
      <c r="K11" s="2324"/>
      <c r="L11" s="2324"/>
      <c r="M11" s="563"/>
      <c r="O11" s="462"/>
      <c r="P11" s="462"/>
      <c r="Q11" s="462"/>
    </row>
    <row r="12" spans="1:17" hidden="1" outlineLevel="1">
      <c r="A12" s="679"/>
      <c r="B12" s="592"/>
      <c r="C12" s="462"/>
      <c r="D12" s="462"/>
      <c r="E12" s="462"/>
      <c r="F12" s="563"/>
      <c r="H12" s="679"/>
      <c r="I12" s="592"/>
      <c r="J12" s="2324"/>
      <c r="K12" s="2324"/>
      <c r="L12" s="2324"/>
      <c r="M12" s="563"/>
      <c r="O12" s="462"/>
      <c r="P12" s="462"/>
      <c r="Q12" s="462"/>
    </row>
    <row r="13" spans="1:17" hidden="1" outlineLevel="1">
      <c r="A13" s="679"/>
      <c r="B13" s="592"/>
      <c r="C13" s="462"/>
      <c r="D13" s="462"/>
      <c r="E13" s="462"/>
      <c r="F13" s="563"/>
      <c r="H13" s="679"/>
      <c r="I13" s="592"/>
      <c r="J13" s="2324"/>
      <c r="K13" s="2324"/>
      <c r="L13" s="2324"/>
      <c r="M13" s="563"/>
      <c r="O13" s="462"/>
      <c r="P13" s="462"/>
      <c r="Q13" s="462"/>
    </row>
    <row r="14" spans="1:17" hidden="1" outlineLevel="1">
      <c r="A14" s="1916"/>
      <c r="B14" s="1528"/>
      <c r="C14" s="462"/>
      <c r="D14" s="462"/>
      <c r="E14" s="462"/>
      <c r="F14" s="462"/>
      <c r="H14" s="679"/>
      <c r="I14" s="592"/>
      <c r="J14" s="2324"/>
      <c r="K14" s="2324"/>
      <c r="L14" s="2324"/>
      <c r="M14" s="563"/>
      <c r="O14" s="462"/>
      <c r="P14" s="462"/>
      <c r="Q14" s="462"/>
    </row>
    <row r="15" spans="1:17" hidden="1" collapsed="1">
      <c r="A15" s="730"/>
      <c r="B15" s="710"/>
      <c r="C15" s="461"/>
      <c r="D15" s="461"/>
      <c r="E15" s="461"/>
      <c r="F15" s="562"/>
      <c r="H15" s="730"/>
      <c r="I15" s="1910"/>
      <c r="J15" s="2610"/>
      <c r="K15" s="2610"/>
      <c r="L15" s="2610"/>
      <c r="M15" s="562"/>
      <c r="O15" s="461"/>
      <c r="P15" s="1677"/>
      <c r="Q15" s="1677"/>
    </row>
    <row r="16" spans="1:17" hidden="1" outlineLevel="1">
      <c r="A16" s="679"/>
      <c r="B16" s="592"/>
      <c r="C16" s="462"/>
      <c r="D16" s="462"/>
      <c r="E16" s="462"/>
      <c r="F16" s="563"/>
      <c r="H16" s="679"/>
      <c r="I16" s="2562"/>
      <c r="J16" s="2600"/>
      <c r="K16" s="2600"/>
      <c r="L16" s="2600"/>
      <c r="M16" s="563"/>
      <c r="O16" s="462">
        <f>+C16-J16</f>
        <v>0</v>
      </c>
      <c r="P16" s="462">
        <f t="shared" ref="P16:P23" si="0">+D16-K16</f>
        <v>0</v>
      </c>
      <c r="Q16" s="462">
        <f t="shared" ref="Q16:Q23" si="1">+E16-L16</f>
        <v>0</v>
      </c>
    </row>
    <row r="17" spans="1:17" hidden="1" outlineLevel="1">
      <c r="A17" s="679"/>
      <c r="B17" s="592"/>
      <c r="C17" s="462"/>
      <c r="D17" s="462"/>
      <c r="E17" s="462"/>
      <c r="F17" s="563"/>
      <c r="H17" s="731"/>
      <c r="I17" s="2562"/>
      <c r="J17" s="2600"/>
      <c r="K17" s="2600"/>
      <c r="L17" s="2600"/>
      <c r="M17" s="563"/>
      <c r="O17" s="462">
        <f>+C17-J17</f>
        <v>0</v>
      </c>
      <c r="P17" s="462">
        <f t="shared" si="0"/>
        <v>0</v>
      </c>
      <c r="Q17" s="462">
        <f t="shared" si="1"/>
        <v>0</v>
      </c>
    </row>
    <row r="18" spans="1:17" hidden="1" outlineLevel="1">
      <c r="A18" s="679"/>
      <c r="B18" s="592"/>
      <c r="C18" s="462"/>
      <c r="D18" s="462"/>
      <c r="E18" s="462"/>
      <c r="F18" s="563"/>
      <c r="H18" s="679"/>
      <c r="I18" s="2562"/>
      <c r="J18" s="2600"/>
      <c r="K18" s="2600"/>
      <c r="L18" s="2600"/>
      <c r="M18" s="563"/>
      <c r="O18" s="462">
        <f>+C18-J18</f>
        <v>0</v>
      </c>
      <c r="P18" s="462">
        <f t="shared" si="0"/>
        <v>0</v>
      </c>
      <c r="Q18" s="462">
        <f t="shared" si="1"/>
        <v>0</v>
      </c>
    </row>
    <row r="19" spans="1:17" hidden="1" outlineLevel="1">
      <c r="A19" s="679"/>
      <c r="B19" s="592"/>
      <c r="C19" s="462"/>
      <c r="D19" s="462"/>
      <c r="E19" s="462"/>
      <c r="F19" s="563"/>
      <c r="H19" s="679"/>
      <c r="I19" s="592"/>
      <c r="J19" s="2324"/>
      <c r="K19" s="2324"/>
      <c r="L19" s="2324"/>
      <c r="M19" s="563"/>
      <c r="O19" s="462">
        <f>+C19-J19</f>
        <v>0</v>
      </c>
      <c r="P19" s="462">
        <f t="shared" si="0"/>
        <v>0</v>
      </c>
      <c r="Q19" s="462">
        <f t="shared" si="1"/>
        <v>0</v>
      </c>
    </row>
    <row r="20" spans="1:17" hidden="1" outlineLevel="1">
      <c r="A20" s="679"/>
      <c r="B20" s="592"/>
      <c r="C20" s="462"/>
      <c r="D20" s="462"/>
      <c r="E20" s="462"/>
      <c r="F20" s="563"/>
      <c r="H20" s="679"/>
      <c r="I20" s="592"/>
      <c r="J20" s="2324"/>
      <c r="K20" s="2324"/>
      <c r="L20" s="2324"/>
      <c r="M20" s="563"/>
      <c r="O20" s="462">
        <f>+C20-J20</f>
        <v>0</v>
      </c>
      <c r="P20" s="462">
        <f t="shared" si="0"/>
        <v>0</v>
      </c>
      <c r="Q20" s="462">
        <f t="shared" si="1"/>
        <v>0</v>
      </c>
    </row>
    <row r="21" spans="1:17" hidden="1" outlineLevel="1">
      <c r="A21" s="679"/>
      <c r="B21" s="592"/>
      <c r="C21" s="462"/>
      <c r="D21" s="462"/>
      <c r="E21" s="462"/>
      <c r="F21" s="563"/>
      <c r="H21" s="1916"/>
      <c r="I21" s="1528"/>
      <c r="J21" s="2324"/>
      <c r="K21" s="2324"/>
      <c r="L21" s="2324"/>
      <c r="M21" s="462"/>
      <c r="O21" s="462">
        <f t="shared" ref="O21:O23" si="2">+C21-J21</f>
        <v>0</v>
      </c>
      <c r="P21" s="462">
        <f t="shared" si="0"/>
        <v>0</v>
      </c>
      <c r="Q21" s="462">
        <f t="shared" si="1"/>
        <v>0</v>
      </c>
    </row>
    <row r="22" spans="1:17" ht="36" collapsed="1">
      <c r="A22" s="729" t="s">
        <v>553</v>
      </c>
      <c r="B22" s="460" t="s">
        <v>554</v>
      </c>
      <c r="C22" s="459">
        <v>7205000</v>
      </c>
      <c r="D22" s="459">
        <v>0</v>
      </c>
      <c r="E22" s="459">
        <v>7205000</v>
      </c>
      <c r="F22" s="561">
        <v>0.12008333333333333</v>
      </c>
      <c r="H22" s="729" t="str">
        <f>'8_MP'!D368</f>
        <v>3</v>
      </c>
      <c r="I22" s="460" t="str">
        <f>'8_MP'!H368</f>
        <v xml:space="preserve">Componente 3: Fortalecimiento del acceso a la información, participación ciudadana e integridad en la administración pública y sector privado </v>
      </c>
      <c r="J22" s="2609">
        <f>'8_MP'!AI368</f>
        <v>7205000</v>
      </c>
      <c r="K22" s="2609">
        <v>0</v>
      </c>
      <c r="L22" s="2609">
        <f>+K22+J22</f>
        <v>7205000</v>
      </c>
      <c r="M22" s="561">
        <f>+L22/$L$39</f>
        <v>1</v>
      </c>
      <c r="O22" s="459">
        <f t="shared" si="2"/>
        <v>0</v>
      </c>
      <c r="P22" s="459">
        <f t="shared" si="0"/>
        <v>0</v>
      </c>
      <c r="Q22" s="459">
        <f t="shared" si="1"/>
        <v>0</v>
      </c>
    </row>
    <row r="23" spans="1:17" ht="24">
      <c r="A23" s="730" t="s">
        <v>555</v>
      </c>
      <c r="B23" s="710" t="s">
        <v>39</v>
      </c>
      <c r="C23" s="461">
        <v>2000000</v>
      </c>
      <c r="D23" s="461">
        <v>0</v>
      </c>
      <c r="E23" s="461">
        <v>2000000</v>
      </c>
      <c r="F23" s="562">
        <v>3.3333333333333333E-2</v>
      </c>
      <c r="H23" s="730" t="str">
        <f>'8_MP'!D369</f>
        <v>3.1</v>
      </c>
      <c r="I23" s="710" t="str">
        <f>'8_MP'!H369</f>
        <v>Subcomponente 3.1. Innovación pública para la Integridad y prevención de la corrupción</v>
      </c>
      <c r="J23" s="2610">
        <f>'8_MP'!AI369</f>
        <v>1908000</v>
      </c>
      <c r="K23" s="2610">
        <v>0</v>
      </c>
      <c r="L23" s="2610">
        <f>+J23+K23</f>
        <v>1908000</v>
      </c>
      <c r="M23" s="562">
        <f>+L23/$L$39</f>
        <v>0.26481609993060373</v>
      </c>
      <c r="O23" s="1677">
        <f t="shared" si="2"/>
        <v>92000</v>
      </c>
      <c r="P23" s="461">
        <f t="shared" si="0"/>
        <v>0</v>
      </c>
      <c r="Q23" s="1677">
        <f t="shared" si="1"/>
        <v>92000</v>
      </c>
    </row>
    <row r="24" spans="1:17" s="137" customFormat="1" ht="36" outlineLevel="1">
      <c r="A24" s="679" t="s">
        <v>556</v>
      </c>
      <c r="B24" s="592" t="s">
        <v>557</v>
      </c>
      <c r="C24" s="462">
        <v>80000</v>
      </c>
      <c r="D24" s="462">
        <v>0</v>
      </c>
      <c r="E24" s="462">
        <v>80000</v>
      </c>
      <c r="F24" s="563">
        <v>1.3333333333333333E-3</v>
      </c>
      <c r="H24" s="679" t="str">
        <f>+'4.2_CC P'!L8</f>
        <v>3.1.1</v>
      </c>
      <c r="I24" s="592" t="str">
        <f>+'4.2_CC P'!M8</f>
        <v>Producto 16: Sistema Nacional Integrado de Transparencia e Integridad Implementado. Incluye Plataforma de seguimiento y evaluación de componentes de integridad y sistema para el seguimiento de compromisos internacionales</v>
      </c>
      <c r="J24" s="2324">
        <f>+'4.2_CC P'!N8</f>
        <v>1239000</v>
      </c>
      <c r="K24" s="2324">
        <f>+'4.2_CC P'!O8</f>
        <v>0</v>
      </c>
      <c r="L24" s="2324">
        <f>+'4.2_CC P'!P8</f>
        <v>1239000</v>
      </c>
      <c r="M24" s="563">
        <f>+L24/$L$39</f>
        <v>0.17196391394864677</v>
      </c>
      <c r="O24" s="462">
        <f>+C24-J24</f>
        <v>-1159000</v>
      </c>
      <c r="P24" s="462">
        <f>+D24-K24</f>
        <v>0</v>
      </c>
      <c r="Q24" s="462">
        <f>+E24-L24</f>
        <v>-1159000</v>
      </c>
    </row>
    <row r="25" spans="1:17" ht="36" outlineLevel="1">
      <c r="A25" s="679" t="s">
        <v>559</v>
      </c>
      <c r="B25" s="592" t="s">
        <v>599</v>
      </c>
      <c r="C25" s="462">
        <v>80000</v>
      </c>
      <c r="D25" s="462">
        <v>0</v>
      </c>
      <c r="E25" s="462">
        <v>80000</v>
      </c>
      <c r="F25" s="563">
        <v>1.3333333333333333E-3</v>
      </c>
      <c r="H25" s="679" t="str">
        <f>+'4.2_CC P'!L9</f>
        <v>3.1.2</v>
      </c>
      <c r="I25" s="592" t="str">
        <f>+'4.2_CC P'!M9</f>
        <v>Producto 17: Marco regulatorio en materia de integridad, fortalecido. Incluye protección a denunciantes y normativas sobre conflictos de interes</v>
      </c>
      <c r="J25" s="2324">
        <f>+'4.2_CC P'!N9</f>
        <v>366000</v>
      </c>
      <c r="K25" s="2324">
        <f>+'4.2_CC P'!O9</f>
        <v>0</v>
      </c>
      <c r="L25" s="2324">
        <f>+'4.2_CC P'!P9</f>
        <v>366000</v>
      </c>
      <c r="M25" s="563">
        <f>+L25/$L$39</f>
        <v>5.0798056904927134E-2</v>
      </c>
      <c r="O25" s="462">
        <f t="shared" ref="O25:O30" si="3">+C25-J25</f>
        <v>-286000</v>
      </c>
      <c r="P25" s="462">
        <f t="shared" ref="P25:P30" si="4">+D25-K25</f>
        <v>0</v>
      </c>
      <c r="Q25" s="462">
        <f t="shared" ref="Q25:Q30" si="5">+E25-L25</f>
        <v>-286000</v>
      </c>
    </row>
    <row r="26" spans="1:17" ht="24" outlineLevel="1">
      <c r="A26" s="679" t="s">
        <v>562</v>
      </c>
      <c r="B26" s="592" t="s">
        <v>600</v>
      </c>
      <c r="C26" s="462">
        <v>910000</v>
      </c>
      <c r="D26" s="462">
        <v>0</v>
      </c>
      <c r="E26" s="462">
        <v>910000</v>
      </c>
      <c r="F26" s="563">
        <v>1.5166666666666667E-2</v>
      </c>
      <c r="H26" s="679" t="str">
        <f>+'4.2_CC P'!L10</f>
        <v>3.1.3</v>
      </c>
      <c r="I26" s="592" t="str">
        <f>+'4.2_CC P'!M10</f>
        <v>Producto 18: Programa de cumplimiento e integridad para el sector privado desarrollado</v>
      </c>
      <c r="J26" s="2324">
        <f>+'4.2_CC P'!N10</f>
        <v>303000</v>
      </c>
      <c r="K26" s="2324">
        <f>+'4.2_CC P'!O10</f>
        <v>0</v>
      </c>
      <c r="L26" s="2324">
        <f>+'4.2_CC P'!P10</f>
        <v>303000</v>
      </c>
      <c r="M26" s="563">
        <f>+L26/$L$39</f>
        <v>4.2054129077029843E-2</v>
      </c>
      <c r="O26" s="462">
        <f t="shared" si="3"/>
        <v>607000</v>
      </c>
      <c r="P26" s="462">
        <f t="shared" si="4"/>
        <v>0</v>
      </c>
      <c r="Q26" s="462">
        <f t="shared" si="5"/>
        <v>607000</v>
      </c>
    </row>
    <row r="27" spans="1:17" ht="36" outlineLevel="1">
      <c r="A27" s="679" t="s">
        <v>562</v>
      </c>
      <c r="B27" s="592" t="s">
        <v>601</v>
      </c>
      <c r="C27" s="462">
        <v>240000</v>
      </c>
      <c r="D27" s="462">
        <v>0</v>
      </c>
      <c r="E27" s="462">
        <v>240000</v>
      </c>
      <c r="F27" s="563">
        <v>4.0000000000000001E-3</v>
      </c>
      <c r="H27" s="679"/>
      <c r="I27" s="592"/>
      <c r="J27" s="2324"/>
      <c r="K27" s="2324"/>
      <c r="L27" s="2324"/>
      <c r="M27" s="563"/>
      <c r="O27" s="462">
        <f t="shared" si="3"/>
        <v>240000</v>
      </c>
      <c r="P27" s="462">
        <f t="shared" si="4"/>
        <v>0</v>
      </c>
      <c r="Q27" s="462">
        <f t="shared" si="5"/>
        <v>240000</v>
      </c>
    </row>
    <row r="28" spans="1:17" ht="24" outlineLevel="1">
      <c r="A28" s="679" t="s">
        <v>564</v>
      </c>
      <c r="B28" s="592" t="s">
        <v>602</v>
      </c>
      <c r="C28" s="462">
        <v>390000</v>
      </c>
      <c r="D28" s="462">
        <v>0</v>
      </c>
      <c r="E28" s="462">
        <v>390000</v>
      </c>
      <c r="F28" s="709">
        <v>6.4999999999999997E-3</v>
      </c>
      <c r="H28" s="1916"/>
      <c r="I28" s="1528"/>
      <c r="J28" s="2324"/>
      <c r="K28" s="2324"/>
      <c r="L28" s="2324"/>
      <c r="M28" s="563"/>
      <c r="O28" s="462">
        <f t="shared" si="3"/>
        <v>390000</v>
      </c>
      <c r="P28" s="462">
        <f t="shared" si="4"/>
        <v>0</v>
      </c>
      <c r="Q28" s="462">
        <f t="shared" si="5"/>
        <v>390000</v>
      </c>
    </row>
    <row r="29" spans="1:17" ht="24" outlineLevel="1">
      <c r="A29" s="679" t="s">
        <v>565</v>
      </c>
      <c r="B29" s="592" t="s">
        <v>603</v>
      </c>
      <c r="C29" s="462">
        <v>300000</v>
      </c>
      <c r="D29" s="462">
        <v>0</v>
      </c>
      <c r="E29" s="462">
        <v>300000</v>
      </c>
      <c r="F29" s="709">
        <v>5.0000000000000001E-3</v>
      </c>
      <c r="H29" s="679"/>
      <c r="I29" s="592"/>
      <c r="J29" s="2324"/>
      <c r="K29" s="2324"/>
      <c r="L29" s="2324"/>
      <c r="M29" s="563"/>
      <c r="O29" s="462">
        <f t="shared" si="3"/>
        <v>300000</v>
      </c>
      <c r="P29" s="462">
        <f t="shared" si="4"/>
        <v>0</v>
      </c>
      <c r="Q29" s="462">
        <f t="shared" si="5"/>
        <v>300000</v>
      </c>
    </row>
    <row r="30" spans="1:17" outlineLevel="1">
      <c r="A30" s="679"/>
      <c r="B30" s="592"/>
      <c r="C30" s="462"/>
      <c r="D30" s="462"/>
      <c r="E30" s="462"/>
      <c r="F30" s="709"/>
      <c r="H30" s="679"/>
      <c r="I30" s="592"/>
      <c r="J30" s="2324"/>
      <c r="K30" s="2324"/>
      <c r="L30" s="2324"/>
      <c r="M30" s="563"/>
      <c r="O30" s="462">
        <f t="shared" si="3"/>
        <v>0</v>
      </c>
      <c r="P30" s="462">
        <f t="shared" si="4"/>
        <v>0</v>
      </c>
      <c r="Q30" s="462">
        <f t="shared" si="5"/>
        <v>0</v>
      </c>
    </row>
    <row r="31" spans="1:17" ht="24">
      <c r="A31" s="730" t="s">
        <v>566</v>
      </c>
      <c r="B31" s="710" t="s">
        <v>49</v>
      </c>
      <c r="C31" s="461">
        <v>1300000</v>
      </c>
      <c r="D31" s="461">
        <v>0</v>
      </c>
      <c r="E31" s="461">
        <v>1300000</v>
      </c>
      <c r="F31" s="562">
        <v>2.1666666666666667E-2</v>
      </c>
      <c r="H31" s="730" t="str">
        <f>+'8_MP'!D405</f>
        <v>3.2</v>
      </c>
      <c r="I31" s="710" t="str">
        <f>+'8_MP'!H405</f>
        <v>Subcomponente 3.2. Participación, control social y gestión de denuncias de corrupción administrativa</v>
      </c>
      <c r="J31" s="2610">
        <f>+'8_MP'!AI405</f>
        <v>915000</v>
      </c>
      <c r="K31" s="2610">
        <v>0</v>
      </c>
      <c r="L31" s="2610">
        <f>+J31+K31</f>
        <v>915000</v>
      </c>
      <c r="M31" s="562">
        <f>+L31/$L$39</f>
        <v>0.12699514226231784</v>
      </c>
      <c r="O31" s="1677">
        <f t="shared" ref="O31:O38" si="6">+C31-J31</f>
        <v>385000</v>
      </c>
      <c r="P31" s="461">
        <f t="shared" ref="P31:P38" si="7">+D31-K31</f>
        <v>0</v>
      </c>
      <c r="Q31" s="1677">
        <f t="shared" ref="Q31:Q38" si="8">+E31-L31</f>
        <v>385000</v>
      </c>
    </row>
    <row r="32" spans="1:17" ht="48" outlineLevel="1">
      <c r="A32" s="679" t="s">
        <v>567</v>
      </c>
      <c r="B32" s="592" t="s">
        <v>604</v>
      </c>
      <c r="C32" s="462">
        <v>500000</v>
      </c>
      <c r="D32" s="462">
        <v>0</v>
      </c>
      <c r="E32" s="462">
        <v>500000</v>
      </c>
      <c r="F32" s="563">
        <v>8.3333333333333332E-3</v>
      </c>
      <c r="H32" s="1206" t="str">
        <f>+'4.2_CC P'!L12</f>
        <v>3.2.1</v>
      </c>
      <c r="I32" s="2607" t="str">
        <f>+'4.2_CC P'!M12</f>
        <v>Producto 19: Sistema para realizar investigaciones, seguimiento y respuesta a las denuncias ciudadanas desarrollado. Incluye metodologías y plataforma tecnológica de participación ciudadana y seguimiento de denuncias con enfoque de género y diversidad.</v>
      </c>
      <c r="J32" s="2324">
        <f>+'4.2_CC P'!N12</f>
        <v>915000</v>
      </c>
      <c r="K32" s="2324">
        <f>+'4.2_CC P'!O12</f>
        <v>0</v>
      </c>
      <c r="L32" s="2324">
        <f>+'4.2_CC P'!P12</f>
        <v>915000</v>
      </c>
      <c r="M32" s="563">
        <f>+L32/$L$39</f>
        <v>0.12699514226231784</v>
      </c>
      <c r="O32" s="462">
        <f t="shared" si="6"/>
        <v>-415000</v>
      </c>
      <c r="P32" s="462">
        <f t="shared" si="7"/>
        <v>0</v>
      </c>
      <c r="Q32" s="462">
        <f t="shared" si="8"/>
        <v>-415000</v>
      </c>
    </row>
    <row r="33" spans="1:17" ht="36" outlineLevel="1">
      <c r="A33" s="679" t="s">
        <v>569</v>
      </c>
      <c r="B33" s="592" t="s">
        <v>605</v>
      </c>
      <c r="C33" s="462">
        <v>800000</v>
      </c>
      <c r="D33" s="462">
        <v>0</v>
      </c>
      <c r="E33" s="462">
        <v>800000</v>
      </c>
      <c r="F33" s="563">
        <v>1.3333333333333334E-2</v>
      </c>
      <c r="H33" s="679"/>
      <c r="I33" s="592"/>
      <c r="J33" s="2324"/>
      <c r="K33" s="2324"/>
      <c r="L33" s="2324"/>
      <c r="M33" s="563"/>
      <c r="O33" s="462">
        <f t="shared" si="6"/>
        <v>800000</v>
      </c>
      <c r="P33" s="462">
        <f t="shared" si="7"/>
        <v>0</v>
      </c>
      <c r="Q33" s="462">
        <f t="shared" si="8"/>
        <v>800000</v>
      </c>
    </row>
    <row r="34" spans="1:17" ht="24">
      <c r="A34" s="730" t="s">
        <v>570</v>
      </c>
      <c r="B34" s="710" t="s">
        <v>54</v>
      </c>
      <c r="C34" s="461">
        <v>3325000</v>
      </c>
      <c r="D34" s="461">
        <v>0</v>
      </c>
      <c r="E34" s="461">
        <v>3325000</v>
      </c>
      <c r="F34" s="562">
        <v>5.541666666666667E-2</v>
      </c>
      <c r="H34" s="730" t="str">
        <f>+'8_MP'!D421</f>
        <v>3.3</v>
      </c>
      <c r="I34" s="710" t="str">
        <f>+'8_MP'!H421</f>
        <v xml:space="preserve">Subcomponente 3.3. Innovación para la transparencia y el acceso a la información </v>
      </c>
      <c r="J34" s="2610">
        <f>+'8_MP'!AI421</f>
        <v>3325000</v>
      </c>
      <c r="K34" s="2610">
        <v>0</v>
      </c>
      <c r="L34" s="2610">
        <f>+K34+J34</f>
        <v>3325000</v>
      </c>
      <c r="M34" s="562">
        <f>+L34/$L$39</f>
        <v>0.46148507980569048</v>
      </c>
      <c r="O34" s="461">
        <f t="shared" si="6"/>
        <v>0</v>
      </c>
      <c r="P34" s="461">
        <f t="shared" si="7"/>
        <v>0</v>
      </c>
      <c r="Q34" s="461">
        <f t="shared" si="8"/>
        <v>0</v>
      </c>
    </row>
    <row r="35" spans="1:17" ht="36" outlineLevel="1">
      <c r="A35" s="679" t="s">
        <v>571</v>
      </c>
      <c r="B35" s="592" t="s">
        <v>606</v>
      </c>
      <c r="C35" s="462">
        <v>3325000</v>
      </c>
      <c r="D35" s="462">
        <v>0</v>
      </c>
      <c r="E35" s="462">
        <v>3325000</v>
      </c>
      <c r="F35" s="563">
        <v>5.541666666666667E-2</v>
      </c>
      <c r="H35" s="679" t="str">
        <f>+'4.2_CC P'!L14</f>
        <v>3.3.1</v>
      </c>
      <c r="I35" s="2562" t="str">
        <f>+'4.2_CC P'!M14</f>
        <v>Producto 20: Plataforma tecnológica Nacional de Transparencia diseñado e implementado</v>
      </c>
      <c r="J35" s="2324">
        <f>+'4.2_CC P'!N14</f>
        <v>3325000</v>
      </c>
      <c r="K35" s="2324">
        <f>+'4.2_CC P'!O14</f>
        <v>0</v>
      </c>
      <c r="L35" s="2324">
        <f>+'4.2_CC P'!P14</f>
        <v>3325000</v>
      </c>
      <c r="M35" s="563">
        <f>+L35/$L$39</f>
        <v>0.46148507980569048</v>
      </c>
      <c r="O35" s="462">
        <f t="shared" si="6"/>
        <v>0</v>
      </c>
      <c r="P35" s="462">
        <f t="shared" si="7"/>
        <v>0</v>
      </c>
      <c r="Q35" s="462">
        <f t="shared" si="8"/>
        <v>0</v>
      </c>
    </row>
    <row r="36" spans="1:17" ht="24">
      <c r="A36" s="730" t="s">
        <v>572</v>
      </c>
      <c r="B36" s="710" t="s">
        <v>58</v>
      </c>
      <c r="C36" s="461">
        <v>580000</v>
      </c>
      <c r="D36" s="461">
        <v>0</v>
      </c>
      <c r="E36" s="461">
        <v>580000</v>
      </c>
      <c r="F36" s="562">
        <v>9.6666666666666672E-3</v>
      </c>
      <c r="H36" s="730" t="str">
        <f>+'8_MP'!D439</f>
        <v>3.4</v>
      </c>
      <c r="I36" s="710" t="str">
        <f>+'8_MP'!H439</f>
        <v>Subcomponente 3.4. Comunicación y capacitación para la transparencia y la integridad</v>
      </c>
      <c r="J36" s="2610">
        <f>+'8_MP'!AI439</f>
        <v>1057000</v>
      </c>
      <c r="K36" s="2610">
        <v>0</v>
      </c>
      <c r="L36" s="2610">
        <f>+K36+J36</f>
        <v>1057000</v>
      </c>
      <c r="M36" s="562">
        <f>+L36/$L$39</f>
        <v>0.14670367800138792</v>
      </c>
      <c r="O36" s="1677">
        <f t="shared" si="6"/>
        <v>-477000</v>
      </c>
      <c r="P36" s="461">
        <f t="shared" si="7"/>
        <v>0</v>
      </c>
      <c r="Q36" s="1677">
        <f t="shared" si="8"/>
        <v>-477000</v>
      </c>
    </row>
    <row r="37" spans="1:17" ht="36" outlineLevel="1">
      <c r="A37" s="679" t="s">
        <v>573</v>
      </c>
      <c r="B37" s="592" t="s">
        <v>60</v>
      </c>
      <c r="C37" s="462">
        <v>130000</v>
      </c>
      <c r="D37" s="462">
        <v>0</v>
      </c>
      <c r="E37" s="462">
        <v>130000</v>
      </c>
      <c r="F37" s="563">
        <v>2.1666666666666666E-3</v>
      </c>
      <c r="H37" s="679" t="str">
        <f>+'4.2_CC P'!L16</f>
        <v>3.4.1</v>
      </c>
      <c r="I37" s="2562" t="str">
        <f>+'4.2_CC P'!M16</f>
        <v>Producto 21: Programa de Gestión del Cambio para la transparencia e integridad, desarrollado. Incluye programa de comunicación y difusión a la ciudadanía sobre DIGEIG y capacitación  interna de las nuevas modalidades de gestión</v>
      </c>
      <c r="J37" s="2324">
        <f>+'4.2_CC P'!N16</f>
        <v>1057000</v>
      </c>
      <c r="K37" s="2324">
        <f>+'4.2_CC P'!O16</f>
        <v>0</v>
      </c>
      <c r="L37" s="2324">
        <f>+'4.2_CC P'!P16</f>
        <v>1057000</v>
      </c>
      <c r="M37" s="563">
        <f>+L37/$L$39</f>
        <v>0.14670367800138792</v>
      </c>
      <c r="O37" s="462">
        <f t="shared" si="6"/>
        <v>-927000</v>
      </c>
      <c r="P37" s="462">
        <f t="shared" si="7"/>
        <v>0</v>
      </c>
      <c r="Q37" s="462">
        <f t="shared" si="8"/>
        <v>-927000</v>
      </c>
    </row>
    <row r="38" spans="1:17" ht="24" outlineLevel="1">
      <c r="A38" s="679" t="s">
        <v>575</v>
      </c>
      <c r="B38" s="592" t="s">
        <v>62</v>
      </c>
      <c r="C38" s="462">
        <v>450000</v>
      </c>
      <c r="D38" s="462">
        <v>0</v>
      </c>
      <c r="E38" s="462">
        <v>450000</v>
      </c>
      <c r="F38" s="563">
        <v>7.4999999999999997E-3</v>
      </c>
      <c r="H38" s="679"/>
      <c r="I38" s="592"/>
      <c r="J38" s="462"/>
      <c r="K38" s="462"/>
      <c r="L38" s="462"/>
      <c r="M38" s="563"/>
      <c r="O38" s="462">
        <f t="shared" si="6"/>
        <v>450000</v>
      </c>
      <c r="P38" s="462">
        <f t="shared" si="7"/>
        <v>0</v>
      </c>
      <c r="Q38" s="462">
        <f t="shared" si="8"/>
        <v>450000</v>
      </c>
    </row>
    <row r="39" spans="1:17">
      <c r="A39" s="3"/>
      <c r="B39" s="451" t="s">
        <v>488</v>
      </c>
      <c r="C39" s="5">
        <f>C22</f>
        <v>7205000</v>
      </c>
      <c r="D39" s="5"/>
      <c r="E39" s="5">
        <f>E22</f>
        <v>7205000</v>
      </c>
      <c r="F39" s="1138">
        <v>1</v>
      </c>
      <c r="H39" s="3"/>
      <c r="I39" s="2608" t="s">
        <v>488</v>
      </c>
      <c r="J39" s="2611">
        <f>J4+J22</f>
        <v>7205000</v>
      </c>
      <c r="K39" s="2611">
        <f>K4+K22</f>
        <v>0</v>
      </c>
      <c r="L39" s="2611">
        <f>L4+L22</f>
        <v>7205000</v>
      </c>
      <c r="M39" s="2612">
        <f>M4+M22</f>
        <v>1</v>
      </c>
      <c r="O39" s="5">
        <f t="shared" ref="O39:Q39" si="9">+J39-C39</f>
        <v>0</v>
      </c>
      <c r="P39" s="5">
        <f t="shared" si="9"/>
        <v>0</v>
      </c>
      <c r="Q39" s="5">
        <f t="shared" si="9"/>
        <v>0</v>
      </c>
    </row>
    <row r="40" spans="1:17">
      <c r="H40" s="214"/>
      <c r="I40" s="453"/>
      <c r="J40" s="2613"/>
      <c r="K40" s="2613"/>
      <c r="L40" s="2614">
        <v>60000000</v>
      </c>
      <c r="M40" s="2615"/>
    </row>
    <row r="41" spans="1:17">
      <c r="H41" s="214"/>
      <c r="I41" s="453"/>
      <c r="J41" s="2616"/>
      <c r="K41" s="2616"/>
      <c r="L41" s="2616"/>
      <c r="M41" s="2615"/>
    </row>
  </sheetData>
  <mergeCells count="6">
    <mergeCell ref="A2:F2"/>
    <mergeCell ref="H2:M2"/>
    <mergeCell ref="O2:Q2"/>
    <mergeCell ref="H1:M1"/>
    <mergeCell ref="A1:F1"/>
    <mergeCell ref="O1:Q1"/>
  </mergeCells>
  <phoneticPr fontId="9"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Q282"/>
  <sheetViews>
    <sheetView showGridLines="0" topLeftCell="D3" zoomScale="70" zoomScaleNormal="70" zoomScaleSheetLayoutView="100" workbookViewId="0">
      <selection activeCell="I240" sqref="I240"/>
    </sheetView>
  </sheetViews>
  <sheetFormatPr baseColWidth="10" defaultColWidth="11.5" defaultRowHeight="15" outlineLevelRow="4"/>
  <cols>
    <col min="1" max="1" width="11.5" style="511" bestFit="1" customWidth="1"/>
    <col min="2" max="2" width="85" style="1795" customWidth="1"/>
    <col min="3" max="3" width="21.5" style="2576" bestFit="1" customWidth="1"/>
    <col min="4" max="4" width="7.5" style="2579" customWidth="1"/>
    <col min="5" max="5" width="18.5" style="322" customWidth="1"/>
    <col min="6" max="6" width="2.5" customWidth="1"/>
    <col min="7" max="7" width="11.5" style="333" bestFit="1" customWidth="1"/>
    <col min="8" max="8" width="76.1640625" style="1743" customWidth="1"/>
    <col min="9" max="9" width="21.5" style="2576" bestFit="1" customWidth="1"/>
    <col min="10" max="10" width="26" style="2579" bestFit="1" customWidth="1"/>
    <col min="11" max="11" width="18.5" style="322" customWidth="1"/>
    <col min="12" max="12" width="28" style="2581" bestFit="1" customWidth="1"/>
    <col min="13" max="13" width="27.5" style="2581" customWidth="1"/>
    <col min="14" max="14" width="14.5" bestFit="1" customWidth="1"/>
    <col min="15" max="15" width="20.5" bestFit="1" customWidth="1"/>
    <col min="17" max="17" width="13.5" bestFit="1" customWidth="1"/>
  </cols>
  <sheetData>
    <row r="1" spans="1:17" ht="14.5" customHeight="1">
      <c r="A1" s="3663" t="s">
        <v>607</v>
      </c>
      <c r="B1" s="3663"/>
      <c r="C1" s="3663"/>
      <c r="D1" s="3663"/>
      <c r="E1" s="3663"/>
      <c r="G1" s="3663" t="s">
        <v>608</v>
      </c>
      <c r="H1" s="3663"/>
      <c r="I1" s="3663"/>
      <c r="J1" s="3663"/>
      <c r="K1" s="3663"/>
    </row>
    <row r="2" spans="1:17" ht="14.5" customHeight="1">
      <c r="A2" s="3664"/>
      <c r="B2" s="3664"/>
      <c r="C2" s="3664"/>
      <c r="D2" s="3664"/>
      <c r="E2" s="3664"/>
      <c r="G2" s="3664"/>
      <c r="H2" s="3664"/>
      <c r="I2" s="3664"/>
      <c r="J2" s="3664"/>
      <c r="K2" s="3664"/>
      <c r="Q2" s="2585"/>
    </row>
    <row r="3" spans="1:17" ht="20">
      <c r="A3" s="2547" t="s">
        <v>484</v>
      </c>
      <c r="B3" s="2548" t="s">
        <v>609</v>
      </c>
      <c r="C3" s="2569" t="s">
        <v>610</v>
      </c>
      <c r="D3" s="2548" t="s">
        <v>611</v>
      </c>
      <c r="E3" s="2547" t="s">
        <v>612</v>
      </c>
      <c r="G3" s="2547" t="s">
        <v>484</v>
      </c>
      <c r="H3" s="2582" t="s">
        <v>609</v>
      </c>
      <c r="I3" s="2569" t="s">
        <v>610</v>
      </c>
      <c r="J3" s="2548" t="s">
        <v>611</v>
      </c>
      <c r="K3" s="2547" t="s">
        <v>612</v>
      </c>
      <c r="L3" s="2582" t="s">
        <v>613</v>
      </c>
      <c r="M3" s="2582" t="s">
        <v>614</v>
      </c>
      <c r="Q3" s="2585"/>
    </row>
    <row r="4" spans="1:17" ht="19">
      <c r="A4" s="2549" t="s">
        <v>494</v>
      </c>
      <c r="B4" s="2550" t="s">
        <v>495</v>
      </c>
      <c r="C4" s="2590">
        <f>+C5+C74+C141+C173</f>
        <v>36867000</v>
      </c>
      <c r="D4" s="2551"/>
      <c r="E4" s="2551"/>
      <c r="G4" s="2549" t="e">
        <f>+'8_MP'!#REF!</f>
        <v>#REF!</v>
      </c>
      <c r="H4" s="2550" t="e">
        <f>+'8_MP'!#REF!</f>
        <v>#REF!</v>
      </c>
      <c r="I4" s="2590">
        <f>+I5+I74+I141+I173</f>
        <v>42024860.271760002</v>
      </c>
      <c r="J4" s="2551"/>
      <c r="K4" s="2551"/>
      <c r="L4" s="2550"/>
      <c r="M4" s="2550"/>
      <c r="N4" s="2642"/>
      <c r="Q4" s="2585"/>
    </row>
    <row r="5" spans="1:17" ht="17" hidden="1" outlineLevel="1">
      <c r="A5" s="2552" t="s">
        <v>496</v>
      </c>
      <c r="B5" s="2553" t="s">
        <v>11</v>
      </c>
      <c r="C5" s="2570">
        <f>+C6+C55+C70</f>
        <v>6997000</v>
      </c>
      <c r="D5" s="2554"/>
      <c r="E5" s="2554"/>
      <c r="G5" s="2552" t="str">
        <f>+'8_MP'!D8</f>
        <v>1.1</v>
      </c>
      <c r="H5" s="2553" t="str">
        <f>+'8_MP'!H8</f>
        <v>Subcomponente 1.1 Transparencia en finanzas públicas</v>
      </c>
      <c r="I5" s="2570">
        <f>+I6+I55+I70</f>
        <v>6997000.2715999996</v>
      </c>
      <c r="J5" s="2554"/>
      <c r="K5" s="2554"/>
      <c r="L5" s="2553"/>
      <c r="M5" s="2553"/>
      <c r="Q5" s="2585"/>
    </row>
    <row r="6" spans="1:17" ht="34" hidden="1" outlineLevel="2">
      <c r="A6" s="2555" t="s">
        <v>499</v>
      </c>
      <c r="B6" s="2556" t="s">
        <v>615</v>
      </c>
      <c r="C6" s="2571">
        <v>4998000</v>
      </c>
      <c r="D6" s="2555"/>
      <c r="E6" s="2555"/>
      <c r="G6" s="2555" t="str">
        <f>+'8_MP'!D9</f>
        <v>1.1.1</v>
      </c>
      <c r="H6" s="2556" t="str">
        <f>+'8_MP'!H9</f>
        <v xml:space="preserve">Producto 1: Procesos de interoperabilidad en MH, MEPyD, DGCP y CGRD, implementados. Incluye SIGEF ajustado al presupuesto plurianual </v>
      </c>
      <c r="I6" s="2571">
        <f>+I15+I18+I24+I29+I44+I49</f>
        <v>4998000.2715999996</v>
      </c>
      <c r="J6" s="2555"/>
      <c r="K6" s="2555"/>
      <c r="L6" s="2556"/>
      <c r="M6" s="2556"/>
    </row>
    <row r="7" spans="1:17" ht="31.25" hidden="1" customHeight="1" outlineLevel="4">
      <c r="A7" s="2557" t="s">
        <v>497</v>
      </c>
      <c r="B7" s="2558" t="s">
        <v>498</v>
      </c>
      <c r="C7" s="2572"/>
      <c r="D7" s="2557"/>
      <c r="E7" s="2557"/>
      <c r="G7" s="2557" t="str">
        <f>+'8_MP'!D10</f>
        <v>1.1.1.1</v>
      </c>
      <c r="H7" s="2558" t="str">
        <f>+'8_MP'!H10</f>
        <v>Asistencia técnica para la implementación de la interoperabilidad en MH, MEPyD, DGCP y CGRD a partir de los mecanismos actuales, realizada.</v>
      </c>
      <c r="I7" s="2572">
        <v>0</v>
      </c>
      <c r="J7" s="2557"/>
      <c r="K7" s="2557"/>
      <c r="L7" s="2558"/>
      <c r="M7" s="2558"/>
    </row>
    <row r="8" spans="1:17" ht="14.5" hidden="1" customHeight="1" outlineLevel="4">
      <c r="A8" s="2541" t="s">
        <v>616</v>
      </c>
      <c r="B8" s="2544" t="s">
        <v>617</v>
      </c>
      <c r="C8" s="2573">
        <v>0</v>
      </c>
      <c r="D8" s="286">
        <v>0</v>
      </c>
      <c r="E8" s="2543"/>
      <c r="G8" s="2545" t="str">
        <f>+'8_MP'!F11</f>
        <v>1.1.1.1.1</v>
      </c>
      <c r="H8" s="2561" t="str">
        <f>+'8_MP'!H11</f>
        <v>Contratación de Especialistas Senior para la gestión técnica de arquitectura empresarial para realizar un diagnostico y plan de trabajo para la DIGES</v>
      </c>
      <c r="I8" s="2573">
        <v>0</v>
      </c>
      <c r="J8" s="2578"/>
      <c r="K8" s="2543"/>
      <c r="L8" s="2542"/>
      <c r="M8" s="2542"/>
    </row>
    <row r="9" spans="1:17" ht="14.5" hidden="1" customHeight="1" outlineLevel="4">
      <c r="A9" s="2541" t="s">
        <v>618</v>
      </c>
      <c r="B9" s="2542" t="s">
        <v>619</v>
      </c>
      <c r="C9" s="2573">
        <v>200000.00000000041</v>
      </c>
      <c r="D9" s="286">
        <v>107</v>
      </c>
      <c r="E9" s="2543"/>
      <c r="G9" s="2545" t="str">
        <f>+'8_MP'!F12</f>
        <v>1.1.1.1.2</v>
      </c>
      <c r="H9" s="2561" t="str">
        <f>+'8_MP'!H12</f>
        <v>Contratación de Especialistas Senior para la implementacion de la arquitectura empresarial basado en el diagnostico del 1.1.1.1.2</v>
      </c>
      <c r="I9" s="2573">
        <v>0</v>
      </c>
      <c r="J9" s="2578"/>
      <c r="K9" s="2543"/>
      <c r="L9" s="2542"/>
      <c r="M9" s="2542"/>
    </row>
    <row r="10" spans="1:17" ht="29" hidden="1" customHeight="1" outlineLevel="4">
      <c r="A10" s="2541" t="s">
        <v>620</v>
      </c>
      <c r="B10" s="2542" t="s">
        <v>621</v>
      </c>
      <c r="C10" s="2573">
        <v>120000</v>
      </c>
      <c r="D10" s="286">
        <v>4</v>
      </c>
      <c r="E10" s="2543"/>
      <c r="G10" s="2541"/>
      <c r="H10" s="2542"/>
      <c r="I10" s="2573"/>
      <c r="J10" s="286"/>
      <c r="K10" s="2543"/>
      <c r="L10" s="2542"/>
      <c r="M10" s="2542"/>
    </row>
    <row r="11" spans="1:17" ht="14.5" hidden="1" customHeight="1" outlineLevel="4">
      <c r="A11" s="2541" t="s">
        <v>622</v>
      </c>
      <c r="B11" s="2542" t="s">
        <v>623</v>
      </c>
      <c r="C11" s="2573">
        <v>642000</v>
      </c>
      <c r="D11" s="286">
        <v>5</v>
      </c>
      <c r="E11" s="2543"/>
      <c r="G11" s="2541"/>
      <c r="H11" s="2542"/>
      <c r="I11" s="2573"/>
      <c r="J11" s="286"/>
      <c r="K11" s="2543"/>
      <c r="L11" s="2542"/>
      <c r="M11" s="2542"/>
    </row>
    <row r="12" spans="1:17" ht="43.25" hidden="1" customHeight="1" outlineLevel="4">
      <c r="A12" s="2541" t="s">
        <v>624</v>
      </c>
      <c r="B12" s="2544" t="s">
        <v>625</v>
      </c>
      <c r="C12" s="2573">
        <v>0</v>
      </c>
      <c r="D12" s="286">
        <v>15</v>
      </c>
      <c r="E12" s="2543"/>
      <c r="G12" s="2541"/>
      <c r="H12" s="2544"/>
      <c r="I12" s="2573"/>
      <c r="J12" s="286"/>
      <c r="K12" s="2543"/>
      <c r="L12" s="2542"/>
      <c r="M12" s="2542"/>
    </row>
    <row r="13" spans="1:17" ht="104.5" hidden="1" customHeight="1" outlineLevel="4">
      <c r="A13" s="2541" t="s">
        <v>626</v>
      </c>
      <c r="B13" s="2544" t="s">
        <v>627</v>
      </c>
      <c r="C13" s="2573">
        <v>0</v>
      </c>
      <c r="D13" s="286">
        <v>16</v>
      </c>
      <c r="E13" s="2543"/>
      <c r="G13" s="2541"/>
      <c r="H13" s="2544"/>
      <c r="I13" s="2573"/>
      <c r="J13" s="286"/>
      <c r="K13" s="2543"/>
      <c r="L13" s="2542"/>
      <c r="M13" s="2542"/>
    </row>
    <row r="14" spans="1:17" ht="43.25" hidden="1" customHeight="1" outlineLevel="4">
      <c r="A14" s="2541" t="s">
        <v>628</v>
      </c>
      <c r="B14" s="2542" t="s">
        <v>629</v>
      </c>
      <c r="C14" s="2573">
        <v>246000</v>
      </c>
      <c r="D14" s="286">
        <v>8</v>
      </c>
      <c r="E14" s="2543"/>
      <c r="G14" s="2541"/>
      <c r="H14" s="2542"/>
      <c r="I14" s="2573"/>
      <c r="J14" s="286"/>
      <c r="K14" s="2543"/>
      <c r="L14" s="2542"/>
      <c r="M14" s="2542"/>
    </row>
    <row r="15" spans="1:17" ht="15.5" hidden="1" customHeight="1" outlineLevel="4">
      <c r="A15" s="2557" t="s">
        <v>630</v>
      </c>
      <c r="B15" s="2558" t="s">
        <v>631</v>
      </c>
      <c r="C15" s="2572"/>
      <c r="D15" s="2557"/>
      <c r="E15" s="2557"/>
      <c r="G15" s="3020" t="str">
        <f>+'8_MP'!F13</f>
        <v>1.1.1.2</v>
      </c>
      <c r="H15" s="3019" t="str">
        <f>+'8_MP'!H13</f>
        <v xml:space="preserve"> Procesos de Arquitectura de interoperabilidad</v>
      </c>
      <c r="I15" s="2572">
        <f>+SUM(I16:I17)</f>
        <v>1685241.9387999999</v>
      </c>
      <c r="J15" s="2557"/>
      <c r="K15" s="2557"/>
      <c r="L15" s="2558"/>
      <c r="M15" s="2558"/>
    </row>
    <row r="16" spans="1:17" ht="48" hidden="1" outlineLevel="4">
      <c r="A16" s="2541" t="s">
        <v>632</v>
      </c>
      <c r="B16" s="2542" t="s">
        <v>633</v>
      </c>
      <c r="C16" s="2573">
        <v>500000</v>
      </c>
      <c r="D16" s="286" t="s">
        <v>634</v>
      </c>
      <c r="E16" s="2543"/>
      <c r="G16" s="2545" t="str">
        <f>+'8_MP'!F17</f>
        <v>1.1.1.3.1</v>
      </c>
      <c r="H16" s="2561" t="str">
        <f>+'8_MP'!H14</f>
        <v>Contratación de Especialistas para la gestión técnica de la arquitectura de interoperabilidad el cual realizar un diagnostico y plan de trabajo detallando las posibles opciones de interoperabilidad para el SIAFE y el sistema de API gateway</v>
      </c>
      <c r="I16" s="2573">
        <f>+'8_MP'!AI14</f>
        <v>30000</v>
      </c>
      <c r="J16" s="2578" t="str">
        <f>+'8_MP'!Z14</f>
        <v>4A</v>
      </c>
      <c r="K16" s="3021" t="str">
        <f>+'8_MP'!W14</f>
        <v>3CV</v>
      </c>
      <c r="L16" s="2542"/>
      <c r="M16" s="2542"/>
    </row>
    <row r="17" spans="1:13" ht="32" hidden="1" outlineLevel="4">
      <c r="A17" s="2541" t="s">
        <v>635</v>
      </c>
      <c r="B17" s="2542" t="s">
        <v>636</v>
      </c>
      <c r="C17" s="2573">
        <v>500000</v>
      </c>
      <c r="D17" s="286" t="s">
        <v>634</v>
      </c>
      <c r="E17" s="2543"/>
      <c r="G17" s="2545" t="str">
        <f>+'8_MP'!F18</f>
        <v>1.1.1.3.2</v>
      </c>
      <c r="H17" s="2561" t="str">
        <f>+'8_MP'!H15</f>
        <v>Contratación de Especialistas Senior  para la implementacion de la arquitectura de interoperabilidad</v>
      </c>
      <c r="I17" s="2573">
        <f>+'8_MP'!AI15</f>
        <v>1655241.9387999999</v>
      </c>
      <c r="J17" s="2578" t="str">
        <f>+'8_MP'!Z15</f>
        <v>3A</v>
      </c>
      <c r="K17" s="3021" t="str">
        <f>+'8_MP'!W15</f>
        <v>SBCC</v>
      </c>
      <c r="L17" s="2542"/>
      <c r="M17" s="2542"/>
    </row>
    <row r="18" spans="1:13" ht="31.25" hidden="1" customHeight="1" outlineLevel="4">
      <c r="A18" s="2557" t="s">
        <v>637</v>
      </c>
      <c r="B18" s="2558" t="s">
        <v>638</v>
      </c>
      <c r="C18" s="2572"/>
      <c r="D18" s="2557"/>
      <c r="E18" s="2557"/>
      <c r="G18" s="3020" t="str">
        <f>+'8_MP'!F16</f>
        <v>1.1.1.3</v>
      </c>
      <c r="H18" s="3019" t="str">
        <f>+'8_MP'!H16</f>
        <v>Procesos priorizados según el diseño de la arquitectura, implementados</v>
      </c>
      <c r="I18" s="2572">
        <f>+'8_MP'!AI16</f>
        <v>1173404</v>
      </c>
      <c r="J18" s="3022"/>
      <c r="K18" s="2589"/>
      <c r="L18" s="2558"/>
      <c r="M18" s="2558"/>
    </row>
    <row r="19" spans="1:13" ht="29" hidden="1" customHeight="1" outlineLevel="4">
      <c r="A19" s="2541" t="s">
        <v>639</v>
      </c>
      <c r="B19" s="2542" t="s">
        <v>638</v>
      </c>
      <c r="C19" s="2573">
        <v>618000</v>
      </c>
      <c r="D19" s="286" t="s">
        <v>634</v>
      </c>
      <c r="E19" s="2543"/>
      <c r="G19" s="2545" t="str">
        <f>+'8_MP'!F17</f>
        <v>1.1.1.3.1</v>
      </c>
      <c r="H19" s="2561" t="str">
        <f>+'8_MP'!H17</f>
        <v>Fortalecimientos a la infraestructura de Ciberseguridad del Ministerio de Hacienda</v>
      </c>
      <c r="I19" s="2573">
        <f>+'8_MP'!AI17</f>
        <v>1173404</v>
      </c>
      <c r="J19" s="2578">
        <f>+'8_MP'!Z17</f>
        <v>64</v>
      </c>
      <c r="K19" s="3021" t="str" cm="1">
        <f t="array" ref="K19:K20">+'8_MP'!W17:W18</f>
        <v>LPI</v>
      </c>
      <c r="L19" s="2542"/>
      <c r="M19" s="2542"/>
    </row>
    <row r="20" spans="1:13" ht="16" hidden="1" outlineLevel="4">
      <c r="A20" s="2541" t="s">
        <v>640</v>
      </c>
      <c r="B20" s="2542" t="s">
        <v>641</v>
      </c>
      <c r="C20" s="2573">
        <v>48000</v>
      </c>
      <c r="D20" s="286">
        <v>108</v>
      </c>
      <c r="E20" s="2543"/>
      <c r="G20" s="2545" t="str">
        <f>+'8_MP'!F18</f>
        <v>1.1.1.3.2</v>
      </c>
      <c r="H20" s="2561" t="str">
        <f>+'8_MP'!H18</f>
        <v>Certificaciónes en cibersuguridad (ISO 27000, ISO 27001, entre otras a ser evaluadas)</v>
      </c>
      <c r="I20" s="2573">
        <f>+'8_MP'!AI18</f>
        <v>0</v>
      </c>
      <c r="J20" s="2578">
        <f>+'8_MP'!Z18</f>
        <v>0</v>
      </c>
      <c r="K20" s="3021">
        <v>0</v>
      </c>
      <c r="L20" s="2542"/>
      <c r="M20" s="2542"/>
    </row>
    <row r="21" spans="1:13" ht="14.5" hidden="1" customHeight="1" outlineLevel="4">
      <c r="A21" s="2541" t="s">
        <v>642</v>
      </c>
      <c r="B21" s="2542" t="s">
        <v>643</v>
      </c>
      <c r="C21" s="2573">
        <v>36000</v>
      </c>
      <c r="D21" s="286">
        <v>109</v>
      </c>
      <c r="E21" s="2543"/>
      <c r="G21" s="2541"/>
      <c r="H21" s="2542"/>
      <c r="I21" s="2573"/>
      <c r="J21" s="286"/>
      <c r="K21" s="2543"/>
      <c r="L21" s="2542"/>
      <c r="M21" s="2542"/>
    </row>
    <row r="22" spans="1:13" ht="14.5" hidden="1" customHeight="1" outlineLevel="4">
      <c r="A22" s="2541" t="s">
        <v>644</v>
      </c>
      <c r="B22" s="2542" t="s">
        <v>645</v>
      </c>
      <c r="C22" s="2573">
        <v>24000</v>
      </c>
      <c r="D22" s="286">
        <v>110</v>
      </c>
      <c r="E22" s="2543"/>
      <c r="G22" s="2541"/>
      <c r="H22" s="2542"/>
      <c r="I22" s="2573"/>
      <c r="J22" s="286"/>
      <c r="K22" s="2543"/>
      <c r="L22" s="2542"/>
      <c r="M22" s="2542"/>
    </row>
    <row r="23" spans="1:13" ht="14.5" hidden="1" customHeight="1" outlineLevel="4">
      <c r="A23" s="2541" t="s">
        <v>646</v>
      </c>
      <c r="B23" s="2542" t="s">
        <v>647</v>
      </c>
      <c r="C23" s="2573">
        <v>24000</v>
      </c>
      <c r="D23" s="286">
        <v>111</v>
      </c>
      <c r="E23" s="2543"/>
      <c r="G23" s="2541"/>
      <c r="H23" s="2542"/>
      <c r="I23" s="2573"/>
      <c r="J23" s="286"/>
      <c r="K23" s="2543"/>
      <c r="L23" s="2542"/>
      <c r="M23" s="2542"/>
    </row>
    <row r="24" spans="1:13" ht="15.5" hidden="1" customHeight="1" outlineLevel="4">
      <c r="A24" s="2557" t="s">
        <v>648</v>
      </c>
      <c r="B24" s="2558" t="s">
        <v>649</v>
      </c>
      <c r="C24" s="2572"/>
      <c r="D24" s="2557"/>
      <c r="E24" s="2557"/>
      <c r="G24" s="3020" t="str">
        <f>+'8_MP'!F19</f>
        <v>1.1.1.4</v>
      </c>
      <c r="H24" s="3019" t="str">
        <f>+'8_MP'!H19</f>
        <v>SIGEF ajustado a la programación del presupuesto plurianual</v>
      </c>
      <c r="I24" s="2572">
        <f>+SUM(I25:I28)</f>
        <v>616596</v>
      </c>
      <c r="J24" s="2572"/>
      <c r="K24" s="2572"/>
      <c r="L24" s="2558"/>
      <c r="M24" s="2558"/>
    </row>
    <row r="25" spans="1:13" ht="14.5" hidden="1" customHeight="1" outlineLevel="4">
      <c r="A25" s="2541" t="s">
        <v>650</v>
      </c>
      <c r="B25" s="2542" t="s">
        <v>617</v>
      </c>
      <c r="C25" s="3665">
        <v>540000</v>
      </c>
      <c r="D25" s="3668">
        <v>3</v>
      </c>
      <c r="E25" s="3668"/>
      <c r="G25" s="2545" t="str">
        <f>+'8_MP'!F20</f>
        <v>1.1.1.4.1</v>
      </c>
      <c r="H25" s="2561" t="str">
        <f>+'8_MP'!H20</f>
        <v>Consultoría para la actualización del modelo funcional del presupuesto plurianual orientado a resultado con modalidad dinámica (PPORMD) para asegurar la interoperabilidad entre los componentes del SIAFE</v>
      </c>
      <c r="I25" s="3023">
        <f>+'8_MP'!AI20</f>
        <v>187680</v>
      </c>
      <c r="J25" s="2578" t="str">
        <f>+'8_MP'!Z20</f>
        <v>62A</v>
      </c>
      <c r="K25" s="3024" t="str">
        <f>+'8_MP'!W20</f>
        <v>SD</v>
      </c>
      <c r="L25" s="3667"/>
      <c r="M25" s="3667"/>
    </row>
    <row r="26" spans="1:13" ht="14.5" hidden="1" customHeight="1" outlineLevel="4">
      <c r="A26" s="2541" t="s">
        <v>651</v>
      </c>
      <c r="B26" s="2542" t="s">
        <v>619</v>
      </c>
      <c r="C26" s="3665"/>
      <c r="D26" s="3668"/>
      <c r="E26" s="3668"/>
      <c r="G26" s="2545" t="str">
        <f>+'8_MP'!F21</f>
        <v>1.1.1.4.2</v>
      </c>
      <c r="H26" s="2561" t="str">
        <f>+'8_MP'!H21</f>
        <v>6 Analistas de Procesos de Negocio (Contratacion Directa)</v>
      </c>
      <c r="I26" s="3023">
        <f>+'8_MP'!AI21</f>
        <v>254304</v>
      </c>
      <c r="J26" s="2578" t="str">
        <f>+'8_MP'!Z21</f>
        <v>62C</v>
      </c>
      <c r="K26" s="3024" t="str">
        <f>+'8_MP'!W21</f>
        <v>3CV</v>
      </c>
      <c r="L26" s="3667"/>
      <c r="M26" s="3667"/>
    </row>
    <row r="27" spans="1:13" ht="29" hidden="1" customHeight="1" outlineLevel="4">
      <c r="A27" s="2541" t="s">
        <v>652</v>
      </c>
      <c r="B27" s="2542" t="s">
        <v>653</v>
      </c>
      <c r="C27" s="3665"/>
      <c r="D27" s="3668"/>
      <c r="E27" s="3668"/>
      <c r="G27" s="2545" t="str">
        <f>+'8_MP'!F22</f>
        <v>1.1.1.4.3</v>
      </c>
      <c r="H27" s="2561" t="str">
        <f>+'8_MP'!H22</f>
        <v>3 Analistas de Procesos de Negocio (Contratacion Directa)</v>
      </c>
      <c r="I27" s="3023">
        <f>+'8_MP'!AI22</f>
        <v>127152</v>
      </c>
      <c r="J27" s="2578" t="str">
        <f>+'8_MP'!Z22</f>
        <v>62C_A</v>
      </c>
      <c r="K27" s="3024" t="str">
        <f>+'8_MP'!W22</f>
        <v>3CV</v>
      </c>
      <c r="L27" s="3667"/>
      <c r="M27" s="3667"/>
    </row>
    <row r="28" spans="1:13" ht="15.5" hidden="1" customHeight="1" outlineLevel="4">
      <c r="A28" s="2541"/>
      <c r="B28" s="2542"/>
      <c r="C28" s="3016"/>
      <c r="D28" s="3018"/>
      <c r="E28" s="3018"/>
      <c r="G28" s="2545" t="str">
        <f>+'8_MP'!F23</f>
        <v>1.1.1.4.4</v>
      </c>
      <c r="H28" s="2561" t="str">
        <f>+'8_MP'!H23</f>
        <v>Analista de Sistemas de Información</v>
      </c>
      <c r="I28" s="3023">
        <f>+'8_MP'!AI23</f>
        <v>47460</v>
      </c>
      <c r="J28" s="2578" t="str">
        <f>+'8_MP'!Z23</f>
        <v>62E</v>
      </c>
      <c r="K28" s="3024" t="str">
        <f>+'8_MP'!W23</f>
        <v>3CV</v>
      </c>
      <c r="L28" s="3017"/>
      <c r="M28" s="3017"/>
    </row>
    <row r="29" spans="1:13" ht="43.25" hidden="1" customHeight="1" outlineLevel="4">
      <c r="A29" s="2557" t="s">
        <v>654</v>
      </c>
      <c r="B29" s="2558" t="s">
        <v>655</v>
      </c>
      <c r="C29" s="2572"/>
      <c r="D29" s="2557"/>
      <c r="E29" s="2557"/>
      <c r="G29" s="3020" t="str">
        <f>+'8_MP'!F24</f>
        <v>1.1.1.5</v>
      </c>
      <c r="H29" s="3019" t="str">
        <f>+'8_MP'!H24</f>
        <v>Modificaciones al SIGEF relacionadas con funcionalidades necesarias para la interoperabilidad en el marco de la trazabilidad de los recursos públicos.</v>
      </c>
      <c r="I29" s="2572">
        <f>+'8_MP'!AI24</f>
        <v>1242758.3328</v>
      </c>
      <c r="J29" s="2557"/>
      <c r="K29" s="2557"/>
      <c r="L29" s="2558"/>
      <c r="M29" s="2558"/>
    </row>
    <row r="30" spans="1:13" ht="14.5" hidden="1" customHeight="1" outlineLevel="4">
      <c r="A30" s="2541" t="s">
        <v>656</v>
      </c>
      <c r="B30" s="2542" t="s">
        <v>657</v>
      </c>
      <c r="C30" s="2573">
        <v>200000</v>
      </c>
      <c r="D30" s="286" t="s">
        <v>658</v>
      </c>
      <c r="E30" s="2543"/>
      <c r="G30" s="3020" t="str">
        <f>+'8_MP'!F25</f>
        <v>1.1.1.5.1</v>
      </c>
      <c r="H30" s="3019" t="str">
        <f>+'8_MP'!H25</f>
        <v>ESPECIALISTAS BACKEND y FRONTEND</v>
      </c>
      <c r="I30" s="2572">
        <f>+'8_MP'!AI25</f>
        <v>54000</v>
      </c>
      <c r="J30" s="2557"/>
      <c r="K30" s="2557"/>
      <c r="L30" s="2557"/>
      <c r="M30" s="2558"/>
    </row>
    <row r="31" spans="1:13" ht="14.5" hidden="1" customHeight="1" outlineLevel="4">
      <c r="A31" s="2541" t="s">
        <v>659</v>
      </c>
      <c r="B31" s="2542" t="s">
        <v>660</v>
      </c>
      <c r="C31" s="2573">
        <v>90395.480225988722</v>
      </c>
      <c r="D31" s="286" t="s">
        <v>661</v>
      </c>
      <c r="E31" s="2543"/>
      <c r="G31" s="2545" t="str">
        <f>+'8_MP'!F26</f>
        <v>1.1.1.5.1.1</v>
      </c>
      <c r="H31" s="2561" t="str">
        <f>+'8_MP'!H26</f>
        <v>Especialista para selección de herramienta Self Service Analytics</v>
      </c>
      <c r="I31" s="3023">
        <f>+'8_MP'!AI26</f>
        <v>18000</v>
      </c>
      <c r="J31" s="2578" t="str">
        <f>+'8_MP'!Z26</f>
        <v>106 A</v>
      </c>
      <c r="K31" s="3024" t="str">
        <f>+'8_MP'!W26</f>
        <v>3CV</v>
      </c>
      <c r="L31" s="2542"/>
      <c r="M31" s="2542"/>
    </row>
    <row r="32" spans="1:13" ht="14.5" hidden="1" customHeight="1" outlineLevel="4">
      <c r="A32" s="2541" t="s">
        <v>662</v>
      </c>
      <c r="B32" s="2542" t="s">
        <v>663</v>
      </c>
      <c r="C32" s="2573">
        <v>271204.2406779661</v>
      </c>
      <c r="D32" s="286" t="s">
        <v>664</v>
      </c>
      <c r="E32" s="2543"/>
      <c r="G32" s="2545" t="str">
        <f>+'8_MP'!F27</f>
        <v>1.1.1.5.1.2</v>
      </c>
      <c r="H32" s="2561" t="str">
        <f>+'8_MP'!H27</f>
        <v xml:space="preserve"> Especialista Desarrollo Frontend para definir estándares plataforma de desarrollo</v>
      </c>
      <c r="I32" s="3023">
        <f>+'8_MP'!AI27</f>
        <v>36000</v>
      </c>
      <c r="J32" s="2578" t="str">
        <f>+'8_MP'!Z27</f>
        <v>106 B</v>
      </c>
      <c r="K32" s="3024" t="str">
        <f>+'8_MP'!W27</f>
        <v>3CV</v>
      </c>
      <c r="L32" s="2542"/>
      <c r="M32" s="2542"/>
    </row>
    <row r="33" spans="1:13" ht="14.5" hidden="1" customHeight="1" outlineLevel="4">
      <c r="A33" s="2541" t="s">
        <v>665</v>
      </c>
      <c r="B33" s="2542" t="s">
        <v>666</v>
      </c>
      <c r="C33" s="2573">
        <v>64406.779661016953</v>
      </c>
      <c r="D33" s="286" t="s">
        <v>667</v>
      </c>
      <c r="E33" s="2543"/>
      <c r="G33" s="3020" t="str">
        <f>+'8_MP'!F28</f>
        <v>1.1.1.5.2</v>
      </c>
      <c r="H33" s="3019" t="str">
        <f>+'8_MP'!H28</f>
        <v>Unidades de trabajo en ciclo AGIL</v>
      </c>
      <c r="I33" s="2572">
        <f>+'8_MP'!AI28</f>
        <v>1188758.3328</v>
      </c>
      <c r="J33" s="2557"/>
      <c r="K33" s="2557"/>
      <c r="L33" s="2557"/>
      <c r="M33" s="2558"/>
    </row>
    <row r="34" spans="1:13" ht="14.5" hidden="1" customHeight="1" outlineLevel="4">
      <c r="A34" s="2541" t="s">
        <v>668</v>
      </c>
      <c r="B34" s="2542" t="s">
        <v>669</v>
      </c>
      <c r="C34" s="2573">
        <v>37966.101694915254</v>
      </c>
      <c r="D34" s="286" t="s">
        <v>670</v>
      </c>
      <c r="E34" s="2543"/>
      <c r="G34" s="2545" t="str">
        <f>+'8_MP'!F29</f>
        <v>1.1.1.5.2.1</v>
      </c>
      <c r="H34" s="2561" t="str">
        <f>+'8_MP'!H29</f>
        <v xml:space="preserve"> Scrum Masters</v>
      </c>
      <c r="I34" s="3023">
        <f>+'8_MP'!AI29</f>
        <v>120000</v>
      </c>
      <c r="J34" s="3656" t="str">
        <f>+'8_MP'!Z29</f>
        <v>3B</v>
      </c>
      <c r="K34" s="3659" t="str">
        <f>+'8_MP'!W29</f>
        <v>SBCC</v>
      </c>
      <c r="L34" s="2542"/>
      <c r="M34" s="2542"/>
    </row>
    <row r="35" spans="1:13" ht="29" hidden="1" customHeight="1" outlineLevel="4">
      <c r="A35" s="2541" t="s">
        <v>671</v>
      </c>
      <c r="B35" s="2542" t="s">
        <v>672</v>
      </c>
      <c r="C35" s="2573">
        <v>26027.4</v>
      </c>
      <c r="D35" s="286" t="s">
        <v>673</v>
      </c>
      <c r="E35" s="2543"/>
      <c r="G35" s="2545" t="str">
        <f>+'8_MP'!F30</f>
        <v>1.1.1.5.2.2</v>
      </c>
      <c r="H35" s="2561" t="str">
        <f>+'8_MP'!H30</f>
        <v>Analistas de Sistemas  SIAFE</v>
      </c>
      <c r="I35" s="3023">
        <f>+'8_MP'!AI30</f>
        <v>240000</v>
      </c>
      <c r="J35" s="3657"/>
      <c r="K35" s="3660"/>
      <c r="L35" s="2542"/>
      <c r="M35" s="2542"/>
    </row>
    <row r="36" spans="1:13" ht="14.5" hidden="1" customHeight="1" outlineLevel="4">
      <c r="A36" s="2541" t="s">
        <v>674</v>
      </c>
      <c r="B36" s="2542" t="s">
        <v>675</v>
      </c>
      <c r="C36" s="2573">
        <v>810000</v>
      </c>
      <c r="D36" s="286">
        <v>106</v>
      </c>
      <c r="E36" s="2543"/>
      <c r="G36" s="2545" t="str">
        <f>+'8_MP'!F31</f>
        <v>1.1.1.5.2.3</v>
      </c>
      <c r="H36" s="2561" t="str">
        <f>+'8_MP'!H31</f>
        <v>Programadores backend </v>
      </c>
      <c r="I36" s="3023">
        <f>+'8_MP'!AI31</f>
        <v>240000</v>
      </c>
      <c r="J36" s="3657"/>
      <c r="K36" s="3660"/>
      <c r="L36" s="2542"/>
      <c r="M36" s="2542"/>
    </row>
    <row r="37" spans="1:13" ht="14.5" hidden="1" customHeight="1" outlineLevel="4">
      <c r="A37" s="2541"/>
      <c r="B37" s="2542"/>
      <c r="C37" s="2573"/>
      <c r="D37" s="286"/>
      <c r="E37" s="2543"/>
      <c r="G37" s="2545" t="str">
        <f>+'8_MP'!F32</f>
        <v>1.1.1.5.2.4</v>
      </c>
      <c r="H37" s="2561" t="str">
        <f>+'8_MP'!H32</f>
        <v>Programadores frontend </v>
      </c>
      <c r="I37" s="3023">
        <f>+'8_MP'!AI32</f>
        <v>197852.3328</v>
      </c>
      <c r="J37" s="3657"/>
      <c r="K37" s="3660"/>
      <c r="L37" s="2542"/>
      <c r="M37" s="2542"/>
    </row>
    <row r="38" spans="1:13" ht="14.5" hidden="1" customHeight="1" outlineLevel="4">
      <c r="A38" s="2541"/>
      <c r="B38" s="2542"/>
      <c r="C38" s="2573"/>
      <c r="D38" s="286"/>
      <c r="E38" s="2543"/>
      <c r="G38" s="2545" t="str">
        <f>+'8_MP'!F33</f>
        <v>1.1.1.5.2.5</v>
      </c>
      <c r="H38" s="2561" t="str">
        <f>+'8_MP'!H33</f>
        <v xml:space="preserve">Analista de Pruebas para el SIAFE </v>
      </c>
      <c r="I38" s="3023">
        <f>+'8_MP'!AI33</f>
        <v>103008</v>
      </c>
      <c r="J38" s="3658"/>
      <c r="K38" s="3661"/>
      <c r="L38" s="2542"/>
      <c r="M38" s="2542"/>
    </row>
    <row r="39" spans="1:13" ht="14.5" hidden="1" customHeight="1" outlineLevel="4">
      <c r="A39" s="2541"/>
      <c r="B39" s="2542"/>
      <c r="C39" s="2573"/>
      <c r="D39" s="286"/>
      <c r="E39" s="2543"/>
      <c r="G39" s="2545" t="str">
        <f>+'8_MP'!F34</f>
        <v>1.1.1.5.2.6</v>
      </c>
      <c r="H39" s="2561" t="str">
        <f>+'8_MP'!H34</f>
        <v xml:space="preserve"> Scrum Masters</v>
      </c>
      <c r="I39" s="3023">
        <f>+'8_MP'!AI34</f>
        <v>65000</v>
      </c>
      <c r="J39" s="2578" t="str">
        <f>+'8_MP'!Z34</f>
        <v>106C</v>
      </c>
      <c r="K39" s="3024" t="str">
        <f>+'8_MP'!W34</f>
        <v>3CV</v>
      </c>
      <c r="L39" s="2542"/>
      <c r="M39" s="2542"/>
    </row>
    <row r="40" spans="1:13" ht="14.5" hidden="1" customHeight="1" outlineLevel="4">
      <c r="A40" s="2541"/>
      <c r="B40" s="2542"/>
      <c r="C40" s="2573"/>
      <c r="D40" s="286"/>
      <c r="E40" s="2543"/>
      <c r="G40" s="2545" t="str">
        <f>+'8_MP'!F35</f>
        <v>1.1.1.5.2.7</v>
      </c>
      <c r="H40" s="2561" t="str">
        <f>+'8_MP'!H35</f>
        <v>Analistas de Sistemas  SIAFE</v>
      </c>
      <c r="I40" s="3023">
        <f>+'8_MP'!AI35</f>
        <v>65000</v>
      </c>
      <c r="J40" s="2578" t="str">
        <f>+'8_MP'!Z35</f>
        <v>106D</v>
      </c>
      <c r="K40" s="3024" t="str">
        <f>+'8_MP'!W35</f>
        <v>3CV</v>
      </c>
      <c r="L40" s="2542"/>
      <c r="M40" s="2542"/>
    </row>
    <row r="41" spans="1:13" ht="14.5" hidden="1" customHeight="1" outlineLevel="4">
      <c r="A41" s="2541"/>
      <c r="B41" s="2542"/>
      <c r="C41" s="2573"/>
      <c r="D41" s="286"/>
      <c r="E41" s="2543"/>
      <c r="G41" s="2545" t="str">
        <f>+'8_MP'!F36</f>
        <v>1.1.1.5.2.8</v>
      </c>
      <c r="H41" s="2561" t="str">
        <f>+'8_MP'!H36</f>
        <v>Programadores backend </v>
      </c>
      <c r="I41" s="3023">
        <f>+'8_MP'!AI36</f>
        <v>65000</v>
      </c>
      <c r="J41" s="2578" t="str">
        <f>+'8_MP'!Z36</f>
        <v>106E</v>
      </c>
      <c r="K41" s="3024" t="str">
        <f>+'8_MP'!W36</f>
        <v>3CV</v>
      </c>
      <c r="L41" s="2542"/>
      <c r="M41" s="2542"/>
    </row>
    <row r="42" spans="1:13" ht="14.5" hidden="1" customHeight="1" outlineLevel="4">
      <c r="A42" s="2541"/>
      <c r="B42" s="2542"/>
      <c r="C42" s="2573"/>
      <c r="D42" s="286"/>
      <c r="E42" s="2543"/>
      <c r="G42" s="2545" t="str">
        <f>+'8_MP'!F37</f>
        <v>1.1.1.5.2.9</v>
      </c>
      <c r="H42" s="2561" t="str">
        <f>+'8_MP'!H37</f>
        <v>Programadores frontend </v>
      </c>
      <c r="I42" s="3023">
        <f>+'8_MP'!AI37</f>
        <v>65000</v>
      </c>
      <c r="J42" s="2578" t="str">
        <f>+'8_MP'!Z37</f>
        <v>106F</v>
      </c>
      <c r="K42" s="3024" t="str">
        <f>+'8_MP'!W37</f>
        <v>3CV</v>
      </c>
      <c r="L42" s="2542"/>
      <c r="M42" s="2542"/>
    </row>
    <row r="43" spans="1:13" ht="14.5" hidden="1" customHeight="1" outlineLevel="4">
      <c r="A43" s="2541"/>
      <c r="B43" s="2542"/>
      <c r="C43" s="2573"/>
      <c r="D43" s="286"/>
      <c r="E43" s="2543"/>
      <c r="G43" s="2545" t="str">
        <f>+'8_MP'!F38</f>
        <v>1.1.1.5.2.10</v>
      </c>
      <c r="H43" s="2561" t="str">
        <f>+'8_MP'!H38</f>
        <v xml:space="preserve">Analista de Pruebas para el SIAFE </v>
      </c>
      <c r="I43" s="3023">
        <f>+'8_MP'!AI38</f>
        <v>27898</v>
      </c>
      <c r="J43" s="2578" t="str">
        <f>+'8_MP'!Z38</f>
        <v>106G</v>
      </c>
      <c r="K43" s="3024" t="str">
        <f>+'8_MP'!W38</f>
        <v>3CV</v>
      </c>
      <c r="L43" s="2542"/>
      <c r="M43" s="2542"/>
    </row>
    <row r="44" spans="1:13" ht="14.5" hidden="1" customHeight="1" outlineLevel="4">
      <c r="A44" s="2541"/>
      <c r="B44" s="2542"/>
      <c r="C44" s="2573"/>
      <c r="D44" s="286"/>
      <c r="E44" s="2543"/>
      <c r="G44" s="3020" t="str">
        <f>+'8_MP'!F39</f>
        <v>1.1.1.6</v>
      </c>
      <c r="H44" s="3019" t="str">
        <f>+'8_MP'!H39</f>
        <v>Construcción de servicios web y ajustes prioritarios a sistemas</v>
      </c>
      <c r="I44" s="2572">
        <f>+'8_MP'!AI39</f>
        <v>190000</v>
      </c>
      <c r="J44" s="2557"/>
      <c r="K44" s="2557"/>
      <c r="L44" s="2557"/>
      <c r="M44" s="2558"/>
    </row>
    <row r="45" spans="1:13" ht="14.5" hidden="1" customHeight="1" outlineLevel="4">
      <c r="A45" s="2541"/>
      <c r="B45" s="2542"/>
      <c r="C45" s="2573"/>
      <c r="D45" s="286"/>
      <c r="E45" s="2543"/>
      <c r="G45" s="2545" t="str">
        <f>+'8_MP'!F40</f>
        <v>1.1.1.6.1</v>
      </c>
      <c r="H45" s="2561" t="str">
        <f>+'8_MP'!H40</f>
        <v>SCRUM MASTER para ajustes del SNIP</v>
      </c>
      <c r="I45" s="3023">
        <f>+'8_MP'!AI40</f>
        <v>30000</v>
      </c>
      <c r="J45" s="2578" t="str">
        <f>+'8_MP'!Z40</f>
        <v>5A</v>
      </c>
      <c r="K45" s="3024" t="str">
        <f>+'8_MP'!W40</f>
        <v>3CV</v>
      </c>
      <c r="L45" s="2542"/>
      <c r="M45" s="2542"/>
    </row>
    <row r="46" spans="1:13" ht="14.5" hidden="1" customHeight="1" outlineLevel="4">
      <c r="A46" s="2541"/>
      <c r="B46" s="2542"/>
      <c r="C46" s="2573"/>
      <c r="D46" s="286"/>
      <c r="E46" s="2543"/>
      <c r="G46" s="2545" t="str">
        <f>+'8_MP'!F41</f>
        <v>1.1.1.6.2</v>
      </c>
      <c r="H46" s="2561" t="str">
        <f>+'8_MP'!H41</f>
        <v>Analista de Sistemas de informacion SIAFE  para ajustes del SNIP</v>
      </c>
      <c r="I46" s="3023">
        <f>+'8_MP'!AI41</f>
        <v>30000</v>
      </c>
      <c r="J46" s="2578" t="str">
        <f>+'8_MP'!Z41</f>
        <v>5B</v>
      </c>
      <c r="K46" s="3024" t="str">
        <f>+'8_MP'!W41</f>
        <v>3CV</v>
      </c>
      <c r="L46" s="2542"/>
      <c r="M46" s="2542"/>
    </row>
    <row r="47" spans="1:13" ht="14.5" hidden="1" customHeight="1" outlineLevel="4">
      <c r="A47" s="2541"/>
      <c r="B47" s="2542"/>
      <c r="C47" s="2573"/>
      <c r="D47" s="286"/>
      <c r="E47" s="2543"/>
      <c r="G47" s="2545" t="str">
        <f>+'8_MP'!F42</f>
        <v>1.1.1.6.3</v>
      </c>
      <c r="H47" s="2561" t="str">
        <f>+'8_MP'!H42</f>
        <v>Programador backend </v>
      </c>
      <c r="I47" s="3023">
        <f>+'8_MP'!AI42</f>
        <v>65000</v>
      </c>
      <c r="J47" s="2578" t="str">
        <f>+'8_MP'!Z42</f>
        <v>5C</v>
      </c>
      <c r="K47" s="3024" t="str">
        <f>+'8_MP'!W42</f>
        <v>3CV</v>
      </c>
      <c r="L47" s="2542"/>
      <c r="M47" s="2542"/>
    </row>
    <row r="48" spans="1:13" ht="14.5" hidden="1" customHeight="1" outlineLevel="4">
      <c r="A48" s="2541"/>
      <c r="B48" s="2542"/>
      <c r="C48" s="2573"/>
      <c r="D48" s="286"/>
      <c r="E48" s="2543"/>
      <c r="G48" s="2545" t="str">
        <f>+'8_MP'!F43</f>
        <v>1.1.1.6.4</v>
      </c>
      <c r="H48" s="2561" t="str">
        <f>+'8_MP'!H43</f>
        <v>Programador frontend </v>
      </c>
      <c r="I48" s="3023">
        <f>+'8_MP'!AI43</f>
        <v>65000</v>
      </c>
      <c r="J48" s="2578" t="str">
        <f>+'8_MP'!Z43</f>
        <v>5D</v>
      </c>
      <c r="K48" s="3024" t="str">
        <f>+'8_MP'!W43</f>
        <v>3CV</v>
      </c>
      <c r="L48" s="2542"/>
      <c r="M48" s="2542"/>
    </row>
    <row r="49" spans="1:13" ht="14.5" hidden="1" customHeight="1" outlineLevel="4">
      <c r="A49" s="2541"/>
      <c r="B49" s="2542"/>
      <c r="C49" s="2573"/>
      <c r="D49" s="286"/>
      <c r="E49" s="2543"/>
      <c r="G49" s="3020" t="str">
        <f>+'8_MP'!F44</f>
        <v>1.1.1.7</v>
      </c>
      <c r="H49" s="3019" t="str">
        <f>+'8_MP'!H44</f>
        <v>Procesos de apoyo a la Direccion de Inversion Publica ( DGIP) del MEPYD para la Interoperabilidad entre el SNIP y SIGEF</v>
      </c>
      <c r="I49" s="2572">
        <f>+'8_MP'!AI44</f>
        <v>90000</v>
      </c>
      <c r="J49" s="2557"/>
      <c r="K49" s="2557"/>
      <c r="L49" s="2557"/>
      <c r="M49" s="2558"/>
    </row>
    <row r="50" spans="1:13" ht="14.5" hidden="1" customHeight="1" outlineLevel="4">
      <c r="A50" s="2541"/>
      <c r="B50" s="2542"/>
      <c r="C50" s="2573"/>
      <c r="D50" s="286"/>
      <c r="E50" s="2543"/>
      <c r="G50" s="2545" t="str">
        <f>+'8_MP'!F45</f>
        <v>1.1.1.7.1</v>
      </c>
      <c r="H50" s="2561" t="str">
        <f>+'8_MP'!H45</f>
        <v>Contratación de Analista de Sistemas</v>
      </c>
      <c r="I50" s="3023">
        <f>+'8_MP'!AI45</f>
        <v>24000</v>
      </c>
      <c r="J50" s="2578">
        <f>+'8_MP'!Z45</f>
        <v>108</v>
      </c>
      <c r="K50" s="3024" t="str">
        <f>+'8_MP'!W45</f>
        <v>3CV</v>
      </c>
      <c r="L50" s="2542"/>
      <c r="M50" s="2542"/>
    </row>
    <row r="51" spans="1:13" ht="14.5" hidden="1" customHeight="1" outlineLevel="4">
      <c r="A51" s="2541"/>
      <c r="B51" s="2542"/>
      <c r="C51" s="2573"/>
      <c r="D51" s="286"/>
      <c r="E51" s="2543"/>
      <c r="G51" s="2545" t="str">
        <f>+'8_MP'!F46</f>
        <v>1.1.1.7.2</v>
      </c>
      <c r="H51" s="2561" t="str">
        <f>+'8_MP'!H46</f>
        <v>Contratación de Desarrolladores de Aplicaciones</v>
      </c>
      <c r="I51" s="3023">
        <f>+'8_MP'!AI46</f>
        <v>18000</v>
      </c>
      <c r="J51" s="2578">
        <f>+'8_MP'!Z46</f>
        <v>109</v>
      </c>
      <c r="K51" s="3024" t="str">
        <f>+'8_MP'!W46</f>
        <v>3CV</v>
      </c>
      <c r="L51" s="2542"/>
      <c r="M51" s="2542"/>
    </row>
    <row r="52" spans="1:13" ht="14.5" hidden="1" customHeight="1" outlineLevel="4">
      <c r="A52" s="2541"/>
      <c r="B52" s="2542"/>
      <c r="C52" s="2573"/>
      <c r="D52" s="286"/>
      <c r="E52" s="2543"/>
      <c r="G52" s="2545" t="str">
        <f>+'8_MP'!F47</f>
        <v>1.1.1.7.3</v>
      </c>
      <c r="H52" s="2561" t="str">
        <f>+'8_MP'!H47</f>
        <v>Contratación de Cientifico de Datos</v>
      </c>
      <c r="I52" s="3023">
        <f>+'8_MP'!AI47</f>
        <v>24000</v>
      </c>
      <c r="J52" s="2578">
        <f>+'8_MP'!Z47</f>
        <v>110</v>
      </c>
      <c r="K52" s="3024" t="str">
        <f>+'8_MP'!W47</f>
        <v>3CV</v>
      </c>
      <c r="L52" s="2542"/>
      <c r="M52" s="2542"/>
    </row>
    <row r="53" spans="1:13" ht="14.5" hidden="1" customHeight="1" outlineLevel="4">
      <c r="A53" s="2541"/>
      <c r="B53" s="2542"/>
      <c r="C53" s="2573"/>
      <c r="D53" s="286"/>
      <c r="E53" s="2543"/>
      <c r="G53" s="2545" t="str">
        <f>+'8_MP'!F48</f>
        <v>1.1.1.7.4</v>
      </c>
      <c r="H53" s="2561" t="str">
        <f>+'8_MP'!H48</f>
        <v>Contratación de Analista de Datos</v>
      </c>
      <c r="I53" s="3023">
        <f>+'8_MP'!AI48</f>
        <v>24000</v>
      </c>
      <c r="J53" s="2578">
        <f>+'8_MP'!Z48</f>
        <v>111</v>
      </c>
      <c r="K53" s="3024" t="str">
        <f>+'8_MP'!W48</f>
        <v>3CV</v>
      </c>
      <c r="L53" s="2542"/>
      <c r="M53" s="2542"/>
    </row>
    <row r="54" spans="1:13" ht="14.5" hidden="1" customHeight="1" outlineLevel="4">
      <c r="A54" s="2541"/>
      <c r="B54" s="2542"/>
      <c r="C54" s="2573"/>
      <c r="D54" s="286"/>
      <c r="E54" s="2543"/>
      <c r="G54" s="2545" t="str">
        <f>+'8_MP'!F49</f>
        <v>1.1.1.7.5</v>
      </c>
      <c r="H54" s="2561" t="str">
        <f>+'8_MP'!H49</f>
        <v>Especialista en Inversión Pública (Extencion de contrato 1.3.1.1.1 / 1.3.1.4.3.1)</v>
      </c>
      <c r="I54" s="3023">
        <f>+'8_MP'!AI49</f>
        <v>0</v>
      </c>
      <c r="J54" s="2578" t="str">
        <f>+'8_MP'!Z49</f>
        <v>24C</v>
      </c>
      <c r="K54" s="3024" t="str">
        <f>+'8_MP'!W49</f>
        <v>CD</v>
      </c>
      <c r="L54" s="2542"/>
      <c r="M54" s="2542"/>
    </row>
    <row r="55" spans="1:13" ht="15.5" hidden="1" customHeight="1" outlineLevel="2" collapsed="1">
      <c r="A55" s="2555" t="s">
        <v>501</v>
      </c>
      <c r="B55" s="2556" t="s">
        <v>676</v>
      </c>
      <c r="C55" s="2571">
        <v>1502000</v>
      </c>
      <c r="D55" s="2555"/>
      <c r="E55" s="2555"/>
      <c r="G55" s="2555" t="str">
        <f>+'8_MP'!D52</f>
        <v>1.1.2</v>
      </c>
      <c r="H55" s="2556" t="str">
        <f>+'8_MP'!H52</f>
        <v>Producto 2: Portal de transparencia fiscal y Tablero de control con funcionalidades analíticas, desarrollados</v>
      </c>
      <c r="I55" s="2571">
        <f>+'8_MP'!AI52</f>
        <v>1502000</v>
      </c>
      <c r="J55" s="2555"/>
      <c r="K55" s="2555"/>
      <c r="L55" s="2556"/>
      <c r="M55" s="2556"/>
    </row>
    <row r="56" spans="1:13" ht="57.5" hidden="1" customHeight="1" outlineLevel="3">
      <c r="A56" s="2557" t="s">
        <v>677</v>
      </c>
      <c r="B56" s="2558" t="s">
        <v>678</v>
      </c>
      <c r="C56" s="2572"/>
      <c r="D56" s="2557"/>
      <c r="E56" s="2557"/>
      <c r="G56" s="2557" t="str">
        <f>+'8_MP'!D53</f>
        <v>1.1.2.1</v>
      </c>
      <c r="H56" s="2558" t="str">
        <f>+'8_MP'!H53</f>
        <v>Portal de transparencia fiscal mejorado</v>
      </c>
      <c r="I56" s="3025">
        <f>+'8_MP'!AI53</f>
        <v>502000</v>
      </c>
      <c r="J56" s="2557"/>
      <c r="K56" s="2557"/>
      <c r="L56" s="2558"/>
      <c r="M56" s="2558"/>
    </row>
    <row r="57" spans="1:13" ht="64" hidden="1" outlineLevel="3">
      <c r="A57" s="2541" t="s">
        <v>679</v>
      </c>
      <c r="B57" s="2544" t="s">
        <v>680</v>
      </c>
      <c r="C57" s="2573">
        <v>0</v>
      </c>
      <c r="D57" s="286">
        <v>23</v>
      </c>
      <c r="E57" s="2543"/>
      <c r="G57" s="2541" t="str">
        <f>+'8_MP'!D54</f>
        <v>1.1.2.1.1</v>
      </c>
      <c r="H57" s="2544" t="str">
        <f>+'8_MP'!H54</f>
        <v>Canal de comunicación abierto.
Implementación mejora en Usabilidad,  mejora en la accesibilidad para población con condiciones especiales y mejorar la visualización de la trazabilidad de los recursos públicos, incluyendo Gobierno Locales.</v>
      </c>
      <c r="I57" s="2573">
        <v>0</v>
      </c>
      <c r="J57" s="286">
        <f>+'8_MP'!Z54</f>
        <v>0</v>
      </c>
      <c r="K57" s="2543"/>
      <c r="L57" s="2542"/>
      <c r="M57" s="2542"/>
    </row>
    <row r="58" spans="1:13" ht="32" hidden="1" outlineLevel="3">
      <c r="A58" s="2541" t="s">
        <v>681</v>
      </c>
      <c r="B58" s="2544" t="s">
        <v>682</v>
      </c>
      <c r="C58" s="2573">
        <v>0</v>
      </c>
      <c r="D58" s="286">
        <v>24</v>
      </c>
      <c r="E58" s="2543"/>
      <c r="G58" s="2541" t="str">
        <f>+'8_MP'!D55</f>
        <v>1.1.2.1.2</v>
      </c>
      <c r="H58" s="2544" t="str">
        <f>+'8_MP'!H55</f>
        <v>Consultoría individual para elaboración de TdR de firma consultora especializada para desarrollo de Herramienta de visualización de Datos</v>
      </c>
      <c r="I58" s="2573">
        <v>0</v>
      </c>
      <c r="J58" s="286">
        <f>+'8_MP'!Z55</f>
        <v>0</v>
      </c>
      <c r="K58" s="2543"/>
      <c r="L58" s="2542"/>
      <c r="M58" s="2542"/>
    </row>
    <row r="59" spans="1:13" ht="96" hidden="1" outlineLevel="3">
      <c r="A59" s="2541" t="s">
        <v>683</v>
      </c>
      <c r="B59" s="2542" t="s">
        <v>684</v>
      </c>
      <c r="C59" s="2573">
        <v>448000</v>
      </c>
      <c r="D59" s="286" t="s">
        <v>685</v>
      </c>
      <c r="E59" s="2543"/>
      <c r="G59" s="2541" t="str">
        <f>+'8_MP'!D56</f>
        <v>1.1.2.1.3</v>
      </c>
      <c r="H59" s="2542" t="str">
        <f>+'8_MP'!H56</f>
        <v>Consultoría para el Diseño y construccióm de Mejoras en la visualización de la información y la participación ciudadana con enfoque de género, territorial y diversidad, e implementación en Usabilidad, integración de tableros de analítica, mejora en la accesibilidad para población con condiciones especiales y mejorar la visualización de la trazabilidad de los recursos públicos.  Aplicando estragias para la conceptualización del Presupuesto Plurianual a la ciudadanía y áreas afines.</v>
      </c>
      <c r="I59" s="2573">
        <v>448000</v>
      </c>
      <c r="J59" s="286" t="str">
        <f>+'8_MP'!Z56</f>
        <v>67</v>
      </c>
      <c r="K59" s="2543"/>
      <c r="L59" s="2542"/>
      <c r="M59" s="2542"/>
    </row>
    <row r="60" spans="1:13" ht="80" hidden="1" outlineLevel="3">
      <c r="A60" s="2541" t="s">
        <v>686</v>
      </c>
      <c r="B60" s="2542" t="s">
        <v>687</v>
      </c>
      <c r="C60" s="2573">
        <v>18000</v>
      </c>
      <c r="D60" s="286" t="s">
        <v>688</v>
      </c>
      <c r="E60" s="2543"/>
      <c r="G60" s="2541" t="str">
        <f>+'8_MP'!D57</f>
        <v>1.1.2.1.4</v>
      </c>
      <c r="H60" s="2542" t="str">
        <f>+'8_MP'!H57</f>
        <v>Contratación de asistencia técnica especializada para elaboración de TDR y documentos de licitación para la contratación de la firma encargada del diseño e implementación de la estrategia para la divulgación del nuevo Portal de Transparencia Fiscal (PTF). Debe incluir la definición de alcance, perfil de la empresa, esquema de remuneración, acuerdos del nivel de servicios y esquema de penalización (multa)</v>
      </c>
      <c r="I60" s="2573">
        <v>18000</v>
      </c>
      <c r="J60" s="286" t="str">
        <f>+'8_MP'!Z57</f>
        <v>68</v>
      </c>
      <c r="K60" s="2543"/>
      <c r="L60" s="2542"/>
      <c r="M60" s="2542"/>
    </row>
    <row r="61" spans="1:13" ht="32" hidden="1" outlineLevel="3">
      <c r="A61" s="2541" t="s">
        <v>689</v>
      </c>
      <c r="B61" s="2542" t="s">
        <v>690</v>
      </c>
      <c r="C61" s="2573">
        <v>36000</v>
      </c>
      <c r="D61" s="286" t="s">
        <v>691</v>
      </c>
      <c r="E61" s="2543"/>
      <c r="G61" s="2541" t="str">
        <f>+'8_MP'!D58</f>
        <v>1.1.2.1.5</v>
      </c>
      <c r="H61" s="2542" t="str">
        <f>+'8_MP'!H58</f>
        <v>Contratación de firma consultora para la divulgación y promoción del Portal de Transparencia Fiscal (PTF)</v>
      </c>
      <c r="I61" s="2573">
        <v>36000</v>
      </c>
      <c r="J61" s="286" t="str">
        <f>+'8_MP'!Z58</f>
        <v>69</v>
      </c>
      <c r="K61" s="2543"/>
      <c r="L61" s="2542"/>
      <c r="M61" s="2542"/>
    </row>
    <row r="62" spans="1:13" ht="16" hidden="1" outlineLevel="3">
      <c r="A62" s="2541" t="s">
        <v>692</v>
      </c>
      <c r="B62" s="2544" t="s">
        <v>693</v>
      </c>
      <c r="C62" s="2573">
        <v>0</v>
      </c>
      <c r="D62" s="286">
        <v>0</v>
      </c>
      <c r="E62" s="2543"/>
      <c r="G62" s="2541" t="str">
        <f>+'8_MP'!D59</f>
        <v>1.1.2.1.6</v>
      </c>
      <c r="H62" s="2544" t="str">
        <f>+'8_MP'!H59</f>
        <v>Piloto para inclusión de información de gobiernos locales</v>
      </c>
      <c r="I62" s="2573">
        <v>0</v>
      </c>
      <c r="J62" s="286">
        <f>+'8_MP'!Z59</f>
        <v>0</v>
      </c>
      <c r="K62" s="2543"/>
      <c r="L62" s="2542"/>
      <c r="M62" s="2542"/>
    </row>
    <row r="63" spans="1:13" ht="16" hidden="1" outlineLevel="3">
      <c r="A63" s="2541" t="s">
        <v>694</v>
      </c>
      <c r="B63" s="2544" t="s">
        <v>695</v>
      </c>
      <c r="C63" s="2573">
        <v>0</v>
      </c>
      <c r="D63" s="286">
        <v>0</v>
      </c>
      <c r="E63" s="2543"/>
      <c r="G63" s="2541" t="str">
        <f>+'8_MP'!D60</f>
        <v>1.1.2.1.7</v>
      </c>
      <c r="H63" s="2544" t="str">
        <f>+'8_MP'!H60</f>
        <v>Piloto para inclusión de información de empresas públicas</v>
      </c>
      <c r="I63" s="2573">
        <v>0</v>
      </c>
      <c r="J63" s="286">
        <f>+'8_MP'!Z60</f>
        <v>0</v>
      </c>
      <c r="K63" s="2543"/>
      <c r="L63" s="2542"/>
      <c r="M63" s="2542"/>
    </row>
    <row r="64" spans="1:13" ht="17" hidden="1" outlineLevel="3">
      <c r="A64" s="2557" t="s">
        <v>696</v>
      </c>
      <c r="B64" s="2558" t="s">
        <v>697</v>
      </c>
      <c r="C64" s="2572"/>
      <c r="D64" s="2557"/>
      <c r="E64" s="2557"/>
      <c r="G64" s="2557" t="str">
        <f>+'8_MP'!D61</f>
        <v>1.1.2.2</v>
      </c>
      <c r="H64" s="2558" t="str">
        <f>+'8_MP'!H61</f>
        <v>Tablero de control y funcionalidades analíticas desarrollado</v>
      </c>
      <c r="I64" s="2572">
        <f>+SUM(I65:I68)</f>
        <v>1000000</v>
      </c>
      <c r="J64" s="2557"/>
      <c r="K64" s="2557"/>
      <c r="L64" s="2558"/>
      <c r="M64" s="2558"/>
    </row>
    <row r="65" spans="1:13" ht="32" hidden="1" outlineLevel="3">
      <c r="A65" s="2541" t="s">
        <v>698</v>
      </c>
      <c r="B65" s="2542" t="s">
        <v>699</v>
      </c>
      <c r="C65" s="2573">
        <v>100000</v>
      </c>
      <c r="D65" s="286">
        <v>11</v>
      </c>
      <c r="E65" s="2543"/>
      <c r="G65" s="2541" t="str">
        <f>+'8_MP'!D63</f>
        <v>1.1.2.2.1.1</v>
      </c>
      <c r="H65" s="2542" t="str">
        <f>+'8_MP'!H63</f>
        <v>Contratación Consultor individual para el Diseño de Tableros de Control y Realizar ajustes a tableros existentes</v>
      </c>
      <c r="I65" s="2573">
        <v>100000</v>
      </c>
      <c r="J65" s="286" t="str">
        <f>+'8_MP'!Z63</f>
        <v>11A</v>
      </c>
      <c r="K65" s="2543"/>
      <c r="L65" s="2542"/>
      <c r="M65" s="2542"/>
    </row>
    <row r="66" spans="1:13" ht="16" hidden="1" outlineLevel="3">
      <c r="A66" s="2541" t="s">
        <v>700</v>
      </c>
      <c r="B66" s="2542" t="s">
        <v>701</v>
      </c>
      <c r="C66" s="3666">
        <v>900000</v>
      </c>
      <c r="D66" s="3669">
        <v>3</v>
      </c>
      <c r="E66" s="3670"/>
      <c r="G66" s="2541" t="str">
        <f>+'8_MP'!D64</f>
        <v>1.1.2.2.1.2</v>
      </c>
      <c r="H66" s="2542" t="str">
        <f>+'8_MP'!H64</f>
        <v>Implementación de algoritmos</v>
      </c>
      <c r="I66" s="3666">
        <v>900000</v>
      </c>
      <c r="J66" s="3671" t="str">
        <f>+'8_MP'!Z64</f>
        <v>11B</v>
      </c>
      <c r="K66" s="3670"/>
      <c r="L66" s="3662"/>
      <c r="M66" s="3662"/>
    </row>
    <row r="67" spans="1:13" ht="16" hidden="1" outlineLevel="3">
      <c r="A67" s="2541" t="s">
        <v>702</v>
      </c>
      <c r="B67" s="2542" t="s">
        <v>703</v>
      </c>
      <c r="C67" s="3666"/>
      <c r="D67" s="3669"/>
      <c r="E67" s="3670"/>
      <c r="G67" s="2541" t="str">
        <f>+'8_MP'!D65</f>
        <v>1.1.2.2.1.3</v>
      </c>
      <c r="H67" s="2542" t="str">
        <f>+'8_MP'!H65</f>
        <v>Construcción, pruebas e implementación del tablero de control</v>
      </c>
      <c r="I67" s="3666"/>
      <c r="J67" s="3672"/>
      <c r="K67" s="3670"/>
      <c r="L67" s="3662"/>
      <c r="M67" s="3662"/>
    </row>
    <row r="68" spans="1:13" ht="16" hidden="1" outlineLevel="3">
      <c r="A68" s="2541" t="s">
        <v>704</v>
      </c>
      <c r="B68" s="2542" t="s">
        <v>693</v>
      </c>
      <c r="C68" s="3666"/>
      <c r="D68" s="3669"/>
      <c r="E68" s="3670"/>
      <c r="G68" s="2541" t="str">
        <f>+'8_MP'!D66</f>
        <v>1.1.2.2.1.4</v>
      </c>
      <c r="H68" s="2542" t="str">
        <f>+'8_MP'!H66</f>
        <v>Piloto para inclusión de información de gobiernos locales</v>
      </c>
      <c r="I68" s="3666"/>
      <c r="J68" s="3673"/>
      <c r="K68" s="3670"/>
      <c r="L68" s="3662"/>
      <c r="M68" s="3662"/>
    </row>
    <row r="69" spans="1:13" hidden="1" outlineLevel="4">
      <c r="A69" s="2541"/>
      <c r="B69" s="2587"/>
      <c r="C69" s="2574"/>
      <c r="D69" s="2577"/>
      <c r="E69" s="2560"/>
      <c r="G69" s="2541"/>
      <c r="H69" s="2542"/>
      <c r="I69" s="2574"/>
      <c r="J69" s="2577"/>
      <c r="K69" s="2560"/>
      <c r="L69" s="2583"/>
      <c r="M69" s="2583"/>
    </row>
    <row r="70" spans="1:13" ht="57.5" hidden="1" customHeight="1" outlineLevel="2" collapsed="1">
      <c r="A70" s="2555" t="s">
        <v>502</v>
      </c>
      <c r="B70" s="2556" t="s">
        <v>363</v>
      </c>
      <c r="C70" s="2571">
        <v>497000</v>
      </c>
      <c r="D70" s="2555"/>
      <c r="E70" s="2555"/>
      <c r="G70" s="2555" t="str">
        <f>+'8_MP'!D68</f>
        <v>1.1.3</v>
      </c>
      <c r="H70" s="2556" t="str">
        <f>+'8_MP'!H68</f>
        <v>Producto 3: Estrategia de gestión del cambio y comunicaciones desarrollada</v>
      </c>
      <c r="I70" s="2571">
        <f>+'8_MP'!AI68</f>
        <v>497000</v>
      </c>
      <c r="J70" s="2555"/>
      <c r="K70" s="2555"/>
      <c r="L70" s="2556"/>
      <c r="M70" s="2556"/>
    </row>
    <row r="71" spans="1:13" ht="14.5" hidden="1" customHeight="1" outlineLevel="3">
      <c r="A71" s="2541" t="s">
        <v>705</v>
      </c>
      <c r="B71" s="2587" t="s">
        <v>706</v>
      </c>
      <c r="C71" s="2573">
        <v>18000</v>
      </c>
      <c r="D71" s="2578">
        <v>12</v>
      </c>
      <c r="E71" s="2546"/>
      <c r="G71" s="2545" t="str">
        <f>+'8_MP'!D69</f>
        <v>1.1.3.1</v>
      </c>
      <c r="H71" s="2542" t="str">
        <f>+'8_MP'!H69</f>
        <v>Contratación de asistencia técnica especializada para elaboración de TDR y documentos de licitación para la contratación de la firma encargada del diseño e implementación de la estrategia. Debe incluir la definición de alcance, perfil de la empresa, esquema de remuneración, acuerdos del nivel de servicios y esquema de penalización (multa)</v>
      </c>
      <c r="I71" s="2573">
        <v>18000</v>
      </c>
      <c r="J71" s="2578">
        <f>+'8_MP'!Z69</f>
        <v>12</v>
      </c>
      <c r="K71" s="2546"/>
      <c r="L71" s="2584"/>
      <c r="M71" s="2584"/>
    </row>
    <row r="72" spans="1:13" ht="14.5" hidden="1" customHeight="1" outlineLevel="3">
      <c r="A72" s="2541" t="s">
        <v>707</v>
      </c>
      <c r="B72" s="2587" t="s">
        <v>708</v>
      </c>
      <c r="C72" s="2573">
        <v>479000</v>
      </c>
      <c r="D72" s="2578">
        <v>70</v>
      </c>
      <c r="E72" s="2546"/>
      <c r="G72" s="2545" t="str">
        <f>+'8_MP'!D70</f>
        <v>1.1.3.2</v>
      </c>
      <c r="H72" s="2542" t="str">
        <f>+'8_MP'!H70</f>
        <v>Contratación de firma consultora para la gestión del cambio</v>
      </c>
      <c r="I72" s="2573">
        <v>479000</v>
      </c>
      <c r="J72" s="2578">
        <f>+'8_MP'!Z70</f>
        <v>70</v>
      </c>
      <c r="K72" s="2546"/>
      <c r="L72" s="2584"/>
      <c r="M72" s="2584"/>
    </row>
    <row r="73" spans="1:13" hidden="1" outlineLevel="2" collapsed="1">
      <c r="A73" s="333"/>
      <c r="C73" s="2575"/>
      <c r="F73" t="s">
        <v>709</v>
      </c>
      <c r="I73" s="2575"/>
    </row>
    <row r="74" spans="1:13" ht="17" hidden="1" outlineLevel="1">
      <c r="A74" s="2552" t="s">
        <v>505</v>
      </c>
      <c r="B74" s="2553" t="s">
        <v>19</v>
      </c>
      <c r="C74" s="2570">
        <f>+C75+C120+C135</f>
        <v>15750000</v>
      </c>
      <c r="D74" s="2554"/>
      <c r="E74" s="2554"/>
      <c r="G74" s="2552" t="str">
        <f>+'8_MP'!D73</f>
        <v>1.2</v>
      </c>
      <c r="H74" s="2553" t="str">
        <f>+'8_MP'!H73</f>
        <v>Subcomponente 1.2 Eficiencia en las contrataciones públicas</v>
      </c>
      <c r="I74" s="2570">
        <f>+I75+I120+I135</f>
        <v>15260000</v>
      </c>
      <c r="J74" s="2554"/>
      <c r="K74" s="2554"/>
      <c r="L74" s="2553"/>
      <c r="M74" s="2553"/>
    </row>
    <row r="75" spans="1:13" ht="15.5" hidden="1" customHeight="1" outlineLevel="2">
      <c r="A75" s="2555" t="s">
        <v>506</v>
      </c>
      <c r="B75" s="2556" t="s">
        <v>710</v>
      </c>
      <c r="C75" s="2571">
        <v>14804000</v>
      </c>
      <c r="D75" s="2555"/>
      <c r="E75" s="2555"/>
      <c r="G75" s="2555" t="str">
        <f>+'8_MP'!D74</f>
        <v>1.2.1</v>
      </c>
      <c r="H75" s="2556" t="str">
        <f>+'8_MP'!H74</f>
        <v>Producto 4: Modernización del Sistema de Contrataciones Públicas con accesibilidad para personas con discapacidad desarrollada. Incluye ajustes al sistema de información acutal de contrataciones y Sistema de detección de irregularidades y alertas tempranas</v>
      </c>
      <c r="I75" s="2571">
        <f>+I76+I79+I82+I87+I92+I95+I98+I110+I113</f>
        <v>14804000</v>
      </c>
      <c r="J75" s="2555"/>
      <c r="K75" s="2555"/>
      <c r="L75" s="2556"/>
      <c r="M75" s="2556"/>
    </row>
    <row r="76" spans="1:13" ht="43.25" hidden="1" customHeight="1" outlineLevel="3">
      <c r="A76" s="2557" t="s">
        <v>711</v>
      </c>
      <c r="B76" s="2558" t="s">
        <v>712</v>
      </c>
      <c r="C76" s="2572"/>
      <c r="D76" s="2557"/>
      <c r="E76" s="2557"/>
      <c r="G76" s="2557" t="str">
        <f>+'8_MP'!D75</f>
        <v>1.2.1.1</v>
      </c>
      <c r="H76" s="2558" t="str">
        <f>+'8_MP'!H75</f>
        <v>Nuevo sistema de compras públicas electrónicas, diseñado</v>
      </c>
      <c r="I76" s="2572">
        <f>+SUM(I77:I78)</f>
        <v>535000</v>
      </c>
      <c r="J76" s="2557"/>
      <c r="K76" s="2557"/>
      <c r="L76" s="2558"/>
      <c r="M76" s="2558"/>
    </row>
    <row r="77" spans="1:13" ht="48" hidden="1" outlineLevel="3">
      <c r="A77" s="2541" t="s">
        <v>713</v>
      </c>
      <c r="B77" s="2587" t="s">
        <v>714</v>
      </c>
      <c r="C77" s="2573">
        <v>35000</v>
      </c>
      <c r="D77" s="2578">
        <v>13</v>
      </c>
      <c r="E77" s="2559" t="s">
        <v>715</v>
      </c>
      <c r="G77" s="2545" t="str">
        <f>+'8_MP'!D76</f>
        <v>1.2.1.1.1</v>
      </c>
      <c r="H77" s="2542" t="str">
        <f>+'8_MP'!H76</f>
        <v>Contratación de un consultor individual para la elaboración de TDR y SP para la contratación de la definición de la arquitectura empresarial del nuevo sistema de compras públicas y el desarrollo de la Oficina de Gestión de Proyectos de TI de la DGCP</v>
      </c>
      <c r="I77" s="2573">
        <v>35000</v>
      </c>
      <c r="J77" s="2578">
        <f>+'8_MP'!Z76</f>
        <v>13</v>
      </c>
      <c r="K77" s="2559" t="str">
        <f>+'8_MP'!W76</f>
        <v>Consultor Individual (3CV)</v>
      </c>
      <c r="L77" s="2584"/>
      <c r="M77" s="2584"/>
    </row>
    <row r="78" spans="1:13" ht="48" hidden="1" outlineLevel="3">
      <c r="A78" s="2541" t="s">
        <v>716</v>
      </c>
      <c r="B78" s="2587" t="s">
        <v>717</v>
      </c>
      <c r="C78" s="2573">
        <v>500000</v>
      </c>
      <c r="D78" s="2578">
        <v>14</v>
      </c>
      <c r="E78" s="2559" t="s">
        <v>718</v>
      </c>
      <c r="G78" s="2545" t="str">
        <f>+'8_MP'!D77</f>
        <v>1.2.1.1.2</v>
      </c>
      <c r="H78" s="2542" t="str">
        <f>+'8_MP'!H77</f>
        <v>Contratación de un firma de consultoría para la definición de la arquitectura empresarial del nuevo sistema de compras públicas electrónicas y el desarrollo de la Oficina de Gestión de Proyectos de TI de la DGCP.</v>
      </c>
      <c r="I78" s="2573">
        <v>500000</v>
      </c>
      <c r="J78" s="2578" t="str">
        <f>+'8_MP'!Z77</f>
        <v>14A</v>
      </c>
      <c r="K78" s="2559" t="str">
        <f>+'8_MP'!W77</f>
        <v>Firma (SBCC)</v>
      </c>
      <c r="L78" s="2584"/>
      <c r="M78" s="2584"/>
    </row>
    <row r="79" spans="1:13" ht="17" hidden="1" outlineLevel="3">
      <c r="A79" s="2557" t="s">
        <v>719</v>
      </c>
      <c r="B79" s="2558" t="s">
        <v>720</v>
      </c>
      <c r="C79" s="2572"/>
      <c r="D79" s="2557"/>
      <c r="E79" s="2557"/>
      <c r="G79" s="2557" t="str">
        <f>+'8_MP'!D78</f>
        <v>1.2.1.2</v>
      </c>
      <c r="H79" s="2558" t="str">
        <f>+'8_MP'!H78</f>
        <v>Equipo Técnico/ Oficina de gestión de proyectos, adquirido</v>
      </c>
      <c r="I79" s="2572">
        <f>+SUM(I80:I81)</f>
        <v>425000</v>
      </c>
      <c r="J79" s="2557"/>
      <c r="K79" s="2557"/>
      <c r="L79" s="2558"/>
      <c r="M79" s="2558"/>
    </row>
    <row r="80" spans="1:13" ht="16" hidden="1" outlineLevel="3">
      <c r="A80" s="2541" t="s">
        <v>721</v>
      </c>
      <c r="B80" s="2542" t="s">
        <v>722</v>
      </c>
      <c r="C80" s="2573">
        <v>25000</v>
      </c>
      <c r="D80" s="2578">
        <v>71</v>
      </c>
      <c r="E80" s="2559" t="s">
        <v>723</v>
      </c>
      <c r="G80" s="2545" t="str">
        <f>+'8_MP'!D79</f>
        <v>1.2.1.2.1</v>
      </c>
      <c r="H80" s="2542" t="str">
        <f>+'8_MP'!H79</f>
        <v>Adquisición y configuración de una herramienta de planeación y gestión de proyectos.</v>
      </c>
      <c r="I80" s="2573">
        <v>25000</v>
      </c>
      <c r="J80" s="2578">
        <f>+'8_MP'!Z79</f>
        <v>71</v>
      </c>
      <c r="K80" s="2559" t="str">
        <f>+'8_MP'!W79</f>
        <v>CP</v>
      </c>
      <c r="L80" s="2584"/>
      <c r="M80" s="2584"/>
    </row>
    <row r="81" spans="1:13" ht="32" hidden="1" outlineLevel="3">
      <c r="A81" s="2541" t="s">
        <v>724</v>
      </c>
      <c r="B81" s="2542" t="s">
        <v>725</v>
      </c>
      <c r="C81" s="2573">
        <v>400000</v>
      </c>
      <c r="D81" s="2578">
        <v>14</v>
      </c>
      <c r="E81" s="2559" t="s">
        <v>726</v>
      </c>
      <c r="G81" s="2545" t="str">
        <f>+'8_MP'!D80</f>
        <v>1.2.1.2.2</v>
      </c>
      <c r="H81" s="2542" t="str">
        <f>+'8_MP'!H80</f>
        <v>Equipo técnico para la Oficina de Gestión de Proyectos (PMO) encargada de administrar los proyectos de TI del nuevo sistema y especialista Técnico.</v>
      </c>
      <c r="I81" s="2573">
        <v>400000</v>
      </c>
      <c r="J81" s="2578" t="str">
        <f>+'8_MP'!Z80</f>
        <v>14B</v>
      </c>
      <c r="K81" s="2559" t="str">
        <f>+'8_MP'!W80</f>
        <v>Firma (SBCC)</v>
      </c>
      <c r="L81" s="2584"/>
      <c r="M81" s="2584"/>
    </row>
    <row r="82" spans="1:13" ht="34" hidden="1" outlineLevel="3">
      <c r="A82" s="2557" t="s">
        <v>727</v>
      </c>
      <c r="B82" s="2558" t="s">
        <v>728</v>
      </c>
      <c r="C82" s="2572"/>
      <c r="D82" s="2557"/>
      <c r="E82" s="2557"/>
      <c r="G82" s="2557" t="str">
        <f>+'8_MP'!D81</f>
        <v>1.2.1.3</v>
      </c>
      <c r="H82" s="2558" t="str">
        <f>+'8_MP'!H81</f>
        <v>Sistema de contrataciones públicas electrónicas con Acceso Universal en todos sus módulos, implementado</v>
      </c>
      <c r="I82" s="2572">
        <f>+SUM(I83:I86)</f>
        <v>5100000</v>
      </c>
      <c r="J82" s="2557"/>
      <c r="K82" s="2557"/>
      <c r="L82" s="2558"/>
      <c r="M82" s="2558"/>
    </row>
    <row r="83" spans="1:13" ht="32" hidden="1" outlineLevel="3">
      <c r="A83" s="2541" t="s">
        <v>729</v>
      </c>
      <c r="B83" s="2542" t="s">
        <v>730</v>
      </c>
      <c r="C83" s="2573">
        <v>3800000</v>
      </c>
      <c r="D83" s="2578">
        <v>72</v>
      </c>
      <c r="E83" s="2559" t="s">
        <v>723</v>
      </c>
      <c r="G83" s="2545" t="str">
        <f>+'8_MP'!D82</f>
        <v>1.2.1.3.1</v>
      </c>
      <c r="H83" s="2542" t="str">
        <f>+'8_MP'!H82</f>
        <v>Adquisición y/o construcción e implementación del Sistema de contrataciones públicas electrónicas con Acceso Universal en todos sus módulos</v>
      </c>
      <c r="I83" s="2573">
        <v>3800000</v>
      </c>
      <c r="J83" s="2578" t="str">
        <f>+'8_MP'!Z82</f>
        <v>72A</v>
      </c>
      <c r="K83" s="2559" t="str">
        <f>+'8_MP'!W82</f>
        <v>LPI</v>
      </c>
      <c r="L83" s="2584"/>
      <c r="M83" s="2584"/>
    </row>
    <row r="84" spans="1:13" ht="32" hidden="1" outlineLevel="3">
      <c r="A84" s="2541" t="s">
        <v>731</v>
      </c>
      <c r="B84" s="2542" t="s">
        <v>732</v>
      </c>
      <c r="C84" s="2573">
        <v>200000</v>
      </c>
      <c r="D84" s="2578">
        <v>72</v>
      </c>
      <c r="E84" s="2559" t="s">
        <v>723</v>
      </c>
      <c r="G84" s="2545" t="str">
        <f>+'8_MP'!D83</f>
        <v>1.2.1.3.2</v>
      </c>
      <c r="H84" s="2542" t="str">
        <f>+'8_MP'!H83</f>
        <v>Adquisicion y configuración de un software para la gestión del expediente electrónico del sistema de compras públicas electrónicas</v>
      </c>
      <c r="I84" s="2573">
        <v>200000</v>
      </c>
      <c r="J84" s="2578" t="str">
        <f>+'8_MP'!Z83</f>
        <v>72B</v>
      </c>
      <c r="K84" s="2559" t="str">
        <f>+'8_MP'!W83</f>
        <v>LPI</v>
      </c>
      <c r="L84" s="2584"/>
      <c r="M84" s="2584"/>
    </row>
    <row r="85" spans="1:13" ht="32" hidden="1" outlineLevel="3">
      <c r="A85" s="2541" t="s">
        <v>733</v>
      </c>
      <c r="B85" s="2542" t="s">
        <v>734</v>
      </c>
      <c r="C85" s="2573">
        <v>100000</v>
      </c>
      <c r="D85" s="2578">
        <v>72</v>
      </c>
      <c r="E85" s="2559" t="s">
        <v>723</v>
      </c>
      <c r="G85" s="2545" t="str">
        <f>+'8_MP'!D84</f>
        <v>1.2.1.3.3</v>
      </c>
      <c r="H85" s="2542" t="str">
        <f>+'8_MP'!H84</f>
        <v>Adquisición y/o construcción e implementación de funcionalidades para la realización de compras sostenibles (dimensiones social, económica y ambiental)</v>
      </c>
      <c r="I85" s="2573">
        <v>100000</v>
      </c>
      <c r="J85" s="2578" t="str">
        <f>+'8_MP'!Z84</f>
        <v>72C</v>
      </c>
      <c r="K85" s="2559" t="str">
        <f>+'8_MP'!W84</f>
        <v>LPI</v>
      </c>
      <c r="L85" s="2584"/>
      <c r="M85" s="2584"/>
    </row>
    <row r="86" spans="1:13" ht="32" hidden="1" outlineLevel="3">
      <c r="A86" s="2541" t="s">
        <v>735</v>
      </c>
      <c r="B86" s="2542" t="s">
        <v>736</v>
      </c>
      <c r="C86" s="2573">
        <v>1000000</v>
      </c>
      <c r="D86" s="2578">
        <v>72</v>
      </c>
      <c r="E86" s="2559" t="s">
        <v>723</v>
      </c>
      <c r="G86" s="2545" t="str">
        <f>+'8_MP'!D85</f>
        <v>1.2.1.3.4</v>
      </c>
      <c r="H86" s="2542" t="str">
        <f>+'8_MP'!H85</f>
        <v>Construcción de los componentes de software para automatizar las compras por debajo del umbral y compras menores  (Fase 1)</v>
      </c>
      <c r="I86" s="2573">
        <v>1000000</v>
      </c>
      <c r="J86" s="2578" t="str">
        <f>+'8_MP'!Z85</f>
        <v>72D</v>
      </c>
      <c r="K86" s="2559" t="str">
        <f>+'8_MP'!W85</f>
        <v>SBCC</v>
      </c>
      <c r="L86" s="2584"/>
      <c r="M86" s="2584"/>
    </row>
    <row r="87" spans="1:13" ht="34" hidden="1" outlineLevel="3">
      <c r="A87" s="2557" t="s">
        <v>737</v>
      </c>
      <c r="B87" s="2558" t="s">
        <v>738</v>
      </c>
      <c r="C87" s="2572"/>
      <c r="D87" s="2557"/>
      <c r="E87" s="2557"/>
      <c r="G87" s="2557" t="str">
        <f>+'8_MP'!D86</f>
        <v>1.2.1.4</v>
      </c>
      <c r="H87" s="2558" t="str">
        <f>+'8_MP'!H86</f>
        <v>Infraestructura tecnológica y de ciberseguridad, DRP y Servicios de TI, adquiridos e implementados</v>
      </c>
      <c r="I87" s="2572">
        <f>+SUM(I88:I91)</f>
        <v>2400000</v>
      </c>
      <c r="J87" s="2557"/>
      <c r="K87" s="2557"/>
      <c r="L87" s="2558"/>
      <c r="M87" s="2558"/>
    </row>
    <row r="88" spans="1:13" ht="16" hidden="1" outlineLevel="3">
      <c r="A88" s="2541" t="s">
        <v>739</v>
      </c>
      <c r="B88" s="2542" t="s">
        <v>740</v>
      </c>
      <c r="C88" s="2573">
        <v>1400000</v>
      </c>
      <c r="D88" s="2578">
        <v>73</v>
      </c>
      <c r="E88" s="2559" t="s">
        <v>723</v>
      </c>
      <c r="G88" s="2545" t="str">
        <f>+'8_MP'!D87</f>
        <v>1.2.1.4.1</v>
      </c>
      <c r="H88" s="2542" t="str">
        <f>+'8_MP'!H87</f>
        <v>Adquisión de Infraestructura tecnológica,  de ciberseguridad, DRP y servicios de TI.</v>
      </c>
      <c r="I88" s="2573">
        <v>1400000</v>
      </c>
      <c r="J88" s="2578" t="str">
        <f>+'8_MP'!Z87</f>
        <v>73A</v>
      </c>
      <c r="K88" s="2559" t="str">
        <f>+'8_MP'!W87</f>
        <v>LPI</v>
      </c>
      <c r="L88" s="2584"/>
      <c r="M88" s="2584"/>
    </row>
    <row r="89" spans="1:13" ht="32" hidden="1" outlineLevel="3">
      <c r="A89" s="2541" t="s">
        <v>741</v>
      </c>
      <c r="B89" s="2542" t="s">
        <v>742</v>
      </c>
      <c r="C89" s="2573">
        <v>600000</v>
      </c>
      <c r="D89" s="2578">
        <v>73</v>
      </c>
      <c r="E89" s="2559" t="s">
        <v>723</v>
      </c>
      <c r="G89" s="2545" t="str">
        <f>+'8_MP'!D88</f>
        <v>1.2.1.4.2</v>
      </c>
      <c r="H89" s="2542" t="str">
        <f>+'8_MP'!H88</f>
        <v>Diseño e implementación del plan de continuidad de negocio y el plan de recuperación ante desastres para la operación del nuevo sistema.</v>
      </c>
      <c r="I89" s="2573">
        <v>600000</v>
      </c>
      <c r="J89" s="2578" t="str">
        <f>+'8_MP'!Z88</f>
        <v>73B</v>
      </c>
      <c r="K89" s="2559" t="str">
        <f>+'8_MP'!W88</f>
        <v>SBCC</v>
      </c>
      <c r="L89" s="2584"/>
      <c r="M89" s="2584"/>
    </row>
    <row r="90" spans="1:13" ht="32" hidden="1" outlineLevel="3">
      <c r="A90" s="2541" t="s">
        <v>743</v>
      </c>
      <c r="B90" s="2542" t="s">
        <v>744</v>
      </c>
      <c r="C90" s="2573">
        <v>100000</v>
      </c>
      <c r="D90" s="2578">
        <v>73</v>
      </c>
      <c r="E90" s="2559" t="s">
        <v>723</v>
      </c>
      <c r="G90" s="2545" t="str">
        <f>+'8_MP'!D89</f>
        <v>1.2.1.4.3</v>
      </c>
      <c r="H90" s="2542" t="str">
        <f>+'8_MP'!H89</f>
        <v>Diagnóstico de seguridad informática del sistema mediante análisis de vulnerabilidades y ethical hacking.</v>
      </c>
      <c r="I90" s="2573">
        <v>100000</v>
      </c>
      <c r="J90" s="2578" t="str">
        <f>+'8_MP'!Z89</f>
        <v>73C</v>
      </c>
      <c r="K90" s="2559" t="str">
        <f>+'8_MP'!W89</f>
        <v>SBCC</v>
      </c>
      <c r="L90" s="2584"/>
      <c r="M90" s="2584"/>
    </row>
    <row r="91" spans="1:13" ht="16" hidden="1" outlineLevel="3">
      <c r="A91" s="2541" t="s">
        <v>745</v>
      </c>
      <c r="B91" s="2542" t="s">
        <v>746</v>
      </c>
      <c r="C91" s="2573">
        <v>300000</v>
      </c>
      <c r="D91" s="2578">
        <v>73</v>
      </c>
      <c r="E91" s="2559" t="s">
        <v>723</v>
      </c>
      <c r="G91" s="2545" t="str">
        <f>+'8_MP'!D90</f>
        <v>1.2.1.4.4</v>
      </c>
      <c r="H91" s="2542" t="str">
        <f>+'8_MP'!H90</f>
        <v>Diseño e implementación del sistema de gestión de seguridad de la información (SGSI)</v>
      </c>
      <c r="I91" s="2573">
        <v>300000</v>
      </c>
      <c r="J91" s="2578" t="str">
        <f>+'8_MP'!Z90</f>
        <v>73D</v>
      </c>
      <c r="K91" s="2559" t="str">
        <f>+'8_MP'!W90</f>
        <v>SBCC</v>
      </c>
      <c r="L91" s="2584"/>
      <c r="M91" s="2584"/>
    </row>
    <row r="92" spans="1:13" ht="17" hidden="1" outlineLevel="3">
      <c r="A92" s="2557" t="s">
        <v>747</v>
      </c>
      <c r="B92" s="2558" t="s">
        <v>748</v>
      </c>
      <c r="C92" s="2572"/>
      <c r="D92" s="2557"/>
      <c r="E92" s="2557"/>
      <c r="G92" s="2557" t="str">
        <f>+'8_MP'!D91</f>
        <v>1.2.1.5</v>
      </c>
      <c r="H92" s="2558" t="str">
        <f>+'8_MP'!H91</f>
        <v>Administración, operación y soporte del sistema, realizado</v>
      </c>
      <c r="I92" s="2572">
        <f>+SUM(I93:I94)</f>
        <v>1996282</v>
      </c>
      <c r="J92" s="2557"/>
      <c r="K92" s="2557"/>
      <c r="L92" s="2558"/>
      <c r="M92" s="2558"/>
    </row>
    <row r="93" spans="1:13" ht="32" hidden="1" outlineLevel="3">
      <c r="A93" s="2541" t="s">
        <v>749</v>
      </c>
      <c r="B93" s="2542" t="s">
        <v>750</v>
      </c>
      <c r="C93" s="2573">
        <v>1600000</v>
      </c>
      <c r="D93" s="2578">
        <v>74</v>
      </c>
      <c r="E93" s="2559" t="s">
        <v>723</v>
      </c>
      <c r="G93" s="2545" t="str">
        <f>+'8_MP'!D92</f>
        <v>1.2.1.5.1</v>
      </c>
      <c r="H93" s="2542" t="str">
        <f>+'8_MP'!H92</f>
        <v>Diseño e implementación del modelo de gestión para la administración, operación y soporte del nuevo sistema y caraterización de procesos (ITIL).</v>
      </c>
      <c r="I93" s="2573">
        <v>1496282</v>
      </c>
      <c r="J93" s="2578" t="str">
        <f>+'8_MP'!Z92</f>
        <v>74A</v>
      </c>
      <c r="K93" s="2559" t="str">
        <f>+'8_MP'!W92</f>
        <v>SBCC</v>
      </c>
      <c r="L93" s="2584"/>
      <c r="M93" s="2584"/>
    </row>
    <row r="94" spans="1:13" ht="32" hidden="1" outlineLevel="3">
      <c r="A94" s="2541" t="s">
        <v>751</v>
      </c>
      <c r="B94" s="2542" t="s">
        <v>752</v>
      </c>
      <c r="C94" s="2573">
        <v>500000</v>
      </c>
      <c r="D94" s="2578">
        <v>74</v>
      </c>
      <c r="E94" s="2559" t="s">
        <v>723</v>
      </c>
      <c r="G94" s="2545" t="str">
        <f>+'8_MP'!D93</f>
        <v>1.2.1.5.2</v>
      </c>
      <c r="H94" s="2542" t="str">
        <f>+'8_MP'!H93</f>
        <v>Adquisición y configuración de un software para el centro de contacto para gestionar las interacciones multicanal con los usuarios del sistema.</v>
      </c>
      <c r="I94" s="2573">
        <v>500000</v>
      </c>
      <c r="J94" s="2578" t="str">
        <f>+'8_MP'!Z93</f>
        <v>74B</v>
      </c>
      <c r="K94" s="2559" t="str">
        <f>+'8_MP'!W93</f>
        <v>LPI</v>
      </c>
      <c r="L94" s="2584"/>
      <c r="M94" s="2584"/>
    </row>
    <row r="95" spans="1:13" ht="17" hidden="1" outlineLevel="3">
      <c r="A95" s="2557" t="s">
        <v>753</v>
      </c>
      <c r="B95" s="2558" t="s">
        <v>754</v>
      </c>
      <c r="C95" s="2572"/>
      <c r="D95" s="2557"/>
      <c r="E95" s="2557"/>
      <c r="G95" s="2557" t="str">
        <f>+'8_MP'!D94</f>
        <v>1.2.1.6</v>
      </c>
      <c r="H95" s="2558" t="str">
        <f>+'8_MP'!H94</f>
        <v>Despliegue y transición al nuevo sistema, realizado</v>
      </c>
      <c r="I95" s="2572">
        <f>+SUM(I96:I97)</f>
        <v>500000</v>
      </c>
      <c r="J95" s="2557"/>
      <c r="K95" s="2557"/>
      <c r="L95" s="2558"/>
      <c r="M95" s="2558"/>
    </row>
    <row r="96" spans="1:13" ht="32" hidden="1" outlineLevel="3">
      <c r="A96" s="2541" t="s">
        <v>755</v>
      </c>
      <c r="B96" s="2542" t="s">
        <v>756</v>
      </c>
      <c r="C96" s="2573">
        <v>100000</v>
      </c>
      <c r="D96" s="2578">
        <v>75</v>
      </c>
      <c r="E96" s="2559" t="s">
        <v>723</v>
      </c>
      <c r="G96" s="2545" t="str">
        <f>+'8_MP'!D95</f>
        <v>1.2.1.6.1</v>
      </c>
      <c r="H96" s="2542" t="str">
        <f>+'8_MP'!H95</f>
        <v>Diseño de las estrategias de despliegue y de gestión del cambio para la modernización del sistema de compras públicas electrónicas</v>
      </c>
      <c r="I96" s="2573">
        <v>100000</v>
      </c>
      <c r="J96" s="2578" t="str">
        <f>+'8_MP'!Z95</f>
        <v>75A</v>
      </c>
      <c r="K96" s="2559" t="str">
        <f>+'8_MP'!W95</f>
        <v>SCC</v>
      </c>
      <c r="L96" s="2584"/>
      <c r="M96" s="2584"/>
    </row>
    <row r="97" spans="1:13" ht="32" hidden="1" outlineLevel="3">
      <c r="A97" s="2541" t="s">
        <v>757</v>
      </c>
      <c r="B97" s="2542" t="s">
        <v>758</v>
      </c>
      <c r="C97" s="2573">
        <v>400000</v>
      </c>
      <c r="D97" s="2578">
        <v>75</v>
      </c>
      <c r="E97" s="2559" t="s">
        <v>723</v>
      </c>
      <c r="G97" s="2545" t="str">
        <f>+'8_MP'!D96</f>
        <v>1.2.1.6.2</v>
      </c>
      <c r="H97" s="2542" t="str">
        <f>+'8_MP'!H96</f>
        <v>Despliegue de la plataforma e implementacion de la estrategia de gestion del cambio (incluye el personal de gestión del cambio)</v>
      </c>
      <c r="I97" s="2573">
        <v>400000</v>
      </c>
      <c r="J97" s="2578" t="str">
        <f>+'8_MP'!Z96</f>
        <v>75B</v>
      </c>
      <c r="K97" s="2559" t="str">
        <f>+'8_MP'!W96</f>
        <v>SBCC</v>
      </c>
      <c r="L97" s="2584"/>
      <c r="M97" s="2584"/>
    </row>
    <row r="98" spans="1:13" ht="17" hidden="1" outlineLevel="3">
      <c r="A98" s="2557" t="s">
        <v>759</v>
      </c>
      <c r="B98" s="2558" t="s">
        <v>760</v>
      </c>
      <c r="C98" s="2572"/>
      <c r="D98" s="2557"/>
      <c r="E98" s="2557"/>
      <c r="G98" s="2557" t="str">
        <f>+'8_MP'!D97</f>
        <v>1.2.1.7</v>
      </c>
      <c r="H98" s="2558" t="str">
        <f>+'8_MP'!H97</f>
        <v>Ajustes mínimos al sistema de información actual de contrataciones públicas realizados</v>
      </c>
      <c r="I98" s="2572">
        <f>+I99+I106+I107</f>
        <v>2493752</v>
      </c>
      <c r="J98" s="2557"/>
      <c r="K98" s="2557"/>
      <c r="L98" s="2558"/>
      <c r="M98" s="2558"/>
    </row>
    <row r="99" spans="1:13" ht="32" hidden="1" outlineLevel="3">
      <c r="A99" s="2541" t="s">
        <v>761</v>
      </c>
      <c r="B99" s="2542" t="s">
        <v>762</v>
      </c>
      <c r="C99" s="2573">
        <v>222000</v>
      </c>
      <c r="D99" s="2578">
        <v>15</v>
      </c>
      <c r="E99" s="2559" t="s">
        <v>763</v>
      </c>
      <c r="G99" s="2545" t="s">
        <v>764</v>
      </c>
      <c r="H99" s="2561" t="s">
        <v>765</v>
      </c>
      <c r="I99" s="3026">
        <v>815280</v>
      </c>
      <c r="J99" s="3027"/>
      <c r="K99" s="3028"/>
      <c r="L99" s="3029"/>
      <c r="M99" s="3029"/>
    </row>
    <row r="100" spans="1:13" ht="16" hidden="1" outlineLevel="3">
      <c r="A100" s="2541" t="s">
        <v>766</v>
      </c>
      <c r="B100" s="2542" t="s">
        <v>767</v>
      </c>
      <c r="C100" s="2573">
        <v>132000</v>
      </c>
      <c r="D100" s="2578">
        <v>16</v>
      </c>
      <c r="E100" s="2559" t="s">
        <v>763</v>
      </c>
      <c r="G100" s="2545" t="s">
        <v>761</v>
      </c>
      <c r="H100" s="2561" t="s">
        <v>762</v>
      </c>
      <c r="I100" s="3026">
        <v>184032</v>
      </c>
      <c r="J100" s="3027">
        <v>15</v>
      </c>
      <c r="K100" s="3028" t="s">
        <v>763</v>
      </c>
      <c r="L100" s="3029"/>
      <c r="M100" s="3029"/>
    </row>
    <row r="101" spans="1:13" ht="16" hidden="1" outlineLevel="3">
      <c r="A101" s="2541" t="s">
        <v>768</v>
      </c>
      <c r="B101" s="2542" t="s">
        <v>769</v>
      </c>
      <c r="C101" s="2573">
        <v>200000</v>
      </c>
      <c r="D101" s="2578">
        <v>17</v>
      </c>
      <c r="E101" s="2559" t="s">
        <v>763</v>
      </c>
      <c r="G101" s="2545" t="s">
        <v>766</v>
      </c>
      <c r="H101" s="2561" t="s">
        <v>767</v>
      </c>
      <c r="I101" s="3026">
        <v>144000</v>
      </c>
      <c r="J101" s="3027">
        <v>16</v>
      </c>
      <c r="K101" s="3028" t="s">
        <v>763</v>
      </c>
      <c r="L101" s="3029"/>
      <c r="M101" s="3029"/>
    </row>
    <row r="102" spans="1:13" ht="16" hidden="1" outlineLevel="3">
      <c r="A102" s="2541" t="s">
        <v>770</v>
      </c>
      <c r="B102" s="2542" t="s">
        <v>771</v>
      </c>
      <c r="C102" s="2573">
        <v>200000</v>
      </c>
      <c r="D102" s="2578">
        <v>18</v>
      </c>
      <c r="E102" s="2559" t="s">
        <v>763</v>
      </c>
      <c r="G102" s="2545" t="s">
        <v>768</v>
      </c>
      <c r="H102" s="2561" t="s">
        <v>769</v>
      </c>
      <c r="I102" s="3026">
        <v>184080</v>
      </c>
      <c r="J102" s="3027">
        <v>17</v>
      </c>
      <c r="K102" s="3028" t="s">
        <v>763</v>
      </c>
      <c r="L102" s="3029"/>
      <c r="M102" s="3029"/>
    </row>
    <row r="103" spans="1:13" ht="16" hidden="1" outlineLevel="3">
      <c r="A103" s="2541" t="s">
        <v>772</v>
      </c>
      <c r="B103" s="2542" t="s">
        <v>773</v>
      </c>
      <c r="C103" s="2573">
        <v>1515000</v>
      </c>
      <c r="D103" s="2578">
        <v>1</v>
      </c>
      <c r="E103" s="2559" t="s">
        <v>774</v>
      </c>
      <c r="G103" s="2545" t="s">
        <v>770</v>
      </c>
      <c r="H103" s="2561" t="s">
        <v>771</v>
      </c>
      <c r="I103" s="3026">
        <v>156960</v>
      </c>
      <c r="J103" s="3027" t="s">
        <v>775</v>
      </c>
      <c r="K103" s="3028" t="s">
        <v>763</v>
      </c>
      <c r="L103" s="3029"/>
      <c r="M103" s="3029"/>
    </row>
    <row r="104" spans="1:13" ht="16" hidden="1" outlineLevel="3">
      <c r="A104" s="2541"/>
      <c r="B104" s="2542"/>
      <c r="C104" s="2573"/>
      <c r="D104" s="2578"/>
      <c r="E104" s="2559"/>
      <c r="G104" s="2545" t="s">
        <v>776</v>
      </c>
      <c r="H104" s="2561" t="s">
        <v>777</v>
      </c>
      <c r="I104" s="3026">
        <v>62400</v>
      </c>
      <c r="J104" s="3027" t="s">
        <v>778</v>
      </c>
      <c r="K104" s="3028" t="s">
        <v>763</v>
      </c>
      <c r="L104" s="3029"/>
      <c r="M104" s="3029"/>
    </row>
    <row r="105" spans="1:13" ht="16" hidden="1" outlineLevel="3">
      <c r="A105" s="2541"/>
      <c r="B105" s="2542"/>
      <c r="C105" s="2573"/>
      <c r="D105" s="2578"/>
      <c r="E105" s="2559"/>
      <c r="G105" s="2545" t="s">
        <v>779</v>
      </c>
      <c r="H105" s="2561" t="s">
        <v>780</v>
      </c>
      <c r="I105" s="3026">
        <v>83808</v>
      </c>
      <c r="J105" s="3027" t="s">
        <v>781</v>
      </c>
      <c r="K105" s="3028" t="s">
        <v>763</v>
      </c>
      <c r="L105" s="3029"/>
      <c r="M105" s="3029"/>
    </row>
    <row r="106" spans="1:13" ht="32" hidden="1" outlineLevel="3">
      <c r="A106" s="2541"/>
      <c r="B106" s="2542"/>
      <c r="C106" s="2573"/>
      <c r="D106" s="2578"/>
      <c r="E106" s="2559"/>
      <c r="G106" s="2545" t="s">
        <v>772</v>
      </c>
      <c r="H106" s="2561" t="s">
        <v>773</v>
      </c>
      <c r="I106" s="3026">
        <v>1304075</v>
      </c>
      <c r="J106" s="3027">
        <v>1</v>
      </c>
      <c r="K106" s="3028" t="s">
        <v>774</v>
      </c>
      <c r="L106" s="3029"/>
      <c r="M106" s="3029"/>
    </row>
    <row r="107" spans="1:13" ht="16" hidden="1" outlineLevel="3">
      <c r="A107" s="2541"/>
      <c r="B107" s="2542"/>
      <c r="C107" s="2573"/>
      <c r="D107" s="2578"/>
      <c r="E107" s="2559"/>
      <c r="G107" s="2545" t="s">
        <v>782</v>
      </c>
      <c r="H107" s="2561" t="s">
        <v>783</v>
      </c>
      <c r="I107" s="3026">
        <v>374397</v>
      </c>
      <c r="J107" s="3027" t="s">
        <v>784</v>
      </c>
      <c r="K107" s="3028" t="s">
        <v>785</v>
      </c>
      <c r="L107" s="3029"/>
      <c r="M107" s="3029"/>
    </row>
    <row r="108" spans="1:13" hidden="1" outlineLevel="3">
      <c r="A108" s="2541"/>
      <c r="B108" s="2542"/>
      <c r="C108" s="2573"/>
      <c r="D108" s="2578"/>
      <c r="E108" s="2559"/>
      <c r="G108" s="2545"/>
      <c r="H108" s="2542"/>
      <c r="I108" s="3026"/>
      <c r="J108" s="3027"/>
      <c r="K108" s="3028"/>
      <c r="L108" s="3029"/>
      <c r="M108" s="3029"/>
    </row>
    <row r="109" spans="1:13" ht="17" hidden="1" outlineLevel="3">
      <c r="A109" s="2557" t="s">
        <v>786</v>
      </c>
      <c r="B109" s="2558" t="s">
        <v>787</v>
      </c>
      <c r="C109" s="2572"/>
      <c r="D109" s="2557"/>
      <c r="E109" s="2557"/>
      <c r="G109" s="2557" t="str">
        <f>+'8_MP'!D108</f>
        <v>1.2.1.8</v>
      </c>
      <c r="H109" s="2558" t="str">
        <f>+'8_MP'!H108</f>
        <v>Sistema de detección de irregularidades y alertas tempranas diseñado e implementado</v>
      </c>
      <c r="I109" s="2572"/>
      <c r="J109" s="2557"/>
      <c r="K109" s="2557"/>
      <c r="L109" s="2558"/>
      <c r="M109" s="2558"/>
    </row>
    <row r="110" spans="1:13" ht="34" hidden="1" outlineLevel="3">
      <c r="A110" s="2557" t="s">
        <v>788</v>
      </c>
      <c r="B110" s="2558" t="s">
        <v>789</v>
      </c>
      <c r="C110" s="2572"/>
      <c r="D110" s="2557"/>
      <c r="E110" s="2557"/>
      <c r="G110" s="2557" t="str">
        <f>+'8_MP'!D109</f>
        <v>1.2.1.8.1</v>
      </c>
      <c r="H110" s="2558" t="str">
        <f>+'8_MP'!H109</f>
        <v>Estrategia de analítica de datos para la compra pública en República Dominicana, elaborada</v>
      </c>
      <c r="I110" s="2572">
        <f>+I111</f>
        <v>50000</v>
      </c>
      <c r="J110" s="2557"/>
      <c r="K110" s="2557"/>
      <c r="L110" s="2558"/>
      <c r="M110" s="2558"/>
    </row>
    <row r="111" spans="1:13" ht="32" hidden="1" outlineLevel="3">
      <c r="A111" s="2541" t="s">
        <v>790</v>
      </c>
      <c r="B111" s="2587" t="s">
        <v>791</v>
      </c>
      <c r="C111" s="2574">
        <v>50000</v>
      </c>
      <c r="D111" s="2580">
        <v>19</v>
      </c>
      <c r="E111" s="2560" t="s">
        <v>763</v>
      </c>
      <c r="G111" s="2541" t="s">
        <v>790</v>
      </c>
      <c r="H111" s="2542" t="s">
        <v>791</v>
      </c>
      <c r="I111" s="2574">
        <v>50000</v>
      </c>
      <c r="J111" s="2580">
        <v>19</v>
      </c>
      <c r="K111" s="2560" t="s">
        <v>763</v>
      </c>
      <c r="L111" s="2583"/>
      <c r="M111" s="2583"/>
    </row>
    <row r="112" spans="1:13" ht="17" hidden="1" outlineLevel="3">
      <c r="A112" s="2557" t="s">
        <v>792</v>
      </c>
      <c r="B112" s="2558" t="s">
        <v>793</v>
      </c>
      <c r="C112" s="2572"/>
      <c r="D112" s="2557"/>
      <c r="E112" s="2557"/>
      <c r="G112" s="2557" t="str">
        <f>+'8_MP'!D111</f>
        <v>1.2.1.8.2</v>
      </c>
      <c r="H112" s="2558" t="str">
        <f>+'8_MP'!H111</f>
        <v>Tablero de precios, mejorado y adoptado</v>
      </c>
      <c r="I112" s="2572">
        <f>+I113</f>
        <v>1303966</v>
      </c>
      <c r="J112" s="2557"/>
      <c r="K112" s="2557"/>
      <c r="L112" s="2558"/>
      <c r="M112" s="2558"/>
    </row>
    <row r="113" spans="1:13" ht="17" hidden="1" outlineLevel="3">
      <c r="A113" s="2557" t="s">
        <v>794</v>
      </c>
      <c r="B113" s="2558" t="s">
        <v>795</v>
      </c>
      <c r="C113" s="2572"/>
      <c r="D113" s="2557"/>
      <c r="E113" s="2557"/>
      <c r="G113" s="2557" t="str">
        <f>+'8_MP'!D112</f>
        <v>1.2.1.8.2.1</v>
      </c>
      <c r="H113" s="2558" t="str">
        <f>+'8_MP'!H112</f>
        <v>Mejoramiento del tablero de precios de bienes adquiridos mediante compra pública</v>
      </c>
      <c r="I113" s="2572">
        <f>+SUM(I114:I118)</f>
        <v>1303966</v>
      </c>
      <c r="J113" s="2557"/>
      <c r="K113" s="2557"/>
      <c r="L113" s="2558"/>
      <c r="M113" s="2558"/>
    </row>
    <row r="114" spans="1:13" ht="16" hidden="1" outlineLevel="3">
      <c r="A114" s="2541" t="s">
        <v>796</v>
      </c>
      <c r="B114" s="2587" t="s">
        <v>797</v>
      </c>
      <c r="C114" s="2574">
        <v>99999.999999999985</v>
      </c>
      <c r="D114" s="2580">
        <v>20</v>
      </c>
      <c r="E114" s="2560" t="s">
        <v>763</v>
      </c>
      <c r="G114" s="2541" t="str">
        <f>+'8_MP'!D113</f>
        <v>1.2.1.8.2.2</v>
      </c>
      <c r="H114" s="2542" t="str">
        <f>+'8_MP'!H113</f>
        <v>Contratación de 1 desarrollador</v>
      </c>
      <c r="I114" s="2574">
        <v>105450</v>
      </c>
      <c r="J114" s="2580">
        <f>+'8_MP'!Z113</f>
        <v>20</v>
      </c>
      <c r="K114" s="2560" t="str">
        <f>+'8_MP'!W113</f>
        <v>3CV</v>
      </c>
      <c r="L114" s="2583"/>
      <c r="M114" s="2583"/>
    </row>
    <row r="115" spans="1:13" ht="16" hidden="1" outlineLevel="3">
      <c r="A115" s="2541" t="s">
        <v>798</v>
      </c>
      <c r="B115" s="2587" t="s">
        <v>799</v>
      </c>
      <c r="C115" s="2574">
        <v>300000</v>
      </c>
      <c r="D115" s="2580">
        <v>21</v>
      </c>
      <c r="E115" s="2560" t="s">
        <v>763</v>
      </c>
      <c r="G115" s="2541" t="str">
        <f>+'8_MP'!D114</f>
        <v>1.2.1.8.2.3</v>
      </c>
      <c r="H115" s="2542" t="str">
        <f>+'8_MP'!H114</f>
        <v>Contratación de 3 científicos de datos</v>
      </c>
      <c r="I115" s="2574">
        <v>316350</v>
      </c>
      <c r="J115" s="2580">
        <f>+'8_MP'!Z114</f>
        <v>21</v>
      </c>
      <c r="K115" s="2560" t="str">
        <f>+'8_MP'!W114</f>
        <v>3CV</v>
      </c>
      <c r="L115" s="2583"/>
      <c r="M115" s="2583"/>
    </row>
    <row r="116" spans="1:13" ht="16" hidden="1" outlineLevel="3">
      <c r="A116" s="2541" t="s">
        <v>800</v>
      </c>
      <c r="B116" s="2587" t="s">
        <v>801</v>
      </c>
      <c r="C116" s="2574">
        <v>200000</v>
      </c>
      <c r="D116" s="2580">
        <v>2</v>
      </c>
      <c r="E116" s="2560" t="s">
        <v>802</v>
      </c>
      <c r="G116" s="2541" t="str">
        <f>+'8_MP'!D115</f>
        <v>1.2.1.8.2.3</v>
      </c>
      <c r="H116" s="2542" t="str">
        <f>+'8_MP'!H115</f>
        <v>Contratación de 2científicos de datos</v>
      </c>
      <c r="I116" s="3026">
        <v>57166</v>
      </c>
      <c r="J116" s="2580" t="str">
        <f>+'8_MP'!Z115</f>
        <v>21A</v>
      </c>
      <c r="K116" s="2560" t="str">
        <f>+'8_MP'!W115</f>
        <v>3CV</v>
      </c>
      <c r="L116" s="3033"/>
      <c r="M116" s="3033"/>
    </row>
    <row r="117" spans="1:13" ht="32" hidden="1" outlineLevel="3">
      <c r="A117" s="2541" t="s">
        <v>803</v>
      </c>
      <c r="B117" s="2587" t="s">
        <v>804</v>
      </c>
      <c r="C117" s="2574">
        <v>75000</v>
      </c>
      <c r="D117" s="2580">
        <v>76</v>
      </c>
      <c r="E117" s="2560" t="s">
        <v>723</v>
      </c>
      <c r="G117" s="2541" t="str">
        <f>+'8_MP'!D116</f>
        <v>1.2.1.8.2.4</v>
      </c>
      <c r="H117" s="2542" t="str">
        <f>+'8_MP'!H116</f>
        <v>Adquisición de Equipos tecnologicos para los desarrolladores para el mejoramiento del tablero de precios de bienes adquiridos mediante compra pública</v>
      </c>
      <c r="I117" s="2574">
        <v>75000</v>
      </c>
      <c r="J117" s="2580">
        <f>+'8_MP'!Z116</f>
        <v>2</v>
      </c>
      <c r="K117" s="2560" t="str">
        <f>+'8_MP'!W116</f>
        <v>CP</v>
      </c>
      <c r="L117" s="2583"/>
      <c r="M117" s="2583"/>
    </row>
    <row r="118" spans="1:13" ht="17" hidden="1" outlineLevel="3">
      <c r="A118" s="2557" t="s">
        <v>805</v>
      </c>
      <c r="B118" s="2558" t="s">
        <v>806</v>
      </c>
      <c r="C118" s="2572"/>
      <c r="D118" s="2557"/>
      <c r="E118" s="2557"/>
      <c r="G118" s="2545" t="str">
        <f>+'8_MP'!D118</f>
        <v>1.2.1.8.3</v>
      </c>
      <c r="H118" s="2542" t="str">
        <f>+'8_MP'!H118</f>
        <v>Sistema de alertas, mejorado y adoptado</v>
      </c>
      <c r="I118" s="2574">
        <v>750000</v>
      </c>
      <c r="J118" s="2580">
        <f>+'8_MP'!Z118</f>
        <v>0</v>
      </c>
      <c r="K118" s="2560">
        <f>+'8_MP'!W118</f>
        <v>0</v>
      </c>
      <c r="L118" s="2558"/>
      <c r="M118" s="2558"/>
    </row>
    <row r="119" spans="1:13" ht="16" hidden="1" outlineLevel="3">
      <c r="A119" s="2541" t="s">
        <v>807</v>
      </c>
      <c r="B119" s="2587" t="s">
        <v>808</v>
      </c>
      <c r="C119" s="2574">
        <v>750000</v>
      </c>
      <c r="D119" s="2580">
        <v>77</v>
      </c>
      <c r="E119" s="2560" t="s">
        <v>723</v>
      </c>
      <c r="G119" s="2541"/>
      <c r="H119" s="2542"/>
      <c r="I119" s="2574"/>
      <c r="J119" s="2580"/>
      <c r="K119" s="2560"/>
      <c r="L119" s="2583"/>
      <c r="M119" s="2583"/>
    </row>
    <row r="120" spans="1:13" ht="15.5" hidden="1" customHeight="1" outlineLevel="2" collapsed="1">
      <c r="A120" s="2555" t="s">
        <v>507</v>
      </c>
      <c r="B120" s="2556" t="s">
        <v>366</v>
      </c>
      <c r="C120" s="2571">
        <v>446000</v>
      </c>
      <c r="D120" s="2555"/>
      <c r="E120" s="2555"/>
      <c r="G120" s="2555">
        <f>+'8_MP'!D120</f>
        <v>0</v>
      </c>
      <c r="H120" s="2556">
        <f>+'8_MP'!H120</f>
        <v>0</v>
      </c>
      <c r="I120" s="2571">
        <f>+I122+I124+I129+I132+I131+I133</f>
        <v>416000</v>
      </c>
      <c r="J120" s="2555"/>
      <c r="K120" s="2555"/>
      <c r="L120" s="2556"/>
      <c r="M120" s="2556"/>
    </row>
    <row r="121" spans="1:13" ht="29" hidden="1" customHeight="1" outlineLevel="3">
      <c r="A121" s="2557" t="s">
        <v>809</v>
      </c>
      <c r="B121" s="2558" t="s">
        <v>810</v>
      </c>
      <c r="C121" s="2572"/>
      <c r="D121" s="2557"/>
      <c r="E121" s="2557"/>
      <c r="G121" s="2557" t="str">
        <f>+'8_MP'!D121</f>
        <v>1.2.2</v>
      </c>
      <c r="H121" s="2558" t="str">
        <f>+'8_MP'!H121</f>
        <v>Producto 5: Profesionalización y Carrera Especial del SNCCP Implementada</v>
      </c>
      <c r="I121" s="2572"/>
      <c r="J121" s="2557"/>
      <c r="K121" s="2557"/>
      <c r="L121" s="2558"/>
      <c r="M121" s="2558"/>
    </row>
    <row r="122" spans="1:13" ht="31.25" hidden="1" customHeight="1" outlineLevel="3">
      <c r="A122" s="2541" t="s">
        <v>811</v>
      </c>
      <c r="B122" s="2588" t="s">
        <v>812</v>
      </c>
      <c r="C122" s="2573">
        <v>50000</v>
      </c>
      <c r="D122" s="2578">
        <v>22</v>
      </c>
      <c r="E122" s="2543" t="s">
        <v>763</v>
      </c>
      <c r="G122" s="2541" t="str">
        <f>+'8_MP'!D122</f>
        <v>1.2.2.1</v>
      </c>
      <c r="H122" s="2542" t="str">
        <f>+'8_MP'!H122</f>
        <v>Carrera Especial en Contratación pública</v>
      </c>
      <c r="I122" s="2573">
        <v>50000</v>
      </c>
      <c r="J122" s="2578">
        <f>+'8_MP'!Z122</f>
        <v>0</v>
      </c>
      <c r="K122" s="2543">
        <f>+'8_MP'!W122</f>
        <v>0</v>
      </c>
      <c r="L122" s="2542"/>
      <c r="M122" s="2542"/>
    </row>
    <row r="123" spans="1:13" ht="14.5" hidden="1" customHeight="1" outlineLevel="3">
      <c r="A123" s="2557" t="s">
        <v>813</v>
      </c>
      <c r="B123" s="2558" t="s">
        <v>814</v>
      </c>
      <c r="C123" s="2572">
        <v>80000</v>
      </c>
      <c r="D123" s="2557"/>
      <c r="E123" s="2557"/>
      <c r="G123" s="2557" t="str">
        <f>+'8_MP'!D123</f>
        <v>1.2.2.1.1</v>
      </c>
      <c r="H123" s="2558" t="str">
        <f>+'8_MP'!H123</f>
        <v>Contratación de un consultoría para realizar estudio sobre la creación de la carrera especial en contratación pública del SNCCP</v>
      </c>
      <c r="I123" s="2572">
        <v>80000</v>
      </c>
      <c r="J123" s="2557"/>
      <c r="K123" s="2557"/>
      <c r="L123" s="2558"/>
      <c r="M123" s="2558"/>
    </row>
    <row r="124" spans="1:13" ht="14.5" hidden="1" customHeight="1" outlineLevel="3">
      <c r="A124" s="2541" t="s">
        <v>815</v>
      </c>
      <c r="B124" s="2588" t="s">
        <v>816</v>
      </c>
      <c r="C124" s="2573">
        <v>80000</v>
      </c>
      <c r="D124" s="2578">
        <v>78</v>
      </c>
      <c r="E124" s="2543" t="s">
        <v>723</v>
      </c>
      <c r="G124" s="2541" t="str">
        <f>+'8_MP'!D124</f>
        <v>1.2.2.2</v>
      </c>
      <c r="H124" s="2542" t="str">
        <f>+'8_MP'!H124</f>
        <v xml:space="preserve"> Diseño y Desarrollo de Programas Avanzados de Formación del Comprador Público y Estrategia de Certificación</v>
      </c>
      <c r="I124" s="2573">
        <v>221000</v>
      </c>
      <c r="J124" s="2578">
        <f>+'8_MP'!Z124</f>
        <v>0</v>
      </c>
      <c r="K124" s="2543">
        <f>+'8_MP'!W124</f>
        <v>0</v>
      </c>
      <c r="L124" s="2542"/>
      <c r="M124" s="2542"/>
    </row>
    <row r="125" spans="1:13" ht="14.5" hidden="1" customHeight="1" outlineLevel="3">
      <c r="A125" s="2541" t="s">
        <v>817</v>
      </c>
      <c r="B125" s="2588" t="s">
        <v>818</v>
      </c>
      <c r="C125" s="2573">
        <v>0</v>
      </c>
      <c r="D125" s="2578">
        <v>78</v>
      </c>
      <c r="E125" s="2543" t="s">
        <v>723</v>
      </c>
      <c r="G125" s="2541"/>
      <c r="H125" s="2542"/>
      <c r="I125" s="2573"/>
      <c r="J125" s="2578"/>
      <c r="K125" s="2543"/>
      <c r="L125" s="2542"/>
      <c r="M125" s="2542"/>
    </row>
    <row r="126" spans="1:13" ht="29" hidden="1" customHeight="1" outlineLevel="3">
      <c r="A126" s="2541" t="s">
        <v>819</v>
      </c>
      <c r="B126" s="2588" t="s">
        <v>820</v>
      </c>
      <c r="C126" s="2573">
        <v>0</v>
      </c>
      <c r="D126" s="2578">
        <v>78</v>
      </c>
      <c r="E126" s="2543" t="s">
        <v>723</v>
      </c>
      <c r="G126" s="2541"/>
      <c r="H126" s="2542"/>
      <c r="I126" s="2573"/>
      <c r="J126" s="2578"/>
      <c r="K126" s="2543"/>
      <c r="L126" s="2542"/>
      <c r="M126" s="2542"/>
    </row>
    <row r="127" spans="1:13" ht="15.5" hidden="1" customHeight="1" outlineLevel="3">
      <c r="A127" s="2541" t="s">
        <v>821</v>
      </c>
      <c r="B127" s="2588" t="s">
        <v>822</v>
      </c>
      <c r="C127" s="2573">
        <v>0</v>
      </c>
      <c r="D127" s="2578">
        <v>78</v>
      </c>
      <c r="E127" s="2543" t="s">
        <v>723</v>
      </c>
      <c r="G127" s="2541"/>
      <c r="H127" s="2542"/>
      <c r="I127" s="2573"/>
      <c r="J127" s="2578"/>
      <c r="K127" s="2543"/>
      <c r="L127" s="2542"/>
      <c r="M127" s="2542"/>
    </row>
    <row r="128" spans="1:13" ht="29" hidden="1" customHeight="1" outlineLevel="3">
      <c r="A128" s="2557" t="s">
        <v>823</v>
      </c>
      <c r="B128" s="2558" t="s">
        <v>824</v>
      </c>
      <c r="C128" s="2572">
        <v>45000</v>
      </c>
      <c r="D128" s="2557"/>
      <c r="E128" s="2557"/>
      <c r="G128" s="2557">
        <f>+'8_MP'!D128</f>
        <v>0</v>
      </c>
      <c r="H128" s="2558">
        <f>+'8_MP'!H128</f>
        <v>0</v>
      </c>
      <c r="I128" s="2572">
        <v>45000</v>
      </c>
      <c r="J128" s="2557"/>
      <c r="K128" s="2557"/>
      <c r="L128" s="2558"/>
      <c r="M128" s="2558"/>
    </row>
    <row r="129" spans="1:17" ht="15.5" hidden="1" customHeight="1" outlineLevel="3">
      <c r="A129" s="2541" t="s">
        <v>825</v>
      </c>
      <c r="B129" s="2588" t="s">
        <v>826</v>
      </c>
      <c r="C129" s="2573">
        <v>45000</v>
      </c>
      <c r="D129" s="2578">
        <v>79</v>
      </c>
      <c r="E129" s="2543" t="s">
        <v>723</v>
      </c>
      <c r="G129" s="2541" t="str">
        <f>+'8_MP'!D129</f>
        <v>1.2.2.3</v>
      </c>
      <c r="H129" s="2542" t="str">
        <f>+'8_MP'!H129</f>
        <v>Implementacion del plan piloto basado según diagnóstico de las Unidades Operativas de Compras y Contrataciones</v>
      </c>
      <c r="I129" s="2573">
        <v>45000</v>
      </c>
      <c r="J129" s="2578">
        <f>+'8_MP'!Z129</f>
        <v>0</v>
      </c>
      <c r="K129" s="2543">
        <f>+'8_MP'!W129</f>
        <v>0</v>
      </c>
      <c r="L129" s="2542"/>
      <c r="M129" s="2542"/>
    </row>
    <row r="130" spans="1:17" ht="29" hidden="1" customHeight="1" outlineLevel="3">
      <c r="A130" s="2557" t="s">
        <v>827</v>
      </c>
      <c r="B130" s="2558" t="s">
        <v>828</v>
      </c>
      <c r="C130" s="2572">
        <v>201000</v>
      </c>
      <c r="D130" s="2557"/>
      <c r="E130" s="2557"/>
      <c r="G130" s="2557" t="str">
        <f>+'8_MP'!D130</f>
        <v>1.2.2.3.1</v>
      </c>
      <c r="H130" s="2558" t="str">
        <f>+'8_MP'!H130</f>
        <v>Consultoria para la Implementación de Modelos de Unidades de Compra Basados en el Diagnóstico Previo</v>
      </c>
      <c r="I130" s="2572">
        <v>201000</v>
      </c>
      <c r="J130" s="2557"/>
      <c r="K130" s="2557"/>
      <c r="L130" s="2558"/>
      <c r="M130" s="2558"/>
    </row>
    <row r="131" spans="1:17" ht="32" hidden="1" outlineLevel="3">
      <c r="A131" s="2541" t="s">
        <v>829</v>
      </c>
      <c r="B131" s="2588" t="s">
        <v>830</v>
      </c>
      <c r="C131" s="2573">
        <v>201000</v>
      </c>
      <c r="D131" s="2578">
        <v>80</v>
      </c>
      <c r="E131" s="2543" t="s">
        <v>723</v>
      </c>
      <c r="G131" s="2541" t="str">
        <f>+'8_MP'!D131</f>
        <v>1.2.2.4</v>
      </c>
      <c r="H131" s="2542" t="str">
        <f>+'8_MP'!H131</f>
        <v>Aula Virtual/Campus Virtual</v>
      </c>
      <c r="I131" s="2573">
        <v>30000</v>
      </c>
      <c r="J131" s="2578">
        <f>+'8_MP'!Z131</f>
        <v>0</v>
      </c>
      <c r="K131" s="2543">
        <f>+'8_MP'!W131</f>
        <v>0</v>
      </c>
      <c r="L131" s="2542"/>
      <c r="M131" s="2542"/>
    </row>
    <row r="132" spans="1:17" ht="16" hidden="1" outlineLevel="3">
      <c r="A132" s="2541"/>
      <c r="B132" s="2588"/>
      <c r="C132" s="2573"/>
      <c r="D132" s="2578"/>
      <c r="E132" s="2543"/>
      <c r="G132" s="2541" t="str">
        <f>+'8_MP'!D132</f>
        <v>1.2.2.4.1</v>
      </c>
      <c r="H132" s="2542" t="s">
        <v>831</v>
      </c>
      <c r="I132" s="2573">
        <v>30000</v>
      </c>
      <c r="J132" s="2578" t="str">
        <f>+'8_MP'!Z132</f>
        <v>80A</v>
      </c>
      <c r="K132" s="2543" t="str">
        <f>+'8_MP'!W132</f>
        <v>3CV</v>
      </c>
      <c r="L132" s="2542"/>
      <c r="M132" s="2542"/>
    </row>
    <row r="133" spans="1:17" ht="17" hidden="1" outlineLevel="3" collapsed="1">
      <c r="A133" s="2557" t="s">
        <v>832</v>
      </c>
      <c r="B133" s="2558" t="s">
        <v>833</v>
      </c>
      <c r="C133" s="2572">
        <v>70000</v>
      </c>
      <c r="D133" s="2557">
        <v>81</v>
      </c>
      <c r="E133" s="2557" t="s">
        <v>723</v>
      </c>
      <c r="G133" s="2541" t="str">
        <f>+'8_MP'!D133</f>
        <v>1.2.2.4.2</v>
      </c>
      <c r="H133" s="2542" t="s">
        <v>833</v>
      </c>
      <c r="I133" s="2573">
        <v>40000</v>
      </c>
      <c r="J133" s="2578" t="str">
        <f>+'8_MP'!Z133</f>
        <v>80B</v>
      </c>
      <c r="K133" s="2543" t="str">
        <f>+'8_MP'!W133</f>
        <v>CP</v>
      </c>
      <c r="L133" s="2542"/>
      <c r="M133" s="2542"/>
    </row>
    <row r="134" spans="1:17" ht="16" hidden="1" outlineLevel="3">
      <c r="A134" s="3030"/>
      <c r="B134" s="3031"/>
      <c r="C134" s="3032"/>
      <c r="D134" s="3030"/>
      <c r="E134" s="3030"/>
      <c r="G134" s="3030"/>
      <c r="H134" s="3031"/>
      <c r="I134" s="3032"/>
      <c r="J134" s="3030"/>
      <c r="K134" s="3030"/>
      <c r="L134" s="3031"/>
      <c r="M134" s="3031"/>
    </row>
    <row r="135" spans="1:17" ht="17" hidden="1" outlineLevel="2" collapsed="1">
      <c r="A135" s="2555" t="s">
        <v>508</v>
      </c>
      <c r="B135" s="2556" t="s">
        <v>368</v>
      </c>
      <c r="C135" s="2571">
        <v>500000</v>
      </c>
      <c r="D135" s="2555"/>
      <c r="E135" s="2555"/>
      <c r="G135" s="2555" t="str">
        <f>+'8_MP'!D134</f>
        <v>1.2.2.5</v>
      </c>
      <c r="H135" s="2556" t="str">
        <f>+'8_MP'!H134</f>
        <v>Centro de Estudios de Investigación en las Contrataciones Públicas</v>
      </c>
      <c r="I135" s="2571">
        <f>+'8_MP'!AI134</f>
        <v>40000</v>
      </c>
      <c r="J135" s="2555"/>
      <c r="K135" s="2555"/>
      <c r="L135" s="2556"/>
      <c r="M135" s="2556"/>
    </row>
    <row r="136" spans="1:17" ht="17" hidden="1" outlineLevel="3">
      <c r="A136" s="2557" t="s">
        <v>834</v>
      </c>
      <c r="B136" s="2558" t="s">
        <v>835</v>
      </c>
      <c r="C136" s="2572"/>
      <c r="D136" s="2557"/>
      <c r="E136" s="2557"/>
      <c r="G136" s="2557" t="str">
        <f>+'8_MP'!D135</f>
        <v>1.2.3</v>
      </c>
      <c r="H136" s="2558" t="str">
        <f>+'8_MP'!H135</f>
        <v>Producto 6: Estrategia de compra pública sostenible, diseñada e implementada</v>
      </c>
      <c r="I136" s="2572"/>
      <c r="J136" s="2557"/>
      <c r="K136" s="2557"/>
      <c r="L136" s="2558"/>
      <c r="M136" s="2558"/>
    </row>
    <row r="137" spans="1:17" ht="32" hidden="1" outlineLevel="3">
      <c r="A137" s="2541" t="s">
        <v>836</v>
      </c>
      <c r="B137" s="2588" t="s">
        <v>837</v>
      </c>
      <c r="C137" s="2573">
        <v>120000</v>
      </c>
      <c r="D137" s="2578">
        <v>23</v>
      </c>
      <c r="E137" s="2543" t="s">
        <v>838</v>
      </c>
      <c r="G137" s="2541" t="str">
        <f>+'8_MP'!D138</f>
        <v>1.2.3.1.2</v>
      </c>
      <c r="H137" s="2542" t="str">
        <f>+'8_MP'!H138</f>
        <v>Hito: Elaboración de los términos de referencia para la contratación del diseño de la estrategia nacional de compra pública sostenible.</v>
      </c>
      <c r="I137" s="2573">
        <f>+'8_MP'!AI138</f>
        <v>0</v>
      </c>
      <c r="J137" s="2578">
        <f>+'8_MP'!Z138</f>
        <v>0</v>
      </c>
      <c r="K137" s="2543">
        <f>+'8_MP'!W138</f>
        <v>0</v>
      </c>
      <c r="L137" s="2542"/>
      <c r="M137" s="2542"/>
    </row>
    <row r="138" spans="1:17" ht="34" hidden="1" outlineLevel="3">
      <c r="A138" s="2557" t="s">
        <v>839</v>
      </c>
      <c r="B138" s="2558" t="s">
        <v>840</v>
      </c>
      <c r="C138" s="2572"/>
      <c r="D138" s="2557"/>
      <c r="E138" s="2557"/>
      <c r="G138" s="2557" t="str">
        <f>+'8_MP'!D139</f>
        <v>1.2.3.1.3</v>
      </c>
      <c r="H138" s="2558" t="str">
        <f>+'8_MP'!H139</f>
        <v>Contratación de una firma de consultoría para el diseño de una estrategia nacional de compra pública sostenible y su plan de implementación.</v>
      </c>
      <c r="I138" s="2572"/>
      <c r="J138" s="2557"/>
      <c r="K138" s="2557"/>
      <c r="L138" s="2558"/>
      <c r="M138" s="2558"/>
    </row>
    <row r="139" spans="1:17" ht="32" hidden="1" outlineLevel="3">
      <c r="A139" s="2541" t="s">
        <v>841</v>
      </c>
      <c r="B139" s="2588" t="s">
        <v>842</v>
      </c>
      <c r="C139" s="2573">
        <v>380000</v>
      </c>
      <c r="D139" s="2578">
        <v>82</v>
      </c>
      <c r="E139" s="2543" t="s">
        <v>723</v>
      </c>
      <c r="G139" s="2541" t="str">
        <f>+'8_MP'!D140</f>
        <v>1.2.3.2</v>
      </c>
      <c r="H139" s="2542" t="str">
        <f>+'8_MP'!H140</f>
        <v>Estrategia de compra pública sostenible, implementada.</v>
      </c>
      <c r="I139" s="2573">
        <f>+'8_MP'!AI140</f>
        <v>308250</v>
      </c>
      <c r="J139" s="2578">
        <f>+'8_MP'!Z140</f>
        <v>0</v>
      </c>
      <c r="K139" s="2543">
        <f>+'8_MP'!W140</f>
        <v>0</v>
      </c>
      <c r="L139" s="2542"/>
      <c r="M139" s="2542"/>
      <c r="Q139" s="2585"/>
    </row>
    <row r="140" spans="1:17" s="1795" customFormat="1" hidden="1" outlineLevel="2" collapsed="1">
      <c r="A140" s="2541"/>
      <c r="B140" s="2588"/>
      <c r="C140" s="2573"/>
      <c r="D140" s="2578"/>
      <c r="E140" s="2543"/>
      <c r="G140" s="2541"/>
      <c r="H140" s="2542"/>
      <c r="I140" s="2573"/>
      <c r="J140" s="2578"/>
      <c r="K140" s="2543"/>
      <c r="L140" s="2542"/>
      <c r="M140" s="2542"/>
    </row>
    <row r="141" spans="1:17" ht="17" hidden="1" outlineLevel="1">
      <c r="A141" s="2552" t="s">
        <v>511</v>
      </c>
      <c r="B141" s="2553" t="s">
        <v>29</v>
      </c>
      <c r="C141" s="2570">
        <v>8000000</v>
      </c>
      <c r="D141" s="2554"/>
      <c r="E141" s="2554"/>
      <c r="G141" s="2552">
        <f>+'8_MP'!D142</f>
        <v>0</v>
      </c>
      <c r="H141" s="2553">
        <f>+'8_MP'!H142</f>
        <v>0</v>
      </c>
      <c r="I141" s="2570">
        <f>+I142</f>
        <v>11867860.000159999</v>
      </c>
      <c r="J141" s="2554"/>
      <c r="K141" s="2554"/>
      <c r="L141" s="2553"/>
      <c r="M141" s="2553"/>
    </row>
    <row r="142" spans="1:17" ht="51" hidden="1" outlineLevel="2">
      <c r="A142" s="2555" t="s">
        <v>512</v>
      </c>
      <c r="B142" s="2556" t="s">
        <v>373</v>
      </c>
      <c r="C142" s="2571">
        <v>8000000</v>
      </c>
      <c r="D142" s="2555"/>
      <c r="E142" s="2555"/>
      <c r="G142" s="2555" t="str">
        <f>+'8_MP'!D143</f>
        <v>1.3</v>
      </c>
      <c r="H142" s="2556" t="str">
        <f>+'8_MP'!H143</f>
        <v>Subcomponente 1.3 Mejora en la eficiencia de la gestión de las inversiones públicas</v>
      </c>
      <c r="I142" s="2571">
        <f>+I143+I147+I164+I166+I158+I170</f>
        <v>11867860.000159999</v>
      </c>
      <c r="J142" s="2555"/>
      <c r="K142" s="2555"/>
      <c r="L142" s="2556"/>
      <c r="M142" s="2556"/>
    </row>
    <row r="143" spans="1:17" ht="51" hidden="1" outlineLevel="3">
      <c r="A143" s="2557" t="s">
        <v>843</v>
      </c>
      <c r="B143" s="2558" t="s">
        <v>844</v>
      </c>
      <c r="C143" s="2572">
        <v>2949716</v>
      </c>
      <c r="D143" s="2557"/>
      <c r="E143" s="2557"/>
      <c r="G143" s="2557" t="str">
        <f>+'8_MP'!D144</f>
        <v>1.3.1</v>
      </c>
      <c r="H143" s="2558" t="str">
        <f>+'8_MP'!H144</f>
        <v xml:space="preserve">Producto 7: Sistema de información actual de inversión pública ajustado para interoperar con los sistemas electrónicos de la DGCP, el MH y la CGRD. Incluye el Sistema de Monitoreo, Seguimiento &amp; Evaluación </v>
      </c>
      <c r="I143" s="2572">
        <f>+I144+I145+I146</f>
        <v>3006687.0000799997</v>
      </c>
      <c r="J143" s="2557"/>
      <c r="K143" s="2557"/>
      <c r="L143" s="2558"/>
      <c r="M143" s="2558"/>
    </row>
    <row r="144" spans="1:17" ht="48" hidden="1" outlineLevel="3">
      <c r="A144" s="2541" t="s">
        <v>845</v>
      </c>
      <c r="B144" s="2588" t="s">
        <v>846</v>
      </c>
      <c r="C144" s="2573">
        <v>14991</v>
      </c>
      <c r="D144" s="2578" t="s">
        <v>847</v>
      </c>
      <c r="E144" s="2543" t="s">
        <v>763</v>
      </c>
      <c r="G144" s="2541" t="str">
        <f>+'8_MP'!D145</f>
        <v>1.3.1.1</v>
      </c>
      <c r="H144" s="2588" t="str">
        <f>+'8_MP'!H145</f>
        <v>Contratación firma especialista en el Ciclo de Vida de Proyectos de Inversión Pública, arquitectura e implementación de software y gestión del cambio, para la implementación de las mejoras al SNIP y del nuevo sistema de Seguimiento, Monitoreo y Evaluación de los PIP.</v>
      </c>
      <c r="I144" s="2573">
        <f>+'8_MP'!AN145</f>
        <v>2955715.0000399998</v>
      </c>
      <c r="J144" s="2578">
        <f>+'8_MP'!Z145</f>
        <v>0</v>
      </c>
      <c r="K144" s="2543">
        <f>+'8_MP'!W145</f>
        <v>0</v>
      </c>
      <c r="L144" s="2542"/>
      <c r="M144" s="2542"/>
    </row>
    <row r="145" spans="1:13" ht="64" hidden="1" outlineLevel="3">
      <c r="A145" s="2541" t="s">
        <v>848</v>
      </c>
      <c r="B145" s="2588" t="s">
        <v>849</v>
      </c>
      <c r="C145" s="2573">
        <v>29982</v>
      </c>
      <c r="D145" s="2578" t="s">
        <v>850</v>
      </c>
      <c r="E145" s="2543" t="s">
        <v>763</v>
      </c>
      <c r="G145" s="2541" t="str">
        <f>+'8_MP'!D146</f>
        <v>1.3.1.1.1</v>
      </c>
      <c r="H145" s="2588" t="str">
        <f>+'8_MP'!H146</f>
        <v>Contratación de un especialista en Inversión Pública para asistir en la elaboración de los TdR y documentos de licitación para la  contratación de una firma especialista.  Debe incluir la definición de alcance, perfil de la empresa, esquema de remuneración, acuerdos del nivel de servicios y esquema de penalización (multa).</v>
      </c>
      <c r="I145" s="2573">
        <f>+'8_MP'!AN146</f>
        <v>14991</v>
      </c>
      <c r="J145" s="2578" t="str">
        <f>+'8_MP'!Z146</f>
        <v>24a</v>
      </c>
      <c r="K145" s="2543" t="str">
        <f>+'8_MP'!W146</f>
        <v>3CV</v>
      </c>
      <c r="L145" s="2542"/>
      <c r="M145" s="2542"/>
    </row>
    <row r="146" spans="1:13" ht="64" hidden="1" outlineLevel="3">
      <c r="A146" s="2541" t="s">
        <v>851</v>
      </c>
      <c r="B146" s="2588" t="s">
        <v>852</v>
      </c>
      <c r="C146" s="2573">
        <v>2904743</v>
      </c>
      <c r="D146" s="2578">
        <v>25</v>
      </c>
      <c r="E146" s="2543" t="s">
        <v>853</v>
      </c>
      <c r="G146" s="2541" t="str">
        <f>+'8_MP'!D147</f>
        <v>1.3.1.1.2</v>
      </c>
      <c r="H146" s="2588" t="str">
        <f>+'8_MP'!H147</f>
        <v>Contratación de especialista en arquitectura empresarial para la elaboración de los TdR y documentos de licitación para la  contratación de una firma especialista.  Debe incluir la definición de alcance, perfil de la empresa, esquema de remuneración, acuerdos del nivel de servicios y esquema de penalización (multa).</v>
      </c>
      <c r="I146" s="2573">
        <f>+'8_MP'!AN147</f>
        <v>35981.000039999999</v>
      </c>
      <c r="J146" s="2578" t="str">
        <f>+'8_MP'!Z147</f>
        <v>24b</v>
      </c>
      <c r="K146" s="2543" t="str">
        <f>+'8_MP'!W147</f>
        <v>3CV</v>
      </c>
      <c r="L146" s="2542"/>
      <c r="M146" s="2542"/>
    </row>
    <row r="147" spans="1:13" ht="17" hidden="1" outlineLevel="3">
      <c r="A147" s="2557" t="s">
        <v>854</v>
      </c>
      <c r="B147" s="2558" t="s">
        <v>855</v>
      </c>
      <c r="C147" s="2572">
        <v>800000</v>
      </c>
      <c r="D147" s="2557">
        <v>26</v>
      </c>
      <c r="E147" s="2557" t="s">
        <v>856</v>
      </c>
      <c r="G147" s="2557" t="str">
        <f>+'8_MP'!D149</f>
        <v>1.3.1.2</v>
      </c>
      <c r="H147" s="2558" t="str">
        <f>+'8_MP'!H149</f>
        <v>Elaboración de TdR y SP para el Acuerdo Marco 2</v>
      </c>
      <c r="I147" s="2572">
        <f>+'8_MP'!AN149</f>
        <v>0</v>
      </c>
      <c r="J147" s="2557">
        <v>26</v>
      </c>
      <c r="K147" s="2557" t="s">
        <v>856</v>
      </c>
      <c r="L147" s="2558"/>
      <c r="M147" s="2558"/>
    </row>
    <row r="148" spans="1:13" ht="16" hidden="1" outlineLevel="3">
      <c r="A148" s="2541" t="s">
        <v>857</v>
      </c>
      <c r="B148" s="2588" t="s">
        <v>858</v>
      </c>
      <c r="C148" s="2573">
        <v>0</v>
      </c>
      <c r="D148" s="2578">
        <v>26</v>
      </c>
      <c r="E148" s="2543" t="s">
        <v>856</v>
      </c>
      <c r="G148" s="2541" t="str">
        <f>+'8_MP'!D150</f>
        <v>1.3.1.3</v>
      </c>
      <c r="H148" s="2588" t="str">
        <f>+'8_MP'!H150</f>
        <v xml:space="preserve">Especialistas contratados </v>
      </c>
      <c r="I148" s="2573">
        <f>+'8_MP'!AN150</f>
        <v>617600</v>
      </c>
      <c r="J148" s="3656" t="s">
        <v>859</v>
      </c>
      <c r="K148" s="2543" t="s">
        <v>856</v>
      </c>
      <c r="L148" s="2542"/>
      <c r="M148" s="2542"/>
    </row>
    <row r="149" spans="1:13" ht="16" hidden="1" outlineLevel="3">
      <c r="A149" s="2541" t="s">
        <v>860</v>
      </c>
      <c r="B149" s="2588" t="s">
        <v>861</v>
      </c>
      <c r="C149" s="2573">
        <v>0</v>
      </c>
      <c r="D149" s="2578">
        <v>26</v>
      </c>
      <c r="E149" s="2543" t="s">
        <v>856</v>
      </c>
      <c r="G149" s="2541" t="str">
        <f>+'8_MP'!D151</f>
        <v>1.3.1.3.1</v>
      </c>
      <c r="H149" s="2588" t="str">
        <f>+'8_MP'!H151</f>
        <v>Arquitectura Empresarial</v>
      </c>
      <c r="I149" s="2573">
        <f>+'8_MP'!AN151</f>
        <v>0</v>
      </c>
      <c r="J149" s="3657"/>
      <c r="K149" s="2543" t="s">
        <v>856</v>
      </c>
      <c r="L149" s="2542"/>
      <c r="M149" s="2542"/>
    </row>
    <row r="150" spans="1:13" ht="16" hidden="1" outlineLevel="3">
      <c r="A150" s="2541" t="s">
        <v>862</v>
      </c>
      <c r="B150" s="2588" t="s">
        <v>863</v>
      </c>
      <c r="C150" s="2573">
        <v>0</v>
      </c>
      <c r="D150" s="2578">
        <v>26</v>
      </c>
      <c r="E150" s="2543" t="s">
        <v>856</v>
      </c>
      <c r="G150" s="2541" t="str">
        <f>+'8_MP'!D152</f>
        <v>1.3.1.3.2</v>
      </c>
      <c r="H150" s="2588" t="str">
        <f>+'8_MP'!H152</f>
        <v>Arquitectura de Sistemas de información</v>
      </c>
      <c r="I150" s="2573">
        <f>+'8_MP'!AN152</f>
        <v>0</v>
      </c>
      <c r="J150" s="3657"/>
      <c r="K150" s="2543" t="s">
        <v>856</v>
      </c>
      <c r="L150" s="2542"/>
      <c r="M150" s="2542"/>
    </row>
    <row r="151" spans="1:13" ht="16" hidden="1" outlineLevel="3">
      <c r="A151" s="2541" t="s">
        <v>864</v>
      </c>
      <c r="B151" s="2588" t="s">
        <v>865</v>
      </c>
      <c r="C151" s="2573">
        <v>0</v>
      </c>
      <c r="D151" s="2578">
        <v>26</v>
      </c>
      <c r="E151" s="2543" t="s">
        <v>856</v>
      </c>
      <c r="G151" s="2541" t="str">
        <f>+'8_MP'!D153</f>
        <v>1.3.1.3.3</v>
      </c>
      <c r="H151" s="2588" t="str">
        <f>+'8_MP'!H153</f>
        <v>Quality Assurance</v>
      </c>
      <c r="I151" s="2573">
        <f>+'8_MP'!AN153</f>
        <v>0</v>
      </c>
      <c r="J151" s="3657"/>
      <c r="K151" s="2543" t="s">
        <v>856</v>
      </c>
      <c r="L151" s="2542"/>
      <c r="M151" s="2542"/>
    </row>
    <row r="152" spans="1:13" ht="32" hidden="1" outlineLevel="3">
      <c r="A152" s="2541" t="s">
        <v>866</v>
      </c>
      <c r="B152" s="2588" t="s">
        <v>867</v>
      </c>
      <c r="C152" s="2573">
        <v>0</v>
      </c>
      <c r="D152" s="2578">
        <v>26</v>
      </c>
      <c r="E152" s="2543" t="s">
        <v>856</v>
      </c>
      <c r="G152" s="2541" t="str">
        <f>+'8_MP'!D154</f>
        <v>1.3.1.3.4</v>
      </c>
      <c r="H152" s="2588" t="str">
        <f>+'8_MP'!H154</f>
        <v>Infraestructura Tecnológica</v>
      </c>
      <c r="I152" s="2573">
        <f>+'8_MP'!AN154</f>
        <v>0</v>
      </c>
      <c r="J152" s="3657"/>
      <c r="K152" s="2543" t="s">
        <v>856</v>
      </c>
      <c r="L152" s="2542"/>
      <c r="M152" s="2542"/>
    </row>
    <row r="153" spans="1:13" ht="16" hidden="1" outlineLevel="3">
      <c r="A153" s="2541" t="s">
        <v>868</v>
      </c>
      <c r="B153" s="2588" t="s">
        <v>869</v>
      </c>
      <c r="C153" s="2573">
        <v>0</v>
      </c>
      <c r="D153" s="2578">
        <v>26</v>
      </c>
      <c r="E153" s="2543" t="s">
        <v>856</v>
      </c>
      <c r="G153" s="2541" t="str">
        <f>+'8_MP'!D155</f>
        <v>1.3.1.3.5</v>
      </c>
      <c r="H153" s="2588" t="str">
        <f>+'8_MP'!H155</f>
        <v>2 Desarrolladores Senior de Software</v>
      </c>
      <c r="I153" s="2573">
        <f>+'8_MP'!AN155</f>
        <v>0</v>
      </c>
      <c r="J153" s="3657"/>
      <c r="K153" s="2543" t="s">
        <v>856</v>
      </c>
      <c r="L153" s="2542"/>
      <c r="M153" s="2542"/>
    </row>
    <row r="154" spans="1:13" ht="16" hidden="1" outlineLevel="3">
      <c r="A154" s="2541" t="s">
        <v>870</v>
      </c>
      <c r="B154" s="2588" t="s">
        <v>871</v>
      </c>
      <c r="C154" s="2573">
        <v>0</v>
      </c>
      <c r="D154" s="2578">
        <v>26</v>
      </c>
      <c r="E154" s="2543" t="s">
        <v>856</v>
      </c>
      <c r="G154" s="2541" t="str">
        <f>+'8_MP'!D156</f>
        <v>1.3.1.3.6</v>
      </c>
      <c r="H154" s="2588" t="str">
        <f>+'8_MP'!H156</f>
        <v>Documentador de Software</v>
      </c>
      <c r="I154" s="2573">
        <f>+'8_MP'!AN156</f>
        <v>0</v>
      </c>
      <c r="J154" s="3657"/>
      <c r="K154" s="2543" t="s">
        <v>856</v>
      </c>
      <c r="L154" s="2542"/>
      <c r="M154" s="2542"/>
    </row>
    <row r="155" spans="1:13" ht="16" hidden="1" outlineLevel="3">
      <c r="A155" s="2541"/>
      <c r="B155" s="2588"/>
      <c r="C155" s="2573"/>
      <c r="D155" s="2578"/>
      <c r="E155" s="2543"/>
      <c r="G155" s="2541" t="str">
        <f>+'8_MP'!D157</f>
        <v>1.3.1.3.7</v>
      </c>
      <c r="H155" s="2588" t="str">
        <f>+'8_MP'!H157</f>
        <v>Científico de Datos</v>
      </c>
      <c r="I155" s="2573">
        <f>+'8_MP'!AN157</f>
        <v>0</v>
      </c>
      <c r="J155" s="3657"/>
      <c r="K155" s="2543" t="s">
        <v>856</v>
      </c>
      <c r="L155" s="2542"/>
      <c r="M155" s="2542"/>
    </row>
    <row r="156" spans="1:13" ht="16" hidden="1" outlineLevel="3">
      <c r="A156" s="2541"/>
      <c r="B156" s="2588"/>
      <c r="C156" s="2573"/>
      <c r="D156" s="2578"/>
      <c r="E156" s="2543"/>
      <c r="G156" s="2541">
        <f>+'8_MP'!D159</f>
        <v>0</v>
      </c>
      <c r="H156" s="2588" t="str">
        <f>+'8_MP'!H158</f>
        <v>Especialista en bases de datos</v>
      </c>
      <c r="I156" s="2573">
        <f>+'8_MP'!AN158</f>
        <v>0</v>
      </c>
      <c r="J156" s="3657"/>
      <c r="K156" s="2543" t="s">
        <v>856</v>
      </c>
      <c r="L156" s="2542"/>
      <c r="M156" s="2542"/>
    </row>
    <row r="157" spans="1:13" ht="16" hidden="1" outlineLevel="3">
      <c r="A157" s="2541"/>
      <c r="B157" s="2588"/>
      <c r="C157" s="2573"/>
      <c r="D157" s="2578"/>
      <c r="E157" s="2543"/>
      <c r="G157" s="2545" t="str">
        <f>+'8_MP'!F159</f>
        <v>1.3.1.3.9</v>
      </c>
      <c r="H157" s="2588" t="str">
        <f>+'8_MP'!H159</f>
        <v>Diseñador gráfico y de contenido</v>
      </c>
      <c r="I157" s="2573">
        <f>+'8_MP'!AN159</f>
        <v>0</v>
      </c>
      <c r="J157" s="3658"/>
      <c r="K157" s="2543" t="s">
        <v>856</v>
      </c>
      <c r="L157" s="2542"/>
      <c r="M157" s="2542"/>
    </row>
    <row r="158" spans="1:13" ht="17" hidden="1" outlineLevel="3">
      <c r="A158" s="2541"/>
      <c r="B158" s="2588"/>
      <c r="C158" s="2573"/>
      <c r="D158" s="2578"/>
      <c r="E158" s="2543"/>
      <c r="G158" s="2558"/>
      <c r="H158" s="2558" t="str">
        <f>+'8_MP'!H160</f>
        <v xml:space="preserve">Ingeniero de Datos </v>
      </c>
      <c r="I158" s="2572">
        <f>+'8_MP'!AN160</f>
        <v>0</v>
      </c>
      <c r="J158" s="2557"/>
      <c r="K158" s="2557"/>
      <c r="L158" s="2542"/>
      <c r="M158" s="2542"/>
    </row>
    <row r="159" spans="1:13" ht="16" hidden="1" outlineLevel="3">
      <c r="A159" s="2541"/>
      <c r="B159" s="2588"/>
      <c r="C159" s="2573"/>
      <c r="D159" s="2578"/>
      <c r="E159" s="2543"/>
      <c r="G159" s="2545">
        <f>+'8_MP'!F161</f>
        <v>0</v>
      </c>
      <c r="H159" s="2588" t="str">
        <f>+'8_MP'!H161</f>
        <v>Especialistas contratados previos a la firma</v>
      </c>
      <c r="I159" s="2573">
        <f>+'8_MP'!AN161</f>
        <v>180000</v>
      </c>
      <c r="J159" s="2578">
        <f>+'8_MP'!Z161</f>
        <v>0</v>
      </c>
      <c r="K159" s="2546">
        <f>+'8_MP'!W161</f>
        <v>0</v>
      </c>
      <c r="L159" s="2542"/>
      <c r="M159" s="2542"/>
    </row>
    <row r="160" spans="1:13" ht="16" hidden="1" outlineLevel="3">
      <c r="A160" s="2541"/>
      <c r="B160" s="2588"/>
      <c r="C160" s="2573"/>
      <c r="D160" s="2578"/>
      <c r="E160" s="2543"/>
      <c r="G160" s="2545" t="str">
        <f>+'8_MP'!F162</f>
        <v>1.3.1.3.11</v>
      </c>
      <c r="H160" s="2588" t="str">
        <f>+'8_MP'!H162</f>
        <v>Especialista en Inversión Pública</v>
      </c>
      <c r="I160" s="2573">
        <f>+'8_MP'!AN162</f>
        <v>60000</v>
      </c>
      <c r="J160" s="2578" t="str">
        <f>+'8_MP'!Z162</f>
        <v>26B</v>
      </c>
      <c r="K160" s="2546" t="str">
        <f>+'8_MP'!W162</f>
        <v>3CV</v>
      </c>
      <c r="L160" s="2542"/>
      <c r="M160" s="2542"/>
    </row>
    <row r="161" spans="1:17" ht="16" hidden="1" outlineLevel="3">
      <c r="A161" s="2541"/>
      <c r="B161" s="2588"/>
      <c r="C161" s="2573"/>
      <c r="D161" s="2578"/>
      <c r="E161" s="2543"/>
      <c r="G161" s="2545" t="str">
        <f>+'8_MP'!F163</f>
        <v>1.3.1.3.12</v>
      </c>
      <c r="H161" s="2588" t="str">
        <f>+'8_MP'!H163</f>
        <v xml:space="preserve">Arquitecto Interoperabilidad </v>
      </c>
      <c r="I161" s="2573">
        <f>+'8_MP'!AN163</f>
        <v>0</v>
      </c>
      <c r="J161" s="2578" t="str">
        <f>+'8_MP'!Z163</f>
        <v>26C</v>
      </c>
      <c r="K161" s="2546" t="str">
        <f>+'8_MP'!W163</f>
        <v>3CV</v>
      </c>
      <c r="L161" s="2542"/>
      <c r="M161" s="2542"/>
    </row>
    <row r="162" spans="1:17" ht="17" hidden="1" outlineLevel="3">
      <c r="A162" s="2557" t="s">
        <v>872</v>
      </c>
      <c r="B162" s="2558" t="s">
        <v>873</v>
      </c>
      <c r="C162" s="2572">
        <v>0</v>
      </c>
      <c r="D162" s="2557"/>
      <c r="E162" s="2557"/>
      <c r="G162" s="2557">
        <f>+'8_MP'!D164</f>
        <v>0</v>
      </c>
      <c r="H162" s="2558" t="str">
        <f>+'8_MP'!H164</f>
        <v xml:space="preserve">2 Desarrolladores Senior </v>
      </c>
      <c r="I162" s="2572">
        <f>+I163</f>
        <v>0</v>
      </c>
      <c r="J162" s="2557"/>
      <c r="K162" s="2557"/>
      <c r="L162" s="2558"/>
      <c r="M162" s="2558"/>
    </row>
    <row r="163" spans="1:17" ht="32" hidden="1" outlineLevel="3">
      <c r="A163" s="511" t="s">
        <v>874</v>
      </c>
      <c r="B163" s="1795" t="s">
        <v>875</v>
      </c>
      <c r="C163" s="2576">
        <v>0</v>
      </c>
      <c r="D163" s="2586">
        <v>0</v>
      </c>
      <c r="E163" s="245" t="s">
        <v>876</v>
      </c>
      <c r="G163" s="511">
        <f>+'8_MP'!D165</f>
        <v>0</v>
      </c>
      <c r="H163" s="1795" t="str">
        <f>+'8_MP'!H165</f>
        <v>Desarrollador Frontend</v>
      </c>
      <c r="I163" s="2576">
        <f>+'8_MP'!AN165</f>
        <v>0</v>
      </c>
      <c r="J163" s="2586"/>
      <c r="K163" s="245"/>
    </row>
    <row r="164" spans="1:17" ht="17" hidden="1" outlineLevel="3">
      <c r="A164" s="2557" t="s">
        <v>877</v>
      </c>
      <c r="B164" s="2558" t="s">
        <v>878</v>
      </c>
      <c r="C164" s="2572">
        <v>15000</v>
      </c>
      <c r="D164" s="2557"/>
      <c r="E164" s="2557"/>
      <c r="G164" s="2557">
        <f>+'8_MP'!D166</f>
        <v>0</v>
      </c>
      <c r="H164" s="2558" t="str">
        <f>+'8_MP'!H166</f>
        <v>Desarrollador Backend</v>
      </c>
      <c r="I164" s="2572">
        <f>+I165</f>
        <v>2970715.0000399998</v>
      </c>
      <c r="J164" s="2557"/>
      <c r="K164" s="2557"/>
      <c r="L164" s="2558"/>
      <c r="M164" s="2558"/>
    </row>
    <row r="165" spans="1:17" ht="80" hidden="1" outlineLevel="3">
      <c r="A165" s="2541" t="s">
        <v>879</v>
      </c>
      <c r="B165" s="2588" t="s">
        <v>880</v>
      </c>
      <c r="C165" s="2573">
        <v>15000</v>
      </c>
      <c r="D165" s="2578">
        <v>27</v>
      </c>
      <c r="E165" s="2543" t="s">
        <v>763</v>
      </c>
      <c r="G165" s="2541" t="str">
        <f>+'8_MP'!D167</f>
        <v>1.3.1.4</v>
      </c>
      <c r="H165" s="2588" t="str">
        <f>+'8_MP'!H167</f>
        <v>Sistema de Monitoreo, Seguimiento &amp; Evaluación, diseñado e implementado</v>
      </c>
      <c r="I165" s="2573">
        <f>+'8_MP'!AN167</f>
        <v>2970715.0000399998</v>
      </c>
      <c r="J165" s="2578">
        <f>+'8_MP'!Z167</f>
        <v>0</v>
      </c>
      <c r="K165" s="2543">
        <f>+'8_MP'!W167</f>
        <v>0</v>
      </c>
      <c r="L165" s="2542"/>
      <c r="M165" s="2542"/>
    </row>
    <row r="166" spans="1:17" ht="51" hidden="1" outlineLevel="3">
      <c r="A166" s="2557" t="s">
        <v>881</v>
      </c>
      <c r="B166" s="2558" t="s">
        <v>844</v>
      </c>
      <c r="C166" s="2572">
        <v>2949715</v>
      </c>
      <c r="D166" s="2557"/>
      <c r="E166" s="2557"/>
      <c r="G166" s="2557" t="str">
        <f>+'8_MP'!D168</f>
        <v>1.3.1.4.1</v>
      </c>
      <c r="H166" s="2558" t="str">
        <f>+'8_MP'!H168</f>
        <v xml:space="preserve">Contratación de asistencia técnica especializada inicial para levantamiento de información y definición de la estrategia de desarrollo y dimensionamiento de actividades clave </v>
      </c>
      <c r="I166" s="2572">
        <f>+I167+I168+I169</f>
        <v>2985715.0000399998</v>
      </c>
      <c r="J166" s="2557"/>
      <c r="K166" s="2557"/>
      <c r="L166" s="2558"/>
      <c r="M166" s="2558"/>
    </row>
    <row r="167" spans="1:17" ht="48" hidden="1" outlineLevel="3">
      <c r="A167" s="2541" t="s">
        <v>882</v>
      </c>
      <c r="B167" s="2588" t="s">
        <v>846</v>
      </c>
      <c r="C167" s="2573">
        <v>14991</v>
      </c>
      <c r="D167" s="2578" t="s">
        <v>847</v>
      </c>
      <c r="E167" s="2543" t="s">
        <v>763</v>
      </c>
      <c r="G167" s="2541" t="str">
        <f>+'8_MP'!D169</f>
        <v>1.3.1.4.2</v>
      </c>
      <c r="H167" s="2588" t="str">
        <f>+'8_MP'!H169</f>
        <v>Selección modelo para el Sistema de SM&amp;E.</v>
      </c>
      <c r="I167" s="2573">
        <f>+'8_MP'!AN169</f>
        <v>15000</v>
      </c>
      <c r="J167" s="2578">
        <f>+'8_MP'!Z169</f>
        <v>0</v>
      </c>
      <c r="K167" s="2543">
        <f>+'8_MP'!W169</f>
        <v>0</v>
      </c>
      <c r="L167" s="2542"/>
      <c r="M167" s="2542"/>
    </row>
    <row r="168" spans="1:17" ht="96" hidden="1" outlineLevel="3">
      <c r="A168" s="2541" t="s">
        <v>883</v>
      </c>
      <c r="B168" s="2588" t="s">
        <v>849</v>
      </c>
      <c r="C168" s="2573">
        <v>29982</v>
      </c>
      <c r="D168" s="2578" t="s">
        <v>850</v>
      </c>
      <c r="E168" s="2543" t="s">
        <v>763</v>
      </c>
      <c r="G168" s="2541" t="str">
        <f>+'8_MP'!D170</f>
        <v>1.3.1.4.2.1</v>
      </c>
      <c r="H168" s="2588" t="str">
        <f>+'8_MP'!H170</f>
        <v>Contratación de un especialista en Inversión Pública para el estudio, evaluación y selección del modelo a ser usado en la implementación del Sistema de Monitoreo, Seguimiento &amp; Evaluación de Proyectos de Inversión Pública a partir de los modelos presentados en la conclusión de la consultoría "Diagnóstico y Análisis de Alterntivas para la Creación de un Nuevo Sistema de Monitoreo, Seguimiento y Evaluación de los Proyectos de Inversión Pública en la República Dominicana".</v>
      </c>
      <c r="I168" s="2573">
        <f>+'8_MP'!AN170</f>
        <v>15000</v>
      </c>
      <c r="J168" s="2578">
        <f>+'8_MP'!Z170</f>
        <v>27</v>
      </c>
      <c r="K168" s="2543" t="str">
        <f>+'8_MP'!W170</f>
        <v>3CV</v>
      </c>
      <c r="L168" s="2542"/>
      <c r="M168" s="2542"/>
    </row>
    <row r="169" spans="1:17" ht="48" hidden="1" outlineLevel="3">
      <c r="A169" s="2541" t="s">
        <v>884</v>
      </c>
      <c r="B169" s="2588" t="s">
        <v>852</v>
      </c>
      <c r="C169" s="2573">
        <v>2904742</v>
      </c>
      <c r="D169" s="2578">
        <v>25</v>
      </c>
      <c r="E169" s="2543" t="s">
        <v>853</v>
      </c>
      <c r="G169" s="2541" t="str">
        <f>+'8_MP'!D171</f>
        <v>1.3.1.4.3</v>
      </c>
      <c r="H169" s="2588" t="str">
        <f>+'8_MP'!H171</f>
        <v>Contratación firma especialista en el Ciclo de Vida de Proyectos de Inversión Pública, arquitectura e implementación de software y gestión del cambio, para la implementación de las mejoras al SNIP y del nuevo sistema de Seguimiento, Monitoreo y Evaluación de los PIP.</v>
      </c>
      <c r="I169" s="2573">
        <f>+'8_MP'!AN171</f>
        <v>2955715.0000399998</v>
      </c>
      <c r="J169" s="2578">
        <f>+'8_MP'!Z171</f>
        <v>0</v>
      </c>
      <c r="K169" s="2543">
        <f>+'8_MP'!W171</f>
        <v>0</v>
      </c>
      <c r="L169" s="2542"/>
      <c r="M169" s="2542"/>
    </row>
    <row r="170" spans="1:17" ht="68" hidden="1" outlineLevel="3">
      <c r="A170" s="2557" t="s">
        <v>885</v>
      </c>
      <c r="B170" s="2558" t="s">
        <v>886</v>
      </c>
      <c r="C170" s="2572">
        <v>1285569</v>
      </c>
      <c r="D170" s="2557"/>
      <c r="E170" s="2557"/>
      <c r="G170" s="2557" t="str">
        <f>+'8_MP'!D173</f>
        <v>1.3.1.4.3.2</v>
      </c>
      <c r="H170" s="2558" t="str">
        <f>+'8_MP'!H173</f>
        <v>Contratación de especialista en arquitectura empresarial para la elaboración de los TdR y documentos de licitación para la  contratación de una firma especialista.  Debe incluir la definición de alcance, perfil de la empresa, esquema de remuneración, acuerdos del nivel de servicios y esquema de penalización (multa).</v>
      </c>
      <c r="I170" s="2572">
        <f>+I171</f>
        <v>2904743</v>
      </c>
      <c r="J170" s="2557"/>
      <c r="K170" s="2557"/>
      <c r="L170" s="2558"/>
      <c r="M170" s="2558"/>
    </row>
    <row r="171" spans="1:17" ht="32" hidden="1" outlineLevel="3">
      <c r="A171" s="2541" t="s">
        <v>887</v>
      </c>
      <c r="B171" s="2588" t="s">
        <v>888</v>
      </c>
      <c r="C171" s="2573">
        <v>1285569</v>
      </c>
      <c r="D171" s="2578">
        <v>83</v>
      </c>
      <c r="E171" s="2543" t="s">
        <v>723</v>
      </c>
      <c r="G171" s="2541" t="str">
        <f>+'8_MP'!D174</f>
        <v>1.3.1.4.3.3</v>
      </c>
      <c r="H171" s="2588" t="str">
        <f>+'8_MP'!H174</f>
        <v>Contratación de la firma especialista. (ciclo de proyectos de Inversión Publica)</v>
      </c>
      <c r="I171" s="2573">
        <f>+'8_MP'!AL174</f>
        <v>2904743</v>
      </c>
      <c r="J171" s="2578">
        <f>+'8_MP'!Z174</f>
        <v>25</v>
      </c>
      <c r="K171" s="2543" t="str">
        <f>+'8_MP'!W174</f>
        <v>SBCC</v>
      </c>
      <c r="L171" s="2542"/>
      <c r="M171" s="2542"/>
      <c r="Q171" s="2585"/>
    </row>
    <row r="172" spans="1:17" s="1795" customFormat="1" hidden="1" outlineLevel="2" collapsed="1">
      <c r="A172" s="511"/>
      <c r="C172" s="2576"/>
      <c r="D172" s="2579"/>
      <c r="E172" s="322"/>
      <c r="G172" s="333"/>
      <c r="H172" s="1743"/>
      <c r="I172" s="2576"/>
      <c r="J172" s="2579"/>
      <c r="K172" s="322"/>
      <c r="L172" s="2581"/>
      <c r="M172" s="2581"/>
    </row>
    <row r="173" spans="1:17" ht="51" hidden="1" outlineLevel="1">
      <c r="A173" s="2552" t="s">
        <v>515</v>
      </c>
      <c r="B173" s="2553" t="s">
        <v>34</v>
      </c>
      <c r="C173" s="2570">
        <f>+C174</f>
        <v>6120000</v>
      </c>
      <c r="D173" s="2554"/>
      <c r="E173" s="2554"/>
      <c r="G173" s="2552" t="str">
        <f>+'8_MP'!D177</f>
        <v>1.3.1.5.1</v>
      </c>
      <c r="H173" s="2553" t="str">
        <f>+'8_MP'!H177</f>
        <v>Adquisición e implementación de la Infraestructura y servicios TIC necesarios para la migración del SNIP ajustado y el nuevo sistema de Monitoreo, Seguimiento &amp; Evaluación.</v>
      </c>
      <c r="I173" s="2570">
        <f>+I174</f>
        <v>7900000</v>
      </c>
      <c r="J173" s="2554"/>
      <c r="K173" s="2554"/>
      <c r="L173" s="2553"/>
      <c r="M173" s="2553"/>
    </row>
    <row r="174" spans="1:17" ht="51" hidden="1" outlineLevel="2">
      <c r="A174" s="2555" t="s">
        <v>516</v>
      </c>
      <c r="B174" s="2556" t="s">
        <v>889</v>
      </c>
      <c r="C174" s="2571">
        <v>6120000</v>
      </c>
      <c r="D174" s="2555"/>
      <c r="E174" s="2555"/>
      <c r="G174" s="2555">
        <f>+'8_MP'!D178</f>
        <v>0</v>
      </c>
      <c r="H174" s="2556" t="str">
        <f>+'8_MP'!H178</f>
        <v>Adquisición e implementación de la Infraestructura y servicios TIC necesarios para la migración del SNIP ajustado y el nuevo sistema de Monitoreo, Seguimiento &amp; Evaluación.</v>
      </c>
      <c r="I174" s="2571">
        <f>+I189+I198+I203+I178+I184+I200</f>
        <v>7900000</v>
      </c>
      <c r="J174" s="2555"/>
      <c r="K174" s="2555"/>
      <c r="L174" s="2556"/>
      <c r="M174" s="2556"/>
    </row>
    <row r="175" spans="1:17" ht="34" hidden="1" outlineLevel="3">
      <c r="A175" s="2557" t="s">
        <v>890</v>
      </c>
      <c r="B175" s="2558" t="s">
        <v>891</v>
      </c>
      <c r="C175" s="2572">
        <v>0</v>
      </c>
      <c r="D175" s="2557"/>
      <c r="E175" s="2557"/>
      <c r="G175" s="2557">
        <f>+'8_MP'!D179</f>
        <v>0</v>
      </c>
      <c r="H175" s="2558">
        <f>+'8_MP'!H179</f>
        <v>0</v>
      </c>
      <c r="I175" s="2572">
        <f>+I177+I176</f>
        <v>0</v>
      </c>
      <c r="J175" s="2557"/>
      <c r="K175" s="2557"/>
      <c r="L175" s="2558"/>
      <c r="M175" s="2558"/>
    </row>
    <row r="176" spans="1:17" ht="16" hidden="1" outlineLevel="3">
      <c r="A176" s="2541" t="s">
        <v>892</v>
      </c>
      <c r="B176" s="2588" t="s">
        <v>893</v>
      </c>
      <c r="C176" s="2573"/>
      <c r="D176" s="2578"/>
      <c r="E176" s="2543"/>
      <c r="G176" s="2541" t="str">
        <f>+'8_MP'!D180</f>
        <v>1.4</v>
      </c>
      <c r="H176" s="2588" t="str">
        <f>+'8_MP'!H180</f>
        <v>Subcomponente 1.4 Integridad Financiera</v>
      </c>
      <c r="I176" s="2573"/>
      <c r="J176" s="2578"/>
      <c r="K176" s="2543"/>
      <c r="L176" s="2542"/>
      <c r="M176" s="2542"/>
    </row>
    <row r="177" spans="1:13" ht="32" hidden="1" outlineLevel="3">
      <c r="A177" s="2541" t="s">
        <v>894</v>
      </c>
      <c r="B177" s="2588" t="s">
        <v>895</v>
      </c>
      <c r="C177" s="2573"/>
      <c r="D177" s="2578"/>
      <c r="E177" s="2543"/>
      <c r="G177" s="2541" t="str">
        <f>+'8_MP'!D181</f>
        <v>1.4.1</v>
      </c>
      <c r="H177" s="2588" t="str">
        <f>+'8_MP'!H181</f>
        <v>Producto 8: Régimen de Beneficiarios Finales de personas y estructuras jurídicas diseñado e implementado. Incluye la Estrategia de Gestión del Cambio y comunicaciones</v>
      </c>
      <c r="I177" s="2573"/>
      <c r="J177" s="2578"/>
      <c r="K177" s="2543"/>
      <c r="L177" s="2542"/>
      <c r="M177" s="2542"/>
    </row>
    <row r="178" spans="1:13" ht="34" hidden="1" outlineLevel="3">
      <c r="A178" s="2557" t="s">
        <v>896</v>
      </c>
      <c r="B178" s="2558" t="s">
        <v>897</v>
      </c>
      <c r="C178" s="2572">
        <v>50000</v>
      </c>
      <c r="D178" s="2557"/>
      <c r="E178" s="2557"/>
      <c r="G178" s="2557" t="str">
        <f>+'8_MP'!D182</f>
        <v>1.4.1.1</v>
      </c>
      <c r="H178" s="2558" t="str">
        <f>+'8_MP'!H182</f>
        <v>Diagnóstico de brechas regulatorias, legales e institucionales sobre políticas de beneficiarios finales, realizado</v>
      </c>
      <c r="I178" s="2572">
        <f>+I179</f>
        <v>50000</v>
      </c>
      <c r="J178" s="2557"/>
      <c r="K178" s="2557"/>
      <c r="L178" s="2558"/>
      <c r="M178" s="2558"/>
    </row>
    <row r="179" spans="1:13" ht="32" hidden="1" outlineLevel="3">
      <c r="A179" s="2541" t="s">
        <v>898</v>
      </c>
      <c r="B179" s="2588" t="s">
        <v>899</v>
      </c>
      <c r="C179" s="2573">
        <v>50000</v>
      </c>
      <c r="D179" s="2578">
        <v>28</v>
      </c>
      <c r="E179" s="2546" t="s">
        <v>763</v>
      </c>
      <c r="G179" s="2541" t="str">
        <f>+'8_MP'!D184</f>
        <v>1.4.1.1.2</v>
      </c>
      <c r="H179" s="2588" t="str">
        <f>+'8_MP'!H184</f>
        <v>Plan de acción basado en el diagnóstico realizado, con reformas y medidas sugeridas a implementar a corto, mediano y largo plazo</v>
      </c>
      <c r="I179" s="3653">
        <v>50000</v>
      </c>
      <c r="J179" s="3656">
        <v>28</v>
      </c>
      <c r="K179" s="3659" t="s">
        <v>763</v>
      </c>
      <c r="L179" s="2542"/>
      <c r="M179" s="2542"/>
    </row>
    <row r="180" spans="1:13" ht="32" hidden="1" outlineLevel="3">
      <c r="A180" s="2541" t="s">
        <v>900</v>
      </c>
      <c r="B180" s="2588" t="s">
        <v>901</v>
      </c>
      <c r="C180" s="2573">
        <v>0</v>
      </c>
      <c r="D180" s="2578">
        <v>0</v>
      </c>
      <c r="E180" s="2543">
        <v>0</v>
      </c>
      <c r="G180" s="2541" t="str">
        <f>+'8_MP'!D185</f>
        <v>1.4.1.2</v>
      </c>
      <c r="H180" s="2588" t="str">
        <f>+'8_MP'!H185</f>
        <v>Propuesta de marco legal y regulatorio de beneficiarios finales de personas y estructuras jurídicas, diseñada</v>
      </c>
      <c r="I180" s="3654"/>
      <c r="J180" s="3657"/>
      <c r="K180" s="3660"/>
      <c r="L180" s="2542"/>
      <c r="M180" s="2542"/>
    </row>
    <row r="181" spans="1:13" ht="32" hidden="1" outlineLevel="3">
      <c r="A181" s="2541" t="s">
        <v>902</v>
      </c>
      <c r="B181" s="2588" t="s">
        <v>903</v>
      </c>
      <c r="C181" s="2573">
        <v>0</v>
      </c>
      <c r="D181" s="2578">
        <v>0</v>
      </c>
      <c r="E181" s="2543">
        <v>0</v>
      </c>
      <c r="G181" s="2541" t="str">
        <f>+'8_MP'!D186</f>
        <v>1.4.1.2.1</v>
      </c>
      <c r="H181" s="2588" t="str">
        <f>+'8_MP'!H186</f>
        <v>Elaboración de TdR</v>
      </c>
      <c r="I181" s="3654"/>
      <c r="J181" s="3657"/>
      <c r="K181" s="3660"/>
      <c r="L181" s="2542"/>
      <c r="M181" s="2542"/>
    </row>
    <row r="182" spans="1:13" ht="32" hidden="1" outlineLevel="3">
      <c r="A182" s="2541" t="s">
        <v>904</v>
      </c>
      <c r="B182" s="2588" t="s">
        <v>905</v>
      </c>
      <c r="C182" s="2573">
        <v>0</v>
      </c>
      <c r="D182" s="2578">
        <v>0</v>
      </c>
      <c r="E182" s="2543">
        <v>0</v>
      </c>
      <c r="G182" s="2541" t="str">
        <f>+'8_MP'!D187</f>
        <v>1.4.1.2.2</v>
      </c>
      <c r="H182" s="2588" t="str">
        <f>+'8_MP'!H187</f>
        <v>Propuesta de revisión y fortalecimiento del marco legal ALA/CFT y tributario con referencia al sistema de beneficiarios finales:</v>
      </c>
      <c r="I182" s="3654"/>
      <c r="J182" s="3657"/>
      <c r="K182" s="3660"/>
      <c r="L182" s="2542"/>
      <c r="M182" s="2542"/>
    </row>
    <row r="183" spans="1:13" ht="32" hidden="1" outlineLevel="3">
      <c r="A183" s="2541" t="s">
        <v>906</v>
      </c>
      <c r="B183" s="2588" t="s">
        <v>907</v>
      </c>
      <c r="C183" s="2573">
        <v>0</v>
      </c>
      <c r="D183" s="2578">
        <v>0</v>
      </c>
      <c r="E183" s="2543">
        <v>0</v>
      </c>
      <c r="G183" s="2541" t="str">
        <f>+'8_MP'!D188</f>
        <v>1.4.1.2.2.1</v>
      </c>
      <c r="H183" s="2588" t="str">
        <f>+'8_MP'!H188</f>
        <v>Propuesta de revisión y estandarización de la definición de beneficiarios finales</v>
      </c>
      <c r="I183" s="3655"/>
      <c r="J183" s="3658"/>
      <c r="K183" s="3661"/>
      <c r="L183" s="2542"/>
      <c r="M183" s="2542"/>
    </row>
    <row r="184" spans="1:13" ht="34" hidden="1" outlineLevel="3">
      <c r="A184" s="2557" t="s">
        <v>908</v>
      </c>
      <c r="B184" s="2558" t="s">
        <v>909</v>
      </c>
      <c r="C184" s="2572">
        <v>30000</v>
      </c>
      <c r="D184" s="2557"/>
      <c r="E184" s="2557"/>
      <c r="G184" s="2557" t="str">
        <f>+'8_MP'!D189</f>
        <v>1.4.1.2.2.2</v>
      </c>
      <c r="H184" s="2558" t="str">
        <f>+'8_MP'!H189</f>
        <v>Evaluación de viabilidad de la modificación del umbral cuantitativo existente para la identificación de beneficiarios finales</v>
      </c>
      <c r="I184" s="2572">
        <f>+I185</f>
        <v>30000</v>
      </c>
      <c r="J184" s="2557"/>
      <c r="K184" s="2557"/>
      <c r="L184" s="2558"/>
      <c r="M184" s="2558"/>
    </row>
    <row r="185" spans="1:13" ht="32" hidden="1" outlineLevel="3">
      <c r="A185" s="2541" t="s">
        <v>910</v>
      </c>
      <c r="B185" s="2588" t="s">
        <v>911</v>
      </c>
      <c r="C185" s="2573">
        <v>30000</v>
      </c>
      <c r="D185" s="2578">
        <v>29</v>
      </c>
      <c r="E185" s="2546" t="s">
        <v>763</v>
      </c>
      <c r="G185" s="2541" t="str">
        <f>+'8_MP'!D190</f>
        <v>1.4.1.2.2.3</v>
      </c>
      <c r="H185" s="2588" t="str">
        <f>+'8_MP'!H190</f>
        <v>Propuesta de revisión del proceso de colección y verificación de la información de beneficiarios finales</v>
      </c>
      <c r="I185" s="3653">
        <v>30000</v>
      </c>
      <c r="J185" s="3656">
        <v>29</v>
      </c>
      <c r="K185" s="3659" t="s">
        <v>763</v>
      </c>
      <c r="L185" s="2542"/>
      <c r="M185" s="2542"/>
    </row>
    <row r="186" spans="1:13" ht="32" hidden="1" outlineLevel="3">
      <c r="A186" s="2541" t="s">
        <v>912</v>
      </c>
      <c r="B186" s="2588" t="s">
        <v>913</v>
      </c>
      <c r="C186" s="2573">
        <v>0</v>
      </c>
      <c r="D186" s="2578">
        <v>0</v>
      </c>
      <c r="E186" s="2543">
        <v>0</v>
      </c>
      <c r="G186" s="2541" t="str">
        <f>+'8_MP'!D191</f>
        <v>1.4.1.2.2.4</v>
      </c>
      <c r="H186" s="2588" t="str">
        <f>+'8_MP'!H191</f>
        <v>Evaluación de la viabilidad de acceso al registro de beneficiarios finales por parte de más actores/usuarios con diferentes niveles de autorización</v>
      </c>
      <c r="I186" s="3654"/>
      <c r="J186" s="3657"/>
      <c r="K186" s="3660"/>
      <c r="L186" s="2542"/>
      <c r="M186" s="2542"/>
    </row>
    <row r="187" spans="1:13" ht="32" hidden="1" outlineLevel="3">
      <c r="A187" s="2541" t="s">
        <v>914</v>
      </c>
      <c r="B187" s="2588" t="s">
        <v>915</v>
      </c>
      <c r="C187" s="2573">
        <v>0</v>
      </c>
      <c r="D187" s="2578">
        <v>0</v>
      </c>
      <c r="E187" s="2543">
        <v>0</v>
      </c>
      <c r="G187" s="2541" t="str">
        <f>+'8_MP'!D192</f>
        <v>1.4.1.2.3</v>
      </c>
      <c r="H187" s="2588" t="str">
        <f>+'8_MP'!H192</f>
        <v>Propuesta de revisión de los aspectos de protección de datos personales con referencia al registro de beneficiarios finales:</v>
      </c>
      <c r="I187" s="3654"/>
      <c r="J187" s="3657"/>
      <c r="K187" s="3660"/>
      <c r="L187" s="2542"/>
      <c r="M187" s="2542"/>
    </row>
    <row r="188" spans="1:13" ht="16" hidden="1" outlineLevel="3">
      <c r="A188" s="2541" t="s">
        <v>916</v>
      </c>
      <c r="B188" s="2588" t="s">
        <v>917</v>
      </c>
      <c r="C188" s="2573">
        <v>0</v>
      </c>
      <c r="D188" s="2578">
        <v>0</v>
      </c>
      <c r="E188" s="2543">
        <v>0</v>
      </c>
      <c r="G188" s="2541" t="str">
        <f>+'8_MP'!D193</f>
        <v>1.4.1.2.3.1</v>
      </c>
      <c r="H188" s="2588" t="str">
        <f>+'8_MP'!H193</f>
        <v>Propuesta de revisión de las modalidad de identificación, registro y acceso a la información</v>
      </c>
      <c r="I188" s="3655"/>
      <c r="J188" s="3658"/>
      <c r="K188" s="3661"/>
      <c r="L188" s="2542"/>
      <c r="M188" s="2542"/>
    </row>
    <row r="189" spans="1:13" ht="34" hidden="1" outlineLevel="3">
      <c r="A189" s="2557" t="s">
        <v>918</v>
      </c>
      <c r="B189" s="2558" t="s">
        <v>919</v>
      </c>
      <c r="C189" s="2572">
        <v>3770000</v>
      </c>
      <c r="D189" s="2557"/>
      <c r="E189" s="2557"/>
      <c r="G189" s="2557" t="str">
        <f>+'8_MP'!D194</f>
        <v>1.4.1.2.3.2</v>
      </c>
      <c r="H189" s="2558" t="str">
        <f>+'8_MP'!H194</f>
        <v>Definición de conjuntos de datos por tipo de usuario, canal de intercambio y/o procesador de datos</v>
      </c>
      <c r="I189" s="2572">
        <f>+SUM(I190:I194)</f>
        <v>7540000</v>
      </c>
      <c r="J189" s="2557"/>
      <c r="K189" s="2557"/>
      <c r="L189" s="2558"/>
      <c r="M189" s="2558"/>
    </row>
    <row r="190" spans="1:13" ht="16" hidden="1" outlineLevel="3">
      <c r="A190" s="2541" t="s">
        <v>920</v>
      </c>
      <c r="B190" s="2588" t="s">
        <v>921</v>
      </c>
      <c r="C190" s="2573">
        <v>20000</v>
      </c>
      <c r="D190" s="2578" t="s">
        <v>922</v>
      </c>
      <c r="E190" s="2546" t="s">
        <v>723</v>
      </c>
      <c r="G190" s="2541" t="str">
        <f>+'8_MP'!D195</f>
        <v>1.4.1.2.3.3</v>
      </c>
      <c r="H190" s="2588" t="str">
        <f>+'8_MP'!H195</f>
        <v>Evaluación de viabilidad de acceso público al registro de beneficiarios finales</v>
      </c>
      <c r="I190" s="2573">
        <f>+'8_MP'!AN195</f>
        <v>0</v>
      </c>
      <c r="J190" s="2578">
        <f>+'8_MP'!Z195</f>
        <v>0</v>
      </c>
      <c r="K190" s="2546">
        <f>+'8_MP'!W195</f>
        <v>0</v>
      </c>
      <c r="L190" s="2542"/>
      <c r="M190" s="2542"/>
    </row>
    <row r="191" spans="1:13" ht="32" hidden="1" outlineLevel="3">
      <c r="A191" s="2541"/>
      <c r="B191" s="2588"/>
      <c r="C191" s="2573"/>
      <c r="D191" s="2578"/>
      <c r="E191" s="2546"/>
      <c r="G191" s="2545" t="str">
        <f>+'8_MP'!F196</f>
        <v>1.4.1.2.4</v>
      </c>
      <c r="H191" s="2588" t="str">
        <f>+'8_MP'!H196</f>
        <v>Definicion del modelo del registro de beneficiarios y acuerdos entre las tres instituciones UAF - DGII - MH</v>
      </c>
      <c r="I191" s="2573">
        <f>+'8_MP'!AN196</f>
        <v>0</v>
      </c>
      <c r="J191" s="2578">
        <f>+'8_MP'!Z196</f>
        <v>0</v>
      </c>
      <c r="K191" s="2546">
        <f>+'8_MP'!W196</f>
        <v>0</v>
      </c>
      <c r="L191" s="2542"/>
      <c r="M191" s="2542"/>
    </row>
    <row r="192" spans="1:13" ht="32" hidden="1" outlineLevel="3">
      <c r="A192" s="2541" t="s">
        <v>923</v>
      </c>
      <c r="B192" s="2588" t="s">
        <v>924</v>
      </c>
      <c r="C192" s="2573">
        <v>2500000</v>
      </c>
      <c r="D192" s="2578" t="s">
        <v>925</v>
      </c>
      <c r="E192" s="2546" t="s">
        <v>723</v>
      </c>
      <c r="G192" s="2541" t="str">
        <f>+'8_MP'!D197</f>
        <v>1.4.1.3</v>
      </c>
      <c r="H192" s="2588" t="str">
        <f>+'8_MP'!H197</f>
        <v>Diseño, desarrollo e implementación del sistema tecnológico del registro de beneficiarios finales en base a tres pilares</v>
      </c>
      <c r="I192" s="2573">
        <f>+'8_MP'!AN197</f>
        <v>5020000</v>
      </c>
      <c r="J192" s="2578">
        <f>+'8_MP'!Z197</f>
        <v>84</v>
      </c>
      <c r="K192" s="2546">
        <f>+'8_MP'!W197</f>
        <v>0</v>
      </c>
      <c r="L192" s="2542"/>
      <c r="M192" s="2542"/>
    </row>
    <row r="193" spans="1:17" ht="48" hidden="1" outlineLevel="3">
      <c r="A193" s="2541" t="s">
        <v>926</v>
      </c>
      <c r="B193" s="2588" t="s">
        <v>927</v>
      </c>
      <c r="C193" s="2573">
        <v>1250000</v>
      </c>
      <c r="D193" s="2578" t="s">
        <v>925</v>
      </c>
      <c r="E193" s="2546" t="s">
        <v>723</v>
      </c>
      <c r="G193" s="2541" t="str">
        <f>+'8_MP'!D198</f>
        <v>1.4.1.3.1</v>
      </c>
      <c r="H193" s="2588" t="str">
        <f>+'8_MP'!H198</f>
        <v xml:space="preserve">Contratación de consultor encargado de realizar el dimensionamiento TIC, elaborar  de los TdR y borrador de la Solicitud de Propuesta para la contratacion de firma encargada del diseño e implementacion de la analitica avanzada de datos (PA-84B, PA-84D) </v>
      </c>
      <c r="I193" s="2573">
        <f>+'8_MP'!AN198</f>
        <v>30000</v>
      </c>
      <c r="J193" s="2578">
        <f>+'8_MP'!Z197</f>
        <v>84</v>
      </c>
      <c r="K193" s="2546">
        <f>+'8_MP'!W197</f>
        <v>0</v>
      </c>
      <c r="L193" s="2542"/>
      <c r="M193" s="2542"/>
    </row>
    <row r="194" spans="1:17" ht="51" hidden="1" outlineLevel="3">
      <c r="A194" s="2557" t="s">
        <v>928</v>
      </c>
      <c r="B194" s="2558" t="s">
        <v>929</v>
      </c>
      <c r="C194" s="2572">
        <v>1250000</v>
      </c>
      <c r="D194" s="2589"/>
      <c r="E194" s="2589"/>
      <c r="G194" s="2557">
        <f>+'8_MP'!D199</f>
        <v>0</v>
      </c>
      <c r="H194" s="2558" t="str">
        <f>+'8_MP'!H199</f>
        <v>Contratación de consultor encargado de realizar el dimensionamiento TIC, elaborar  de los TdR y borrador de la Solicitud de Propuesta para la contratacion de firma encargada del diseño e implementacion de la Ciberseguridad (PA-84C)</v>
      </c>
      <c r="I194" s="2572">
        <f>+I195</f>
        <v>2490000</v>
      </c>
      <c r="J194" s="2589"/>
      <c r="K194" s="2589"/>
      <c r="L194" s="2558"/>
      <c r="M194" s="2558"/>
    </row>
    <row r="195" spans="1:17" ht="32" hidden="1" outlineLevel="3">
      <c r="A195" s="2541" t="s">
        <v>930</v>
      </c>
      <c r="B195" s="2588" t="s">
        <v>931</v>
      </c>
      <c r="C195" s="2573">
        <v>1250000</v>
      </c>
      <c r="D195" s="2578" t="s">
        <v>925</v>
      </c>
      <c r="E195" s="2546" t="s">
        <v>723</v>
      </c>
      <c r="G195" s="2541" t="str">
        <f>+'8_MP'!D200</f>
        <v>1.4.1.3.2</v>
      </c>
      <c r="H195" s="2588" t="str">
        <f>+'8_MP'!H200</f>
        <v>Diseño y revisión de la arquitectura TI y canales de interoperabilidad y de acceso de los diferentes usuarios</v>
      </c>
      <c r="I195" s="2573" cm="1">
        <f t="array" ref="I195:I197">+'8_MP'!AN200:AN202</f>
        <v>2490000</v>
      </c>
      <c r="J195" s="2578">
        <f>+'8_MP'!Z197</f>
        <v>84</v>
      </c>
      <c r="K195" s="2546">
        <f>+'8_MP'!W197</f>
        <v>0</v>
      </c>
      <c r="L195" s="2542"/>
      <c r="M195" s="2542"/>
    </row>
    <row r="196" spans="1:17" ht="32" hidden="1" outlineLevel="3">
      <c r="A196" s="2541" t="s">
        <v>932</v>
      </c>
      <c r="B196" s="2588" t="s">
        <v>933</v>
      </c>
      <c r="C196" s="2573">
        <v>0</v>
      </c>
      <c r="D196" s="2578"/>
      <c r="E196" s="2543"/>
      <c r="G196" s="2541" t="str">
        <f>+'8_MP'!D201</f>
        <v>1.4.1.3.3</v>
      </c>
      <c r="H196" s="2588" t="str">
        <f>+'8_MP'!H201</f>
        <v>Diseño, desarrollo y implementación de medidas de seguridad informática (SI) y evaluación de vulnerabilidades y prueba de penetración (VA/PT)</v>
      </c>
      <c r="I196" s="2573">
        <v>1220000</v>
      </c>
      <c r="J196" s="2578"/>
      <c r="K196" s="2543"/>
      <c r="L196" s="2542"/>
      <c r="M196" s="2542"/>
    </row>
    <row r="197" spans="1:17" ht="16" hidden="1" outlineLevel="3">
      <c r="A197" s="2541" t="s">
        <v>934</v>
      </c>
      <c r="B197" s="2588" t="s">
        <v>935</v>
      </c>
      <c r="C197" s="2573">
        <v>0</v>
      </c>
      <c r="D197" s="2578"/>
      <c r="E197" s="2543"/>
      <c r="G197" s="2541" t="str">
        <f>+'8_MP'!D202</f>
        <v>1.4.1.3.4</v>
      </c>
      <c r="H197" s="2588" t="str">
        <f>+'8_MP'!H202</f>
        <v>Diseño, desarrollo e implementación de servicios de analítica avanzada</v>
      </c>
      <c r="I197" s="2573">
        <v>1250000</v>
      </c>
      <c r="J197" s="2578"/>
      <c r="K197" s="2543"/>
      <c r="L197" s="2542"/>
      <c r="M197" s="2542"/>
    </row>
    <row r="198" spans="1:17" ht="34" hidden="1" outlineLevel="3">
      <c r="A198" s="2557" t="s">
        <v>936</v>
      </c>
      <c r="B198" s="2558" t="s">
        <v>937</v>
      </c>
      <c r="C198" s="2572">
        <v>80000</v>
      </c>
      <c r="D198" s="2557"/>
      <c r="E198" s="2557"/>
      <c r="G198" s="2557" t="str">
        <f>+'8_MP'!D203</f>
        <v>1.4.1.3.3.1</v>
      </c>
      <c r="H198" s="2558" t="str">
        <f>+'8_MP'!H203</f>
        <v>Revisión y análisis de datos existentes del sistema de beneficiarios finales para la evaluación de riesgos de personas y estructuras jurídicas</v>
      </c>
      <c r="I198" s="2572">
        <f>+I199</f>
        <v>0</v>
      </c>
      <c r="J198" s="2557"/>
      <c r="K198" s="2557"/>
      <c r="L198" s="2558"/>
      <c r="M198" s="2558"/>
    </row>
    <row r="199" spans="1:17" ht="16" hidden="1" outlineLevel="3">
      <c r="A199" s="2541" t="s">
        <v>938</v>
      </c>
      <c r="B199" s="2588" t="s">
        <v>939</v>
      </c>
      <c r="C199" s="2573">
        <v>80000</v>
      </c>
      <c r="D199" s="2578">
        <v>85</v>
      </c>
      <c r="E199" s="2546" t="s">
        <v>723</v>
      </c>
      <c r="G199" s="2541" t="str">
        <f>+'8_MP'!D204</f>
        <v>1.4.1.3.3.2</v>
      </c>
      <c r="H199" s="2588" t="str">
        <f>+'8_MP'!H204</f>
        <v>Recopilación de requisitos de analítica avanzada de los usuarios finales</v>
      </c>
      <c r="I199" s="2573">
        <f>+'8_MP'!AN204</f>
        <v>0</v>
      </c>
      <c r="J199" s="2578">
        <f>+'8_MP'!Z204</f>
        <v>0</v>
      </c>
      <c r="K199" s="2546">
        <f>+'8_MP'!W204</f>
        <v>0</v>
      </c>
      <c r="L199" s="2542"/>
      <c r="M199" s="2542"/>
    </row>
    <row r="200" spans="1:17" ht="34" hidden="1" outlineLevel="3">
      <c r="A200" s="2557" t="s">
        <v>940</v>
      </c>
      <c r="B200" s="2558" t="s">
        <v>941</v>
      </c>
      <c r="C200" s="2572">
        <v>120000</v>
      </c>
      <c r="D200" s="2557"/>
      <c r="E200" s="2557"/>
      <c r="G200" s="2557" t="str">
        <f>+'8_MP'!D205</f>
        <v>1.4.1.3.3.3</v>
      </c>
      <c r="H200" s="2558" t="str">
        <f>+'8_MP'!H205</f>
        <v>Diseño de funciones de analítica avanzada sobre la base de los requisitos recogidos</v>
      </c>
      <c r="I200" s="2572">
        <f>+I201+I202</f>
        <v>160000</v>
      </c>
      <c r="J200" s="2557"/>
      <c r="K200" s="2557"/>
      <c r="L200" s="2558"/>
      <c r="M200" s="2558"/>
    </row>
    <row r="201" spans="1:17" ht="32" hidden="1" outlineLevel="3">
      <c r="A201" s="2541" t="s">
        <v>942</v>
      </c>
      <c r="B201" s="2588" t="s">
        <v>943</v>
      </c>
      <c r="C201" s="2573">
        <v>20000</v>
      </c>
      <c r="D201" s="2578">
        <v>30</v>
      </c>
      <c r="E201" s="2546" t="s">
        <v>763</v>
      </c>
      <c r="G201" s="2541" t="str">
        <f>+'8_MP'!D206</f>
        <v>1.4.1.4</v>
      </c>
      <c r="H201" s="2588" t="str">
        <f>+'8_MP'!H206</f>
        <v>Infraestructura Tecnológica</v>
      </c>
      <c r="I201" s="2573">
        <f>+'8_MP'!AN206</f>
        <v>80000</v>
      </c>
      <c r="J201" s="2578">
        <f>+'8_MP'!Z206</f>
        <v>0</v>
      </c>
      <c r="K201" s="2546">
        <f>+'8_MP'!W206</f>
        <v>0</v>
      </c>
      <c r="L201" s="2542"/>
      <c r="M201" s="2542"/>
    </row>
    <row r="202" spans="1:17" ht="16" hidden="1" outlineLevel="3">
      <c r="A202" s="2541" t="s">
        <v>944</v>
      </c>
      <c r="B202" s="2588" t="s">
        <v>945</v>
      </c>
      <c r="C202" s="2573">
        <v>100000</v>
      </c>
      <c r="D202" s="2578">
        <v>31</v>
      </c>
      <c r="E202" s="2546" t="s">
        <v>853</v>
      </c>
      <c r="G202" s="2541" t="str">
        <f>+'8_MP'!D207</f>
        <v>1.4.1.4.1</v>
      </c>
      <c r="H202" s="2588" t="str">
        <f>+'8_MP'!H207</f>
        <v>Adquisición de bienes para el desarrollo de la infraestructura tecnológica</v>
      </c>
      <c r="I202" s="2573">
        <f>+'8_MP'!AL207</f>
        <v>80000</v>
      </c>
      <c r="J202" s="2578">
        <v>31</v>
      </c>
      <c r="K202" s="2546" t="s">
        <v>853</v>
      </c>
      <c r="L202" s="2542"/>
      <c r="M202" s="2542"/>
    </row>
    <row r="203" spans="1:17" ht="34" hidden="1" outlineLevel="3">
      <c r="A203" s="2557" t="s">
        <v>946</v>
      </c>
      <c r="B203" s="2558" t="s">
        <v>947</v>
      </c>
      <c r="C203" s="2572">
        <v>820000</v>
      </c>
      <c r="D203" s="2557"/>
      <c r="E203" s="2557"/>
      <c r="G203" s="2557" t="str">
        <f>+'8_MP'!D208</f>
        <v>1.4.1.5</v>
      </c>
      <c r="H203" s="2558" t="str">
        <f>+'8_MP'!H208</f>
        <v>Estrategia de Gestión del Cambio y comunicaciones para el Registro de Beneficiarios Finales diseñada e implementada</v>
      </c>
      <c r="I203" s="2572">
        <f>+I204+I205</f>
        <v>120000</v>
      </c>
      <c r="J203" s="2557"/>
      <c r="K203" s="2557"/>
      <c r="L203" s="2558"/>
      <c r="M203" s="2558"/>
    </row>
    <row r="204" spans="1:17" ht="32" hidden="1" outlineLevel="3">
      <c r="A204" s="2541" t="s">
        <v>948</v>
      </c>
      <c r="B204" s="2588" t="s">
        <v>949</v>
      </c>
      <c r="C204" s="2573">
        <v>420000</v>
      </c>
      <c r="D204" s="2578">
        <v>31</v>
      </c>
      <c r="E204" s="2546" t="s">
        <v>853</v>
      </c>
      <c r="G204" s="2541" t="str">
        <f>+'8_MP'!D209</f>
        <v>1.4.1.5.1</v>
      </c>
      <c r="H204" s="2588" t="str">
        <f>+'8_MP'!H209</f>
        <v>Consultor encargado para la elaboración de TdR para firma encargada del diseño e implementación de la Estrategia de Gestion del Cambio</v>
      </c>
      <c r="I204" s="2573">
        <f>+'8_MP'!AN209</f>
        <v>20000</v>
      </c>
      <c r="J204" s="2578">
        <v>31</v>
      </c>
      <c r="K204" s="2546" t="s">
        <v>853</v>
      </c>
      <c r="L204" s="2542"/>
      <c r="M204" s="2542"/>
    </row>
    <row r="205" spans="1:17" ht="16" hidden="1" outlineLevel="3">
      <c r="A205" s="2541" t="s">
        <v>950</v>
      </c>
      <c r="B205" s="2588" t="s">
        <v>951</v>
      </c>
      <c r="C205" s="2573">
        <v>400000</v>
      </c>
      <c r="D205" s="2578">
        <v>31</v>
      </c>
      <c r="E205" s="2546" t="s">
        <v>853</v>
      </c>
      <c r="G205" s="2541" t="str">
        <f>+'8_MP'!D210</f>
        <v>1.4.1.5.2</v>
      </c>
      <c r="H205" s="2588" t="str">
        <f>+'8_MP'!H210</f>
        <v>Estrategia de Gestión del Cambio, comunicaciones y despliegue del Registro, diseñada</v>
      </c>
      <c r="I205" s="2573">
        <f>+'8_MP'!AL210</f>
        <v>100000</v>
      </c>
      <c r="J205" s="2578">
        <v>31</v>
      </c>
      <c r="K205" s="2546" t="s">
        <v>853</v>
      </c>
      <c r="L205" s="2542"/>
      <c r="M205" s="2542"/>
      <c r="Q205" s="2585"/>
    </row>
    <row r="206" spans="1:17" hidden="1" outlineLevel="2" collapsed="1">
      <c r="Q206" s="2585"/>
    </row>
    <row r="207" spans="1:17" s="1795" customFormat="1" ht="34" collapsed="1">
      <c r="A207" s="2591" t="s">
        <v>553</v>
      </c>
      <c r="B207" s="2592" t="s">
        <v>554</v>
      </c>
      <c r="C207" s="2590">
        <f>+C208+C239+C253+C271</f>
        <v>6711000</v>
      </c>
      <c r="D207" s="2551"/>
      <c r="E207" s="2551"/>
      <c r="G207" s="2591" t="str">
        <f>+'8_MP'!D368</f>
        <v>3</v>
      </c>
      <c r="H207" s="2550" t="str">
        <f>+'8_MP'!H368</f>
        <v xml:space="preserve">Componente 3: Fortalecimiento del acceso a la información, participación ciudadana e integridad en la administración pública y sector privado </v>
      </c>
      <c r="I207" s="2590">
        <f>+I208+I239+I253+I271</f>
        <v>6907500</v>
      </c>
      <c r="J207" s="2551"/>
      <c r="K207" s="2551"/>
      <c r="L207" s="2550"/>
      <c r="M207" s="2550"/>
    </row>
    <row r="208" spans="1:17" ht="17" outlineLevel="1">
      <c r="A208" s="2593" t="s">
        <v>555</v>
      </c>
      <c r="B208" s="2594" t="s">
        <v>39</v>
      </c>
      <c r="C208" s="2570">
        <v>1414000</v>
      </c>
      <c r="D208" s="2554"/>
      <c r="E208" s="2554"/>
      <c r="G208" s="2593" t="str">
        <f>+'8_MP'!D369</f>
        <v>3.1</v>
      </c>
      <c r="H208" s="2553" t="str">
        <f>+'8_MP'!H369</f>
        <v>Subcomponente 3.1. Innovación pública para la Integridad y prevención de la corrupción</v>
      </c>
      <c r="I208" s="2570">
        <f>+I209+I216+I220+I230+I233+I225</f>
        <v>1628000</v>
      </c>
      <c r="J208" s="2554"/>
      <c r="K208" s="2554"/>
      <c r="L208" s="2553"/>
      <c r="M208" s="2553"/>
    </row>
    <row r="209" spans="1:13" ht="51" outlineLevel="2">
      <c r="A209" s="2595" t="s">
        <v>556</v>
      </c>
      <c r="B209" s="2556" t="s">
        <v>952</v>
      </c>
      <c r="C209" s="2571">
        <v>985000</v>
      </c>
      <c r="D209" s="2555"/>
      <c r="E209" s="2555"/>
      <c r="G209" s="2595" t="str">
        <f>+'8_MP'!D370</f>
        <v>3.1.1</v>
      </c>
      <c r="H209" s="2556" t="str">
        <f>+'8_MP'!H370</f>
        <v>Producto 16: Sistema Nacional Integrado de Transparencia e Integridad Implementado. Incluye Plataforma de seguimiento y evaluación de componentes de integridad y sistema para el seguimiento de compromisos internacionales</v>
      </c>
      <c r="I209" s="2571">
        <f>+SUM(I210:I215)</f>
        <v>240000</v>
      </c>
      <c r="J209" s="2555"/>
      <c r="K209" s="2555"/>
      <c r="L209" s="2556"/>
      <c r="M209" s="2556"/>
    </row>
    <row r="210" spans="1:13" ht="64" hidden="1" outlineLevel="3">
      <c r="A210" s="2541" t="s">
        <v>953</v>
      </c>
      <c r="B210" s="2588" t="s">
        <v>954</v>
      </c>
      <c r="C210" s="2573">
        <v>400000</v>
      </c>
      <c r="D210" s="2578">
        <v>32</v>
      </c>
      <c r="E210" s="2559" t="s">
        <v>955</v>
      </c>
      <c r="G210" s="2541" t="str">
        <f>+'8_MP'!D372</f>
        <v>3.1.1.1.1</v>
      </c>
      <c r="H210" s="2588" t="str">
        <f>+'8_MP'!H372</f>
        <v>Contratación de consultoría en Planificación, integración  e implementación de un modelo de integridad en la Unidad Etica e Integridad Gubernamental  basado en el estándar OCDE -integridad pública</v>
      </c>
      <c r="I210" s="2573">
        <f>+'8_MP'!AN372</f>
        <v>30000</v>
      </c>
      <c r="J210" s="2578">
        <f>+'8_MP'!Z372</f>
        <v>99</v>
      </c>
      <c r="K210" s="2559" t="str">
        <f>+'8_MP'!W372</f>
        <v>3CV</v>
      </c>
      <c r="L210" s="2542"/>
      <c r="M210" s="2542"/>
    </row>
    <row r="211" spans="1:13" ht="64" hidden="1" outlineLevel="3">
      <c r="A211" s="2541" t="s">
        <v>956</v>
      </c>
      <c r="B211" s="2588" t="s">
        <v>957</v>
      </c>
      <c r="C211" s="2573">
        <v>160000</v>
      </c>
      <c r="D211" s="2578">
        <v>86</v>
      </c>
      <c r="E211" s="2546" t="s">
        <v>723</v>
      </c>
      <c r="G211" s="2541" t="str">
        <f>+'8_MP'!D373</f>
        <v>3.1.1.1.2</v>
      </c>
      <c r="H211" s="2588" t="str">
        <f>+'8_MP'!H373</f>
        <v>Contratación de consultores para el diseño de la estructura organizacional, procesos y regulaciones del Sistema Nacional de Transparencia e Integridad, a partir de buenas prácticas y estándares de OCDE. Incluye el diseño e implementación del modelo de canal de denuncias en físico y del  Sistema de  Gestión de Conflictos de Intereses .</v>
      </c>
      <c r="I211" s="2573">
        <f>+'8_MP'!AN373</f>
        <v>120000</v>
      </c>
      <c r="J211" s="2578">
        <f>+'8_MP'!Z373</f>
        <v>100</v>
      </c>
      <c r="K211" s="2546" t="str">
        <f>+'8_MP'!W373</f>
        <v>3CV</v>
      </c>
      <c r="L211" s="2542"/>
      <c r="M211" s="2542"/>
    </row>
    <row r="212" spans="1:13" ht="48" hidden="1" outlineLevel="3">
      <c r="A212" s="2541" t="s">
        <v>958</v>
      </c>
      <c r="B212" s="2588" t="s">
        <v>959</v>
      </c>
      <c r="C212" s="2573">
        <v>216000</v>
      </c>
      <c r="D212" s="2578">
        <v>87</v>
      </c>
      <c r="E212" s="2546" t="s">
        <v>723</v>
      </c>
      <c r="G212" s="2541" t="str">
        <f>+'8_MP'!D374</f>
        <v>3.1.1.1.3</v>
      </c>
      <c r="H212" s="2588" t="str">
        <f>+'8_MP'!H374</f>
        <v>Contratación de consultor individual para la definición metas Comisión de Integridad Gubernamental y Cumplimiento Normativo (CIGCN) y orientación de los Planes Institucionales de Integridad y Prevención de la Corrupción en la Administración Pública.</v>
      </c>
      <c r="I212" s="2573">
        <f>+'8_MP'!AN374</f>
        <v>30000</v>
      </c>
      <c r="J212" s="2578">
        <f>+'8_MP'!Z374</f>
        <v>101</v>
      </c>
      <c r="K212" s="2546" t="str">
        <f>+'8_MP'!W374</f>
        <v>3CV</v>
      </c>
      <c r="L212" s="2542"/>
      <c r="M212" s="2542"/>
    </row>
    <row r="213" spans="1:13" ht="64" hidden="1" outlineLevel="3">
      <c r="A213" s="2541" t="s">
        <v>960</v>
      </c>
      <c r="B213" s="2588" t="s">
        <v>961</v>
      </c>
      <c r="C213" s="2573">
        <v>144000</v>
      </c>
      <c r="D213" s="2578">
        <v>88</v>
      </c>
      <c r="E213" s="2546" t="s">
        <v>723</v>
      </c>
      <c r="G213" s="2541" t="str">
        <f>+'8_MP'!D375</f>
        <v>3.1.1.1.4</v>
      </c>
      <c r="H213" s="2588" t="str">
        <f>+'8_MP'!H375</f>
        <v>Contratación de consultor individual para sistematización del proceso e instrumentos de monitoreo, seguimiento y control de las Comisión de Integridad Gubernamental y Cumplimiento Normativo (CIGCN) y respectivos Planes Institucionales de Integridad y Prevención de la Corrupción</v>
      </c>
      <c r="I213" s="2573">
        <f>+'8_MP'!AN375</f>
        <v>30000</v>
      </c>
      <c r="J213" s="2578">
        <f>+'8_MP'!Z375</f>
        <v>102</v>
      </c>
      <c r="K213" s="2546" t="str">
        <f>+'8_MP'!W375</f>
        <v>3CV</v>
      </c>
      <c r="L213" s="2542"/>
      <c r="M213" s="2542"/>
    </row>
    <row r="214" spans="1:13" ht="48" hidden="1" outlineLevel="3">
      <c r="A214" s="2541" t="s">
        <v>962</v>
      </c>
      <c r="B214" s="2588" t="s">
        <v>963</v>
      </c>
      <c r="C214" s="2573">
        <v>30000</v>
      </c>
      <c r="D214" s="2578">
        <v>89</v>
      </c>
      <c r="E214" s="2546" t="s">
        <v>723</v>
      </c>
      <c r="G214" s="2541" t="str">
        <f>+'8_MP'!D376</f>
        <v>3.1.1.1.5</v>
      </c>
      <c r="H214" s="2588" t="str">
        <f>+'8_MP'!H376</f>
        <v>Contratación de consultor individual para el diseño e implementación del curriculum y la programación de la primera experiencia docente del 1er Programa de Gestión de Integridad Pública en RD</v>
      </c>
      <c r="I214" s="2573">
        <f>+'8_MP'!AN376</f>
        <v>30000</v>
      </c>
      <c r="J214" s="2578">
        <f>+'8_MP'!Z376</f>
        <v>103</v>
      </c>
      <c r="K214" s="2546" t="str">
        <f>+'8_MP'!W376</f>
        <v>3CV</v>
      </c>
      <c r="L214" s="2542"/>
      <c r="M214" s="2542"/>
    </row>
    <row r="215" spans="1:13" ht="16" hidden="1" outlineLevel="3">
      <c r="A215" s="2541" t="s">
        <v>964</v>
      </c>
      <c r="B215" s="2588" t="s">
        <v>965</v>
      </c>
      <c r="C215" s="2573">
        <v>35000</v>
      </c>
      <c r="D215" s="2578">
        <v>90</v>
      </c>
      <c r="E215" s="2546" t="s">
        <v>723</v>
      </c>
      <c r="G215" s="2541" t="str">
        <f>+'8_MP'!D377</f>
        <v>3.1.1.6</v>
      </c>
      <c r="H215" s="2588" t="str">
        <f>+'8_MP'!H377</f>
        <v>Saldo para redondeo</v>
      </c>
      <c r="I215" s="3026">
        <f>+'8_MP'!AN377</f>
        <v>0</v>
      </c>
      <c r="J215" s="3027">
        <f>+'8_MP'!Z377</f>
        <v>0</v>
      </c>
      <c r="K215" s="3034">
        <f>+'8_MP'!W377</f>
        <v>0</v>
      </c>
      <c r="L215" s="3035"/>
      <c r="M215" s="3035"/>
    </row>
    <row r="216" spans="1:13" ht="34" hidden="1" outlineLevel="3">
      <c r="A216" s="2557" t="s">
        <v>966</v>
      </c>
      <c r="B216" s="2558" t="s">
        <v>967</v>
      </c>
      <c r="C216" s="2572">
        <v>180000</v>
      </c>
      <c r="D216" s="2557"/>
      <c r="E216" s="2557"/>
      <c r="G216" s="2557" t="str">
        <f>+'8_MP'!D378</f>
        <v>3.1.1.2</v>
      </c>
      <c r="H216" s="2558" t="str">
        <f>+'8_MP'!H378</f>
        <v>Plataforma TI de Seguimiento y Evaluación de componentes de integridad desarrollado e implementado</v>
      </c>
      <c r="I216" s="2572">
        <f>+SUM(I217:I219)</f>
        <v>200000</v>
      </c>
      <c r="J216" s="2557"/>
      <c r="K216" s="2557"/>
      <c r="L216" s="2558"/>
      <c r="M216" s="2558"/>
    </row>
    <row r="217" spans="1:13" ht="112" hidden="1" outlineLevel="3">
      <c r="A217" s="2541" t="s">
        <v>968</v>
      </c>
      <c r="B217" s="2588" t="s">
        <v>969</v>
      </c>
      <c r="C217" s="2573">
        <v>150000</v>
      </c>
      <c r="D217" s="2578">
        <v>33</v>
      </c>
      <c r="E217" s="2559" t="s">
        <v>853</v>
      </c>
      <c r="G217" s="2541" t="str">
        <f>+'8_MP'!D379</f>
        <v>3.1.1.2.1</v>
      </c>
      <c r="H217" s="2588" t="str">
        <f>+'8_MP'!H379</f>
        <v>Contratación de consultor individual para establecimiento de reglas de negocio, tableros de control,  estándares,  requerimientos de usuarios, ciudadanos, etc</v>
      </c>
      <c r="I217" s="2573">
        <f>+'8_MP'!AN379</f>
        <v>20000</v>
      </c>
      <c r="J217" s="2578">
        <f>+'8_MP'!Z379</f>
        <v>104</v>
      </c>
      <c r="K217" s="2559" t="str">
        <f>+'8_MP'!W379</f>
        <v>3CV</v>
      </c>
      <c r="L217" s="2542"/>
      <c r="M217" s="2542"/>
    </row>
    <row r="218" spans="1:13" ht="48" hidden="1" outlineLevel="3">
      <c r="A218" s="2541" t="s">
        <v>970</v>
      </c>
      <c r="B218" s="2588" t="s">
        <v>971</v>
      </c>
      <c r="C218" s="2573">
        <v>30000</v>
      </c>
      <c r="D218" s="2578">
        <v>92</v>
      </c>
      <c r="E218" s="2559" t="s">
        <v>723</v>
      </c>
      <c r="G218" s="2541" t="str">
        <f>+'8_MP'!D380</f>
        <v>3.1.1.2.2</v>
      </c>
      <c r="H218" s="2588" t="str">
        <f>+'8_MP'!H380</f>
        <v>Diseño de plataforma en base a SNIRD y estándar OCDE 
- Definición de la arquitectura Construcción de la plataforma -Experiencia de usuario -Manuales de usuario</v>
      </c>
      <c r="I218" s="2573">
        <f>+'8_MP'!AN380</f>
        <v>150000</v>
      </c>
      <c r="J218" s="2578" t="str">
        <f>+'8_MP'!Z380</f>
        <v>33A</v>
      </c>
      <c r="K218" s="2559" t="str">
        <f>+'8_MP'!W380</f>
        <v>SBCC</v>
      </c>
      <c r="L218" s="2542"/>
      <c r="M218" s="2542"/>
    </row>
    <row r="219" spans="1:13" ht="86" hidden="1" customHeight="1" outlineLevel="3">
      <c r="A219" s="2541"/>
      <c r="B219" s="2588"/>
      <c r="C219" s="2573"/>
      <c r="D219" s="2578"/>
      <c r="E219" s="2559"/>
      <c r="G219" s="2541" t="str">
        <f>+'8_MP'!D381</f>
        <v>3.1.1.2.3</v>
      </c>
      <c r="H219" s="2588" t="str">
        <f>+'8_MP'!H381</f>
        <v>Plan de implementación y capacitación a usuarios de funcionamiento de la plataforma SNIRD</v>
      </c>
      <c r="I219" s="2573">
        <f>+'8_MP'!AN381</f>
        <v>30000</v>
      </c>
      <c r="J219" s="2578" t="str">
        <f>+'8_MP'!Z381</f>
        <v>92D</v>
      </c>
      <c r="K219" s="2559" t="str">
        <f>+'8_MP'!W381</f>
        <v>SBCC</v>
      </c>
      <c r="L219" s="2542"/>
      <c r="M219" s="2542"/>
    </row>
    <row r="220" spans="1:13" ht="17" hidden="1" outlineLevel="3">
      <c r="A220" s="2557" t="s">
        <v>972</v>
      </c>
      <c r="B220" s="2558" t="s">
        <v>973</v>
      </c>
      <c r="C220" s="2572">
        <v>249000</v>
      </c>
      <c r="D220" s="2557"/>
      <c r="E220" s="2557"/>
      <c r="G220" s="2557" t="str">
        <f>+'8_MP'!D382</f>
        <v>3.1.1.3</v>
      </c>
      <c r="H220" s="2558" t="str">
        <f>+'8_MP'!H382</f>
        <v>Estándar OCDE piloteado</v>
      </c>
      <c r="I220" s="2572">
        <f>+SUM(I221:I224)</f>
        <v>550000</v>
      </c>
      <c r="J220" s="2557"/>
      <c r="K220" s="2557"/>
      <c r="L220" s="2558"/>
      <c r="M220" s="2558"/>
    </row>
    <row r="221" spans="1:13" ht="64" hidden="1" outlineLevel="3">
      <c r="A221" s="2541" t="s">
        <v>974</v>
      </c>
      <c r="B221" s="2588" t="s">
        <v>975</v>
      </c>
      <c r="C221" s="2573">
        <v>45000</v>
      </c>
      <c r="D221" s="2578">
        <v>35</v>
      </c>
      <c r="E221" s="2559" t="s">
        <v>763</v>
      </c>
      <c r="G221" s="2541" t="str">
        <f>+'8_MP'!D383</f>
        <v>3.1.1.3.1</v>
      </c>
      <c r="H221" s="2588" t="str">
        <f>+'8_MP'!H383</f>
        <v>Contratación de firma consultora para la elaboración del Plan de acción en base al estandar  OCDE por sector y respectivos  talleres de seguimiento</v>
      </c>
      <c r="I221" s="2573">
        <f>+'8_MP'!AN383</f>
        <v>160000</v>
      </c>
      <c r="J221" s="2578">
        <f>+'8_MP'!Z383</f>
        <v>86</v>
      </c>
      <c r="K221" s="2559" t="str">
        <f>+'8_MP'!W383</f>
        <v>SBCC</v>
      </c>
      <c r="L221" s="2542"/>
      <c r="M221" s="2542"/>
    </row>
    <row r="222" spans="1:13" ht="32" hidden="1" outlineLevel="3">
      <c r="A222" s="2541" t="s">
        <v>976</v>
      </c>
      <c r="B222" s="2588" t="s">
        <v>977</v>
      </c>
      <c r="C222" s="2573">
        <v>24000</v>
      </c>
      <c r="D222" s="2578">
        <v>36</v>
      </c>
      <c r="E222" s="2559" t="s">
        <v>763</v>
      </c>
      <c r="G222" s="2541" t="str">
        <f>+'8_MP'!D384</f>
        <v>3.1.1.3.2</v>
      </c>
      <c r="H222" s="2588" t="str">
        <f>+'8_MP'!H384</f>
        <v>Contratación de firma consultora para la definición de estándares, procedimientos, herramientas, resoluciones para implementación del plan de acción</v>
      </c>
      <c r="I222" s="2573">
        <f>+'8_MP'!AN384</f>
        <v>216000</v>
      </c>
      <c r="J222" s="2578">
        <f>+'8_MP'!Z384</f>
        <v>87</v>
      </c>
      <c r="K222" s="2559" t="str">
        <f>+'8_MP'!W384</f>
        <v>SBCC</v>
      </c>
      <c r="L222" s="2542"/>
      <c r="M222" s="2542"/>
    </row>
    <row r="223" spans="1:13" s="1795" customFormat="1" ht="43.25" hidden="1" customHeight="1" outlineLevel="3" collapsed="1">
      <c r="A223" s="2541" t="s">
        <v>978</v>
      </c>
      <c r="B223" s="2588" t="s">
        <v>979</v>
      </c>
      <c r="C223" s="2573">
        <v>150000</v>
      </c>
      <c r="D223" s="2578">
        <v>33</v>
      </c>
      <c r="E223" s="2559" t="s">
        <v>853</v>
      </c>
      <c r="G223" s="2541" t="str">
        <f>+'8_MP'!D385</f>
        <v>3.1.1.3.3</v>
      </c>
      <c r="H223" s="2588" t="str">
        <f>+'8_MP'!H385</f>
        <v>Contratación de firma consultora para la coordinación de actividades en el marco del producto estándar OCDE</v>
      </c>
      <c r="I223" s="2573">
        <f>+'8_MP'!AN385</f>
        <v>144000</v>
      </c>
      <c r="J223" s="2578">
        <f>+'8_MP'!Z385</f>
        <v>88</v>
      </c>
      <c r="K223" s="2559" t="str">
        <f>+'8_MP'!W385</f>
        <v>SBCC</v>
      </c>
      <c r="L223" s="2542"/>
      <c r="M223" s="2542"/>
    </row>
    <row r="224" spans="1:13" ht="32" hidden="1" outlineLevel="3">
      <c r="A224" s="2541" t="s">
        <v>980</v>
      </c>
      <c r="B224" s="2588" t="s">
        <v>971</v>
      </c>
      <c r="C224" s="2573">
        <v>30000</v>
      </c>
      <c r="D224" s="2578">
        <v>92</v>
      </c>
      <c r="E224" s="2559" t="s">
        <v>723</v>
      </c>
      <c r="G224" s="2541" t="str">
        <f>+'8_MP'!D386</f>
        <v>3.1.1.3.4</v>
      </c>
      <c r="H224" s="2588" t="str">
        <f>+'8_MP'!H386</f>
        <v>Contratación de consultoría individual para el desarrollo de contenido comunicacional para visualizar y difundir las actividades en materia de integridad</v>
      </c>
      <c r="I224" s="2573">
        <f>+'8_MP'!AN386</f>
        <v>30000</v>
      </c>
      <c r="J224" s="2578">
        <f>+'8_MP'!Z386</f>
        <v>89</v>
      </c>
      <c r="K224" s="2559" t="str">
        <f>+'8_MP'!W386</f>
        <v>3CV</v>
      </c>
      <c r="L224" s="2542"/>
      <c r="M224" s="2542"/>
    </row>
    <row r="225" spans="1:17" ht="17" hidden="1" outlineLevel="3">
      <c r="A225" s="2541"/>
      <c r="B225" s="2588"/>
      <c r="C225" s="2573"/>
      <c r="D225" s="2578"/>
      <c r="E225" s="2559"/>
      <c r="G225" s="2557" t="str">
        <f>+'8_MP'!D387</f>
        <v>3.1.1.4</v>
      </c>
      <c r="H225" s="2558" t="str">
        <f>+'8_MP'!H387</f>
        <v>Sistema para el seguimiento de compromisos internacionales, desarrollado</v>
      </c>
      <c r="I225" s="2572">
        <f>+'8_MP'!AN387</f>
        <v>249000</v>
      </c>
      <c r="J225" s="2557"/>
      <c r="K225" s="2557"/>
      <c r="L225" s="2558"/>
      <c r="M225" s="2558"/>
    </row>
    <row r="226" spans="1:17" ht="80" hidden="1" outlineLevel="3">
      <c r="A226" s="2541"/>
      <c r="B226" s="2588"/>
      <c r="C226" s="2573"/>
      <c r="D226" s="2578"/>
      <c r="E226" s="2559"/>
      <c r="G226" s="2541" t="str">
        <f>+'8_MP'!D388</f>
        <v>3.1.1.4.1</v>
      </c>
      <c r="H226" s="2588" t="str">
        <f>+'8_MP'!H388</f>
        <v>- Consultoría para el seguimiento y levantamiento de información sobre compromisos asumidos por el país, ante organismos e iniciativas internacionales de gobierno abierto, y de prevención y control de corrupción, el desarrollo de contenidos para la plataforma interna y el tablero de control externo y definición del modelo de gobernanza, de recolección de datos, responsables y mecanismos articulación entre entidades.</v>
      </c>
      <c r="I226" s="2573">
        <f>+'8_MP'!AN388</f>
        <v>45000</v>
      </c>
      <c r="J226" s="2578">
        <f>+'8_MP'!Z388</f>
        <v>35</v>
      </c>
      <c r="K226" s="2559" t="str">
        <f>+'8_MP'!W388</f>
        <v>3CV</v>
      </c>
      <c r="L226" s="2542"/>
      <c r="M226" s="2542"/>
    </row>
    <row r="227" spans="1:17" ht="16" hidden="1" outlineLevel="3">
      <c r="A227" s="2541"/>
      <c r="B227" s="2588"/>
      <c r="C227" s="2573"/>
      <c r="D227" s="2578"/>
      <c r="E227" s="2559"/>
      <c r="G227" s="2541" t="str">
        <f>+'8_MP'!D389</f>
        <v>3.1.1.4.2</v>
      </c>
      <c r="H227" s="2588" t="str">
        <f>+'8_MP'!H389</f>
        <v>Elaboración de TdR, borrador de SP y anexos técnicos para el diseño y desarrollo a la plataforma</v>
      </c>
      <c r="I227" s="2573">
        <f>+'8_MP'!AN389</f>
        <v>24000</v>
      </c>
      <c r="J227" s="2578">
        <f>+'8_MP'!Z389</f>
        <v>36</v>
      </c>
      <c r="K227" s="2559" t="str">
        <f>+'8_MP'!W389</f>
        <v>3CV</v>
      </c>
      <c r="L227" s="2542"/>
      <c r="M227" s="2542"/>
    </row>
    <row r="228" spans="1:17" ht="32" hidden="1" outlineLevel="3">
      <c r="A228" s="2541"/>
      <c r="B228" s="2588"/>
      <c r="C228" s="2573"/>
      <c r="D228" s="2578"/>
      <c r="E228" s="2559"/>
      <c r="G228" s="2541" t="str">
        <f>+'8_MP'!D390</f>
        <v>3.1.1.4.3</v>
      </c>
      <c r="H228" s="2588" t="str">
        <f>+'8_MP'!H390</f>
        <v>Diseño, desarrollo e implementación de una plataforma con funciones de seguimiento interno entre los responsables de la administración pública y de rendición de cuentas</v>
      </c>
      <c r="I228" s="2573">
        <f>+'8_MP'!AN390</f>
        <v>150000</v>
      </c>
      <c r="J228" s="2578" t="str">
        <f>+'8_MP'!Z390</f>
        <v>33B</v>
      </c>
      <c r="K228" s="2559" t="str">
        <f>+'8_MP'!W390</f>
        <v>SBCC</v>
      </c>
      <c r="L228" s="2542"/>
      <c r="M228" s="2542"/>
    </row>
    <row r="229" spans="1:17" outlineLevel="2" collapsed="1">
      <c r="A229" s="2541"/>
      <c r="B229" s="2588"/>
      <c r="C229" s="2573"/>
      <c r="D229" s="2578"/>
      <c r="E229" s="2559"/>
      <c r="G229" s="2541"/>
      <c r="H229" s="2588"/>
      <c r="I229" s="2573"/>
      <c r="J229" s="2578"/>
      <c r="K229" s="2559"/>
      <c r="L229" s="2542"/>
      <c r="M229" s="2542"/>
    </row>
    <row r="230" spans="1:17" s="1795" customFormat="1" ht="34" outlineLevel="2">
      <c r="A230" s="2595" t="s">
        <v>559</v>
      </c>
      <c r="B230" s="2556" t="s">
        <v>981</v>
      </c>
      <c r="C230" s="2571"/>
      <c r="D230" s="2555"/>
      <c r="E230" s="2555"/>
      <c r="G230" s="2595" t="str">
        <f>+'8_MP'!D393</f>
        <v>3.1.2</v>
      </c>
      <c r="H230" s="2556" t="str">
        <f>+'8_MP'!H393</f>
        <v>Producto 17: Marco regulatorio en materia de integridad, fortalecido. Incluye protección a denunciantes y normativas sobre conflictos de interes</v>
      </c>
      <c r="I230" s="2571">
        <f>+I231</f>
        <v>86000</v>
      </c>
      <c r="J230" s="2555"/>
      <c r="K230" s="2555"/>
      <c r="L230" s="2556"/>
      <c r="M230" s="2556"/>
    </row>
    <row r="231" spans="1:17" ht="32" hidden="1" outlineLevel="3">
      <c r="A231" s="2541" t="s">
        <v>982</v>
      </c>
      <c r="B231" s="2588" t="s">
        <v>983</v>
      </c>
      <c r="C231" s="2573">
        <v>80000</v>
      </c>
      <c r="D231" s="2578">
        <v>91</v>
      </c>
      <c r="E231" s="2559" t="s">
        <v>763</v>
      </c>
      <c r="G231" s="2541" t="str">
        <f>+'8_MP'!D397</f>
        <v>3.1.2.4</v>
      </c>
      <c r="H231" s="2588" t="str">
        <f>+'8_MP'!H397</f>
        <v>Saldo para redondeo</v>
      </c>
      <c r="I231" s="2573">
        <f>+'8_MP'!AN397</f>
        <v>86000</v>
      </c>
      <c r="J231" s="2578">
        <f>+'8_MP'!Z397</f>
        <v>0</v>
      </c>
      <c r="K231" s="2559">
        <f>+'8_MP'!W397</f>
        <v>0</v>
      </c>
      <c r="L231" s="2542"/>
      <c r="M231" s="2542"/>
    </row>
    <row r="232" spans="1:17" outlineLevel="2" collapsed="1">
      <c r="A232" s="2541"/>
      <c r="B232" s="2588"/>
      <c r="C232" s="2573"/>
      <c r="D232" s="2578"/>
      <c r="E232" s="2559"/>
      <c r="G232" s="2541"/>
      <c r="H232" s="2588"/>
      <c r="I232" s="2573"/>
      <c r="J232" s="2578"/>
      <c r="K232" s="2559"/>
      <c r="L232" s="2542"/>
      <c r="M232" s="2542"/>
    </row>
    <row r="233" spans="1:17" ht="17" outlineLevel="2">
      <c r="A233" s="2595" t="s">
        <v>561</v>
      </c>
      <c r="B233" s="2556" t="s">
        <v>984</v>
      </c>
      <c r="C233" s="2571">
        <v>414000</v>
      </c>
      <c r="D233" s="2555"/>
      <c r="E233" s="2555"/>
      <c r="G233" s="2595" t="str">
        <f>+'8_MP'!D398</f>
        <v>3.1.3</v>
      </c>
      <c r="H233" s="2556" t="str">
        <f>+'8_MP'!H398</f>
        <v>Producto 18: Programa de cumplimiento e integridad para el sector privado desarrollado</v>
      </c>
      <c r="I233" s="2571">
        <f>+'8_MP'!AN398</f>
        <v>303000</v>
      </c>
      <c r="J233" s="2555"/>
      <c r="K233" s="2555"/>
      <c r="L233" s="2556"/>
      <c r="M233" s="2556"/>
    </row>
    <row r="234" spans="1:17" ht="80" hidden="1" outlineLevel="3">
      <c r="A234" s="2541" t="s">
        <v>985</v>
      </c>
      <c r="B234" s="2588" t="s">
        <v>986</v>
      </c>
      <c r="C234" s="2573">
        <v>54000</v>
      </c>
      <c r="D234" s="2578">
        <v>34</v>
      </c>
      <c r="E234" s="2559" t="s">
        <v>987</v>
      </c>
      <c r="G234" s="2541" t="str">
        <f>+'8_MP'!D400</f>
        <v>3.1.3.2</v>
      </c>
      <c r="H234" s="2588" t="str">
        <f>+'8_MP'!H400</f>
        <v>Project Manager. Proceso de consulta del programa con el sector empresarial. Talleres de co-construcción iterativo.
- Diagnostico de dimensionamiento, alcance del programa y sus componentes, formularios</v>
      </c>
      <c r="I234" s="3026">
        <f>+'8_MP'!AN400</f>
        <v>63000</v>
      </c>
      <c r="J234" s="2578">
        <f>+'8_MP'!Z400</f>
        <v>34</v>
      </c>
      <c r="K234" s="2559" t="str">
        <f>+'8_MP'!W400</f>
        <v>3CV</v>
      </c>
      <c r="L234" s="2544"/>
      <c r="M234" s="2544"/>
    </row>
    <row r="235" spans="1:17" ht="16" hidden="1" outlineLevel="3">
      <c r="A235" s="2541" t="s">
        <v>988</v>
      </c>
      <c r="B235" s="2588" t="s">
        <v>989</v>
      </c>
      <c r="C235" s="2573">
        <v>60000</v>
      </c>
      <c r="D235" s="2578">
        <v>93</v>
      </c>
      <c r="E235" s="2559" t="s">
        <v>723</v>
      </c>
      <c r="G235" s="2541" t="str">
        <f>+'8_MP'!D401</f>
        <v>3.1.3.3</v>
      </c>
      <c r="H235" s="2588" t="str">
        <f>+'8_MP'!H401</f>
        <v>Talleres y actividades de co-construcción</v>
      </c>
      <c r="I235" s="3026">
        <f>+'8_MP'!AN401</f>
        <v>60000</v>
      </c>
      <c r="J235" s="2578">
        <f>+'8_MP'!Z401</f>
        <v>93</v>
      </c>
      <c r="K235" s="2559" t="str">
        <f>+'8_MP'!W401</f>
        <v>SBCC</v>
      </c>
      <c r="L235" s="2542"/>
      <c r="M235" s="2542"/>
    </row>
    <row r="236" spans="1:17" ht="32" hidden="1" outlineLevel="3" collapsed="1">
      <c r="A236" s="2541" t="s">
        <v>990</v>
      </c>
      <c r="B236" s="2588" t="s">
        <v>991</v>
      </c>
      <c r="C236" s="2573">
        <v>270000</v>
      </c>
      <c r="D236" s="2578">
        <v>63</v>
      </c>
      <c r="E236" s="2559" t="s">
        <v>853</v>
      </c>
      <c r="G236" s="2541" t="str">
        <f>+'8_MP'!D402</f>
        <v>3.1.3.4</v>
      </c>
      <c r="H236" s="2588" t="str">
        <f>+'8_MP'!H402</f>
        <v>Desarrollo tecnológico de la plataforma de forma iterativa en etapas contemplando una inicial de ganancia temprana, difusión y educación</v>
      </c>
      <c r="I236" s="3026">
        <f>+'8_MP'!AN402</f>
        <v>150000</v>
      </c>
      <c r="J236" s="2578">
        <f>+'8_MP'!Z402</f>
        <v>63</v>
      </c>
      <c r="K236" s="2559" t="str">
        <f>+'8_MP'!W402</f>
        <v>SBCC</v>
      </c>
      <c r="L236" s="2544"/>
      <c r="M236" s="2542"/>
      <c r="Q236" s="2585"/>
    </row>
    <row r="237" spans="1:17" ht="16" hidden="1" outlineLevel="3">
      <c r="A237" s="2541" t="s">
        <v>992</v>
      </c>
      <c r="B237" s="2588" t="s">
        <v>993</v>
      </c>
      <c r="C237" s="2573">
        <v>30000</v>
      </c>
      <c r="D237" s="2578">
        <v>94</v>
      </c>
      <c r="E237" s="2559" t="s">
        <v>723</v>
      </c>
      <c r="G237" s="2541" t="str">
        <f>+'8_MP'!D403</f>
        <v>3.1.3.5</v>
      </c>
      <c r="H237" s="2588" t="str">
        <f>+'8_MP'!H403</f>
        <v>Difusión y comunicación de la plataforma y el programa</v>
      </c>
      <c r="I237" s="2573">
        <f>+'8_MP'!AN403</f>
        <v>30000</v>
      </c>
      <c r="J237" s="2578">
        <f>+'8_MP'!Z403</f>
        <v>94</v>
      </c>
      <c r="K237" s="2559" t="str">
        <f>+'8_MP'!W403</f>
        <v>SBCC</v>
      </c>
      <c r="L237" s="2542"/>
      <c r="M237" s="2542"/>
    </row>
    <row r="238" spans="1:17" outlineLevel="2" collapsed="1">
      <c r="A238" s="2541"/>
      <c r="B238" s="2588"/>
      <c r="C238" s="2573"/>
      <c r="D238" s="2578"/>
      <c r="E238" s="2559"/>
      <c r="G238" s="2541"/>
      <c r="H238" s="2588"/>
      <c r="I238" s="2573"/>
      <c r="J238" s="2578"/>
      <c r="K238" s="2559"/>
      <c r="L238" s="2542"/>
      <c r="M238" s="2542"/>
    </row>
    <row r="239" spans="1:17" ht="34" outlineLevel="1">
      <c r="A239" s="2552" t="s">
        <v>566</v>
      </c>
      <c r="B239" s="2553" t="s">
        <v>49</v>
      </c>
      <c r="C239" s="2570">
        <v>915000</v>
      </c>
      <c r="D239" s="2554">
        <v>0</v>
      </c>
      <c r="E239" s="2554">
        <v>0</v>
      </c>
      <c r="G239" s="2552" t="str">
        <f>+'8_MP'!D405</f>
        <v>3.2</v>
      </c>
      <c r="H239" s="2553" t="str">
        <f>+'8_MP'!H405</f>
        <v>Subcomponente 3.2. Participación, control social y gestión de denuncias de corrupción administrativa</v>
      </c>
      <c r="I239" s="2570">
        <f>+'8_MP'!AN405</f>
        <v>915000</v>
      </c>
      <c r="J239" s="2554">
        <f>+'8_MP'!Z405</f>
        <v>0</v>
      </c>
      <c r="K239" s="2554">
        <f>+'8_MP'!W405</f>
        <v>0</v>
      </c>
      <c r="L239" s="2553"/>
      <c r="M239" s="2553"/>
    </row>
    <row r="240" spans="1:17" ht="51" outlineLevel="2">
      <c r="A240" s="2555" t="s">
        <v>567</v>
      </c>
      <c r="B240" s="2556" t="s">
        <v>994</v>
      </c>
      <c r="C240" s="2571">
        <v>915000</v>
      </c>
      <c r="D240" s="2555"/>
      <c r="E240" s="2555"/>
      <c r="G240" s="2555" t="str">
        <f>+'8_MP'!D406</f>
        <v>3.2.1</v>
      </c>
      <c r="H240" s="2556" t="str">
        <f>+'8_MP'!H406</f>
        <v>Producto 19: Sistema para realizar investigaciones, seguimiento y respuesta a las denuncias ciudadanas desarrollado. Incluye metodologías y plataforma tecnológica de participación ciudadana y seguimiento de denuncias con enfoque de género y diversidad.</v>
      </c>
      <c r="I240" s="2571">
        <f>+I241+I245</f>
        <v>805000</v>
      </c>
      <c r="J240" s="2555"/>
      <c r="K240" s="2555"/>
      <c r="L240" s="2556"/>
      <c r="M240" s="2556"/>
    </row>
    <row r="241" spans="1:17" ht="51" hidden="1" outlineLevel="3">
      <c r="A241" s="2557" t="s">
        <v>995</v>
      </c>
      <c r="B241" s="2558" t="s">
        <v>996</v>
      </c>
      <c r="C241" s="2572">
        <v>450000</v>
      </c>
      <c r="D241" s="2557"/>
      <c r="E241" s="2557"/>
      <c r="G241" s="2557" t="str">
        <f>+'8_MP'!D407</f>
        <v>3.2.1.1</v>
      </c>
      <c r="H241" s="2558" t="str">
        <f>+'8_MP'!H407</f>
        <v>Metodológía para realizar investigaciones, seguimiento y respuesta a las denuncias ciudadanas desarrollada. Incluye metodologías y plataforma tecnológica de participación ciudadana y seguimiento de denuncias con enfoque de género y diversidad.</v>
      </c>
      <c r="I241" s="2572">
        <f>+SUM(I242:I244)</f>
        <v>340000</v>
      </c>
      <c r="J241" s="2557"/>
      <c r="K241" s="2557"/>
      <c r="L241" s="2558"/>
      <c r="M241" s="2558"/>
    </row>
    <row r="242" spans="1:17" ht="38" hidden="1" customHeight="1" outlineLevel="3">
      <c r="A242" s="2541" t="s">
        <v>997</v>
      </c>
      <c r="B242" s="2588" t="s">
        <v>998</v>
      </c>
      <c r="C242" s="2573">
        <v>180000</v>
      </c>
      <c r="D242" s="2578">
        <v>37</v>
      </c>
      <c r="E242" s="2559" t="s">
        <v>999</v>
      </c>
      <c r="F242" s="2573"/>
      <c r="G242" s="2541" t="str">
        <f>+'8_MP'!D408</f>
        <v>3.2.1.1.1</v>
      </c>
      <c r="H242" s="2588" t="str">
        <f>+'8_MP'!H408</f>
        <v>Diagnóstico inicial, alcance y estandarización de procesos de investigación de denuncias y su seguimiento, incluye la metodología estandarizada del proceso de investigación de denuncias Lic. En Derecho</v>
      </c>
      <c r="I242" s="2573">
        <f>+'8_MP'!AN408</f>
        <v>30000</v>
      </c>
      <c r="J242" s="2578" t="str">
        <f>+'8_MP'!Z408</f>
        <v>37 A</v>
      </c>
      <c r="K242" s="2559" t="str">
        <f>+'8_MP'!W408</f>
        <v>3CV</v>
      </c>
      <c r="L242" s="2542"/>
      <c r="M242" s="2542"/>
    </row>
    <row r="243" spans="1:17" ht="48" hidden="1" outlineLevel="3">
      <c r="A243" s="2541" t="s">
        <v>1000</v>
      </c>
      <c r="B243" s="2588" t="s">
        <v>1001</v>
      </c>
      <c r="C243" s="2573">
        <v>0</v>
      </c>
      <c r="D243" s="2578"/>
      <c r="E243" s="2559"/>
      <c r="G243" s="2545" t="str">
        <f>+'8_MP'!D409</f>
        <v>3.2.1.1.2</v>
      </c>
      <c r="H243" s="2588" t="str">
        <f>+'8_MP'!H409</f>
        <v>Diagnóstico inicial, alcance y estandarización de procesos de investigación de denuncias y su seguimiento, incluye la metodología estandarizada del proceso de investigación de denuncias Ing. Industrial</v>
      </c>
      <c r="I243" s="2573">
        <f>+'8_MP'!AI409</f>
        <v>40000</v>
      </c>
      <c r="J243" s="2578" t="str">
        <f>+'8_MP'!Z409</f>
        <v>37 B</v>
      </c>
      <c r="K243" s="2559" t="str">
        <f>+'8_MP'!W409</f>
        <v>3CV</v>
      </c>
      <c r="L243" s="1743"/>
      <c r="M243" s="1743"/>
    </row>
    <row r="244" spans="1:17" ht="16" hidden="1" outlineLevel="3">
      <c r="A244" s="2541" t="s">
        <v>1002</v>
      </c>
      <c r="B244" s="2588" t="s">
        <v>1003</v>
      </c>
      <c r="C244" s="2573">
        <v>270000</v>
      </c>
      <c r="D244" s="2578">
        <v>33</v>
      </c>
      <c r="E244" s="2559" t="s">
        <v>853</v>
      </c>
      <c r="G244" s="2541" t="str">
        <f>+'8_MP'!D410</f>
        <v>3.2.1.3</v>
      </c>
      <c r="H244" s="2588" t="str">
        <f>+'8_MP'!H410</f>
        <v>Apoyo en diseño, desarrollo, implementación y capacitación del sistema de forma iterativa</v>
      </c>
      <c r="I244" s="2573">
        <f>+'8_MP'!AN410</f>
        <v>270000</v>
      </c>
      <c r="J244" s="2578" t="str">
        <f>+'8_MP'!Z410</f>
        <v>33C</v>
      </c>
      <c r="K244" s="2559" t="str">
        <f>+'8_MP'!W410</f>
        <v>SBCC</v>
      </c>
    </row>
    <row r="245" spans="1:17" ht="34" hidden="1" outlineLevel="3">
      <c r="A245" s="2557" t="s">
        <v>1004</v>
      </c>
      <c r="B245" s="2558" t="s">
        <v>1005</v>
      </c>
      <c r="C245" s="2572">
        <v>465000</v>
      </c>
      <c r="D245" s="2557"/>
      <c r="E245" s="2557"/>
      <c r="G245" s="2557" t="str">
        <f>+'8_MP'!D411</f>
        <v>3.2.1.2</v>
      </c>
      <c r="H245" s="2558" t="str">
        <f>+'8_MP'!H411</f>
        <v>Plataforma tecnológica de participación ciudadana con enfoque de género y diversidad, implementado</v>
      </c>
      <c r="I245" s="2572">
        <f>+SUM(I246:I251)</f>
        <v>465000</v>
      </c>
      <c r="J245" s="2557"/>
      <c r="K245" s="2557"/>
      <c r="L245" s="2558"/>
      <c r="M245" s="2558"/>
    </row>
    <row r="246" spans="1:17" ht="16" hidden="1" outlineLevel="3">
      <c r="A246" s="2541" t="s">
        <v>1006</v>
      </c>
      <c r="B246" s="2588" t="s">
        <v>1007</v>
      </c>
      <c r="C246" s="2573">
        <v>0</v>
      </c>
      <c r="D246" s="2578">
        <v>0</v>
      </c>
      <c r="E246" s="2559">
        <v>0</v>
      </c>
      <c r="G246" s="2541" t="str">
        <f>+'8_MP'!D413</f>
        <v>3.2.2.1.1</v>
      </c>
      <c r="H246" s="2588" t="str">
        <f>+'8_MP'!H413</f>
        <v>Elaboración de TdR con CT y Dirección de Transparencia y Gobierno Abierto</v>
      </c>
      <c r="I246" s="2573">
        <f>+'8_MP'!AN413</f>
        <v>0</v>
      </c>
      <c r="J246" s="2578">
        <f>+'8_MP'!Z413</f>
        <v>0</v>
      </c>
      <c r="K246" s="2559">
        <f>+'8_MP'!W413</f>
        <v>0</v>
      </c>
      <c r="L246" s="2542"/>
      <c r="M246" s="2542"/>
    </row>
    <row r="247" spans="1:17" ht="32" hidden="1" outlineLevel="3">
      <c r="A247" s="2541" t="s">
        <v>1008</v>
      </c>
      <c r="B247" s="2588" t="s">
        <v>1009</v>
      </c>
      <c r="C247" s="2573">
        <v>60000</v>
      </c>
      <c r="D247" s="2578">
        <v>38</v>
      </c>
      <c r="E247" s="2559" t="s">
        <v>763</v>
      </c>
      <c r="G247" s="2541" t="str">
        <f>+'8_MP'!D414</f>
        <v>3.2.2.1.2</v>
      </c>
      <c r="H247" s="2588" t="str">
        <f>+'8_MP'!H414</f>
        <v>Consultor 1: Contratación de consultor para el desarrollo de un diagnóstico de barreras y desafíos para la participación ciudadana y control social</v>
      </c>
      <c r="I247" s="2573">
        <f>+'8_MP'!AN414</f>
        <v>60000</v>
      </c>
      <c r="J247" s="2578">
        <f>+'8_MP'!Z414</f>
        <v>38</v>
      </c>
      <c r="K247" s="2559" t="str">
        <f>+'8_MP'!W414</f>
        <v>3CV</v>
      </c>
      <c r="L247" s="2542"/>
      <c r="M247" s="2542"/>
    </row>
    <row r="248" spans="1:17" ht="32" hidden="1" outlineLevel="3">
      <c r="A248" s="2541" t="s">
        <v>1010</v>
      </c>
      <c r="B248" s="2588" t="s">
        <v>1011</v>
      </c>
      <c r="C248" s="2573">
        <v>60000</v>
      </c>
      <c r="D248" s="2578">
        <v>39</v>
      </c>
      <c r="E248" s="2559" t="s">
        <v>763</v>
      </c>
      <c r="G248" s="2541" t="str">
        <f>+'8_MP'!D415</f>
        <v>3.2.2.1.3</v>
      </c>
      <c r="H248" s="2588" t="str">
        <f>+'8_MP'!H415</f>
        <v>Consultor 2: Contratación de consultor para el diseño de una estrategia para ampliar la participación ciudadana garantizando el acceso de mujeres y grupos diversos</v>
      </c>
      <c r="I248" s="2573">
        <f>+'8_MP'!AN415</f>
        <v>60000</v>
      </c>
      <c r="J248" s="2578">
        <f>+'8_MP'!Z415</f>
        <v>39</v>
      </c>
      <c r="K248" s="2559" t="str">
        <f>+'8_MP'!W415</f>
        <v>3CV</v>
      </c>
      <c r="L248" s="2542"/>
      <c r="M248" s="2542"/>
    </row>
    <row r="249" spans="1:17" ht="32" hidden="1" outlineLevel="3">
      <c r="A249" s="2541" t="s">
        <v>1012</v>
      </c>
      <c r="B249" s="2588" t="s">
        <v>1013</v>
      </c>
      <c r="C249" s="2573">
        <v>60000</v>
      </c>
      <c r="D249" s="2578">
        <v>40</v>
      </c>
      <c r="E249" s="2559" t="s">
        <v>763</v>
      </c>
      <c r="G249" s="2541" t="str">
        <f>+'8_MP'!D416</f>
        <v>3.2.2.1.4</v>
      </c>
      <c r="H249" s="2588" t="str">
        <f>+'8_MP'!H416</f>
        <v>Consultor 3: Contratación de consultor para el desarrollo de un diagnóstico, alcance, diseño de herramientas informáticas para mejorar la participación ciudadana en políticas y control social</v>
      </c>
      <c r="I249" s="2573">
        <f>+'8_MP'!AN416</f>
        <v>60000</v>
      </c>
      <c r="J249" s="2578">
        <f>+'8_MP'!Z416</f>
        <v>40</v>
      </c>
      <c r="K249" s="2559" t="str">
        <f>+'8_MP'!W416</f>
        <v>3CV</v>
      </c>
      <c r="L249" s="2542"/>
      <c r="M249" s="2542"/>
    </row>
    <row r="250" spans="1:17" ht="32" hidden="1" outlineLevel="3" collapsed="1">
      <c r="A250" s="2541" t="s">
        <v>1014</v>
      </c>
      <c r="B250" s="2588" t="s">
        <v>1015</v>
      </c>
      <c r="C250" s="2573">
        <v>135000</v>
      </c>
      <c r="D250" s="2578">
        <v>33</v>
      </c>
      <c r="E250" s="2559" t="s">
        <v>853</v>
      </c>
      <c r="G250" s="2541" t="str">
        <f>+'8_MP'!D417</f>
        <v>3.2.2.3</v>
      </c>
      <c r="H250" s="2588" t="str">
        <f>+'8_MP'!H417</f>
        <v>Construcción de herramientas informáticas para mejorar la participación ciudadana en políticas y control social</v>
      </c>
      <c r="I250" s="2573">
        <f>+'8_MP'!AN417</f>
        <v>135000</v>
      </c>
      <c r="J250" s="2578" t="str">
        <f>+'8_MP'!Z417</f>
        <v>33D</v>
      </c>
      <c r="K250" s="2559" t="str">
        <f>+'8_MP'!W417</f>
        <v>SBCC</v>
      </c>
      <c r="L250" s="2542"/>
      <c r="M250" s="2542"/>
      <c r="Q250" s="2585"/>
    </row>
    <row r="251" spans="1:17" ht="32" hidden="1" outlineLevel="3">
      <c r="A251" s="2541" t="s">
        <v>1016</v>
      </c>
      <c r="B251" s="2588" t="s">
        <v>1017</v>
      </c>
      <c r="C251" s="2573">
        <v>150000</v>
      </c>
      <c r="D251" s="2578">
        <v>96</v>
      </c>
      <c r="E251" s="2559" t="s">
        <v>723</v>
      </c>
      <c r="G251" s="2541" t="str">
        <f>+'8_MP'!D418</f>
        <v>3.2.2.4</v>
      </c>
      <c r="H251" s="2588" t="str">
        <f>+'8_MP'!H418</f>
        <v>Estrategia de comunicación y capacitación para la participación ciudadana y el control social diseñada</v>
      </c>
      <c r="I251" s="2573">
        <f>+'8_MP'!AN418</f>
        <v>150000</v>
      </c>
      <c r="J251" s="2578">
        <f>+'8_MP'!Z418</f>
        <v>96</v>
      </c>
      <c r="K251" s="2559" t="str">
        <f>+'8_MP'!W418</f>
        <v>SBCC</v>
      </c>
      <c r="L251" s="2542"/>
      <c r="M251" s="2542"/>
      <c r="Q251" s="2585"/>
    </row>
    <row r="252" spans="1:17" outlineLevel="2" collapsed="1"/>
    <row r="253" spans="1:17" ht="17" outlineLevel="1">
      <c r="A253" s="2552" t="s">
        <v>570</v>
      </c>
      <c r="B253" s="2553" t="s">
        <v>54</v>
      </c>
      <c r="C253" s="2570">
        <f>+C254</f>
        <v>3325000</v>
      </c>
      <c r="D253" s="2554"/>
      <c r="E253" s="2554"/>
      <c r="G253" s="2552" t="str">
        <f>+'8_MP'!D421</f>
        <v>3.3</v>
      </c>
      <c r="H253" s="2553" t="str">
        <f>+'8_MP'!H421</f>
        <v xml:space="preserve">Subcomponente 3.3. Innovación para la transparencia y el acceso a la información </v>
      </c>
      <c r="I253" s="2570">
        <f>+I254</f>
        <v>3307500</v>
      </c>
      <c r="J253" s="2554"/>
      <c r="K253" s="2554"/>
      <c r="L253" s="2553"/>
      <c r="M253" s="2553"/>
    </row>
    <row r="254" spans="1:17" ht="34" outlineLevel="2">
      <c r="A254" s="2555" t="s">
        <v>571</v>
      </c>
      <c r="B254" s="2556" t="s">
        <v>1018</v>
      </c>
      <c r="C254" s="2571">
        <v>3325000</v>
      </c>
      <c r="D254" s="2555"/>
      <c r="E254" s="2555"/>
      <c r="G254" s="2555" t="str">
        <f>+'8_MP'!D422</f>
        <v>3.3.1</v>
      </c>
      <c r="H254" s="2556" t="str">
        <f>+'8_MP'!H422</f>
        <v>Producto 20: Plataforma tecnológica Nacional de Transparencia diseñado e implementado</v>
      </c>
      <c r="I254" s="2571">
        <f>+I255+I256+I269</f>
        <v>3307500</v>
      </c>
      <c r="J254" s="2555"/>
      <c r="K254" s="2555"/>
      <c r="L254" s="2556"/>
      <c r="M254" s="2556"/>
    </row>
    <row r="255" spans="1:17" ht="32" hidden="1" outlineLevel="3">
      <c r="A255" s="2541" t="s">
        <v>1019</v>
      </c>
      <c r="B255" s="2588" t="s">
        <v>1020</v>
      </c>
      <c r="C255" s="2573">
        <v>40000</v>
      </c>
      <c r="D255" s="2578">
        <v>41</v>
      </c>
      <c r="E255" s="2559" t="s">
        <v>763</v>
      </c>
      <c r="G255" s="2541" t="str">
        <f>+'8_MP'!D423</f>
        <v>3.3.1.1</v>
      </c>
      <c r="H255" s="2588" t="str">
        <f>+'8_MP'!H423</f>
        <v>Diagnóstico del dimensionamiento del Sistema Nacional de Transparencia (normas, procesos, reglas de negocio, alcance)</v>
      </c>
      <c r="I255" s="2573">
        <f>+'8_MP'!AN423</f>
        <v>40000</v>
      </c>
      <c r="J255" s="2578">
        <f>+'8_MP'!Z423</f>
        <v>41</v>
      </c>
      <c r="K255" s="2559" t="str">
        <f>+'8_MP'!W423</f>
        <v>3CV</v>
      </c>
      <c r="L255" s="2542"/>
      <c r="M255" s="2542"/>
    </row>
    <row r="256" spans="1:17" ht="17" hidden="1" outlineLevel="3">
      <c r="A256" s="2557" t="s">
        <v>1021</v>
      </c>
      <c r="B256" s="2558" t="s">
        <v>1022</v>
      </c>
      <c r="C256" s="2572">
        <v>3260000</v>
      </c>
      <c r="D256" s="2557"/>
      <c r="E256" s="2557"/>
      <c r="G256" s="2557" t="str">
        <f>+'8_MP'!D424</f>
        <v>3.3.1.2</v>
      </c>
      <c r="H256" s="2558" t="str">
        <f>+'8_MP'!H424</f>
        <v>Diseño e implementación del Sistema Nacional de Transparencia</v>
      </c>
      <c r="I256" s="2572">
        <f>+SUM(I257:I268)</f>
        <v>3260000</v>
      </c>
      <c r="J256" s="2557"/>
      <c r="K256" s="2557"/>
      <c r="L256" s="2558"/>
      <c r="M256" s="2558"/>
    </row>
    <row r="257" spans="1:17" ht="32" hidden="1" outlineLevel="3">
      <c r="A257" s="2541" t="s">
        <v>1023</v>
      </c>
      <c r="B257" s="2588" t="s">
        <v>1024</v>
      </c>
      <c r="C257" s="2573">
        <v>400000</v>
      </c>
      <c r="D257" s="2578">
        <v>33</v>
      </c>
      <c r="E257" s="2559" t="s">
        <v>853</v>
      </c>
      <c r="G257" s="2541" t="str">
        <f>+'8_MP'!D425</f>
        <v>3.3.1.2.1</v>
      </c>
      <c r="H257" s="2588" t="str">
        <f>+'8_MP'!H425</f>
        <v>Ejercicio de arquitectura empresarial del sistema de transparencia, incluyendo mecanismos de recolección de información para el Sistema Nacional de Transparencia</v>
      </c>
      <c r="I257" s="2573">
        <f>+'8_MP'!AN425</f>
        <v>400000</v>
      </c>
      <c r="J257" s="2578" t="str">
        <f>+'8_MP'!Z425</f>
        <v>33E</v>
      </c>
      <c r="K257" s="2559" t="str">
        <f>+'8_MP'!W425</f>
        <v>SBCC</v>
      </c>
      <c r="L257" s="2542"/>
      <c r="M257" s="2542"/>
    </row>
    <row r="258" spans="1:17" ht="32" hidden="1" outlineLevel="3">
      <c r="A258" s="2541" t="s">
        <v>1025</v>
      </c>
      <c r="B258" s="2588" t="s">
        <v>1026</v>
      </c>
      <c r="C258" s="2573">
        <v>200000</v>
      </c>
      <c r="D258" s="2578">
        <v>0</v>
      </c>
      <c r="E258" s="2559">
        <v>0</v>
      </c>
      <c r="G258" s="2541" t="str">
        <f>+'8_MP'!D426</f>
        <v>3.3.1.2.2</v>
      </c>
      <c r="H258" s="2588" t="str">
        <f>+'8_MP'!H426</f>
        <v>Definición del gobierno de datos y metadatos permitiendo la desagregación por variables de género y diversidad</v>
      </c>
      <c r="I258" s="2573">
        <f>+'8_MP'!AN426</f>
        <v>200000</v>
      </c>
      <c r="J258" s="2578">
        <f>+'8_MP'!Z426</f>
        <v>0</v>
      </c>
      <c r="K258" s="2559">
        <f>+'8_MP'!W426</f>
        <v>0</v>
      </c>
      <c r="L258" s="2542"/>
      <c r="M258" s="2542"/>
    </row>
    <row r="259" spans="1:17" ht="96" hidden="1" outlineLevel="3">
      <c r="A259" s="2541" t="s">
        <v>1027</v>
      </c>
      <c r="B259" s="2588" t="s">
        <v>1028</v>
      </c>
      <c r="C259" s="2573">
        <v>150000</v>
      </c>
      <c r="D259" s="2578">
        <v>0</v>
      </c>
      <c r="E259" s="2559">
        <v>0</v>
      </c>
      <c r="G259" s="2541" t="str">
        <f>+'8_MP'!D427</f>
        <v>3.3.1.2.3</v>
      </c>
      <c r="H259" s="2588" t="str">
        <f>+'8_MP'!H427</f>
        <v>Diseño e implementación de los procesos, gestión del cambio y estructura organizacional necesaria (RRHH, Decretos, manuales de procedimientos) y plan de implementación. El Sistema Nacional de Transparencia integra los sub-portales de Transparencia Institucional, el portal de Datos Abiertos, de Gobierno Abierto, y de Solicitud de Acceso a la Información Pública, el Portal Unico de Transparencia y el Tablero de control de seguimiento, la herramienta de fiscalización en materia de transparencia activa.</v>
      </c>
      <c r="I259" s="2573">
        <f>+'8_MP'!AN427</f>
        <v>150000</v>
      </c>
      <c r="J259" s="2578">
        <f>+'8_MP'!Z427</f>
        <v>0</v>
      </c>
      <c r="K259" s="2559">
        <f>+'8_MP'!W427</f>
        <v>0</v>
      </c>
      <c r="L259" s="2542"/>
      <c r="M259" s="2542"/>
    </row>
    <row r="260" spans="1:17" ht="32" hidden="1" outlineLevel="3">
      <c r="A260" s="2541" t="s">
        <v>1029</v>
      </c>
      <c r="B260" s="2588" t="s">
        <v>1030</v>
      </c>
      <c r="C260" s="2573">
        <v>800000</v>
      </c>
      <c r="D260" s="2578">
        <v>0</v>
      </c>
      <c r="E260" s="2559">
        <v>0</v>
      </c>
      <c r="G260" s="2541" t="str">
        <f>+'8_MP'!D428</f>
        <v>3.3.1.2.4</v>
      </c>
      <c r="H260" s="2588" t="str">
        <f>+'8_MP'!H428</f>
        <v>Desarrollo tecnológico del Sistema Nacional de Transparencia por versiones implementadas en forma incremental</v>
      </c>
      <c r="I260" s="2573">
        <f>+'8_MP'!AN428</f>
        <v>800000</v>
      </c>
      <c r="J260" s="2578">
        <f>+'8_MP'!Z428</f>
        <v>0</v>
      </c>
      <c r="K260" s="2559">
        <f>+'8_MP'!W428</f>
        <v>0</v>
      </c>
      <c r="L260" s="2542"/>
      <c r="M260" s="2542"/>
    </row>
    <row r="261" spans="1:17" ht="32" hidden="1" outlineLevel="3">
      <c r="A261" s="2541" t="s">
        <v>1031</v>
      </c>
      <c r="B261" s="2588" t="s">
        <v>1032</v>
      </c>
      <c r="C261" s="2573">
        <v>300000</v>
      </c>
      <c r="D261" s="2578">
        <v>0</v>
      </c>
      <c r="E261" s="2559">
        <v>0</v>
      </c>
      <c r="G261" s="2541" t="str">
        <f>+'8_MP'!D429</f>
        <v>3.3.1.2.5</v>
      </c>
      <c r="H261" s="2588" t="str">
        <f>+'8_MP'!H429</f>
        <v>Desarrollo de una capa de analítica del Sistema Nacional de Transparencia, incluyendo calidad de datos, modelos y herramientas.</v>
      </c>
      <c r="I261" s="2573">
        <f>+'8_MP'!AN429</f>
        <v>300000</v>
      </c>
      <c r="J261" s="2578">
        <f>+'8_MP'!Z429</f>
        <v>0</v>
      </c>
      <c r="K261" s="2559">
        <f>+'8_MP'!W429</f>
        <v>0</v>
      </c>
      <c r="L261" s="2542"/>
      <c r="M261" s="2542"/>
    </row>
    <row r="262" spans="1:17" ht="16" hidden="1" outlineLevel="3">
      <c r="A262" s="2541" t="s">
        <v>1033</v>
      </c>
      <c r="B262" s="2588" t="s">
        <v>1034</v>
      </c>
      <c r="C262" s="2573">
        <v>400000</v>
      </c>
      <c r="D262" s="2578">
        <v>0</v>
      </c>
      <c r="E262" s="2559">
        <v>0</v>
      </c>
      <c r="G262" s="2541" t="str">
        <f>+'8_MP'!D430</f>
        <v>3.3.1.2.6</v>
      </c>
      <c r="H262" s="2588" t="str">
        <f>+'8_MP'!H430</f>
        <v>Infraestructura y servicio TICs (licencias, equipos, almacenamiento)</v>
      </c>
      <c r="I262" s="2573">
        <f>+'8_MP'!AN430</f>
        <v>400000</v>
      </c>
      <c r="J262" s="2578">
        <f>+'8_MP'!Z430</f>
        <v>0</v>
      </c>
      <c r="K262" s="2559">
        <f>+'8_MP'!W430</f>
        <v>0</v>
      </c>
      <c r="L262" s="2542"/>
      <c r="M262" s="2542"/>
    </row>
    <row r="263" spans="1:17" ht="32" hidden="1" outlineLevel="3">
      <c r="A263" s="2541" t="s">
        <v>1035</v>
      </c>
      <c r="B263" s="2588" t="s">
        <v>1036</v>
      </c>
      <c r="C263" s="2573">
        <v>50000</v>
      </c>
      <c r="D263" s="2578">
        <v>0</v>
      </c>
      <c r="E263" s="2559">
        <v>0</v>
      </c>
      <c r="G263" s="2541" t="str">
        <f>+'8_MP'!D431</f>
        <v>3.3.1.2.7</v>
      </c>
      <c r="H263" s="2588" t="str">
        <f>+'8_MP'!H431</f>
        <v>Diseño y elaboración de tutoriales (autoformativos) para usuarios finales (con accesibilidad para personas con discapacidad).</v>
      </c>
      <c r="I263" s="2573">
        <f>+'8_MP'!AN431</f>
        <v>50000</v>
      </c>
      <c r="J263" s="2578">
        <f>+'8_MP'!Z431</f>
        <v>0</v>
      </c>
      <c r="K263" s="2559">
        <f>+'8_MP'!W431</f>
        <v>0</v>
      </c>
      <c r="L263" s="2542"/>
      <c r="M263" s="2542"/>
    </row>
    <row r="264" spans="1:17" ht="32" hidden="1" outlineLevel="3">
      <c r="A264" s="2541" t="s">
        <v>1037</v>
      </c>
      <c r="B264" s="2588" t="s">
        <v>1038</v>
      </c>
      <c r="C264" s="2573">
        <v>100000</v>
      </c>
      <c r="D264" s="2578">
        <v>0</v>
      </c>
      <c r="E264" s="2559">
        <v>0</v>
      </c>
      <c r="G264" s="2541" t="str">
        <f>+'8_MP'!D432</f>
        <v>3.3.1.2.8</v>
      </c>
      <c r="H264" s="2588" t="str">
        <f>+'8_MP'!H432</f>
        <v>Capacitación de funcionamiento de la plataforma para funcionarios públicos y operadores del sistema</v>
      </c>
      <c r="I264" s="2573">
        <f>+'8_MP'!AN432</f>
        <v>100000</v>
      </c>
      <c r="J264" s="2578">
        <f>+'8_MP'!Z432</f>
        <v>0</v>
      </c>
      <c r="K264" s="2559">
        <f>+'8_MP'!W432</f>
        <v>0</v>
      </c>
      <c r="L264" s="2542"/>
      <c r="M264" s="2542"/>
    </row>
    <row r="265" spans="1:17" ht="48" hidden="1" outlineLevel="3">
      <c r="A265" s="2541" t="s">
        <v>1039</v>
      </c>
      <c r="B265" s="2588" t="s">
        <v>1040</v>
      </c>
      <c r="C265" s="2573">
        <v>170000</v>
      </c>
      <c r="D265" s="2578">
        <v>0</v>
      </c>
      <c r="E265" s="2559">
        <v>0</v>
      </c>
      <c r="G265" s="2541" t="str">
        <f>+'8_MP'!D433</f>
        <v>3.3.1.2.9</v>
      </c>
      <c r="H265" s="2588" t="str">
        <f>+'8_MP'!H433</f>
        <v>Implementación del nuevo Portal de Solicitud de Acceso a la Información Pública (SAIP) que permita verificar el cumplimiento normativo y la calidad de la respuesta a las solicitudes de acceso a la información pública, diseñada e implementada</v>
      </c>
      <c r="I265" s="2573">
        <f>+'8_MP'!AN433</f>
        <v>170000</v>
      </c>
      <c r="J265" s="2578">
        <f>+'8_MP'!Z433</f>
        <v>0</v>
      </c>
      <c r="K265" s="2559">
        <f>+'8_MP'!W433</f>
        <v>0</v>
      </c>
      <c r="L265" s="2542"/>
      <c r="M265" s="2542"/>
    </row>
    <row r="266" spans="1:17" ht="16" hidden="1" outlineLevel="3">
      <c r="A266" s="2541" t="s">
        <v>1041</v>
      </c>
      <c r="B266" s="2588" t="s">
        <v>1042</v>
      </c>
      <c r="C266" s="2573">
        <v>100000</v>
      </c>
      <c r="D266" s="2578">
        <v>0</v>
      </c>
      <c r="E266" s="2559">
        <v>0</v>
      </c>
      <c r="G266" s="2541" t="str">
        <f>+'8_MP'!D434</f>
        <v>3.3.1.2.10</v>
      </c>
      <c r="H266" s="2588" t="str">
        <f>+'8_MP'!H434</f>
        <v>Capacitación de funcionamiento del SAIP</v>
      </c>
      <c r="I266" s="2573">
        <f>+'8_MP'!AN434</f>
        <v>100000</v>
      </c>
      <c r="J266" s="2578">
        <f>+'8_MP'!Z434</f>
        <v>0</v>
      </c>
      <c r="K266" s="2559">
        <f>+'8_MP'!W434</f>
        <v>0</v>
      </c>
      <c r="L266" s="2542"/>
      <c r="M266" s="2542"/>
    </row>
    <row r="267" spans="1:17" ht="32" hidden="1" outlineLevel="3">
      <c r="A267" s="2541" t="s">
        <v>1043</v>
      </c>
      <c r="B267" s="2588" t="s">
        <v>1044</v>
      </c>
      <c r="C267" s="2573">
        <v>40000</v>
      </c>
      <c r="D267" s="2578">
        <v>0</v>
      </c>
      <c r="E267" s="2559">
        <v>0</v>
      </c>
      <c r="G267" s="2541" t="str">
        <f>+'8_MP'!D435</f>
        <v>3.3.1.2.11</v>
      </c>
      <c r="H267" s="2588" t="str">
        <f>+'8_MP'!H435</f>
        <v>Diseño de un esquema de incentivos para el cumplimiento de los objetivos de transparencia activa</v>
      </c>
      <c r="I267" s="2573">
        <f>+'8_MP'!AN435</f>
        <v>40000</v>
      </c>
      <c r="J267" s="2578">
        <f>+'8_MP'!Z435</f>
        <v>0</v>
      </c>
      <c r="K267" s="2559">
        <f>+'8_MP'!W435</f>
        <v>0</v>
      </c>
      <c r="L267" s="2542"/>
      <c r="M267" s="2542"/>
    </row>
    <row r="268" spans="1:17" ht="16" hidden="1" outlineLevel="3" collapsed="1">
      <c r="A268" s="2541" t="s">
        <v>1045</v>
      </c>
      <c r="B268" s="2588" t="s">
        <v>1046</v>
      </c>
      <c r="C268" s="2573">
        <v>550000</v>
      </c>
      <c r="D268" s="2578">
        <v>0</v>
      </c>
      <c r="E268" s="2559">
        <v>0</v>
      </c>
      <c r="G268" s="2541" t="str">
        <f>+'8_MP'!D436</f>
        <v>3.3.1.2.12</v>
      </c>
      <c r="H268" s="2588" t="str">
        <f>+'8_MP'!H436</f>
        <v>Apoyo técnico para el seguimiento y operación del Sistema Nacional de Transparencia</v>
      </c>
      <c r="I268" s="2573">
        <f>+'8_MP'!AN436</f>
        <v>550000</v>
      </c>
      <c r="J268" s="2578">
        <f>+'8_MP'!Z436</f>
        <v>0</v>
      </c>
      <c r="K268" s="2559">
        <f>+'8_MP'!W436</f>
        <v>0</v>
      </c>
      <c r="L268" s="2542"/>
      <c r="M268" s="2542"/>
      <c r="Q268" s="2585"/>
    </row>
    <row r="269" spans="1:17" ht="16" hidden="1" outlineLevel="3">
      <c r="A269" s="2541" t="s">
        <v>1047</v>
      </c>
      <c r="B269" s="2588" t="s">
        <v>965</v>
      </c>
      <c r="C269" s="2573">
        <v>25000</v>
      </c>
      <c r="D269" s="2578">
        <v>0</v>
      </c>
      <c r="E269" s="2559">
        <v>0</v>
      </c>
      <c r="G269" s="2541" t="str">
        <f>+'8_MP'!D437</f>
        <v>3.3.1.3</v>
      </c>
      <c r="H269" s="2588" t="str">
        <f>+'8_MP'!H437</f>
        <v>Saldo para redondeo</v>
      </c>
      <c r="I269" s="2573">
        <f>+'8_MP'!AN437</f>
        <v>7500</v>
      </c>
      <c r="J269" s="2578">
        <f>+'8_MP'!Z437</f>
        <v>0</v>
      </c>
      <c r="K269" s="2559">
        <f>+'8_MP'!W437</f>
        <v>0</v>
      </c>
      <c r="L269" s="2542"/>
      <c r="M269" s="2542"/>
    </row>
    <row r="270" spans="1:17" outlineLevel="2" collapsed="1">
      <c r="A270" s="2541"/>
      <c r="B270" s="2588"/>
      <c r="C270" s="2573"/>
      <c r="D270" s="2578"/>
      <c r="E270" s="2559"/>
      <c r="G270" s="2541"/>
      <c r="H270" s="2588"/>
      <c r="I270" s="2573"/>
      <c r="J270" s="2578"/>
      <c r="K270" s="2559"/>
      <c r="L270" s="2542"/>
      <c r="M270" s="2542"/>
    </row>
    <row r="271" spans="1:17" ht="17" outlineLevel="1">
      <c r="A271" s="2552" t="s">
        <v>572</v>
      </c>
      <c r="B271" s="2553" t="s">
        <v>58</v>
      </c>
      <c r="C271" s="2570">
        <v>1057000</v>
      </c>
      <c r="D271" s="2554"/>
      <c r="E271" s="2554"/>
      <c r="G271" s="2552" t="str">
        <f>+'8_MP'!D439</f>
        <v>3.4</v>
      </c>
      <c r="H271" s="2553" t="str">
        <f>+'8_MP'!H439</f>
        <v>Subcomponente 3.4. Comunicación y capacitación para la transparencia y la integridad</v>
      </c>
      <c r="I271" s="2570">
        <f>+I272</f>
        <v>1057000</v>
      </c>
      <c r="J271" s="2554"/>
      <c r="K271" s="2554"/>
      <c r="L271" s="2553"/>
      <c r="M271" s="2553"/>
    </row>
    <row r="272" spans="1:17" ht="51" outlineLevel="2">
      <c r="A272" s="2555" t="s">
        <v>573</v>
      </c>
      <c r="B272" s="2556" t="s">
        <v>1048</v>
      </c>
      <c r="C272" s="2571">
        <v>1057000</v>
      </c>
      <c r="D272" s="2555"/>
      <c r="E272" s="2555"/>
      <c r="G272" s="2555" t="str">
        <f>+'8_MP'!D440</f>
        <v>3.4.1</v>
      </c>
      <c r="H272" s="2556" t="str">
        <f>+'8_MP'!H440</f>
        <v>Producto 21: Programa de Gestión del Cambio para la transparencia e integridad, desarrollado. Incluye programa de comunicación y difusión a la ciudadanía sobre DIGEIG y capacitación  interna de las nuevas modalidades de gestión</v>
      </c>
      <c r="I272" s="2571">
        <f>+I273+I275</f>
        <v>1057000</v>
      </c>
      <c r="J272" s="2555"/>
      <c r="K272" s="2555"/>
      <c r="L272" s="2556"/>
      <c r="M272" s="2556"/>
    </row>
    <row r="273" spans="1:13" ht="17" hidden="1" outlineLevel="3">
      <c r="A273" s="2557" t="s">
        <v>1049</v>
      </c>
      <c r="B273" s="2558" t="s">
        <v>1050</v>
      </c>
      <c r="C273" s="2572">
        <v>623000</v>
      </c>
      <c r="D273" s="2557"/>
      <c r="E273" s="2557"/>
      <c r="G273" s="2557" t="str">
        <f>+'8_MP'!D441</f>
        <v>3.4.1.1</v>
      </c>
      <c r="H273" s="2558" t="str">
        <f>+'8_MP'!H441</f>
        <v xml:space="preserve"> Programa de comunicación, desarrollado</v>
      </c>
      <c r="I273" s="2572">
        <f>+I274</f>
        <v>623000</v>
      </c>
      <c r="J273" s="2557"/>
      <c r="K273" s="2557"/>
      <c r="L273" s="2558"/>
      <c r="M273" s="2558"/>
    </row>
    <row r="274" spans="1:13" ht="32" hidden="1" outlineLevel="3">
      <c r="A274" s="2541" t="s">
        <v>1051</v>
      </c>
      <c r="B274" s="2588" t="s">
        <v>1052</v>
      </c>
      <c r="C274" s="2573">
        <v>623000</v>
      </c>
      <c r="D274" s="2578" t="s">
        <v>1053</v>
      </c>
      <c r="E274" s="2559" t="s">
        <v>853</v>
      </c>
      <c r="G274" s="2541" t="str">
        <f>+'8_MP'!D443</f>
        <v>3.4.1.1.2</v>
      </c>
      <c r="H274" s="2588" t="str">
        <f>+'8_MP'!H443</f>
        <v>Contratación de una agencia publicitaria 360 para el desarrollo e implementación de la estrategia comunicacional del componente 3</v>
      </c>
      <c r="I274" s="2573">
        <f>+'8_MP'!AN443</f>
        <v>623000</v>
      </c>
      <c r="J274" s="2578" t="str">
        <f>+'8_MP'!Z443</f>
        <v>98</v>
      </c>
      <c r="K274" s="2559" t="str">
        <f>+'8_MP'!W443</f>
        <v>CP</v>
      </c>
      <c r="L274" s="2542"/>
      <c r="M274" s="2542"/>
    </row>
    <row r="275" spans="1:13" ht="17" hidden="1" outlineLevel="3">
      <c r="A275" s="2557" t="s">
        <v>1054</v>
      </c>
      <c r="B275" s="2558" t="s">
        <v>1055</v>
      </c>
      <c r="C275" s="2572">
        <v>434000</v>
      </c>
      <c r="D275" s="2557"/>
      <c r="E275" s="2557"/>
      <c r="G275" s="2557" t="str">
        <f>+'8_MP'!D444</f>
        <v>3.4.1.2</v>
      </c>
      <c r="H275" s="2558" t="str">
        <f>+'8_MP'!H444</f>
        <v>Programa de capacitación, desarrollado</v>
      </c>
      <c r="I275" s="2572">
        <f>+SUM(I276:I279)</f>
        <v>434000</v>
      </c>
      <c r="J275" s="2557"/>
      <c r="K275" s="2557"/>
      <c r="L275" s="2558"/>
      <c r="M275" s="2558"/>
    </row>
    <row r="276" spans="1:13" ht="80" hidden="1" outlineLevel="3">
      <c r="A276" s="2541" t="s">
        <v>1056</v>
      </c>
      <c r="B276" s="2588" t="s">
        <v>1057</v>
      </c>
      <c r="C276" s="2573">
        <v>54000</v>
      </c>
      <c r="D276" s="2578">
        <v>53</v>
      </c>
      <c r="E276" s="2559" t="s">
        <v>987</v>
      </c>
      <c r="G276" s="2541" t="str">
        <f>+'8_MP'!D445</f>
        <v>3.4.1.2.1</v>
      </c>
      <c r="H276" s="2588" t="str">
        <f>+'8_MP'!H445</f>
        <v>Diseño de la curricula de acuerdo con la modalidad
Diseño del contenido del Programa, incluyendo el acompañamiento al proceso de validación interna</v>
      </c>
      <c r="I276" s="2573">
        <f>+'8_MP'!AN445</f>
        <v>54000</v>
      </c>
      <c r="J276" s="2578">
        <f>+'8_MP'!Z445</f>
        <v>53</v>
      </c>
      <c r="K276" s="2559" t="str">
        <f>+'8_MP'!W445</f>
        <v>3CV: Comparación de calificaciones de al menos 3 candidatos (Terna Consultorías Individuos)</v>
      </c>
      <c r="L276" s="2542"/>
      <c r="M276" s="2542"/>
    </row>
    <row r="277" spans="1:13" ht="64" hidden="1" outlineLevel="3">
      <c r="A277" s="2541" t="s">
        <v>1058</v>
      </c>
      <c r="B277" s="2588" t="s">
        <v>1059</v>
      </c>
      <c r="C277" s="2573">
        <v>80000</v>
      </c>
      <c r="D277" s="2578">
        <v>92</v>
      </c>
      <c r="E277" s="2559" t="s">
        <v>1060</v>
      </c>
      <c r="G277" s="2541" t="str">
        <f>+'8_MP'!D446</f>
        <v>3.4.1.2.2</v>
      </c>
      <c r="H277" s="2588" t="str">
        <f>+'8_MP'!H446</f>
        <v>Desarrollo de los cursos de capacitación</v>
      </c>
      <c r="I277" s="2573">
        <f>+'8_MP'!AN446</f>
        <v>80000</v>
      </c>
      <c r="J277" s="2578" t="str">
        <f>+'8_MP'!Z446</f>
        <v>92A</v>
      </c>
      <c r="K277" s="2559" t="str">
        <f>+'8_MP'!W446</f>
        <v>SBCC: Selección Basada en la Calidad y Costo (Firma consultora)</v>
      </c>
      <c r="L277" s="2542"/>
      <c r="M277" s="2542"/>
    </row>
    <row r="278" spans="1:13" ht="32" hidden="1" outlineLevel="3" collapsed="1">
      <c r="A278" s="2541" t="s">
        <v>1061</v>
      </c>
      <c r="B278" s="2588" t="s">
        <v>1062</v>
      </c>
      <c r="C278" s="2573">
        <v>200000</v>
      </c>
      <c r="D278" s="2578">
        <v>0</v>
      </c>
      <c r="E278" s="2559">
        <v>0</v>
      </c>
      <c r="G278" s="2541" t="str">
        <f>+'8_MP'!D447</f>
        <v>3.4.1.2.3</v>
      </c>
      <c r="H278" s="2588" t="str">
        <f>+'8_MP'!H447</f>
        <v>Diseño y desarrollo de contenidos multimedia en base a las recomendaciones de las consultorías de los subcomponentes 3.1, 3.2 y 3.3</v>
      </c>
      <c r="I278" s="2573">
        <f>+'8_MP'!AN447</f>
        <v>200000</v>
      </c>
      <c r="J278" s="2578" t="str">
        <f>+'8_MP'!Z447</f>
        <v>92B</v>
      </c>
      <c r="K278" s="2559">
        <f>+'8_MP'!W447</f>
        <v>0</v>
      </c>
      <c r="L278" s="2542"/>
      <c r="M278" s="2542"/>
    </row>
    <row r="279" spans="1:13" ht="32" hidden="1" outlineLevel="3">
      <c r="A279" s="2541" t="s">
        <v>1063</v>
      </c>
      <c r="B279" s="2588" t="s">
        <v>1064</v>
      </c>
      <c r="C279" s="2573">
        <v>100000</v>
      </c>
      <c r="D279" s="2578">
        <v>0</v>
      </c>
      <c r="E279" s="2559">
        <v>0</v>
      </c>
      <c r="G279" s="2541" t="str">
        <f>+'8_MP'!D448</f>
        <v>3.4.1.2.4</v>
      </c>
      <c r="H279" s="2588" t="str">
        <f>+'8_MP'!H448</f>
        <v>Adaptación tecnológica de la plataforma de e-learning a la demanda esperada y a nuevos contenidos</v>
      </c>
      <c r="I279" s="2573">
        <f>+'8_MP'!AN448</f>
        <v>100000</v>
      </c>
      <c r="J279" s="2578" t="str">
        <f>+'8_MP'!Z448</f>
        <v>92C</v>
      </c>
      <c r="K279" s="2559">
        <f>+'8_MP'!W448</f>
        <v>0</v>
      </c>
      <c r="L279" s="2542"/>
      <c r="M279" s="2542"/>
    </row>
    <row r="280" spans="1:13" hidden="1" outlineLevel="3"/>
    <row r="281" spans="1:13" outlineLevel="2" collapsed="1"/>
    <row r="282" spans="1:13" outlineLevel="1"/>
  </sheetData>
  <mergeCells count="24">
    <mergeCell ref="A1:E2"/>
    <mergeCell ref="G1:K2"/>
    <mergeCell ref="C25:C27"/>
    <mergeCell ref="C66:C68"/>
    <mergeCell ref="M25:M27"/>
    <mergeCell ref="M66:M68"/>
    <mergeCell ref="D25:D27"/>
    <mergeCell ref="E25:E27"/>
    <mergeCell ref="I66:I68"/>
    <mergeCell ref="D66:D68"/>
    <mergeCell ref="E66:E68"/>
    <mergeCell ref="J66:J68"/>
    <mergeCell ref="K66:K68"/>
    <mergeCell ref="K34:K38"/>
    <mergeCell ref="J34:J38"/>
    <mergeCell ref="L25:L27"/>
    <mergeCell ref="I185:I188"/>
    <mergeCell ref="J185:J188"/>
    <mergeCell ref="K185:K188"/>
    <mergeCell ref="L66:L68"/>
    <mergeCell ref="J148:J157"/>
    <mergeCell ref="I179:I183"/>
    <mergeCell ref="J179:J183"/>
    <mergeCell ref="K179:K183"/>
  </mergeCells>
  <phoneticPr fontId="9" type="noConversion"/>
  <conditionalFormatting sqref="A3">
    <cfRule type="duplicateValues" dxfId="651" priority="705"/>
  </conditionalFormatting>
  <conditionalFormatting sqref="A4:A5">
    <cfRule type="duplicateValues" dxfId="650" priority="706"/>
  </conditionalFormatting>
  <conditionalFormatting sqref="A6">
    <cfRule type="duplicateValues" dxfId="649" priority="715"/>
  </conditionalFormatting>
  <conditionalFormatting sqref="A7">
    <cfRule type="duplicateValues" dxfId="648" priority="714"/>
  </conditionalFormatting>
  <conditionalFormatting sqref="A15">
    <cfRule type="duplicateValues" dxfId="647" priority="713"/>
  </conditionalFormatting>
  <conditionalFormatting sqref="A18">
    <cfRule type="duplicateValues" dxfId="646" priority="712"/>
  </conditionalFormatting>
  <conditionalFormatting sqref="A24">
    <cfRule type="duplicateValues" dxfId="645" priority="711"/>
  </conditionalFormatting>
  <conditionalFormatting sqref="A29">
    <cfRule type="duplicateValues" dxfId="644" priority="710"/>
  </conditionalFormatting>
  <conditionalFormatting sqref="A55">
    <cfRule type="duplicateValues" dxfId="643" priority="707"/>
  </conditionalFormatting>
  <conditionalFormatting sqref="A56">
    <cfRule type="duplicateValues" dxfId="642" priority="709"/>
  </conditionalFormatting>
  <conditionalFormatting sqref="A64">
    <cfRule type="duplicateValues" dxfId="641" priority="708"/>
  </conditionalFormatting>
  <conditionalFormatting sqref="A70">
    <cfRule type="duplicateValues" dxfId="640" priority="728"/>
  </conditionalFormatting>
  <conditionalFormatting sqref="A74">
    <cfRule type="duplicateValues" dxfId="639" priority="415"/>
  </conditionalFormatting>
  <conditionalFormatting sqref="A75">
    <cfRule type="duplicateValues" dxfId="638" priority="729"/>
  </conditionalFormatting>
  <conditionalFormatting sqref="A76">
    <cfRule type="duplicateValues" dxfId="637" priority="717"/>
  </conditionalFormatting>
  <conditionalFormatting sqref="A79">
    <cfRule type="duplicateValues" dxfId="636" priority="718"/>
  </conditionalFormatting>
  <conditionalFormatting sqref="A82">
    <cfRule type="duplicateValues" dxfId="635" priority="719"/>
  </conditionalFormatting>
  <conditionalFormatting sqref="A87">
    <cfRule type="duplicateValues" dxfId="634" priority="720"/>
  </conditionalFormatting>
  <conditionalFormatting sqref="A92">
    <cfRule type="duplicateValues" dxfId="633" priority="721"/>
  </conditionalFormatting>
  <conditionalFormatting sqref="A95">
    <cfRule type="duplicateValues" dxfId="632" priority="722"/>
  </conditionalFormatting>
  <conditionalFormatting sqref="A98">
    <cfRule type="duplicateValues" dxfId="631" priority="723"/>
  </conditionalFormatting>
  <conditionalFormatting sqref="A109:A110">
    <cfRule type="duplicateValues" dxfId="630" priority="724"/>
  </conditionalFormatting>
  <conditionalFormatting sqref="A112">
    <cfRule type="duplicateValues" dxfId="629" priority="725"/>
  </conditionalFormatting>
  <conditionalFormatting sqref="A113">
    <cfRule type="duplicateValues" dxfId="628" priority="726"/>
  </conditionalFormatting>
  <conditionalFormatting sqref="A118">
    <cfRule type="duplicateValues" dxfId="627" priority="727"/>
  </conditionalFormatting>
  <conditionalFormatting sqref="A120">
    <cfRule type="duplicateValues" dxfId="626" priority="730"/>
  </conditionalFormatting>
  <conditionalFormatting sqref="A121">
    <cfRule type="duplicateValues" dxfId="625" priority="731"/>
  </conditionalFormatting>
  <conditionalFormatting sqref="A123">
    <cfRule type="duplicateValues" dxfId="624" priority="732"/>
  </conditionalFormatting>
  <conditionalFormatting sqref="A128">
    <cfRule type="duplicateValues" dxfId="623" priority="733"/>
  </conditionalFormatting>
  <conditionalFormatting sqref="A130">
    <cfRule type="duplicateValues" dxfId="622" priority="734"/>
  </conditionalFormatting>
  <conditionalFormatting sqref="A133:A134">
    <cfRule type="duplicateValues" dxfId="621" priority="735"/>
  </conditionalFormatting>
  <conditionalFormatting sqref="A135">
    <cfRule type="duplicateValues" dxfId="620" priority="737"/>
  </conditionalFormatting>
  <conditionalFormatting sqref="A136">
    <cfRule type="duplicateValues" dxfId="619" priority="738"/>
  </conditionalFormatting>
  <conditionalFormatting sqref="A138">
    <cfRule type="duplicateValues" dxfId="618" priority="739"/>
  </conditionalFormatting>
  <conditionalFormatting sqref="A141">
    <cfRule type="duplicateValues" dxfId="617" priority="333"/>
  </conditionalFormatting>
  <conditionalFormatting sqref="A142">
    <cfRule type="duplicateValues" dxfId="616" priority="334"/>
  </conditionalFormatting>
  <conditionalFormatting sqref="A143">
    <cfRule type="duplicateValues" dxfId="615" priority="327"/>
  </conditionalFormatting>
  <conditionalFormatting sqref="A147">
    <cfRule type="duplicateValues" dxfId="614" priority="324"/>
  </conditionalFormatting>
  <conditionalFormatting sqref="A162">
    <cfRule type="duplicateValues" dxfId="613" priority="321"/>
  </conditionalFormatting>
  <conditionalFormatting sqref="A164">
    <cfRule type="duplicateValues" dxfId="612" priority="318"/>
  </conditionalFormatting>
  <conditionalFormatting sqref="A166">
    <cfRule type="duplicateValues" dxfId="611" priority="336"/>
  </conditionalFormatting>
  <conditionalFormatting sqref="A170">
    <cfRule type="duplicateValues" dxfId="610" priority="314"/>
  </conditionalFormatting>
  <conditionalFormatting sqref="A173">
    <cfRule type="duplicateValues" dxfId="609" priority="241"/>
  </conditionalFormatting>
  <conditionalFormatting sqref="A174">
    <cfRule type="duplicateValues" dxfId="608" priority="242"/>
  </conditionalFormatting>
  <conditionalFormatting sqref="A175">
    <cfRule type="duplicateValues" dxfId="607" priority="234"/>
  </conditionalFormatting>
  <conditionalFormatting sqref="A178">
    <cfRule type="duplicateValues" dxfId="606" priority="231"/>
  </conditionalFormatting>
  <conditionalFormatting sqref="A184">
    <cfRule type="duplicateValues" dxfId="605" priority="228"/>
  </conditionalFormatting>
  <conditionalFormatting sqref="A189">
    <cfRule type="duplicateValues" dxfId="604" priority="225"/>
  </conditionalFormatting>
  <conditionalFormatting sqref="A194">
    <cfRule type="duplicateValues" dxfId="603" priority="223"/>
  </conditionalFormatting>
  <conditionalFormatting sqref="A198 A200">
    <cfRule type="duplicateValues" dxfId="602" priority="221"/>
  </conditionalFormatting>
  <conditionalFormatting sqref="A203">
    <cfRule type="duplicateValues" dxfId="601" priority="217"/>
  </conditionalFormatting>
  <conditionalFormatting sqref="A207">
    <cfRule type="duplicateValues" dxfId="600" priority="166"/>
  </conditionalFormatting>
  <conditionalFormatting sqref="A208">
    <cfRule type="duplicateValues" dxfId="599" priority="162"/>
  </conditionalFormatting>
  <conditionalFormatting sqref="A209">
    <cfRule type="duplicateValues" dxfId="598" priority="157"/>
  </conditionalFormatting>
  <conditionalFormatting sqref="A216">
    <cfRule type="duplicateValues" dxfId="597" priority="154"/>
  </conditionalFormatting>
  <conditionalFormatting sqref="A220">
    <cfRule type="duplicateValues" dxfId="596" priority="151"/>
  </conditionalFormatting>
  <conditionalFormatting sqref="A230">
    <cfRule type="duplicateValues" dxfId="595" priority="148"/>
  </conditionalFormatting>
  <conditionalFormatting sqref="A233">
    <cfRule type="duplicateValues" dxfId="594" priority="59"/>
  </conditionalFormatting>
  <conditionalFormatting sqref="A239">
    <cfRule type="duplicateValues" dxfId="593" priority="53"/>
  </conditionalFormatting>
  <conditionalFormatting sqref="A240">
    <cfRule type="duplicateValues" dxfId="592" priority="55"/>
  </conditionalFormatting>
  <conditionalFormatting sqref="A241">
    <cfRule type="duplicateValues" dxfId="591" priority="54"/>
  </conditionalFormatting>
  <conditionalFormatting sqref="A245">
    <cfRule type="duplicateValues" dxfId="590" priority="46"/>
  </conditionalFormatting>
  <conditionalFormatting sqref="A253">
    <cfRule type="duplicateValues" dxfId="589" priority="42"/>
  </conditionalFormatting>
  <conditionalFormatting sqref="A254">
    <cfRule type="duplicateValues" dxfId="588" priority="43"/>
  </conditionalFormatting>
  <conditionalFormatting sqref="A256">
    <cfRule type="duplicateValues" dxfId="587" priority="24"/>
  </conditionalFormatting>
  <conditionalFormatting sqref="A271">
    <cfRule type="duplicateValues" dxfId="586" priority="37"/>
  </conditionalFormatting>
  <conditionalFormatting sqref="A272">
    <cfRule type="duplicateValues" dxfId="585" priority="36"/>
  </conditionalFormatting>
  <conditionalFormatting sqref="A273">
    <cfRule type="duplicateValues" dxfId="584" priority="30"/>
  </conditionalFormatting>
  <conditionalFormatting sqref="A275">
    <cfRule type="duplicateValues" dxfId="583" priority="27"/>
  </conditionalFormatting>
  <conditionalFormatting sqref="B4:B5">
    <cfRule type="duplicateValues" dxfId="582" priority="524"/>
  </conditionalFormatting>
  <conditionalFormatting sqref="B6">
    <cfRule type="duplicateValues" dxfId="581" priority="497"/>
  </conditionalFormatting>
  <conditionalFormatting sqref="B7">
    <cfRule type="duplicateValues" dxfId="580" priority="500"/>
  </conditionalFormatting>
  <conditionalFormatting sqref="B15">
    <cfRule type="duplicateValues" dxfId="579" priority="503"/>
  </conditionalFormatting>
  <conditionalFormatting sqref="B18">
    <cfRule type="duplicateValues" dxfId="578" priority="506"/>
  </conditionalFormatting>
  <conditionalFormatting sqref="B24">
    <cfRule type="duplicateValues" dxfId="577" priority="509"/>
  </conditionalFormatting>
  <conditionalFormatting sqref="B29">
    <cfRule type="duplicateValues" dxfId="576" priority="512"/>
  </conditionalFormatting>
  <conditionalFormatting sqref="B55">
    <cfRule type="duplicateValues" dxfId="575" priority="521"/>
  </conditionalFormatting>
  <conditionalFormatting sqref="B56">
    <cfRule type="duplicateValues" dxfId="574" priority="515"/>
  </conditionalFormatting>
  <conditionalFormatting sqref="B64">
    <cfRule type="duplicateValues" dxfId="573" priority="518"/>
  </conditionalFormatting>
  <conditionalFormatting sqref="B70">
    <cfRule type="duplicateValues" dxfId="572" priority="459"/>
  </conditionalFormatting>
  <conditionalFormatting sqref="B74">
    <cfRule type="duplicateValues" dxfId="571" priority="410"/>
  </conditionalFormatting>
  <conditionalFormatting sqref="B75">
    <cfRule type="duplicateValues" dxfId="570" priority="456"/>
  </conditionalFormatting>
  <conditionalFormatting sqref="B76">
    <cfRule type="duplicateValues" dxfId="569" priority="493"/>
  </conditionalFormatting>
  <conditionalFormatting sqref="B79">
    <cfRule type="duplicateValues" dxfId="568" priority="490"/>
  </conditionalFormatting>
  <conditionalFormatting sqref="B82">
    <cfRule type="duplicateValues" dxfId="567" priority="487"/>
  </conditionalFormatting>
  <conditionalFormatting sqref="B87">
    <cfRule type="duplicateValues" dxfId="566" priority="484"/>
  </conditionalFormatting>
  <conditionalFormatting sqref="B92">
    <cfRule type="duplicateValues" dxfId="565" priority="481"/>
  </conditionalFormatting>
  <conditionalFormatting sqref="B95">
    <cfRule type="duplicateValues" dxfId="564" priority="478"/>
  </conditionalFormatting>
  <conditionalFormatting sqref="B98">
    <cfRule type="duplicateValues" dxfId="563" priority="475"/>
  </conditionalFormatting>
  <conditionalFormatting sqref="B109:B110">
    <cfRule type="duplicateValues" dxfId="562" priority="472"/>
  </conditionalFormatting>
  <conditionalFormatting sqref="B112">
    <cfRule type="duplicateValues" dxfId="561" priority="468"/>
  </conditionalFormatting>
  <conditionalFormatting sqref="B113">
    <cfRule type="duplicateValues" dxfId="560" priority="465"/>
  </conditionalFormatting>
  <conditionalFormatting sqref="B118">
    <cfRule type="duplicateValues" dxfId="559" priority="462"/>
  </conditionalFormatting>
  <conditionalFormatting sqref="B120">
    <cfRule type="duplicateValues" dxfId="558" priority="453"/>
  </conditionalFormatting>
  <conditionalFormatting sqref="B121">
    <cfRule type="duplicateValues" dxfId="557" priority="450"/>
  </conditionalFormatting>
  <conditionalFormatting sqref="B123">
    <cfRule type="duplicateValues" dxfId="556" priority="447"/>
  </conditionalFormatting>
  <conditionalFormatting sqref="B128">
    <cfRule type="duplicateValues" dxfId="555" priority="444"/>
  </conditionalFormatting>
  <conditionalFormatting sqref="B130">
    <cfRule type="duplicateValues" dxfId="554" priority="441"/>
  </conditionalFormatting>
  <conditionalFormatting sqref="B133:B134">
    <cfRule type="duplicateValues" dxfId="553" priority="438"/>
  </conditionalFormatting>
  <conditionalFormatting sqref="B135">
    <cfRule type="duplicateValues" dxfId="552" priority="432"/>
  </conditionalFormatting>
  <conditionalFormatting sqref="B136">
    <cfRule type="duplicateValues" dxfId="551" priority="429"/>
  </conditionalFormatting>
  <conditionalFormatting sqref="B138">
    <cfRule type="duplicateValues" dxfId="550" priority="426"/>
  </conditionalFormatting>
  <conditionalFormatting sqref="B141">
    <cfRule type="duplicateValues" dxfId="549" priority="332"/>
  </conditionalFormatting>
  <conditionalFormatting sqref="B142">
    <cfRule type="duplicateValues" dxfId="548" priority="330"/>
  </conditionalFormatting>
  <conditionalFormatting sqref="B143">
    <cfRule type="duplicateValues" dxfId="547" priority="326"/>
  </conditionalFormatting>
  <conditionalFormatting sqref="B147">
    <cfRule type="duplicateValues" dxfId="546" priority="323"/>
  </conditionalFormatting>
  <conditionalFormatting sqref="B162">
    <cfRule type="duplicateValues" dxfId="545" priority="320"/>
  </conditionalFormatting>
  <conditionalFormatting sqref="B164">
    <cfRule type="duplicateValues" dxfId="544" priority="317"/>
  </conditionalFormatting>
  <conditionalFormatting sqref="B166">
    <cfRule type="duplicateValues" dxfId="543" priority="337"/>
  </conditionalFormatting>
  <conditionalFormatting sqref="B170">
    <cfRule type="duplicateValues" dxfId="542" priority="315"/>
  </conditionalFormatting>
  <conditionalFormatting sqref="B173">
    <cfRule type="duplicateValues" dxfId="541" priority="240"/>
  </conditionalFormatting>
  <conditionalFormatting sqref="B174">
    <cfRule type="duplicateValues" dxfId="540" priority="238"/>
  </conditionalFormatting>
  <conditionalFormatting sqref="B175">
    <cfRule type="duplicateValues" dxfId="539" priority="235"/>
  </conditionalFormatting>
  <conditionalFormatting sqref="B178">
    <cfRule type="duplicateValues" dxfId="538" priority="232"/>
  </conditionalFormatting>
  <conditionalFormatting sqref="B184">
    <cfRule type="duplicateValues" dxfId="537" priority="229"/>
  </conditionalFormatting>
  <conditionalFormatting sqref="B189">
    <cfRule type="duplicateValues" dxfId="536" priority="226"/>
  </conditionalFormatting>
  <conditionalFormatting sqref="B194">
    <cfRule type="duplicateValues" dxfId="535" priority="224"/>
  </conditionalFormatting>
  <conditionalFormatting sqref="B198 B200">
    <cfRule type="duplicateValues" dxfId="534" priority="222"/>
  </conditionalFormatting>
  <conditionalFormatting sqref="B203">
    <cfRule type="duplicateValues" dxfId="533" priority="218"/>
  </conditionalFormatting>
  <conditionalFormatting sqref="B207">
    <cfRule type="duplicateValues" dxfId="532" priority="165"/>
  </conditionalFormatting>
  <conditionalFormatting sqref="B208">
    <cfRule type="duplicateValues" dxfId="531" priority="161"/>
  </conditionalFormatting>
  <conditionalFormatting sqref="B209">
    <cfRule type="duplicateValues" dxfId="530" priority="156"/>
  </conditionalFormatting>
  <conditionalFormatting sqref="B216">
    <cfRule type="duplicateValues" dxfId="529" priority="155"/>
  </conditionalFormatting>
  <conditionalFormatting sqref="B220">
    <cfRule type="duplicateValues" dxfId="528" priority="152"/>
  </conditionalFormatting>
  <conditionalFormatting sqref="B230">
    <cfRule type="duplicateValues" dxfId="527" priority="147"/>
  </conditionalFormatting>
  <conditionalFormatting sqref="B233">
    <cfRule type="duplicateValues" dxfId="526" priority="58"/>
  </conditionalFormatting>
  <conditionalFormatting sqref="B239">
    <cfRule type="duplicateValues" dxfId="525" priority="52"/>
  </conditionalFormatting>
  <conditionalFormatting sqref="B240">
    <cfRule type="duplicateValues" dxfId="524" priority="49"/>
  </conditionalFormatting>
  <conditionalFormatting sqref="B241">
    <cfRule type="duplicateValues" dxfId="523" priority="50"/>
  </conditionalFormatting>
  <conditionalFormatting sqref="B245">
    <cfRule type="duplicateValues" dxfId="522" priority="45"/>
  </conditionalFormatting>
  <conditionalFormatting sqref="B253">
    <cfRule type="duplicateValues" dxfId="521" priority="41"/>
  </conditionalFormatting>
  <conditionalFormatting sqref="B254">
    <cfRule type="duplicateValues" dxfId="520" priority="39"/>
  </conditionalFormatting>
  <conditionalFormatting sqref="B256">
    <cfRule type="duplicateValues" dxfId="519" priority="23"/>
  </conditionalFormatting>
  <conditionalFormatting sqref="B271">
    <cfRule type="duplicateValues" dxfId="518" priority="35"/>
  </conditionalFormatting>
  <conditionalFormatting sqref="B272">
    <cfRule type="duplicateValues" dxfId="517" priority="34"/>
  </conditionalFormatting>
  <conditionalFormatting sqref="B273">
    <cfRule type="duplicateValues" dxfId="516" priority="29"/>
  </conditionalFormatting>
  <conditionalFormatting sqref="B275">
    <cfRule type="duplicateValues" dxfId="515" priority="26"/>
  </conditionalFormatting>
  <conditionalFormatting sqref="D4:D5">
    <cfRule type="duplicateValues" dxfId="514" priority="523"/>
  </conditionalFormatting>
  <conditionalFormatting sqref="D74">
    <cfRule type="duplicateValues" dxfId="513" priority="409"/>
  </conditionalFormatting>
  <conditionalFormatting sqref="D141">
    <cfRule type="duplicateValues" dxfId="512" priority="331"/>
  </conditionalFormatting>
  <conditionalFormatting sqref="D173">
    <cfRule type="duplicateValues" dxfId="511" priority="239"/>
  </conditionalFormatting>
  <conditionalFormatting sqref="D207">
    <cfRule type="duplicateValues" dxfId="510" priority="164"/>
  </conditionalFormatting>
  <conditionalFormatting sqref="D208">
    <cfRule type="duplicateValues" dxfId="509" priority="160"/>
  </conditionalFormatting>
  <conditionalFormatting sqref="D239">
    <cfRule type="duplicateValues" dxfId="508" priority="51"/>
  </conditionalFormatting>
  <conditionalFormatting sqref="D253">
    <cfRule type="duplicateValues" dxfId="507" priority="40"/>
  </conditionalFormatting>
  <conditionalFormatting sqref="D271">
    <cfRule type="duplicateValues" dxfId="506" priority="33"/>
  </conditionalFormatting>
  <conditionalFormatting sqref="D6:E6 L6:M6">
    <cfRule type="duplicateValues" dxfId="505" priority="756"/>
  </conditionalFormatting>
  <conditionalFormatting sqref="D7:E7 L7:M7">
    <cfRule type="duplicateValues" dxfId="504" priority="754"/>
  </conditionalFormatting>
  <conditionalFormatting sqref="D15:E15 L15:M15">
    <cfRule type="duplicateValues" dxfId="503" priority="752"/>
  </conditionalFormatting>
  <conditionalFormatting sqref="D18:E18 L18:M18">
    <cfRule type="duplicateValues" dxfId="502" priority="750"/>
  </conditionalFormatting>
  <conditionalFormatting sqref="D24:E24 L24:M24">
    <cfRule type="duplicateValues" dxfId="501" priority="748"/>
  </conditionalFormatting>
  <conditionalFormatting sqref="D29:E29 L29:M29">
    <cfRule type="duplicateValues" dxfId="500" priority="746"/>
  </conditionalFormatting>
  <conditionalFormatting sqref="D55:E55 L55:M55">
    <cfRule type="duplicateValues" dxfId="499" priority="740"/>
  </conditionalFormatting>
  <conditionalFormatting sqref="D56:E56 L56:M56">
    <cfRule type="duplicateValues" dxfId="498" priority="744"/>
  </conditionalFormatting>
  <conditionalFormatting sqref="D64:E64 L64:M64">
    <cfRule type="duplicateValues" dxfId="497" priority="742"/>
  </conditionalFormatting>
  <conditionalFormatting sqref="D70:E70 L70:M70">
    <cfRule type="duplicateValues" dxfId="496" priority="784"/>
  </conditionalFormatting>
  <conditionalFormatting sqref="D75:E75 L75:M75">
    <cfRule type="duplicateValues" dxfId="495" priority="786"/>
  </conditionalFormatting>
  <conditionalFormatting sqref="D76:E76 L76:M76">
    <cfRule type="duplicateValues" dxfId="494" priority="760"/>
  </conditionalFormatting>
  <conditionalFormatting sqref="D79:E79 L79:M79">
    <cfRule type="duplicateValues" dxfId="493" priority="762"/>
  </conditionalFormatting>
  <conditionalFormatting sqref="D82:E82 L82:M82">
    <cfRule type="duplicateValues" dxfId="492" priority="764"/>
  </conditionalFormatting>
  <conditionalFormatting sqref="D87:E87 L87:M87">
    <cfRule type="duplicateValues" dxfId="491" priority="766"/>
  </conditionalFormatting>
  <conditionalFormatting sqref="D92:E92 L92:M92">
    <cfRule type="duplicateValues" dxfId="490" priority="768"/>
  </conditionalFormatting>
  <conditionalFormatting sqref="D95:E95 L95:M95">
    <cfRule type="duplicateValues" dxfId="489" priority="770"/>
  </conditionalFormatting>
  <conditionalFormatting sqref="D98:E98 L98:M98">
    <cfRule type="duplicateValues" dxfId="488" priority="772"/>
  </conditionalFormatting>
  <conditionalFormatting sqref="D109:E109 L109:M109">
    <cfRule type="duplicateValues" dxfId="487" priority="774"/>
  </conditionalFormatting>
  <conditionalFormatting sqref="D110:E110 L110:M110">
    <cfRule type="duplicateValues" dxfId="486" priority="776"/>
  </conditionalFormatting>
  <conditionalFormatting sqref="D112:E112 L112:M112">
    <cfRule type="duplicateValues" dxfId="485" priority="778"/>
  </conditionalFormatting>
  <conditionalFormatting sqref="D113:E113 L113:M113">
    <cfRule type="duplicateValues" dxfId="484" priority="780"/>
  </conditionalFormatting>
  <conditionalFormatting sqref="D118:E118 L118:M118">
    <cfRule type="duplicateValues" dxfId="483" priority="782"/>
  </conditionalFormatting>
  <conditionalFormatting sqref="D120:E120 L120:M120">
    <cfRule type="duplicateValues" dxfId="482" priority="788"/>
  </conditionalFormatting>
  <conditionalFormatting sqref="D121:E121 L121:M121">
    <cfRule type="duplicateValues" dxfId="481" priority="790"/>
  </conditionalFormatting>
  <conditionalFormatting sqref="D123:E123 L123:M123">
    <cfRule type="duplicateValues" dxfId="480" priority="792"/>
  </conditionalFormatting>
  <conditionalFormatting sqref="D128:E128 L128:M128">
    <cfRule type="duplicateValues" dxfId="479" priority="794"/>
  </conditionalFormatting>
  <conditionalFormatting sqref="D130:E130 L130:M130">
    <cfRule type="duplicateValues" dxfId="478" priority="796"/>
  </conditionalFormatting>
  <conditionalFormatting sqref="D133:E134 L134:M134">
    <cfRule type="duplicateValues" dxfId="477" priority="798"/>
  </conditionalFormatting>
  <conditionalFormatting sqref="D135:E135 L135:M135">
    <cfRule type="duplicateValues" dxfId="476" priority="802"/>
  </conditionalFormatting>
  <conditionalFormatting sqref="D136:E136 L136:M136">
    <cfRule type="duplicateValues" dxfId="475" priority="804"/>
  </conditionalFormatting>
  <conditionalFormatting sqref="D138:E138 L138:M138">
    <cfRule type="duplicateValues" dxfId="474" priority="806"/>
  </conditionalFormatting>
  <conditionalFormatting sqref="D142:E142">
    <cfRule type="duplicateValues" dxfId="473" priority="335"/>
  </conditionalFormatting>
  <conditionalFormatting sqref="D143:E143">
    <cfRule type="duplicateValues" dxfId="472" priority="328"/>
  </conditionalFormatting>
  <conditionalFormatting sqref="D147:E147">
    <cfRule type="duplicateValues" dxfId="471" priority="325"/>
  </conditionalFormatting>
  <conditionalFormatting sqref="D162:E162">
    <cfRule type="duplicateValues" dxfId="470" priority="322"/>
  </conditionalFormatting>
  <conditionalFormatting sqref="D164:E164">
    <cfRule type="duplicateValues" dxfId="469" priority="319"/>
  </conditionalFormatting>
  <conditionalFormatting sqref="D166:E166">
    <cfRule type="duplicateValues" dxfId="468" priority="338"/>
  </conditionalFormatting>
  <conditionalFormatting sqref="D170:E170">
    <cfRule type="duplicateValues" dxfId="467" priority="316"/>
  </conditionalFormatting>
  <conditionalFormatting sqref="D174:E174">
    <cfRule type="duplicateValues" dxfId="466" priority="243"/>
  </conditionalFormatting>
  <conditionalFormatting sqref="D175:E175">
    <cfRule type="duplicateValues" dxfId="465" priority="236"/>
  </conditionalFormatting>
  <conditionalFormatting sqref="D178:E178">
    <cfRule type="duplicateValues" dxfId="464" priority="233"/>
  </conditionalFormatting>
  <conditionalFormatting sqref="D184:E184">
    <cfRule type="duplicateValues" dxfId="463" priority="230"/>
  </conditionalFormatting>
  <conditionalFormatting sqref="D189:E189">
    <cfRule type="duplicateValues" dxfId="462" priority="227"/>
  </conditionalFormatting>
  <conditionalFormatting sqref="D194:E194">
    <cfRule type="duplicateValues" dxfId="461" priority="215"/>
  </conditionalFormatting>
  <conditionalFormatting sqref="D198:E198">
    <cfRule type="duplicateValues" dxfId="460" priority="220"/>
  </conditionalFormatting>
  <conditionalFormatting sqref="D200:E200">
    <cfRule type="duplicateValues" dxfId="459" priority="219"/>
  </conditionalFormatting>
  <conditionalFormatting sqref="D203:E203">
    <cfRule type="duplicateValues" dxfId="458" priority="216"/>
  </conditionalFormatting>
  <conditionalFormatting sqref="D209:E209">
    <cfRule type="duplicateValues" dxfId="457" priority="158"/>
  </conditionalFormatting>
  <conditionalFormatting sqref="D216:E216">
    <cfRule type="duplicateValues" dxfId="456" priority="153"/>
  </conditionalFormatting>
  <conditionalFormatting sqref="D220:E220">
    <cfRule type="duplicateValues" dxfId="455" priority="150"/>
  </conditionalFormatting>
  <conditionalFormatting sqref="D230:E230">
    <cfRule type="duplicateValues" dxfId="454" priority="149"/>
  </conditionalFormatting>
  <conditionalFormatting sqref="D233:E233">
    <cfRule type="duplicateValues" dxfId="453" priority="60"/>
  </conditionalFormatting>
  <conditionalFormatting sqref="D240:E240">
    <cfRule type="duplicateValues" dxfId="452" priority="57"/>
  </conditionalFormatting>
  <conditionalFormatting sqref="D241:E241">
    <cfRule type="duplicateValues" dxfId="451" priority="56"/>
  </conditionalFormatting>
  <conditionalFormatting sqref="D245:E245">
    <cfRule type="duplicateValues" dxfId="450" priority="47"/>
  </conditionalFormatting>
  <conditionalFormatting sqref="D254:E254">
    <cfRule type="duplicateValues" dxfId="449" priority="44"/>
  </conditionalFormatting>
  <conditionalFormatting sqref="D256:E256">
    <cfRule type="duplicateValues" dxfId="448" priority="25"/>
  </conditionalFormatting>
  <conditionalFormatting sqref="D273:E273">
    <cfRule type="duplicateValues" dxfId="447" priority="31"/>
  </conditionalFormatting>
  <conditionalFormatting sqref="D275:E275">
    <cfRule type="duplicateValues" dxfId="446" priority="28"/>
  </conditionalFormatting>
  <conditionalFormatting sqref="E4:E5">
    <cfRule type="duplicateValues" dxfId="445" priority="495"/>
  </conditionalFormatting>
  <conditionalFormatting sqref="E74">
    <cfRule type="duplicateValues" dxfId="444" priority="408"/>
  </conditionalFormatting>
  <conditionalFormatting sqref="E141">
    <cfRule type="duplicateValues" dxfId="443" priority="329"/>
  </conditionalFormatting>
  <conditionalFormatting sqref="E173">
    <cfRule type="duplicateValues" dxfId="442" priority="237"/>
  </conditionalFormatting>
  <conditionalFormatting sqref="E207">
    <cfRule type="duplicateValues" dxfId="441" priority="163"/>
  </conditionalFormatting>
  <conditionalFormatting sqref="E208">
    <cfRule type="duplicateValues" dxfId="440" priority="159"/>
  </conditionalFormatting>
  <conditionalFormatting sqref="E239">
    <cfRule type="duplicateValues" dxfId="439" priority="48"/>
  </conditionalFormatting>
  <conditionalFormatting sqref="E253">
    <cfRule type="duplicateValues" dxfId="438" priority="38"/>
  </conditionalFormatting>
  <conditionalFormatting sqref="E271">
    <cfRule type="duplicateValues" dxfId="437" priority="32"/>
  </conditionalFormatting>
  <conditionalFormatting sqref="G3">
    <cfRule type="duplicateValues" dxfId="436" priority="700"/>
  </conditionalFormatting>
  <conditionalFormatting sqref="G4:G5">
    <cfRule type="duplicateValues" dxfId="435" priority="697"/>
  </conditionalFormatting>
  <conditionalFormatting sqref="G6">
    <cfRule type="duplicateValues" dxfId="434" priority="648"/>
  </conditionalFormatting>
  <conditionalFormatting sqref="G7">
    <cfRule type="duplicateValues" dxfId="433" priority="651"/>
  </conditionalFormatting>
  <conditionalFormatting sqref="G15">
    <cfRule type="duplicateValues" dxfId="432" priority="654"/>
  </conditionalFormatting>
  <conditionalFormatting sqref="G18">
    <cfRule type="duplicateValues" dxfId="431" priority="657"/>
  </conditionalFormatting>
  <conditionalFormatting sqref="G24">
    <cfRule type="duplicateValues" dxfId="430" priority="660"/>
  </conditionalFormatting>
  <conditionalFormatting sqref="G55">
    <cfRule type="duplicateValues" dxfId="429" priority="681"/>
  </conditionalFormatting>
  <conditionalFormatting sqref="G56">
    <cfRule type="duplicateValues" dxfId="428" priority="666"/>
  </conditionalFormatting>
  <conditionalFormatting sqref="G64">
    <cfRule type="duplicateValues" dxfId="427" priority="669"/>
  </conditionalFormatting>
  <conditionalFormatting sqref="G70">
    <cfRule type="duplicateValues" dxfId="426" priority="566"/>
  </conditionalFormatting>
  <conditionalFormatting sqref="G74">
    <cfRule type="duplicateValues" dxfId="425" priority="414"/>
  </conditionalFormatting>
  <conditionalFormatting sqref="G75">
    <cfRule type="duplicateValues" dxfId="424" priority="563"/>
  </conditionalFormatting>
  <conditionalFormatting sqref="G76">
    <cfRule type="duplicateValues" dxfId="423" priority="604"/>
  </conditionalFormatting>
  <conditionalFormatting sqref="G79">
    <cfRule type="duplicateValues" dxfId="422" priority="601"/>
  </conditionalFormatting>
  <conditionalFormatting sqref="G82">
    <cfRule type="duplicateValues" dxfId="421" priority="598"/>
  </conditionalFormatting>
  <conditionalFormatting sqref="G87">
    <cfRule type="duplicateValues" dxfId="420" priority="595"/>
  </conditionalFormatting>
  <conditionalFormatting sqref="G92">
    <cfRule type="duplicateValues" dxfId="419" priority="592"/>
  </conditionalFormatting>
  <conditionalFormatting sqref="G95">
    <cfRule type="duplicateValues" dxfId="418" priority="589"/>
  </conditionalFormatting>
  <conditionalFormatting sqref="G98">
    <cfRule type="duplicateValues" dxfId="417" priority="586"/>
  </conditionalFormatting>
  <conditionalFormatting sqref="G109:G110">
    <cfRule type="duplicateValues" dxfId="416" priority="583"/>
  </conditionalFormatting>
  <conditionalFormatting sqref="G112">
    <cfRule type="duplicateValues" dxfId="415" priority="579"/>
  </conditionalFormatting>
  <conditionalFormatting sqref="G113">
    <cfRule type="duplicateValues" dxfId="414" priority="576"/>
  </conditionalFormatting>
  <conditionalFormatting sqref="G120">
    <cfRule type="duplicateValues" dxfId="413" priority="560"/>
  </conditionalFormatting>
  <conditionalFormatting sqref="G121">
    <cfRule type="duplicateValues" dxfId="412" priority="557"/>
  </conditionalFormatting>
  <conditionalFormatting sqref="G123">
    <cfRule type="duplicateValues" dxfId="411" priority="554"/>
  </conditionalFormatting>
  <conditionalFormatting sqref="G128">
    <cfRule type="duplicateValues" dxfId="410" priority="551"/>
  </conditionalFormatting>
  <conditionalFormatting sqref="G130">
    <cfRule type="duplicateValues" dxfId="409" priority="548"/>
  </conditionalFormatting>
  <conditionalFormatting sqref="G134">
    <cfRule type="duplicateValues" dxfId="408" priority="545"/>
  </conditionalFormatting>
  <conditionalFormatting sqref="G135">
    <cfRule type="duplicateValues" dxfId="407" priority="539"/>
  </conditionalFormatting>
  <conditionalFormatting sqref="G136">
    <cfRule type="duplicateValues" dxfId="406" priority="536"/>
  </conditionalFormatting>
  <conditionalFormatting sqref="G138">
    <cfRule type="duplicateValues" dxfId="405" priority="533"/>
  </conditionalFormatting>
  <conditionalFormatting sqref="G141">
    <cfRule type="duplicateValues" dxfId="404" priority="394"/>
  </conditionalFormatting>
  <conditionalFormatting sqref="G142">
    <cfRule type="duplicateValues" dxfId="403" priority="395"/>
  </conditionalFormatting>
  <conditionalFormatting sqref="G143">
    <cfRule type="duplicateValues" dxfId="402" priority="379"/>
  </conditionalFormatting>
  <conditionalFormatting sqref="G147">
    <cfRule type="duplicateValues" dxfId="401" priority="373"/>
  </conditionalFormatting>
  <conditionalFormatting sqref="G162">
    <cfRule type="duplicateValues" dxfId="400" priority="367"/>
  </conditionalFormatting>
  <conditionalFormatting sqref="G164">
    <cfRule type="duplicateValues" dxfId="399" priority="361"/>
  </conditionalFormatting>
  <conditionalFormatting sqref="G166">
    <cfRule type="duplicateValues" dxfId="398" priority="807"/>
  </conditionalFormatting>
  <conditionalFormatting sqref="G170">
    <cfRule type="duplicateValues" dxfId="397" priority="342"/>
  </conditionalFormatting>
  <conditionalFormatting sqref="G173">
    <cfRule type="duplicateValues" dxfId="396" priority="297"/>
  </conditionalFormatting>
  <conditionalFormatting sqref="G174">
    <cfRule type="duplicateValues" dxfId="395" priority="298"/>
  </conditionalFormatting>
  <conditionalFormatting sqref="G175">
    <cfRule type="duplicateValues" dxfId="394" priority="287"/>
  </conditionalFormatting>
  <conditionalFormatting sqref="G178">
    <cfRule type="duplicateValues" dxfId="393" priority="281"/>
  </conditionalFormatting>
  <conditionalFormatting sqref="G184">
    <cfRule type="duplicateValues" dxfId="392" priority="275"/>
  </conditionalFormatting>
  <conditionalFormatting sqref="G189">
    <cfRule type="duplicateValues" dxfId="391" priority="269"/>
  </conditionalFormatting>
  <conditionalFormatting sqref="G194">
    <cfRule type="duplicateValues" dxfId="390" priority="263"/>
  </conditionalFormatting>
  <conditionalFormatting sqref="G198 G200">
    <cfRule type="duplicateValues" dxfId="389" priority="257"/>
  </conditionalFormatting>
  <conditionalFormatting sqref="G203">
    <cfRule type="duplicateValues" dxfId="388" priority="249"/>
  </conditionalFormatting>
  <conditionalFormatting sqref="G207">
    <cfRule type="duplicateValues" dxfId="387" priority="214"/>
  </conditionalFormatting>
  <conditionalFormatting sqref="G208">
    <cfRule type="duplicateValues" dxfId="386" priority="204"/>
  </conditionalFormatting>
  <conditionalFormatting sqref="G209">
    <cfRule type="duplicateValues" dxfId="385" priority="189"/>
  </conditionalFormatting>
  <conditionalFormatting sqref="G216">
    <cfRule type="duplicateValues" dxfId="384" priority="182"/>
  </conditionalFormatting>
  <conditionalFormatting sqref="G220">
    <cfRule type="duplicateValues" dxfId="383" priority="175"/>
  </conditionalFormatting>
  <conditionalFormatting sqref="G225">
    <cfRule type="duplicateValues" dxfId="382" priority="2"/>
  </conditionalFormatting>
  <conditionalFormatting sqref="G230">
    <cfRule type="duplicateValues" dxfId="381" priority="168"/>
  </conditionalFormatting>
  <conditionalFormatting sqref="G233">
    <cfRule type="duplicateValues" dxfId="380" priority="141"/>
  </conditionalFormatting>
  <conditionalFormatting sqref="G239">
    <cfRule type="duplicateValues" dxfId="379" priority="135"/>
  </conditionalFormatting>
  <conditionalFormatting sqref="G240">
    <cfRule type="duplicateValues" dxfId="378" priority="137"/>
  </conditionalFormatting>
  <conditionalFormatting sqref="G241">
    <cfRule type="duplicateValues" dxfId="377" priority="136"/>
  </conditionalFormatting>
  <conditionalFormatting sqref="G245">
    <cfRule type="duplicateValues" dxfId="376" priority="116"/>
  </conditionalFormatting>
  <conditionalFormatting sqref="G253">
    <cfRule type="duplicateValues" dxfId="375" priority="109"/>
  </conditionalFormatting>
  <conditionalFormatting sqref="G254">
    <cfRule type="duplicateValues" dxfId="374" priority="110"/>
  </conditionalFormatting>
  <conditionalFormatting sqref="G256">
    <cfRule type="duplicateValues" dxfId="373" priority="66"/>
  </conditionalFormatting>
  <conditionalFormatting sqref="G271">
    <cfRule type="duplicateValues" dxfId="372" priority="95"/>
  </conditionalFormatting>
  <conditionalFormatting sqref="G272">
    <cfRule type="duplicateValues" dxfId="371" priority="94"/>
  </conditionalFormatting>
  <conditionalFormatting sqref="G273">
    <cfRule type="duplicateValues" dxfId="370" priority="78"/>
  </conditionalFormatting>
  <conditionalFormatting sqref="G275">
    <cfRule type="duplicateValues" dxfId="369" priority="72"/>
  </conditionalFormatting>
  <conditionalFormatting sqref="G29:H30">
    <cfRule type="duplicateValues" dxfId="368" priority="663"/>
  </conditionalFormatting>
  <conditionalFormatting sqref="G33:H33">
    <cfRule type="duplicateValues" dxfId="367" priority="19"/>
  </conditionalFormatting>
  <conditionalFormatting sqref="G44:H44">
    <cfRule type="duplicateValues" dxfId="366" priority="15"/>
  </conditionalFormatting>
  <conditionalFormatting sqref="G49:H49">
    <cfRule type="duplicateValues" dxfId="365" priority="11"/>
  </conditionalFormatting>
  <conditionalFormatting sqref="G158:H158">
    <cfRule type="duplicateValues" dxfId="364" priority="5"/>
  </conditionalFormatting>
  <conditionalFormatting sqref="H4:H5">
    <cfRule type="duplicateValues" dxfId="363" priority="696"/>
  </conditionalFormatting>
  <conditionalFormatting sqref="H6">
    <cfRule type="duplicateValues" dxfId="362" priority="647"/>
  </conditionalFormatting>
  <conditionalFormatting sqref="H7">
    <cfRule type="duplicateValues" dxfId="361" priority="650"/>
  </conditionalFormatting>
  <conditionalFormatting sqref="H15">
    <cfRule type="duplicateValues" dxfId="360" priority="653"/>
  </conditionalFormatting>
  <conditionalFormatting sqref="H18">
    <cfRule type="duplicateValues" dxfId="359" priority="656"/>
  </conditionalFormatting>
  <conditionalFormatting sqref="H24">
    <cfRule type="duplicateValues" dxfId="358" priority="659"/>
  </conditionalFormatting>
  <conditionalFormatting sqref="H55">
    <cfRule type="duplicateValues" dxfId="357" priority="680"/>
  </conditionalFormatting>
  <conditionalFormatting sqref="H56">
    <cfRule type="duplicateValues" dxfId="356" priority="665"/>
  </conditionalFormatting>
  <conditionalFormatting sqref="H64">
    <cfRule type="duplicateValues" dxfId="355" priority="668"/>
  </conditionalFormatting>
  <conditionalFormatting sqref="H70">
    <cfRule type="duplicateValues" dxfId="354" priority="565"/>
  </conditionalFormatting>
  <conditionalFormatting sqref="H74">
    <cfRule type="duplicateValues" dxfId="353" priority="413"/>
  </conditionalFormatting>
  <conditionalFormatting sqref="H75">
    <cfRule type="duplicateValues" dxfId="352" priority="562"/>
  </conditionalFormatting>
  <conditionalFormatting sqref="H76">
    <cfRule type="duplicateValues" dxfId="351" priority="603"/>
  </conditionalFormatting>
  <conditionalFormatting sqref="H79">
    <cfRule type="duplicateValues" dxfId="350" priority="600"/>
  </conditionalFormatting>
  <conditionalFormatting sqref="H82">
    <cfRule type="duplicateValues" dxfId="349" priority="597"/>
  </conditionalFormatting>
  <conditionalFormatting sqref="H87">
    <cfRule type="duplicateValues" dxfId="348" priority="594"/>
  </conditionalFormatting>
  <conditionalFormatting sqref="H92">
    <cfRule type="duplicateValues" dxfId="347" priority="591"/>
  </conditionalFormatting>
  <conditionalFormatting sqref="H95">
    <cfRule type="duplicateValues" dxfId="346" priority="588"/>
  </conditionalFormatting>
  <conditionalFormatting sqref="H98">
    <cfRule type="duplicateValues" dxfId="345" priority="585"/>
  </conditionalFormatting>
  <conditionalFormatting sqref="H109:H110">
    <cfRule type="duplicateValues" dxfId="344" priority="582"/>
  </conditionalFormatting>
  <conditionalFormatting sqref="H112">
    <cfRule type="duplicateValues" dxfId="343" priority="578"/>
  </conditionalFormatting>
  <conditionalFormatting sqref="H113">
    <cfRule type="duplicateValues" dxfId="342" priority="575"/>
  </conditionalFormatting>
  <conditionalFormatting sqref="H120">
    <cfRule type="duplicateValues" dxfId="341" priority="559"/>
  </conditionalFormatting>
  <conditionalFormatting sqref="H121">
    <cfRule type="duplicateValues" dxfId="340" priority="556"/>
  </conditionalFormatting>
  <conditionalFormatting sqref="H123">
    <cfRule type="duplicateValues" dxfId="339" priority="553"/>
  </conditionalFormatting>
  <conditionalFormatting sqref="H128">
    <cfRule type="duplicateValues" dxfId="338" priority="550"/>
  </conditionalFormatting>
  <conditionalFormatting sqref="H130">
    <cfRule type="duplicateValues" dxfId="337" priority="547"/>
  </conditionalFormatting>
  <conditionalFormatting sqref="H134">
    <cfRule type="duplicateValues" dxfId="336" priority="544"/>
  </conditionalFormatting>
  <conditionalFormatting sqref="H135">
    <cfRule type="duplicateValues" dxfId="335" priority="538"/>
  </conditionalFormatting>
  <conditionalFormatting sqref="H136">
    <cfRule type="duplicateValues" dxfId="334" priority="535"/>
  </conditionalFormatting>
  <conditionalFormatting sqref="H138">
    <cfRule type="duplicateValues" dxfId="333" priority="532"/>
  </conditionalFormatting>
  <conditionalFormatting sqref="H141">
    <cfRule type="duplicateValues" dxfId="332" priority="386"/>
  </conditionalFormatting>
  <conditionalFormatting sqref="H142">
    <cfRule type="duplicateValues" dxfId="331" priority="384"/>
  </conditionalFormatting>
  <conditionalFormatting sqref="H143">
    <cfRule type="duplicateValues" dxfId="330" priority="375"/>
  </conditionalFormatting>
  <conditionalFormatting sqref="H147">
    <cfRule type="duplicateValues" dxfId="329" priority="369"/>
  </conditionalFormatting>
  <conditionalFormatting sqref="H162">
    <cfRule type="duplicateValues" dxfId="328" priority="363"/>
  </conditionalFormatting>
  <conditionalFormatting sqref="H164">
    <cfRule type="duplicateValues" dxfId="327" priority="357"/>
  </conditionalFormatting>
  <conditionalFormatting sqref="H166">
    <cfRule type="duplicateValues" dxfId="326" priority="808"/>
  </conditionalFormatting>
  <conditionalFormatting sqref="H170">
    <cfRule type="duplicateValues" dxfId="325" priority="343"/>
  </conditionalFormatting>
  <conditionalFormatting sqref="H173">
    <cfRule type="duplicateValues" dxfId="324" priority="296"/>
  </conditionalFormatting>
  <conditionalFormatting sqref="H174">
    <cfRule type="duplicateValues" dxfId="323" priority="294"/>
  </conditionalFormatting>
  <conditionalFormatting sqref="H175">
    <cfRule type="duplicateValues" dxfId="322" priority="288"/>
  </conditionalFormatting>
  <conditionalFormatting sqref="H178">
    <cfRule type="duplicateValues" dxfId="321" priority="282"/>
  </conditionalFormatting>
  <conditionalFormatting sqref="H184">
    <cfRule type="duplicateValues" dxfId="320" priority="276"/>
  </conditionalFormatting>
  <conditionalFormatting sqref="H189">
    <cfRule type="duplicateValues" dxfId="319" priority="270"/>
  </conditionalFormatting>
  <conditionalFormatting sqref="H194">
    <cfRule type="duplicateValues" dxfId="318" priority="264"/>
  </conditionalFormatting>
  <conditionalFormatting sqref="H198 H200">
    <cfRule type="duplicateValues" dxfId="317" priority="258"/>
  </conditionalFormatting>
  <conditionalFormatting sqref="H203">
    <cfRule type="duplicateValues" dxfId="316" priority="250"/>
  </conditionalFormatting>
  <conditionalFormatting sqref="H207">
    <cfRule type="duplicateValues" dxfId="315" priority="209"/>
  </conditionalFormatting>
  <conditionalFormatting sqref="H208">
    <cfRule type="duplicateValues" dxfId="314" priority="199"/>
  </conditionalFormatting>
  <conditionalFormatting sqref="H209">
    <cfRule type="duplicateValues" dxfId="313" priority="188"/>
  </conditionalFormatting>
  <conditionalFormatting sqref="H216">
    <cfRule type="duplicateValues" dxfId="312" priority="183"/>
  </conditionalFormatting>
  <conditionalFormatting sqref="H220">
    <cfRule type="duplicateValues" dxfId="311" priority="176"/>
  </conditionalFormatting>
  <conditionalFormatting sqref="H225">
    <cfRule type="duplicateValues" dxfId="310" priority="3"/>
  </conditionalFormatting>
  <conditionalFormatting sqref="H230">
    <cfRule type="duplicateValues" dxfId="309" priority="167"/>
  </conditionalFormatting>
  <conditionalFormatting sqref="H233">
    <cfRule type="duplicateValues" dxfId="308" priority="140"/>
  </conditionalFormatting>
  <conditionalFormatting sqref="H239">
    <cfRule type="duplicateValues" dxfId="307" priority="124"/>
  </conditionalFormatting>
  <conditionalFormatting sqref="H240">
    <cfRule type="duplicateValues" dxfId="306" priority="121"/>
  </conditionalFormatting>
  <conditionalFormatting sqref="H241">
    <cfRule type="duplicateValues" dxfId="305" priority="122"/>
  </conditionalFormatting>
  <conditionalFormatting sqref="H245">
    <cfRule type="duplicateValues" dxfId="304" priority="112"/>
  </conditionalFormatting>
  <conditionalFormatting sqref="H253">
    <cfRule type="duplicateValues" dxfId="303" priority="101"/>
  </conditionalFormatting>
  <conditionalFormatting sqref="H254">
    <cfRule type="duplicateValues" dxfId="302" priority="99"/>
  </conditionalFormatting>
  <conditionalFormatting sqref="H256">
    <cfRule type="duplicateValues" dxfId="301" priority="62"/>
  </conditionalFormatting>
  <conditionalFormatting sqref="H271">
    <cfRule type="duplicateValues" dxfId="300" priority="93"/>
  </conditionalFormatting>
  <conditionalFormatting sqref="H272">
    <cfRule type="duplicateValues" dxfId="299" priority="92"/>
  </conditionalFormatting>
  <conditionalFormatting sqref="H273">
    <cfRule type="duplicateValues" dxfId="298" priority="74"/>
  </conditionalFormatting>
  <conditionalFormatting sqref="H275">
    <cfRule type="duplicateValues" dxfId="297" priority="68"/>
  </conditionalFormatting>
  <conditionalFormatting sqref="I56:K56">
    <cfRule type="duplicateValues" dxfId="296" priority="664"/>
  </conditionalFormatting>
  <conditionalFormatting sqref="J4:J5">
    <cfRule type="duplicateValues" dxfId="295" priority="695"/>
  </conditionalFormatting>
  <conditionalFormatting sqref="J30">
    <cfRule type="duplicateValues" dxfId="294" priority="22"/>
  </conditionalFormatting>
  <conditionalFormatting sqref="J33">
    <cfRule type="duplicateValues" dxfId="293" priority="18"/>
  </conditionalFormatting>
  <conditionalFormatting sqref="J44">
    <cfRule type="duplicateValues" dxfId="292" priority="14"/>
  </conditionalFormatting>
  <conditionalFormatting sqref="J49">
    <cfRule type="duplicateValues" dxfId="291" priority="10"/>
  </conditionalFormatting>
  <conditionalFormatting sqref="J74">
    <cfRule type="duplicateValues" dxfId="290" priority="412"/>
  </conditionalFormatting>
  <conditionalFormatting sqref="J141">
    <cfRule type="duplicateValues" dxfId="289" priority="385"/>
  </conditionalFormatting>
  <conditionalFormatting sqref="J173">
    <cfRule type="duplicateValues" dxfId="288" priority="295"/>
  </conditionalFormatting>
  <conditionalFormatting sqref="J207">
    <cfRule type="duplicateValues" dxfId="287" priority="208"/>
  </conditionalFormatting>
  <conditionalFormatting sqref="J208">
    <cfRule type="duplicateValues" dxfId="286" priority="198"/>
  </conditionalFormatting>
  <conditionalFormatting sqref="J239">
    <cfRule type="duplicateValues" dxfId="285" priority="123"/>
  </conditionalFormatting>
  <conditionalFormatting sqref="J253">
    <cfRule type="duplicateValues" dxfId="284" priority="100"/>
  </conditionalFormatting>
  <conditionalFormatting sqref="J271">
    <cfRule type="duplicateValues" dxfId="283" priority="91"/>
  </conditionalFormatting>
  <conditionalFormatting sqref="J6:K6">
    <cfRule type="duplicateValues" dxfId="282" priority="646"/>
  </conditionalFormatting>
  <conditionalFormatting sqref="J7:K7">
    <cfRule type="duplicateValues" dxfId="281" priority="649"/>
  </conditionalFormatting>
  <conditionalFormatting sqref="J15:K15">
    <cfRule type="duplicateValues" dxfId="280" priority="652"/>
  </conditionalFormatting>
  <conditionalFormatting sqref="J18:K18">
    <cfRule type="duplicateValues" dxfId="279" priority="655"/>
  </conditionalFormatting>
  <conditionalFormatting sqref="J29:K29">
    <cfRule type="duplicateValues" dxfId="278" priority="661"/>
  </conditionalFormatting>
  <conditionalFormatting sqref="J55:K55">
    <cfRule type="duplicateValues" dxfId="277" priority="679"/>
  </conditionalFormatting>
  <conditionalFormatting sqref="J64:K64">
    <cfRule type="duplicateValues" dxfId="276" priority="667"/>
  </conditionalFormatting>
  <conditionalFormatting sqref="J70:K70">
    <cfRule type="duplicateValues" dxfId="275" priority="564"/>
  </conditionalFormatting>
  <conditionalFormatting sqref="J75:K75">
    <cfRule type="duplicateValues" dxfId="274" priority="561"/>
  </conditionalFormatting>
  <conditionalFormatting sqref="J76:K76">
    <cfRule type="duplicateValues" dxfId="273" priority="602"/>
  </conditionalFormatting>
  <conditionalFormatting sqref="J79:K79">
    <cfRule type="duplicateValues" dxfId="272" priority="599"/>
  </conditionalFormatting>
  <conditionalFormatting sqref="J82:K82">
    <cfRule type="duplicateValues" dxfId="271" priority="596"/>
  </conditionalFormatting>
  <conditionalFormatting sqref="J87:K87">
    <cfRule type="duplicateValues" dxfId="270" priority="593"/>
  </conditionalFormatting>
  <conditionalFormatting sqref="J92:K92">
    <cfRule type="duplicateValues" dxfId="269" priority="590"/>
  </conditionalFormatting>
  <conditionalFormatting sqref="J95:K95">
    <cfRule type="duplicateValues" dxfId="268" priority="587"/>
  </conditionalFormatting>
  <conditionalFormatting sqref="J98:K98">
    <cfRule type="duplicateValues" dxfId="267" priority="584"/>
  </conditionalFormatting>
  <conditionalFormatting sqref="J109:K109">
    <cfRule type="duplicateValues" dxfId="266" priority="581"/>
  </conditionalFormatting>
  <conditionalFormatting sqref="J110:K110">
    <cfRule type="duplicateValues" dxfId="265" priority="580"/>
  </conditionalFormatting>
  <conditionalFormatting sqref="J112:K112">
    <cfRule type="duplicateValues" dxfId="264" priority="577"/>
  </conditionalFormatting>
  <conditionalFormatting sqref="J113:K113">
    <cfRule type="duplicateValues" dxfId="263" priority="574"/>
  </conditionalFormatting>
  <conditionalFormatting sqref="J120:K120">
    <cfRule type="duplicateValues" dxfId="262" priority="558"/>
  </conditionalFormatting>
  <conditionalFormatting sqref="J121:K121">
    <cfRule type="duplicateValues" dxfId="261" priority="555"/>
  </conditionalFormatting>
  <conditionalFormatting sqref="J123:K123">
    <cfRule type="duplicateValues" dxfId="260" priority="552"/>
  </conditionalFormatting>
  <conditionalFormatting sqref="J128:K128">
    <cfRule type="duplicateValues" dxfId="259" priority="549"/>
  </conditionalFormatting>
  <conditionalFormatting sqref="J130:K130">
    <cfRule type="duplicateValues" dxfId="258" priority="546"/>
  </conditionalFormatting>
  <conditionalFormatting sqref="J134:K134">
    <cfRule type="duplicateValues" dxfId="257" priority="543"/>
  </conditionalFormatting>
  <conditionalFormatting sqref="J135:K135">
    <cfRule type="duplicateValues" dxfId="256" priority="537"/>
  </conditionalFormatting>
  <conditionalFormatting sqref="J136:K136">
    <cfRule type="duplicateValues" dxfId="255" priority="534"/>
  </conditionalFormatting>
  <conditionalFormatting sqref="J138:K138">
    <cfRule type="duplicateValues" dxfId="254" priority="531"/>
  </conditionalFormatting>
  <conditionalFormatting sqref="J158:K158">
    <cfRule type="duplicateValues" dxfId="253" priority="7"/>
  </conditionalFormatting>
  <conditionalFormatting sqref="J174:K174">
    <cfRule type="duplicateValues" dxfId="252" priority="299"/>
  </conditionalFormatting>
  <conditionalFormatting sqref="J175:K175">
    <cfRule type="duplicateValues" dxfId="251" priority="289"/>
  </conditionalFormatting>
  <conditionalFormatting sqref="J178:K178">
    <cfRule type="duplicateValues" dxfId="250" priority="283"/>
  </conditionalFormatting>
  <conditionalFormatting sqref="J184:K184">
    <cfRule type="duplicateValues" dxfId="249" priority="277"/>
  </conditionalFormatting>
  <conditionalFormatting sqref="J189:K189">
    <cfRule type="duplicateValues" dxfId="248" priority="271"/>
  </conditionalFormatting>
  <conditionalFormatting sqref="J194:K194">
    <cfRule type="duplicateValues" dxfId="247" priority="244"/>
  </conditionalFormatting>
  <conditionalFormatting sqref="J198:K198">
    <cfRule type="duplicateValues" dxfId="246" priority="255"/>
  </conditionalFormatting>
  <conditionalFormatting sqref="J200:K200">
    <cfRule type="duplicateValues" dxfId="245" priority="251"/>
  </conditionalFormatting>
  <conditionalFormatting sqref="J203:K203">
    <cfRule type="duplicateValues" dxfId="244" priority="245"/>
  </conditionalFormatting>
  <conditionalFormatting sqref="J209:K209">
    <cfRule type="duplicateValues" dxfId="243" priority="190"/>
  </conditionalFormatting>
  <conditionalFormatting sqref="J216:K216">
    <cfRule type="duplicateValues" dxfId="242" priority="181"/>
  </conditionalFormatting>
  <conditionalFormatting sqref="J220:K220">
    <cfRule type="duplicateValues" dxfId="241" priority="174"/>
  </conditionalFormatting>
  <conditionalFormatting sqref="J225:K225">
    <cfRule type="duplicateValues" dxfId="240" priority="1"/>
  </conditionalFormatting>
  <conditionalFormatting sqref="J230:K230">
    <cfRule type="duplicateValues" dxfId="239" priority="169"/>
  </conditionalFormatting>
  <conditionalFormatting sqref="J233:K233">
    <cfRule type="duplicateValues" dxfId="238" priority="142"/>
  </conditionalFormatting>
  <conditionalFormatting sqref="J142:M142">
    <cfRule type="duplicateValues" dxfId="237" priority="396"/>
  </conditionalFormatting>
  <conditionalFormatting sqref="J143:M143">
    <cfRule type="duplicateValues" dxfId="236" priority="380"/>
  </conditionalFormatting>
  <conditionalFormatting sqref="J147:M147">
    <cfRule type="duplicateValues" dxfId="235" priority="374"/>
  </conditionalFormatting>
  <conditionalFormatting sqref="J162:M162">
    <cfRule type="duplicateValues" dxfId="234" priority="368"/>
  </conditionalFormatting>
  <conditionalFormatting sqref="J164:M164">
    <cfRule type="duplicateValues" dxfId="233" priority="362"/>
  </conditionalFormatting>
  <conditionalFormatting sqref="J166:M166">
    <cfRule type="duplicateValues" dxfId="232" priority="809"/>
  </conditionalFormatting>
  <conditionalFormatting sqref="J170:M170">
    <cfRule type="duplicateValues" dxfId="231" priority="344"/>
  </conditionalFormatting>
  <conditionalFormatting sqref="J240:M240">
    <cfRule type="duplicateValues" dxfId="230" priority="139"/>
  </conditionalFormatting>
  <conditionalFormatting sqref="J241:M241">
    <cfRule type="duplicateValues" dxfId="229" priority="138"/>
  </conditionalFormatting>
  <conditionalFormatting sqref="J245:M245">
    <cfRule type="duplicateValues" dxfId="228" priority="117"/>
  </conditionalFormatting>
  <conditionalFormatting sqref="J254:M254">
    <cfRule type="duplicateValues" dxfId="227" priority="111"/>
  </conditionalFormatting>
  <conditionalFormatting sqref="J256:M256">
    <cfRule type="duplicateValues" dxfId="226" priority="67"/>
  </conditionalFormatting>
  <conditionalFormatting sqref="J272:M272">
    <cfRule type="duplicateValues" dxfId="225" priority="821"/>
  </conditionalFormatting>
  <conditionalFormatting sqref="J273:M273">
    <cfRule type="duplicateValues" dxfId="224" priority="79"/>
  </conditionalFormatting>
  <conditionalFormatting sqref="J275:M275">
    <cfRule type="duplicateValues" dxfId="223" priority="73"/>
  </conditionalFormatting>
  <conditionalFormatting sqref="K4:K5">
    <cfRule type="duplicateValues" dxfId="222" priority="636"/>
  </conditionalFormatting>
  <conditionalFormatting sqref="K74">
    <cfRule type="duplicateValues" dxfId="221" priority="411"/>
  </conditionalFormatting>
  <conditionalFormatting sqref="K141">
    <cfRule type="duplicateValues" dxfId="220" priority="383"/>
  </conditionalFormatting>
  <conditionalFormatting sqref="K173">
    <cfRule type="duplicateValues" dxfId="219" priority="293"/>
  </conditionalFormatting>
  <conditionalFormatting sqref="K207">
    <cfRule type="duplicateValues" dxfId="218" priority="207"/>
  </conditionalFormatting>
  <conditionalFormatting sqref="K208">
    <cfRule type="duplicateValues" dxfId="217" priority="197"/>
  </conditionalFormatting>
  <conditionalFormatting sqref="K239">
    <cfRule type="duplicateValues" dxfId="216" priority="120"/>
  </conditionalFormatting>
  <conditionalFormatting sqref="K253">
    <cfRule type="duplicateValues" dxfId="215" priority="98"/>
  </conditionalFormatting>
  <conditionalFormatting sqref="K271">
    <cfRule type="duplicateValues" dxfId="214" priority="89"/>
  </conditionalFormatting>
  <conditionalFormatting sqref="K30:L30">
    <cfRule type="duplicateValues" dxfId="213" priority="20"/>
  </conditionalFormatting>
  <conditionalFormatting sqref="K33:L33">
    <cfRule type="duplicateValues" dxfId="212" priority="16"/>
  </conditionalFormatting>
  <conditionalFormatting sqref="K44:L44">
    <cfRule type="duplicateValues" dxfId="211" priority="12"/>
  </conditionalFormatting>
  <conditionalFormatting sqref="K49:L49">
    <cfRule type="duplicateValues" dxfId="210" priority="8"/>
  </conditionalFormatting>
  <conditionalFormatting sqref="L4:L5">
    <cfRule type="duplicateValues" dxfId="209" priority="424"/>
  </conditionalFormatting>
  <conditionalFormatting sqref="L141">
    <cfRule type="duplicateValues" dxfId="208" priority="382"/>
  </conditionalFormatting>
  <conditionalFormatting sqref="L173">
    <cfRule type="duplicateValues" dxfId="207" priority="301"/>
  </conditionalFormatting>
  <conditionalFormatting sqref="L207">
    <cfRule type="duplicateValues" dxfId="206" priority="206"/>
  </conditionalFormatting>
  <conditionalFormatting sqref="L208">
    <cfRule type="duplicateValues" dxfId="205" priority="196"/>
  </conditionalFormatting>
  <conditionalFormatting sqref="L239">
    <cfRule type="duplicateValues" dxfId="204" priority="119"/>
  </conditionalFormatting>
  <conditionalFormatting sqref="L253">
    <cfRule type="duplicateValues" dxfId="203" priority="97"/>
  </conditionalFormatting>
  <conditionalFormatting sqref="L271">
    <cfRule type="duplicateValues" dxfId="202" priority="81"/>
  </conditionalFormatting>
  <conditionalFormatting sqref="L74:M74">
    <cfRule type="duplicateValues" dxfId="201" priority="407"/>
  </conditionalFormatting>
  <conditionalFormatting sqref="L174:M174">
    <cfRule type="duplicateValues" dxfId="200" priority="810"/>
  </conditionalFormatting>
  <conditionalFormatting sqref="L175:M175">
    <cfRule type="duplicateValues" dxfId="199" priority="811"/>
  </conditionalFormatting>
  <conditionalFormatting sqref="L178:M178">
    <cfRule type="duplicateValues" dxfId="198" priority="812"/>
  </conditionalFormatting>
  <conditionalFormatting sqref="L184:M184">
    <cfRule type="duplicateValues" dxfId="197" priority="813"/>
  </conditionalFormatting>
  <conditionalFormatting sqref="L189:M189">
    <cfRule type="duplicateValues" dxfId="196" priority="814"/>
  </conditionalFormatting>
  <conditionalFormatting sqref="L194:M194">
    <cfRule type="duplicateValues" dxfId="195" priority="815"/>
  </conditionalFormatting>
  <conditionalFormatting sqref="L198:M198">
    <cfRule type="duplicateValues" dxfId="194" priority="818"/>
  </conditionalFormatting>
  <conditionalFormatting sqref="L200:M200">
    <cfRule type="duplicateValues" dxfId="193" priority="819"/>
  </conditionalFormatting>
  <conditionalFormatting sqref="L203:M203">
    <cfRule type="duplicateValues" dxfId="192" priority="820"/>
  </conditionalFormatting>
  <conditionalFormatting sqref="L209:M209">
    <cfRule type="duplicateValues" dxfId="191" priority="194"/>
  </conditionalFormatting>
  <conditionalFormatting sqref="L216:M216">
    <cfRule type="duplicateValues" dxfId="190" priority="187"/>
  </conditionalFormatting>
  <conditionalFormatting sqref="L220:M220">
    <cfRule type="duplicateValues" dxfId="189" priority="180"/>
  </conditionalFormatting>
  <conditionalFormatting sqref="L225:M225">
    <cfRule type="duplicateValues" dxfId="188" priority="4"/>
  </conditionalFormatting>
  <conditionalFormatting sqref="L230:M230">
    <cfRule type="duplicateValues" dxfId="187" priority="173"/>
  </conditionalFormatting>
  <conditionalFormatting sqref="L233:M233">
    <cfRule type="duplicateValues" dxfId="186" priority="146"/>
  </conditionalFormatting>
  <conditionalFormatting sqref="M4:M5">
    <cfRule type="duplicateValues" dxfId="185" priority="397"/>
  </conditionalFormatting>
  <conditionalFormatting sqref="M30">
    <cfRule type="duplicateValues" dxfId="184" priority="21"/>
  </conditionalFormatting>
  <conditionalFormatting sqref="M33">
    <cfRule type="duplicateValues" dxfId="183" priority="17"/>
  </conditionalFormatting>
  <conditionalFormatting sqref="M44">
    <cfRule type="duplicateValues" dxfId="182" priority="13"/>
  </conditionalFormatting>
  <conditionalFormatting sqref="M49">
    <cfRule type="duplicateValues" dxfId="181" priority="9"/>
  </conditionalFormatting>
  <conditionalFormatting sqref="M141">
    <cfRule type="duplicateValues" dxfId="180" priority="381"/>
  </conditionalFormatting>
  <conditionalFormatting sqref="M173">
    <cfRule type="duplicateValues" dxfId="179" priority="300"/>
  </conditionalFormatting>
  <conditionalFormatting sqref="M207">
    <cfRule type="duplicateValues" dxfId="178" priority="205"/>
  </conditionalFormatting>
  <conditionalFormatting sqref="M208">
    <cfRule type="duplicateValues" dxfId="177" priority="195"/>
  </conditionalFormatting>
  <conditionalFormatting sqref="M239">
    <cfRule type="duplicateValues" dxfId="176" priority="118"/>
  </conditionalFormatting>
  <conditionalFormatting sqref="M253">
    <cfRule type="duplicateValues" dxfId="175" priority="96"/>
  </conditionalFormatting>
  <conditionalFormatting sqref="M271">
    <cfRule type="duplicateValues" dxfId="174" priority="80"/>
  </conditionalFormatting>
  <pageMargins left="1.22" right="0.11811023622047245" top="0.27559055118110237" bottom="0.15748031496062992" header="0.31496062992125984" footer="0.31496062992125984"/>
  <pageSetup paperSize="5" scale="51" fitToHeight="3" orientation="landscape" horizontalDpi="4294967293"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40"/>
  <sheetViews>
    <sheetView showGridLines="0" zoomScale="130" zoomScaleNormal="130" workbookViewId="0">
      <selection activeCell="E11" sqref="E11"/>
    </sheetView>
  </sheetViews>
  <sheetFormatPr baseColWidth="10" defaultColWidth="11.5" defaultRowHeight="13"/>
  <cols>
    <col min="1" max="1" width="13" style="6" customWidth="1"/>
    <col min="2" max="2" width="12.5" style="6" customWidth="1"/>
    <col min="3" max="7" width="11" style="6" customWidth="1"/>
    <col min="8" max="8" width="12.5" style="6" customWidth="1"/>
    <col min="9" max="9" width="11.5" style="6" customWidth="1"/>
    <col min="10" max="16384" width="11.5" style="6"/>
  </cols>
  <sheetData>
    <row r="1" spans="1:9" ht="16.5" customHeight="1">
      <c r="A1" s="3674" t="s">
        <v>1065</v>
      </c>
      <c r="B1" s="3674"/>
      <c r="C1" s="3674"/>
      <c r="D1" s="3674"/>
      <c r="E1" s="3674"/>
      <c r="F1" s="3674"/>
      <c r="G1" s="3674"/>
      <c r="H1" s="3674"/>
      <c r="I1" s="3674"/>
    </row>
    <row r="2" spans="1:9" ht="14">
      <c r="A2" s="3675" t="s">
        <v>1066</v>
      </c>
      <c r="B2" s="3675"/>
      <c r="C2" s="3675"/>
      <c r="D2" s="3675"/>
      <c r="E2" s="3675"/>
      <c r="F2" s="3675"/>
      <c r="G2" s="3675"/>
      <c r="H2" s="3675"/>
      <c r="I2" s="3675"/>
    </row>
    <row r="3" spans="1:9" ht="6" customHeight="1">
      <c r="A3" s="407"/>
      <c r="B3" s="7"/>
      <c r="C3" s="7"/>
      <c r="D3" s="7"/>
      <c r="E3" s="7"/>
      <c r="F3" s="7"/>
      <c r="G3" s="7"/>
      <c r="H3" s="7"/>
      <c r="I3" s="8"/>
    </row>
    <row r="4" spans="1:9" s="10" customFormat="1" ht="29" customHeight="1">
      <c r="A4" s="9" t="s">
        <v>1067</v>
      </c>
      <c r="C4" s="3676" t="s">
        <v>64</v>
      </c>
      <c r="D4" s="3676"/>
      <c r="E4" s="3676"/>
      <c r="F4" s="3676"/>
      <c r="G4" s="3676"/>
      <c r="H4" s="3676"/>
      <c r="I4" s="3676"/>
    </row>
    <row r="5" spans="1:9" ht="15">
      <c r="A5" s="11" t="s">
        <v>1068</v>
      </c>
      <c r="B5" s="12"/>
      <c r="C5" s="13" t="s">
        <v>1069</v>
      </c>
      <c r="D5" s="14"/>
      <c r="E5" s="14"/>
      <c r="F5" s="14"/>
      <c r="G5" s="14"/>
      <c r="H5" s="14"/>
      <c r="I5" s="8"/>
    </row>
    <row r="6" spans="1:9" ht="5.25" customHeight="1">
      <c r="A6" s="15"/>
      <c r="B6" s="15"/>
      <c r="C6" s="15"/>
      <c r="D6" s="15"/>
      <c r="E6" s="15"/>
      <c r="F6" s="15"/>
      <c r="G6" s="15"/>
      <c r="H6" s="15"/>
      <c r="I6" s="15"/>
    </row>
    <row r="7" spans="1:9">
      <c r="A7" s="3677" t="s">
        <v>1070</v>
      </c>
      <c r="B7" s="3679" t="s">
        <v>187</v>
      </c>
      <c r="C7" s="3679" t="s">
        <v>188</v>
      </c>
      <c r="D7" s="3679" t="s">
        <v>189</v>
      </c>
      <c r="E7" s="3679" t="s">
        <v>190</v>
      </c>
      <c r="F7" s="3679" t="s">
        <v>191</v>
      </c>
      <c r="G7" s="3679" t="s">
        <v>192</v>
      </c>
      <c r="H7" s="3677" t="s">
        <v>487</v>
      </c>
      <c r="I7" s="3677" t="s">
        <v>156</v>
      </c>
    </row>
    <row r="8" spans="1:9" ht="15" customHeight="1">
      <c r="A8" s="3678"/>
      <c r="B8" s="3678"/>
      <c r="C8" s="3678"/>
      <c r="D8" s="3678"/>
      <c r="E8" s="3678"/>
      <c r="F8" s="3678"/>
      <c r="G8" s="3678"/>
      <c r="H8" s="3678"/>
      <c r="I8" s="3678"/>
    </row>
    <row r="9" spans="1:9" ht="14">
      <c r="A9" s="16" t="s">
        <v>1071</v>
      </c>
      <c r="B9" s="17" t="e">
        <f>'5_Info_PMR'!#REF!</f>
        <v>#REF!</v>
      </c>
      <c r="C9" s="17" t="e">
        <f>+'5_Info_PMR'!#REF!</f>
        <v>#REF!</v>
      </c>
      <c r="D9" s="17" t="e">
        <f>+'5_Info_PMR'!#REF!</f>
        <v>#REF!</v>
      </c>
      <c r="E9" s="17" t="e">
        <f>+'5_Info_PMR'!#REF!</f>
        <v>#REF!</v>
      </c>
      <c r="F9" s="17" t="e">
        <f>+'5_Info_PMR'!#REF!</f>
        <v>#REF!</v>
      </c>
      <c r="G9" s="17" t="e">
        <f>+'5_Info_PMR'!#REF!</f>
        <v>#REF!</v>
      </c>
      <c r="H9" s="17" t="e">
        <f>SUM(B9:G9)</f>
        <v>#REF!</v>
      </c>
      <c r="I9" s="74" t="e">
        <f>+H9/$H$11</f>
        <v>#REF!</v>
      </c>
    </row>
    <row r="10" spans="1:9" ht="14">
      <c r="A10" s="16" t="s">
        <v>1072</v>
      </c>
      <c r="B10" s="17">
        <v>0</v>
      </c>
      <c r="C10" s="17">
        <v>0</v>
      </c>
      <c r="D10" s="17">
        <v>0</v>
      </c>
      <c r="E10" s="17">
        <v>0</v>
      </c>
      <c r="F10" s="17">
        <v>0</v>
      </c>
      <c r="G10" s="17">
        <v>0</v>
      </c>
      <c r="H10" s="17">
        <f>SUM(B10:G10)</f>
        <v>0</v>
      </c>
      <c r="I10" s="74" t="e">
        <f>+H10/$H$11</f>
        <v>#REF!</v>
      </c>
    </row>
    <row r="11" spans="1:9" ht="14">
      <c r="A11" s="19" t="s">
        <v>487</v>
      </c>
      <c r="B11" s="18" t="e">
        <f t="shared" ref="B11:H11" si="0">SUM(B9:B10)</f>
        <v>#REF!</v>
      </c>
      <c r="C11" s="18" t="e">
        <f t="shared" si="0"/>
        <v>#REF!</v>
      </c>
      <c r="D11" s="18" t="e">
        <f t="shared" si="0"/>
        <v>#REF!</v>
      </c>
      <c r="E11" s="18" t="e">
        <f t="shared" si="0"/>
        <v>#REF!</v>
      </c>
      <c r="F11" s="18" t="e">
        <f t="shared" si="0"/>
        <v>#REF!</v>
      </c>
      <c r="G11" s="18" t="e">
        <f t="shared" si="0"/>
        <v>#REF!</v>
      </c>
      <c r="H11" s="18" t="e">
        <f t="shared" si="0"/>
        <v>#REF!</v>
      </c>
      <c r="I11" s="74" t="e">
        <f>+H11/$H$11</f>
        <v>#REF!</v>
      </c>
    </row>
    <row r="12" spans="1:9" ht="14">
      <c r="A12" s="20" t="s">
        <v>156</v>
      </c>
      <c r="B12" s="1110" t="e">
        <f t="shared" ref="B12:H12" si="1">+B11/$H$11</f>
        <v>#REF!</v>
      </c>
      <c r="C12" s="1110" t="e">
        <f t="shared" si="1"/>
        <v>#REF!</v>
      </c>
      <c r="D12" s="1110" t="e">
        <f t="shared" si="1"/>
        <v>#REF!</v>
      </c>
      <c r="E12" s="1110" t="e">
        <f t="shared" si="1"/>
        <v>#REF!</v>
      </c>
      <c r="F12" s="1110" t="e">
        <f t="shared" si="1"/>
        <v>#REF!</v>
      </c>
      <c r="G12" s="1110" t="e">
        <f t="shared" si="1"/>
        <v>#REF!</v>
      </c>
      <c r="H12" s="62" t="e">
        <f t="shared" si="1"/>
        <v>#REF!</v>
      </c>
      <c r="I12" s="21"/>
    </row>
    <row r="13" spans="1:9" ht="4.5" customHeight="1">
      <c r="A13" s="77"/>
      <c r="B13" s="78"/>
      <c r="C13" s="78"/>
      <c r="D13" s="78"/>
      <c r="E13" s="78"/>
      <c r="F13" s="78"/>
      <c r="G13" s="78"/>
      <c r="H13" s="77"/>
      <c r="I13" s="79"/>
    </row>
    <row r="14" spans="1:9" ht="14">
      <c r="A14" s="76" t="s">
        <v>1073</v>
      </c>
      <c r="B14" s="78"/>
      <c r="C14" s="78"/>
      <c r="D14" s="78"/>
      <c r="E14" s="78"/>
      <c r="F14" s="78"/>
      <c r="G14" s="78"/>
      <c r="H14" s="77"/>
      <c r="I14" s="79"/>
    </row>
    <row r="16" spans="1:9" ht="3.75" customHeight="1">
      <c r="H16" s="22"/>
      <c r="I16" s="23"/>
    </row>
    <row r="17" spans="1:9" ht="16.5" customHeight="1">
      <c r="A17" s="3674" t="s">
        <v>1065</v>
      </c>
      <c r="B17" s="3674"/>
      <c r="C17" s="3674"/>
      <c r="D17" s="3674"/>
      <c r="E17" s="3674"/>
      <c r="F17" s="3674"/>
      <c r="G17" s="3674"/>
      <c r="H17" s="3674"/>
      <c r="I17" s="3674"/>
    </row>
    <row r="18" spans="1:9" ht="14">
      <c r="A18" s="3675" t="s">
        <v>1074</v>
      </c>
      <c r="B18" s="3675"/>
      <c r="C18" s="3675"/>
      <c r="D18" s="3675"/>
      <c r="E18" s="3675"/>
      <c r="F18" s="3675"/>
      <c r="G18" s="3675"/>
      <c r="H18" s="3675"/>
      <c r="I18" s="3675"/>
    </row>
    <row r="19" spans="1:9" ht="6" customHeight="1">
      <c r="A19" s="407"/>
      <c r="B19" s="7"/>
      <c r="C19" s="7"/>
      <c r="D19" s="7"/>
      <c r="E19" s="7"/>
      <c r="F19" s="7"/>
      <c r="G19" s="7"/>
      <c r="H19" s="7"/>
      <c r="I19" s="8"/>
    </row>
    <row r="20" spans="1:9" s="10" customFormat="1" ht="30" customHeight="1">
      <c r="A20" s="9" t="s">
        <v>1067</v>
      </c>
      <c r="C20" s="3676" t="s">
        <v>64</v>
      </c>
      <c r="D20" s="3676"/>
      <c r="E20" s="3676"/>
      <c r="F20" s="3676"/>
      <c r="G20" s="3676"/>
      <c r="H20" s="3676"/>
      <c r="I20" s="3676"/>
    </row>
    <row r="21" spans="1:9" ht="15">
      <c r="A21" s="11" t="s">
        <v>1068</v>
      </c>
      <c r="B21" s="12"/>
      <c r="C21" s="13" t="s">
        <v>1069</v>
      </c>
      <c r="D21" s="14"/>
      <c r="E21" s="14"/>
      <c r="F21" s="14"/>
      <c r="G21" s="14"/>
      <c r="H21" s="14"/>
      <c r="I21" s="8"/>
    </row>
    <row r="22" spans="1:9" ht="5.25" customHeight="1">
      <c r="A22" s="15"/>
      <c r="B22" s="15"/>
      <c r="C22" s="15"/>
      <c r="D22" s="15"/>
      <c r="E22" s="15"/>
      <c r="F22" s="15"/>
      <c r="G22" s="15"/>
      <c r="H22" s="15"/>
      <c r="I22" s="15"/>
    </row>
    <row r="23" spans="1:9">
      <c r="A23" s="3677" t="s">
        <v>1070</v>
      </c>
      <c r="B23" s="3679" t="s">
        <v>187</v>
      </c>
      <c r="C23" s="3679" t="s">
        <v>188</v>
      </c>
      <c r="D23" s="3679" t="s">
        <v>189</v>
      </c>
      <c r="E23" s="3679" t="s">
        <v>190</v>
      </c>
      <c r="F23" s="3679" t="s">
        <v>191</v>
      </c>
      <c r="G23" s="3679" t="s">
        <v>192</v>
      </c>
      <c r="H23" s="3677" t="s">
        <v>487</v>
      </c>
      <c r="I23" s="3677" t="s">
        <v>156</v>
      </c>
    </row>
    <row r="24" spans="1:9">
      <c r="A24" s="3678"/>
      <c r="B24" s="3678"/>
      <c r="C24" s="3678"/>
      <c r="D24" s="3678"/>
      <c r="E24" s="3678"/>
      <c r="F24" s="3678"/>
      <c r="G24" s="3678"/>
      <c r="H24" s="3678"/>
      <c r="I24" s="3678"/>
    </row>
    <row r="25" spans="1:9" ht="14">
      <c r="A25" s="16" t="s">
        <v>1075</v>
      </c>
      <c r="B25" s="1035" t="e">
        <f>+B9/1000000</f>
        <v>#REF!</v>
      </c>
      <c r="C25" s="1035" t="e">
        <f t="shared" ref="C25:H25" si="2">+C9/1000000</f>
        <v>#REF!</v>
      </c>
      <c r="D25" s="1035" t="e">
        <f t="shared" si="2"/>
        <v>#REF!</v>
      </c>
      <c r="E25" s="1035" t="e">
        <f t="shared" si="2"/>
        <v>#REF!</v>
      </c>
      <c r="F25" s="1035" t="e">
        <f t="shared" si="2"/>
        <v>#REF!</v>
      </c>
      <c r="G25" s="1035" t="e">
        <f t="shared" si="2"/>
        <v>#REF!</v>
      </c>
      <c r="H25" s="1035" t="e">
        <f t="shared" si="2"/>
        <v>#REF!</v>
      </c>
      <c r="I25" s="74" t="e">
        <f>+H25/$H$27</f>
        <v>#REF!</v>
      </c>
    </row>
    <row r="26" spans="1:9" ht="14">
      <c r="A26" s="16" t="s">
        <v>1072</v>
      </c>
      <c r="B26" s="2116">
        <v>0</v>
      </c>
      <c r="C26" s="2116">
        <v>0</v>
      </c>
      <c r="D26" s="2116">
        <v>0</v>
      </c>
      <c r="E26" s="2116">
        <v>0</v>
      </c>
      <c r="F26" s="2116">
        <v>0</v>
      </c>
      <c r="G26" s="2116">
        <v>0</v>
      </c>
      <c r="H26" s="2116">
        <f>SUM(B26:F26)</f>
        <v>0</v>
      </c>
      <c r="I26" s="74" t="e">
        <f>+H26/$H$27</f>
        <v>#REF!</v>
      </c>
    </row>
    <row r="27" spans="1:9" ht="14">
      <c r="A27" s="19" t="s">
        <v>487</v>
      </c>
      <c r="B27" s="1036" t="e">
        <f t="shared" ref="B27:H27" si="3">SUM(B25:B26)</f>
        <v>#REF!</v>
      </c>
      <c r="C27" s="1036" t="e">
        <f t="shared" si="3"/>
        <v>#REF!</v>
      </c>
      <c r="D27" s="1036" t="e">
        <f t="shared" si="3"/>
        <v>#REF!</v>
      </c>
      <c r="E27" s="1036" t="e">
        <f t="shared" si="3"/>
        <v>#REF!</v>
      </c>
      <c r="F27" s="1036" t="e">
        <f t="shared" si="3"/>
        <v>#REF!</v>
      </c>
      <c r="G27" s="1036" t="e">
        <f t="shared" si="3"/>
        <v>#REF!</v>
      </c>
      <c r="H27" s="1036" t="e">
        <f t="shared" si="3"/>
        <v>#REF!</v>
      </c>
      <c r="I27" s="74" t="e">
        <f>+H27/$H$27</f>
        <v>#REF!</v>
      </c>
    </row>
    <row r="28" spans="1:9" ht="14">
      <c r="A28" s="20" t="s">
        <v>156</v>
      </c>
      <c r="B28" s="62" t="e">
        <f t="shared" ref="B28:H28" si="4">+B27/$H$27</f>
        <v>#REF!</v>
      </c>
      <c r="C28" s="62" t="e">
        <f t="shared" si="4"/>
        <v>#REF!</v>
      </c>
      <c r="D28" s="62" t="e">
        <f t="shared" si="4"/>
        <v>#REF!</v>
      </c>
      <c r="E28" s="62" t="e">
        <f t="shared" si="4"/>
        <v>#REF!</v>
      </c>
      <c r="F28" s="62" t="e">
        <f t="shared" si="4"/>
        <v>#REF!</v>
      </c>
      <c r="G28" s="62" t="e">
        <f t="shared" si="4"/>
        <v>#REF!</v>
      </c>
      <c r="H28" s="62" t="e">
        <f t="shared" si="4"/>
        <v>#REF!</v>
      </c>
      <c r="I28" s="21"/>
    </row>
    <row r="29" spans="1:9" ht="3.75" customHeight="1"/>
    <row r="30" spans="1:9">
      <c r="A30" s="76" t="s">
        <v>1073</v>
      </c>
    </row>
    <row r="32" spans="1:9">
      <c r="D32" s="72"/>
    </row>
    <row r="33" spans="1:8" ht="14" hidden="1" thickBot="1">
      <c r="C33" s="73"/>
    </row>
    <row r="34" spans="1:8" s="1140" customFormat="1" ht="14" hidden="1" thickBot="1">
      <c r="A34" s="1139" t="s">
        <v>6</v>
      </c>
      <c r="B34" s="1129" t="s">
        <v>1076</v>
      </c>
      <c r="C34" s="1129" t="s">
        <v>1077</v>
      </c>
      <c r="D34" s="1129" t="s">
        <v>1078</v>
      </c>
      <c r="E34" s="1129" t="s">
        <v>1079</v>
      </c>
      <c r="F34" s="1129" t="s">
        <v>1080</v>
      </c>
      <c r="G34" s="1129"/>
      <c r="H34" s="1129" t="s">
        <v>487</v>
      </c>
    </row>
    <row r="35" spans="1:8" s="1140" customFormat="1" ht="14" hidden="1" thickBot="1">
      <c r="A35" s="1141" t="s">
        <v>1075</v>
      </c>
      <c r="B35" s="1130">
        <v>5.2</v>
      </c>
      <c r="C35" s="1130">
        <v>12.87</v>
      </c>
      <c r="D35" s="1130">
        <v>14.85</v>
      </c>
      <c r="E35" s="1130">
        <v>18.68</v>
      </c>
      <c r="F35" s="1130">
        <v>8.4</v>
      </c>
      <c r="G35" s="1130"/>
      <c r="H35" s="1131">
        <v>60</v>
      </c>
    </row>
    <row r="36" spans="1:8" s="1140" customFormat="1" ht="14" hidden="1" thickBot="1">
      <c r="A36" s="1142" t="s">
        <v>156</v>
      </c>
      <c r="B36" s="1130" t="s">
        <v>1081</v>
      </c>
      <c r="C36" s="1130" t="s">
        <v>1082</v>
      </c>
      <c r="D36" s="1130">
        <v>24.8</v>
      </c>
      <c r="E36" s="1130">
        <v>31.1</v>
      </c>
      <c r="F36" s="1130">
        <v>14</v>
      </c>
      <c r="G36" s="1130"/>
      <c r="H36" s="1131">
        <v>100</v>
      </c>
    </row>
    <row r="37" spans="1:8" s="1140" customFormat="1" hidden="1">
      <c r="B37" s="1143">
        <f>+B35/$H$35</f>
        <v>8.666666666666667E-2</v>
      </c>
      <c r="C37" s="1143">
        <f>+C35/$H$35</f>
        <v>0.2145</v>
      </c>
      <c r="D37" s="1143">
        <f>+D35/$H$35</f>
        <v>0.2475</v>
      </c>
      <c r="E37" s="1143">
        <f>+E35/$H$35</f>
        <v>0.31133333333333335</v>
      </c>
      <c r="F37" s="1143">
        <f>+F35/$H$35</f>
        <v>0.14000000000000001</v>
      </c>
      <c r="G37" s="1143"/>
    </row>
    <row r="38" spans="1:8" s="1140" customFormat="1" hidden="1">
      <c r="B38" s="1140">
        <v>8.6999999999999993</v>
      </c>
      <c r="C38" s="1140">
        <v>21.5</v>
      </c>
      <c r="D38" s="1140">
        <v>24.8</v>
      </c>
      <c r="E38" s="1140">
        <v>31.1</v>
      </c>
      <c r="F38" s="1140">
        <v>14</v>
      </c>
      <c r="H38" s="1140">
        <f>SUM(B38:F38)</f>
        <v>100.1</v>
      </c>
    </row>
    <row r="39" spans="1:8" s="1140" customFormat="1" hidden="1">
      <c r="B39" s="1140">
        <v>8.67</v>
      </c>
      <c r="C39" s="1140">
        <v>21.45</v>
      </c>
      <c r="D39" s="1140">
        <v>24.75</v>
      </c>
      <c r="E39" s="1140">
        <v>31.13</v>
      </c>
      <c r="F39" s="1140">
        <v>14</v>
      </c>
      <c r="H39" s="1140">
        <f>SUM(B39:F39)</f>
        <v>100</v>
      </c>
    </row>
    <row r="40" spans="1:8" hidden="1"/>
  </sheetData>
  <mergeCells count="24">
    <mergeCell ref="A1:I1"/>
    <mergeCell ref="A2:I2"/>
    <mergeCell ref="C4:I4"/>
    <mergeCell ref="A7:A8"/>
    <mergeCell ref="H7:H8"/>
    <mergeCell ref="I7:I8"/>
    <mergeCell ref="B7:B8"/>
    <mergeCell ref="C7:C8"/>
    <mergeCell ref="D7:D8"/>
    <mergeCell ref="E7:E8"/>
    <mergeCell ref="F7:F8"/>
    <mergeCell ref="G7:G8"/>
    <mergeCell ref="A17:I17"/>
    <mergeCell ref="A18:I18"/>
    <mergeCell ref="C20:I20"/>
    <mergeCell ref="A23:A24"/>
    <mergeCell ref="H23:H24"/>
    <mergeCell ref="I23:I24"/>
    <mergeCell ref="B23:B24"/>
    <mergeCell ref="C23:C24"/>
    <mergeCell ref="D23:D24"/>
    <mergeCell ref="E23:E24"/>
    <mergeCell ref="F23:F24"/>
    <mergeCell ref="G23:G24"/>
  </mergeCells>
  <phoneticPr fontId="9" type="noConversion"/>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N156"/>
  <sheetViews>
    <sheetView showGridLines="0" topLeftCell="A125" zoomScaleNormal="100" workbookViewId="0">
      <pane xSplit="4" ySplit="4" topLeftCell="E129" activePane="bottomRight" state="frozen"/>
      <selection pane="topRight" activeCell="E125" sqref="E125"/>
      <selection pane="bottomLeft" activeCell="A133" sqref="A133"/>
      <selection pane="bottomRight" activeCell="B157" sqref="B157"/>
    </sheetView>
  </sheetViews>
  <sheetFormatPr baseColWidth="10" defaultColWidth="11.5" defaultRowHeight="15" outlineLevelRow="1"/>
  <cols>
    <col min="2" max="2" width="44.5" customWidth="1"/>
    <col min="4" max="10" width="12" customWidth="1"/>
    <col min="11" max="11" width="14.83203125" style="245" bestFit="1" customWidth="1"/>
    <col min="12" max="12" width="20.5" customWidth="1"/>
    <col min="13" max="13" width="17.5" customWidth="1"/>
    <col min="14" max="14" width="40.5" customWidth="1"/>
  </cols>
  <sheetData>
    <row r="1" spans="1:14" ht="16">
      <c r="A1" s="219" t="s">
        <v>1083</v>
      </c>
      <c r="B1" s="219"/>
      <c r="C1" s="219"/>
      <c r="D1" s="220"/>
      <c r="E1" s="221"/>
      <c r="F1" s="221"/>
      <c r="G1" s="221"/>
      <c r="H1" s="221"/>
      <c r="I1" s="221"/>
      <c r="J1" s="221"/>
      <c r="K1" s="222"/>
      <c r="L1" s="223"/>
      <c r="M1" s="221"/>
      <c r="N1" s="224"/>
    </row>
    <row r="2" spans="1:14">
      <c r="A2" s="223"/>
      <c r="B2" s="221"/>
      <c r="C2" s="221"/>
      <c r="D2" s="221"/>
      <c r="E2" s="221"/>
      <c r="F2" s="221"/>
      <c r="G2" s="221"/>
      <c r="H2" s="221"/>
      <c r="I2" s="221"/>
      <c r="J2" s="221"/>
      <c r="K2" s="222"/>
      <c r="L2" s="223"/>
      <c r="M2" s="221"/>
      <c r="N2" s="224"/>
    </row>
    <row r="3" spans="1:14" ht="18.75" customHeight="1">
      <c r="A3" s="3781" t="s">
        <v>1084</v>
      </c>
      <c r="B3" s="3781"/>
      <c r="C3" s="3782" t="str">
        <f>+'8_MP'!H7</f>
        <v>DR-L1150 - Programa de Apoyo a la Agenda de Transparencia e Integridad en República Dominicana</v>
      </c>
      <c r="D3" s="3783"/>
      <c r="E3" s="3783"/>
      <c r="F3" s="3783"/>
      <c r="G3" s="3783"/>
      <c r="H3" s="3783"/>
      <c r="I3" s="3783"/>
      <c r="J3" s="3783"/>
      <c r="K3" s="3783"/>
      <c r="L3" s="3783"/>
      <c r="M3" s="3783"/>
      <c r="N3" s="3783"/>
    </row>
    <row r="4" spans="1:14" ht="63.5" customHeight="1">
      <c r="A4" s="3784" t="s">
        <v>1085</v>
      </c>
      <c r="B4" s="3784"/>
      <c r="C4" s="3703" t="s">
        <v>1086</v>
      </c>
      <c r="D4" s="3703"/>
      <c r="E4" s="3703"/>
      <c r="F4" s="3703"/>
      <c r="G4" s="3703"/>
      <c r="H4" s="3703"/>
      <c r="I4" s="3703"/>
      <c r="J4" s="3703"/>
      <c r="K4" s="3703"/>
      <c r="L4" s="3703"/>
      <c r="M4" s="3703"/>
      <c r="N4" s="3703"/>
    </row>
    <row r="5" spans="1:14" ht="15" customHeight="1">
      <c r="A5" s="3784"/>
      <c r="B5" s="3784"/>
      <c r="C5" s="3703"/>
      <c r="D5" s="3703"/>
      <c r="E5" s="3703"/>
      <c r="F5" s="3703"/>
      <c r="G5" s="3703"/>
      <c r="H5" s="3703"/>
      <c r="I5" s="3703"/>
      <c r="J5" s="3703"/>
      <c r="K5" s="3703"/>
      <c r="L5" s="3703"/>
      <c r="M5" s="3703"/>
      <c r="N5" s="3703"/>
    </row>
    <row r="6" spans="1:14">
      <c r="A6" s="3785" t="s">
        <v>1087</v>
      </c>
      <c r="B6" s="3786"/>
      <c r="C6" s="3786"/>
      <c r="D6" s="3786"/>
      <c r="E6" s="3786"/>
      <c r="F6" s="3786"/>
      <c r="G6" s="3786"/>
      <c r="H6" s="3786"/>
      <c r="I6" s="3786"/>
      <c r="J6" s="3786"/>
      <c r="K6" s="3786"/>
      <c r="L6" s="3786"/>
      <c r="M6" s="3786"/>
      <c r="N6" s="3786"/>
    </row>
    <row r="7" spans="1:14">
      <c r="A7" s="3756" t="str">
        <f>+'1_MdR'!B10</f>
        <v>Objetivo 1: Consolidar la transparencia y trazabilidad en la gestión de recursos</v>
      </c>
      <c r="B7" s="3757"/>
      <c r="C7" s="3757"/>
      <c r="D7" s="3757"/>
      <c r="E7" s="3757"/>
      <c r="F7" s="3757"/>
      <c r="G7" s="3757"/>
      <c r="H7" s="3757"/>
      <c r="I7" s="3757"/>
      <c r="J7" s="3757"/>
      <c r="K7" s="3757"/>
      <c r="L7" s="3757"/>
      <c r="M7" s="3757"/>
      <c r="N7" s="3757"/>
    </row>
    <row r="8" spans="1:14" ht="20.5" customHeight="1" outlineLevel="1">
      <c r="A8" s="3758" t="s">
        <v>1088</v>
      </c>
      <c r="B8" s="3758"/>
      <c r="C8" s="3758" t="s">
        <v>1089</v>
      </c>
      <c r="D8" s="3759"/>
      <c r="E8" s="3759" t="s">
        <v>1090</v>
      </c>
      <c r="F8" s="3761" t="s">
        <v>147</v>
      </c>
      <c r="G8" s="3767" t="s">
        <v>1091</v>
      </c>
      <c r="H8" s="3771"/>
      <c r="I8" s="3758" t="s">
        <v>150</v>
      </c>
      <c r="J8" s="3758"/>
      <c r="K8" s="3758"/>
      <c r="L8" s="3758"/>
      <c r="M8" s="3758" t="s">
        <v>151</v>
      </c>
      <c r="N8" s="3758"/>
    </row>
    <row r="9" spans="1:14" outlineLevel="1">
      <c r="A9" s="3758"/>
      <c r="B9" s="3758"/>
      <c r="C9" s="3758"/>
      <c r="D9" s="3760"/>
      <c r="E9" s="3760"/>
      <c r="F9" s="3763"/>
      <c r="G9" s="3769"/>
      <c r="H9" s="3772"/>
      <c r="I9" s="3758"/>
      <c r="J9" s="3758"/>
      <c r="K9" s="3758"/>
      <c r="L9" s="3758"/>
      <c r="M9" s="3758"/>
      <c r="N9" s="3758"/>
    </row>
    <row r="10" spans="1:14" outlineLevel="1">
      <c r="A10" s="3733" t="str">
        <f>+'1_MdR'!B11</f>
        <v>Indicador 1. Porcentaje de instituciones que ejecutan en SIGEF y utilizan servicios web para actualizar sus informaciones del presupuesto nacional vigente relacionadas a la inversión pública.</v>
      </c>
      <c r="B10" s="3733"/>
      <c r="C10" s="3734" t="str">
        <f>+'1_MdR'!D11</f>
        <v>%</v>
      </c>
      <c r="D10" s="225" t="s">
        <v>1092</v>
      </c>
      <c r="E10" s="2147">
        <f>'1_MdR'!$E$11</f>
        <v>0</v>
      </c>
      <c r="F10" s="2146">
        <f>'1_MdR'!$H$11</f>
        <v>2023</v>
      </c>
      <c r="G10" s="3773">
        <f>'1_MdR'!$K$11</f>
        <v>100</v>
      </c>
      <c r="H10" s="3774"/>
      <c r="I10" s="3737" t="str">
        <f>+'1_MdR'!M11</f>
        <v>Datos del Portal Transaccional de la DGCP</v>
      </c>
      <c r="J10" s="3738"/>
      <c r="K10" s="3738"/>
      <c r="L10" s="3739"/>
      <c r="M10" s="3775">
        <f>+'1_MdR'!O11</f>
        <v>0</v>
      </c>
      <c r="N10" s="3776"/>
    </row>
    <row r="11" spans="1:14" outlineLevel="1">
      <c r="A11" s="3733"/>
      <c r="B11" s="3733"/>
      <c r="C11" s="3734"/>
      <c r="D11" s="226" t="s">
        <v>1093</v>
      </c>
      <c r="E11" s="227"/>
      <c r="F11" s="405"/>
      <c r="G11" s="3752"/>
      <c r="H11" s="3753"/>
      <c r="I11" s="3740"/>
      <c r="J11" s="3741"/>
      <c r="K11" s="3741"/>
      <c r="L11" s="3742"/>
      <c r="M11" s="3777"/>
      <c r="N11" s="3778"/>
    </row>
    <row r="12" spans="1:14" ht="15" customHeight="1" outlineLevel="1">
      <c r="A12" s="3733"/>
      <c r="B12" s="3733"/>
      <c r="C12" s="3734"/>
      <c r="D12" s="228" t="s">
        <v>1094</v>
      </c>
      <c r="E12" s="229"/>
      <c r="F12" s="406"/>
      <c r="G12" s="3754"/>
      <c r="H12" s="3755"/>
      <c r="I12" s="3743"/>
      <c r="J12" s="3744"/>
      <c r="K12" s="3744"/>
      <c r="L12" s="3745"/>
      <c r="M12" s="3779"/>
      <c r="N12" s="3780"/>
    </row>
    <row r="13" spans="1:14" outlineLevel="1">
      <c r="A13" s="3733" t="str">
        <f>+'1_MdR'!B12</f>
        <v>Indicador 2. Porcentaje de procesos de contratación que usan métodos de selección no competitivos.</v>
      </c>
      <c r="B13" s="3733"/>
      <c r="C13" s="3734" t="str">
        <f>+'1_MdR'!D12</f>
        <v>%</v>
      </c>
      <c r="D13" s="225" t="s">
        <v>1092</v>
      </c>
      <c r="E13" s="2147">
        <f>'1_MdR'!$E$12</f>
        <v>58</v>
      </c>
      <c r="F13" s="2146">
        <f>'1_MdR'!$H$12</f>
        <v>2023</v>
      </c>
      <c r="G13" s="3773">
        <f>'1_MdR'!$K$12</f>
        <v>45</v>
      </c>
      <c r="H13" s="3774"/>
      <c r="I13" s="3737" t="str">
        <f>+'1_MdR'!M12</f>
        <v>Datos del Portal Transaccional de la DGCP</v>
      </c>
      <c r="J13" s="3738"/>
      <c r="K13" s="3738"/>
      <c r="L13" s="3739"/>
      <c r="M13" s="3737" t="str">
        <f>+'1_MdR'!O12</f>
        <v>La línea de base se refiere al % de procesos contractuales (no al valor de las contrataciones).
El promedio se mantuvo en 2018 (53%) y 2019 (60,3%) por lo que no corresponde a un efecto exclusivo por la pandemia.</v>
      </c>
      <c r="N13" s="3738"/>
    </row>
    <row r="14" spans="1:14" outlineLevel="1">
      <c r="A14" s="3733"/>
      <c r="B14" s="3733"/>
      <c r="C14" s="3734"/>
      <c r="D14" s="226" t="s">
        <v>1093</v>
      </c>
      <c r="E14" s="227"/>
      <c r="F14" s="405"/>
      <c r="G14" s="3752"/>
      <c r="H14" s="3753"/>
      <c r="I14" s="3740"/>
      <c r="J14" s="3741"/>
      <c r="K14" s="3741"/>
      <c r="L14" s="3742"/>
      <c r="M14" s="3740"/>
      <c r="N14" s="3741"/>
    </row>
    <row r="15" spans="1:14" ht="15" customHeight="1" outlineLevel="1">
      <c r="A15" s="3733"/>
      <c r="B15" s="3733"/>
      <c r="C15" s="3734"/>
      <c r="D15" s="228" t="s">
        <v>1094</v>
      </c>
      <c r="E15" s="229"/>
      <c r="F15" s="406"/>
      <c r="G15" s="3754"/>
      <c r="H15" s="3755"/>
      <c r="I15" s="3743"/>
      <c r="J15" s="3744"/>
      <c r="K15" s="3744"/>
      <c r="L15" s="3745"/>
      <c r="M15" s="3743"/>
      <c r="N15" s="3744"/>
    </row>
    <row r="16" spans="1:14" outlineLevel="1">
      <c r="A16" s="3733" t="str">
        <f>+'1_MdR'!B13</f>
        <v>Indicador 3. Porcentaje de valor contratado de las contrataciones que son adjudicadas a MIPYMES lideradas por mujeres.</v>
      </c>
      <c r="B16" s="3733"/>
      <c r="C16" s="3734" t="str">
        <f>+'1_MdR'!D13</f>
        <v>%</v>
      </c>
      <c r="D16" s="225" t="s">
        <v>1092</v>
      </c>
      <c r="E16" s="231">
        <f>'1_MdR'!$E$13</f>
        <v>8.35</v>
      </c>
      <c r="F16" s="231">
        <f>'1_MdR'!$H$13</f>
        <v>2023</v>
      </c>
      <c r="G16" s="3735">
        <f>'1_MdR'!$K$13</f>
        <v>10</v>
      </c>
      <c r="H16" s="3736"/>
      <c r="I16" s="3737" t="str">
        <f>+'1_MdR'!M13</f>
        <v>Datos del Portal Transaccional de la DGCP</v>
      </c>
      <c r="J16" s="3738"/>
      <c r="K16" s="3738"/>
      <c r="L16" s="3739"/>
      <c r="M16" s="3737" t="str">
        <f>+'1_MdR'!O13</f>
        <v>Indicador pro-género. Se refiere al valor monetario de contrataciones otorgadas a MIPYMES lideradas por mujeres entre el valor total de las contrataciones adjudicadas en un año.</v>
      </c>
      <c r="N16" s="3738"/>
    </row>
    <row r="17" spans="1:14" outlineLevel="1">
      <c r="A17" s="3733"/>
      <c r="B17" s="3733"/>
      <c r="C17" s="3734"/>
      <c r="D17" s="226" t="s">
        <v>1093</v>
      </c>
      <c r="E17" s="227"/>
      <c r="F17" s="405"/>
      <c r="G17" s="3752"/>
      <c r="H17" s="3753"/>
      <c r="I17" s="3740"/>
      <c r="J17" s="3741"/>
      <c r="K17" s="3741"/>
      <c r="L17" s="3742"/>
      <c r="M17" s="3740"/>
      <c r="N17" s="3741"/>
    </row>
    <row r="18" spans="1:14" outlineLevel="1">
      <c r="A18" s="3733"/>
      <c r="B18" s="3733"/>
      <c r="C18" s="3734"/>
      <c r="D18" s="228" t="s">
        <v>1094</v>
      </c>
      <c r="E18" s="229"/>
      <c r="F18" s="406"/>
      <c r="G18" s="3754"/>
      <c r="H18" s="3755"/>
      <c r="I18" s="3743"/>
      <c r="J18" s="3744"/>
      <c r="K18" s="3744"/>
      <c r="L18" s="3745"/>
      <c r="M18" s="3743"/>
      <c r="N18" s="3744"/>
    </row>
    <row r="19" spans="1:14" outlineLevel="1">
      <c r="A19" s="3733" t="str">
        <f>+'1_MdR'!B14</f>
        <v>Indicador 4. Porcentaje de proyectos admitidos en el Sistema Nacional de Inversión Pública (SNIP) que forman parte de la nueva metodologia.</v>
      </c>
      <c r="B19" s="3733"/>
      <c r="C19" s="3734" t="str">
        <f>+'1_MdR'!D14</f>
        <v>%</v>
      </c>
      <c r="D19" s="225" t="s">
        <v>1092</v>
      </c>
      <c r="E19" s="231">
        <f>'1_MdR'!$E$14</f>
        <v>0</v>
      </c>
      <c r="F19" s="231">
        <f>'1_MdR'!$H$14</f>
        <v>2023</v>
      </c>
      <c r="G19" s="3735">
        <f>'1_MdR'!$K$14</f>
        <v>60</v>
      </c>
      <c r="H19" s="3736"/>
      <c r="I19" s="3737" t="str">
        <f>+'1_MdR'!M14</f>
        <v xml:space="preserve">Datos del sistema de seguimiento, monitoreo y evaluación del SNIP. </v>
      </c>
      <c r="J19" s="3738"/>
      <c r="K19" s="3738"/>
      <c r="L19" s="3739"/>
      <c r="M19" s="3737" t="str">
        <f>+'1_MdR'!O14</f>
        <v>El sistema actual no permite monitorear la ejecución física de los proyectos a nivel de componente, obra o actividad. El nuevo sistema va a posibilitar que el monitoreo se realice también a estos niveles.</v>
      </c>
      <c r="N19" s="3738"/>
    </row>
    <row r="20" spans="1:14" outlineLevel="1">
      <c r="A20" s="3733"/>
      <c r="B20" s="3733"/>
      <c r="C20" s="3734"/>
      <c r="D20" s="226" t="s">
        <v>1093</v>
      </c>
      <c r="E20" s="227"/>
      <c r="F20" s="405"/>
      <c r="G20" s="3752"/>
      <c r="H20" s="3753"/>
      <c r="I20" s="3740"/>
      <c r="J20" s="3741"/>
      <c r="K20" s="3741"/>
      <c r="L20" s="3742"/>
      <c r="M20" s="3740"/>
      <c r="N20" s="3741"/>
    </row>
    <row r="21" spans="1:14" outlineLevel="1">
      <c r="A21" s="3733"/>
      <c r="B21" s="3733"/>
      <c r="C21" s="3734"/>
      <c r="D21" s="228" t="s">
        <v>1094</v>
      </c>
      <c r="E21" s="229"/>
      <c r="F21" s="406"/>
      <c r="G21" s="3754"/>
      <c r="H21" s="3755"/>
      <c r="I21" s="3743"/>
      <c r="J21" s="3744"/>
      <c r="K21" s="3744"/>
      <c r="L21" s="3745"/>
      <c r="M21" s="3743"/>
      <c r="N21" s="3744"/>
    </row>
    <row r="22" spans="1:14">
      <c r="A22" s="3756" t="str">
        <f>+'1_MdR'!B15</f>
        <v>Objetivo 2: Fortalecer la función de control interno</v>
      </c>
      <c r="B22" s="3757"/>
      <c r="C22" s="3757"/>
      <c r="D22" s="3757"/>
      <c r="E22" s="3757"/>
      <c r="F22" s="3757"/>
      <c r="G22" s="3757"/>
      <c r="H22" s="3757"/>
      <c r="I22" s="3757"/>
      <c r="J22" s="3757"/>
      <c r="K22" s="3757"/>
      <c r="L22" s="3757"/>
      <c r="M22" s="3757"/>
      <c r="N22" s="3757"/>
    </row>
    <row r="23" spans="1:14" ht="15" customHeight="1" outlineLevel="1">
      <c r="A23" s="3758" t="s">
        <v>1088</v>
      </c>
      <c r="B23" s="3758"/>
      <c r="C23" s="3758" t="s">
        <v>1089</v>
      </c>
      <c r="D23" s="3759"/>
      <c r="E23" s="3759" t="s">
        <v>1090</v>
      </c>
      <c r="F23" s="3759" t="s">
        <v>147</v>
      </c>
      <c r="G23" s="3767" t="s">
        <v>1091</v>
      </c>
      <c r="H23" s="3771"/>
      <c r="I23" s="3761" t="s">
        <v>1095</v>
      </c>
      <c r="J23" s="3765"/>
      <c r="K23" s="3765"/>
      <c r="L23" s="3762"/>
      <c r="M23" s="3767" t="s">
        <v>151</v>
      </c>
      <c r="N23" s="3768"/>
    </row>
    <row r="24" spans="1:14" outlineLevel="1">
      <c r="A24" s="3758"/>
      <c r="B24" s="3758"/>
      <c r="C24" s="3758"/>
      <c r="D24" s="3760"/>
      <c r="E24" s="3760"/>
      <c r="F24" s="3760"/>
      <c r="G24" s="3769"/>
      <c r="H24" s="3772"/>
      <c r="I24" s="3763"/>
      <c r="J24" s="3766"/>
      <c r="K24" s="3766"/>
      <c r="L24" s="3764"/>
      <c r="M24" s="3769"/>
      <c r="N24" s="3770"/>
    </row>
    <row r="25" spans="1:14" outlineLevel="1">
      <c r="A25" s="3733" t="str">
        <f>+'1_MdR'!B16</f>
        <v>Indicador 5. Porcentaje de recomendaciones de los hallazgos de las Auditorías Internas, implementadas.</v>
      </c>
      <c r="B25" s="3733"/>
      <c r="C25" s="3734" t="str">
        <f>+'1_MdR'!D16</f>
        <v>%</v>
      </c>
      <c r="D25" s="225" t="s">
        <v>1092</v>
      </c>
      <c r="E25" s="231">
        <f>'1_MdR'!$E$16</f>
        <v>0</v>
      </c>
      <c r="F25" s="231">
        <f>'1_MdR'!$H$16</f>
        <v>2023</v>
      </c>
      <c r="G25" s="3735">
        <f>'1_MdR'!$K$16</f>
        <v>30</v>
      </c>
      <c r="H25" s="3736"/>
      <c r="I25" s="3737" t="str">
        <f>+'1_MdR'!M16</f>
        <v xml:space="preserve"> - Informes de auditoría preparados por las UAI
 - Informes semestrales de avance del programa aprobados por el Banco</v>
      </c>
      <c r="J25" s="3738"/>
      <c r="K25" s="3738"/>
      <c r="L25" s="3739"/>
      <c r="M25" s="3746" t="str">
        <f>+'1_MdR'!O16</f>
        <v xml:space="preserve">Se refieren al promedio de las recomendacione contenidas en las auditorias internas a las entidades controladas hechas entre 2022 y 2025 que se encuentran implementadas en 2026. </v>
      </c>
      <c r="N25" s="3747"/>
    </row>
    <row r="26" spans="1:14" outlineLevel="1">
      <c r="A26" s="3733"/>
      <c r="B26" s="3733"/>
      <c r="C26" s="3734"/>
      <c r="D26" s="226" t="s">
        <v>1093</v>
      </c>
      <c r="E26" s="227"/>
      <c r="F26" s="227"/>
      <c r="G26" s="3752"/>
      <c r="H26" s="3753"/>
      <c r="I26" s="3740"/>
      <c r="J26" s="3741"/>
      <c r="K26" s="3741"/>
      <c r="L26" s="3742"/>
      <c r="M26" s="3748"/>
      <c r="N26" s="3749"/>
    </row>
    <row r="27" spans="1:14" outlineLevel="1">
      <c r="A27" s="3733"/>
      <c r="B27" s="3733"/>
      <c r="C27" s="3734"/>
      <c r="D27" s="228" t="s">
        <v>1094</v>
      </c>
      <c r="E27" s="229"/>
      <c r="F27" s="230"/>
      <c r="G27" s="3754"/>
      <c r="H27" s="3755"/>
      <c r="I27" s="3743"/>
      <c r="J27" s="3744"/>
      <c r="K27" s="3744"/>
      <c r="L27" s="3745"/>
      <c r="M27" s="3750"/>
      <c r="N27" s="3751"/>
    </row>
    <row r="28" spans="1:14">
      <c r="A28" s="3756" t="str">
        <f>+'1_MdR'!B17</f>
        <v>Objetivo 3: Fomentar el acceso a la información, participación ciudadana, y la integridad en la administración pública y en el sector privado</v>
      </c>
      <c r="B28" s="3757"/>
      <c r="C28" s="3757"/>
      <c r="D28" s="3757"/>
      <c r="E28" s="3757"/>
      <c r="F28" s="3757"/>
      <c r="G28" s="3757"/>
      <c r="H28" s="3757"/>
      <c r="I28" s="3757"/>
      <c r="J28" s="3757"/>
      <c r="K28" s="3757"/>
      <c r="L28" s="3757"/>
      <c r="M28" s="3757"/>
      <c r="N28" s="3757"/>
    </row>
    <row r="29" spans="1:14" outlineLevel="1">
      <c r="A29" s="3758" t="s">
        <v>1088</v>
      </c>
      <c r="B29" s="3758"/>
      <c r="C29" s="3758" t="s">
        <v>1089</v>
      </c>
      <c r="D29" s="3759"/>
      <c r="E29" s="3759" t="s">
        <v>1090</v>
      </c>
      <c r="F29" s="3759" t="s">
        <v>147</v>
      </c>
      <c r="G29" s="3761" t="s">
        <v>1091</v>
      </c>
      <c r="H29" s="3762"/>
      <c r="I29" s="3761" t="s">
        <v>1095</v>
      </c>
      <c r="J29" s="3765"/>
      <c r="K29" s="3765"/>
      <c r="L29" s="3762"/>
      <c r="M29" s="3767" t="s">
        <v>151</v>
      </c>
      <c r="N29" s="3768"/>
    </row>
    <row r="30" spans="1:14" outlineLevel="1">
      <c r="A30" s="3758"/>
      <c r="B30" s="3758"/>
      <c r="C30" s="3758"/>
      <c r="D30" s="3760"/>
      <c r="E30" s="3760"/>
      <c r="F30" s="3760"/>
      <c r="G30" s="3763"/>
      <c r="H30" s="3764"/>
      <c r="I30" s="3763"/>
      <c r="J30" s="3766"/>
      <c r="K30" s="3766"/>
      <c r="L30" s="3764"/>
      <c r="M30" s="3769"/>
      <c r="N30" s="3770"/>
    </row>
    <row r="31" spans="1:14" outlineLevel="1">
      <c r="A31" s="3733" t="str">
        <f>+'1_MdR'!B18</f>
        <v>Indicador 6. Porcentaje de brechas entre solicitudes de acceso a la información recibidas y solicitudes resueltas en el tiempo previsto en la Ley No.200-04.</v>
      </c>
      <c r="B31" s="3733"/>
      <c r="C31" s="3734" t="str">
        <f>+'1_MdR'!D18</f>
        <v>%</v>
      </c>
      <c r="D31" s="225" t="s">
        <v>1092</v>
      </c>
      <c r="E31" s="231">
        <f>'1_MdR'!$E$18</f>
        <v>12.8</v>
      </c>
      <c r="F31" s="231">
        <f>'1_MdR'!$H$18</f>
        <v>2020</v>
      </c>
      <c r="G31" s="3735">
        <f>'1_MdR'!$K$18</f>
        <v>0.05</v>
      </c>
      <c r="H31" s="3736"/>
      <c r="I31" s="3737" t="str">
        <f>+'1_MdR'!M18</f>
        <v xml:space="preserve"> - Informes de la DIGEIG
 - Informes de avances del programa aprobados por el Banco</v>
      </c>
      <c r="J31" s="3738"/>
      <c r="K31" s="3738"/>
      <c r="L31" s="3739"/>
      <c r="M31" s="3746" t="str">
        <f>+'1_MdR'!O18</f>
        <v>La norma establece que se cuenta con 15 días para dar respuesta a la información, salvo que la información no sea pública. Existen casos específicos con plazos diferenciales.</v>
      </c>
      <c r="N31" s="3747"/>
    </row>
    <row r="32" spans="1:14" outlineLevel="1">
      <c r="A32" s="3733"/>
      <c r="B32" s="3733"/>
      <c r="C32" s="3734"/>
      <c r="D32" s="226" t="s">
        <v>1093</v>
      </c>
      <c r="E32" s="227"/>
      <c r="F32" s="227"/>
      <c r="G32" s="3752"/>
      <c r="H32" s="3753"/>
      <c r="I32" s="3740"/>
      <c r="J32" s="3741"/>
      <c r="K32" s="3741"/>
      <c r="L32" s="3742"/>
      <c r="M32" s="3748"/>
      <c r="N32" s="3749"/>
    </row>
    <row r="33" spans="1:14" outlineLevel="1">
      <c r="A33" s="3733"/>
      <c r="B33" s="3733"/>
      <c r="C33" s="3734"/>
      <c r="D33" s="228" t="s">
        <v>1094</v>
      </c>
      <c r="E33" s="229"/>
      <c r="F33" s="230"/>
      <c r="G33" s="3754"/>
      <c r="H33" s="3755"/>
      <c r="I33" s="3743"/>
      <c r="J33" s="3744"/>
      <c r="K33" s="3744"/>
      <c r="L33" s="3745"/>
      <c r="M33" s="3750"/>
      <c r="N33" s="3751"/>
    </row>
    <row r="34" spans="1:14" outlineLevel="1">
      <c r="A34" s="3733" t="str">
        <f>+'1_MdR'!B19</f>
        <v xml:space="preserve">Indicador 7. Cantidad de días promedio en el tratamiento de las denuncias, desde la apertura hasta que se emite un informe de parte de la DIGEIG. </v>
      </c>
      <c r="B34" s="3733"/>
      <c r="C34" s="3734" t="str">
        <f>+'1_MdR'!D19</f>
        <v>Días</v>
      </c>
      <c r="D34" s="225" t="s">
        <v>1092</v>
      </c>
      <c r="E34" s="231">
        <f>'1_MdR'!$E$19</f>
        <v>172</v>
      </c>
      <c r="F34" s="231">
        <f>'1_MdR'!$H$19</f>
        <v>2022</v>
      </c>
      <c r="G34" s="3735">
        <f>'1_MdR'!$K$19</f>
        <v>100</v>
      </c>
      <c r="H34" s="3736"/>
      <c r="I34" s="3737" t="str">
        <f>+'1_MdR'!M19</f>
        <v xml:space="preserve"> - Informes de la DIGEIG
 - Informes de avances del programa aprobados por el Banco</v>
      </c>
      <c r="J34" s="3738"/>
      <c r="K34" s="3738"/>
      <c r="L34" s="3739"/>
      <c r="M34" s="3746">
        <f>+'1_MdR'!O19</f>
        <v>0</v>
      </c>
      <c r="N34" s="3747"/>
    </row>
    <row r="35" spans="1:14" outlineLevel="1">
      <c r="A35" s="3733"/>
      <c r="B35" s="3733"/>
      <c r="C35" s="3734"/>
      <c r="D35" s="226" t="s">
        <v>1093</v>
      </c>
      <c r="E35" s="227"/>
      <c r="F35" s="227"/>
      <c r="G35" s="3752"/>
      <c r="H35" s="3753"/>
      <c r="I35" s="3740"/>
      <c r="J35" s="3741"/>
      <c r="K35" s="3741"/>
      <c r="L35" s="3742"/>
      <c r="M35" s="3748"/>
      <c r="N35" s="3749"/>
    </row>
    <row r="36" spans="1:14" outlineLevel="1">
      <c r="A36" s="3733"/>
      <c r="B36" s="3733"/>
      <c r="C36" s="3734"/>
      <c r="D36" s="228" t="s">
        <v>1094</v>
      </c>
      <c r="E36" s="229"/>
      <c r="F36" s="230"/>
      <c r="G36" s="3754"/>
      <c r="H36" s="3755"/>
      <c r="I36" s="3743"/>
      <c r="J36" s="3744"/>
      <c r="K36" s="3744"/>
      <c r="L36" s="3745"/>
      <c r="M36" s="3750"/>
      <c r="N36" s="3751"/>
    </row>
    <row r="37" spans="1:14" outlineLevel="1">
      <c r="A37" s="3733" t="str">
        <f>+'1_MdR'!B20</f>
        <v>Indicador 8. Cantidad de meses en la actualización de bases de datos abiertos por parte del Ministerio de la Mujer.</v>
      </c>
      <c r="B37" s="3733"/>
      <c r="C37" s="3734" t="str">
        <f>+'1_MdR'!D20</f>
        <v>Meses</v>
      </c>
      <c r="D37" s="2148" t="s">
        <v>1092</v>
      </c>
      <c r="E37" s="231">
        <f>'1_MdR'!$E$20</f>
        <v>3</v>
      </c>
      <c r="F37" s="231">
        <f>'1_MdR'!$H$20</f>
        <v>2020</v>
      </c>
      <c r="G37" s="3735">
        <f>'1_MdR'!$K$20</f>
        <v>1</v>
      </c>
      <c r="H37" s="3736"/>
      <c r="I37" s="3737" t="str">
        <f>+'1_MdR'!M20</f>
        <v xml:space="preserve"> - Informes de la DIGEIG
 - Informes de avances del programa aprobados por el Banco</v>
      </c>
      <c r="J37" s="3738"/>
      <c r="K37" s="3738"/>
      <c r="L37" s="3739"/>
      <c r="M37" s="3746" t="str">
        <f>+'1_MdR'!O20</f>
        <v>Indicador pro-género.</v>
      </c>
      <c r="N37" s="3747"/>
    </row>
    <row r="38" spans="1:14" outlineLevel="1">
      <c r="A38" s="3733"/>
      <c r="B38" s="3733"/>
      <c r="C38" s="3734"/>
      <c r="D38" s="226" t="s">
        <v>1093</v>
      </c>
      <c r="E38" s="227"/>
      <c r="F38" s="227"/>
      <c r="G38" s="3752"/>
      <c r="H38" s="3753"/>
      <c r="I38" s="3740"/>
      <c r="J38" s="3741"/>
      <c r="K38" s="3741"/>
      <c r="L38" s="3742"/>
      <c r="M38" s="3748"/>
      <c r="N38" s="3749"/>
    </row>
    <row r="39" spans="1:14" outlineLevel="1">
      <c r="A39" s="3733"/>
      <c r="B39" s="3733"/>
      <c r="C39" s="3734"/>
      <c r="D39" s="228" t="s">
        <v>1094</v>
      </c>
      <c r="E39" s="229"/>
      <c r="F39" s="230"/>
      <c r="G39" s="3754"/>
      <c r="H39" s="3755"/>
      <c r="I39" s="3743"/>
      <c r="J39" s="3744"/>
      <c r="K39" s="3744"/>
      <c r="L39" s="3745"/>
      <c r="M39" s="3750"/>
      <c r="N39" s="3751"/>
    </row>
    <row r="40" spans="1:14" outlineLevel="1">
      <c r="A40" s="3733" t="str">
        <f>+'1_MdR'!B21</f>
        <v>Indicador 9. Porcentaje de instituciones retrasadas en la actualización de bases de datos abiertos que alimentan el portal de datos abiertos.</v>
      </c>
      <c r="B40" s="3733"/>
      <c r="C40" s="3734" t="str">
        <f>+'1_MdR'!D21</f>
        <v>%</v>
      </c>
      <c r="D40" s="225" t="s">
        <v>1092</v>
      </c>
      <c r="E40" s="231">
        <f>'1_MdR'!$E$21</f>
        <v>17</v>
      </c>
      <c r="F40" s="231">
        <f>'1_MdR'!$H$21</f>
        <v>2021</v>
      </c>
      <c r="G40" s="3735">
        <f>'1_MdR'!$K$21</f>
        <v>5</v>
      </c>
      <c r="H40" s="3736"/>
      <c r="I40" s="3737" t="str">
        <f>+'1_MdR'!M21</f>
        <v xml:space="preserve"> - Informes de la DIGEIG
 - Informes de avances del programa aprobados por el Banco</v>
      </c>
      <c r="J40" s="3738"/>
      <c r="K40" s="3738"/>
      <c r="L40" s="3739"/>
      <c r="M40" s="3746" t="str">
        <f>+'1_MdR'!O21</f>
        <v>La línea de base corresponde a 36 instituciones de un total de 210, mientras que la meta seria 10 instituciones.</v>
      </c>
      <c r="N40" s="3747"/>
    </row>
    <row r="41" spans="1:14" outlineLevel="1">
      <c r="A41" s="3733"/>
      <c r="B41" s="3733"/>
      <c r="C41" s="3734"/>
      <c r="D41" s="226" t="s">
        <v>1093</v>
      </c>
      <c r="E41" s="227"/>
      <c r="F41" s="227"/>
      <c r="G41" s="3752"/>
      <c r="H41" s="3753"/>
      <c r="I41" s="3740"/>
      <c r="J41" s="3741"/>
      <c r="K41" s="3741"/>
      <c r="L41" s="3742"/>
      <c r="M41" s="3748"/>
      <c r="N41" s="3749"/>
    </row>
    <row r="42" spans="1:14" outlineLevel="1">
      <c r="A42" s="3733"/>
      <c r="B42" s="3733"/>
      <c r="C42" s="3734"/>
      <c r="D42" s="228" t="s">
        <v>1094</v>
      </c>
      <c r="E42" s="229"/>
      <c r="F42" s="230"/>
      <c r="G42" s="3754"/>
      <c r="H42" s="3755"/>
      <c r="I42" s="3743"/>
      <c r="J42" s="3744"/>
      <c r="K42" s="3744"/>
      <c r="L42" s="3745"/>
      <c r="M42" s="3750"/>
      <c r="N42" s="3751"/>
    </row>
    <row r="43" spans="1:14">
      <c r="A43" s="232"/>
      <c r="B43" s="233"/>
      <c r="C43" s="233"/>
      <c r="D43" s="233"/>
      <c r="E43" s="233"/>
      <c r="F43" s="233"/>
      <c r="G43" s="233"/>
      <c r="H43" s="233"/>
      <c r="I43" s="233"/>
      <c r="J43" s="233"/>
      <c r="K43" s="234"/>
      <c r="L43" s="233"/>
      <c r="M43" s="233"/>
      <c r="N43" s="235"/>
    </row>
    <row r="44" spans="1:14">
      <c r="A44" s="3713" t="s">
        <v>1096</v>
      </c>
      <c r="B44" s="3714"/>
      <c r="C44" s="3714"/>
      <c r="D44" s="3714"/>
      <c r="E44" s="3714"/>
      <c r="F44" s="3714"/>
      <c r="G44" s="3714"/>
      <c r="H44" s="3714"/>
      <c r="I44" s="3714"/>
      <c r="J44" s="3714"/>
      <c r="K44" s="3714"/>
      <c r="L44" s="3714"/>
      <c r="M44" s="3714"/>
      <c r="N44" s="3715"/>
    </row>
    <row r="45" spans="1:14">
      <c r="A45" s="3716" t="s">
        <v>484</v>
      </c>
      <c r="B45" s="3732" t="s">
        <v>1097</v>
      </c>
      <c r="C45" s="3721" t="s">
        <v>185</v>
      </c>
      <c r="D45" s="3721"/>
      <c r="E45" s="3721" t="s">
        <v>187</v>
      </c>
      <c r="F45" s="3721" t="s">
        <v>188</v>
      </c>
      <c r="G45" s="3721" t="s">
        <v>189</v>
      </c>
      <c r="H45" s="3721" t="s">
        <v>190</v>
      </c>
      <c r="I45" s="3721" t="s">
        <v>191</v>
      </c>
      <c r="J45" s="3721" t="s">
        <v>192</v>
      </c>
      <c r="K45" s="3721" t="s">
        <v>487</v>
      </c>
      <c r="L45" s="3721" t="s">
        <v>150</v>
      </c>
      <c r="M45" s="3696" t="s">
        <v>151</v>
      </c>
      <c r="N45" s="3698"/>
    </row>
    <row r="46" spans="1:14">
      <c r="A46" s="3716">
        <v>0</v>
      </c>
      <c r="B46" s="3732">
        <v>0</v>
      </c>
      <c r="C46" s="3721"/>
      <c r="D46" s="3721"/>
      <c r="E46" s="3721">
        <v>0</v>
      </c>
      <c r="F46" s="3721">
        <v>1</v>
      </c>
      <c r="G46" s="3721">
        <v>2</v>
      </c>
      <c r="H46" s="3721">
        <v>3</v>
      </c>
      <c r="I46" s="3721">
        <v>4</v>
      </c>
      <c r="J46" s="3721">
        <v>5</v>
      </c>
      <c r="K46" s="3721">
        <v>6</v>
      </c>
      <c r="L46" s="3721"/>
      <c r="M46" s="3699"/>
      <c r="N46" s="3701"/>
    </row>
    <row r="47" spans="1:14">
      <c r="A47" s="236"/>
      <c r="B47" s="237" t="e">
        <f>'1_MdR'!B24</f>
        <v>#REF!</v>
      </c>
      <c r="C47" s="238"/>
      <c r="D47" s="238"/>
      <c r="E47" s="238"/>
      <c r="F47" s="238"/>
      <c r="G47" s="238"/>
      <c r="H47" s="238"/>
      <c r="I47" s="238"/>
      <c r="J47" s="238"/>
      <c r="K47" s="239"/>
      <c r="L47" s="238"/>
      <c r="M47" s="238"/>
      <c r="N47" s="238"/>
    </row>
    <row r="48" spans="1:14">
      <c r="A48" s="2150"/>
      <c r="B48" s="2151" t="str">
        <f>'1_MdR'!B26</f>
        <v>Subcomponente 1.1 Transparencia en finanzas públicas</v>
      </c>
      <c r="C48" s="2152"/>
      <c r="D48" s="2152"/>
      <c r="E48" s="2152"/>
      <c r="F48" s="2152"/>
      <c r="G48" s="2152"/>
      <c r="H48" s="2152"/>
      <c r="I48" s="2152"/>
      <c r="J48" s="2152"/>
      <c r="K48" s="2153"/>
      <c r="L48" s="2152"/>
      <c r="M48" s="2152"/>
      <c r="N48" s="2152"/>
    </row>
    <row r="49" spans="1:14" ht="18" customHeight="1" outlineLevel="1">
      <c r="A49" s="3680"/>
      <c r="B49" s="3702" t="str">
        <f>'1_MdR'!B27</f>
        <v xml:space="preserve">Producto 1: Procesos de interoperabilidad en MH, MEPyD, DGCP y CGRD, implementados. Incluye SIGEF ajustado al presupuesto plurianual </v>
      </c>
      <c r="C49" s="3703" t="str">
        <f>'1_MdR'!C27</f>
        <v>Informe</v>
      </c>
      <c r="D49" s="225" t="s">
        <v>1092</v>
      </c>
      <c r="E49" s="2472" t="str">
        <f>+'1_MdR'!G27</f>
        <v>-</v>
      </c>
      <c r="F49" s="2472" t="str">
        <f>+'1_MdR'!H27</f>
        <v>-</v>
      </c>
      <c r="G49" s="2472" t="str">
        <f>+'1_MdR'!I27</f>
        <v>-</v>
      </c>
      <c r="H49" s="2472">
        <f>+'1_MdR'!J27</f>
        <v>1</v>
      </c>
      <c r="I49" s="2472">
        <f>+'1_MdR'!K27</f>
        <v>1</v>
      </c>
      <c r="J49" s="2472">
        <f>+'1_MdR'!L27</f>
        <v>1</v>
      </c>
      <c r="K49" s="2472">
        <f>+'1_MdR'!M27</f>
        <v>3</v>
      </c>
      <c r="L49" s="3704" t="str">
        <f>'1_MdR'!N27</f>
        <v xml:space="preserve"> - Informe tecnico que compruebe el avances en la definición, desarrollo e implementación de los procesos de interoperabilidad</v>
      </c>
      <c r="M49" s="3726" t="str">
        <f>'1_MdR'!P27</f>
        <v>Incluye la implementación y despliegue de la arquitectura de procesos, sistemas de información, datos, ciberseguridad, tecnología y gestión del cambio, entre el sistema presupuestal con los sistemas de inversión pública, de contrataciones públicas y contraloría general. Se debe desarrollar conforme a los lineamientos establecidos por la OGTIC.</v>
      </c>
      <c r="N49" s="3727"/>
    </row>
    <row r="50" spans="1:14" ht="18" customHeight="1" outlineLevel="1">
      <c r="A50" s="3681"/>
      <c r="B50" s="3702"/>
      <c r="C50" s="3703"/>
      <c r="D50" s="226" t="s">
        <v>1093</v>
      </c>
      <c r="E50" s="2473" t="s">
        <v>157</v>
      </c>
      <c r="F50" s="2473" t="s">
        <v>157</v>
      </c>
      <c r="G50" s="2473" t="s">
        <v>157</v>
      </c>
      <c r="H50" s="2473">
        <v>1</v>
      </c>
      <c r="I50" s="2473">
        <v>1</v>
      </c>
      <c r="J50" s="2473">
        <v>1</v>
      </c>
      <c r="K50" s="2475">
        <v>3</v>
      </c>
      <c r="L50" s="3705"/>
      <c r="M50" s="3728"/>
      <c r="N50" s="3729"/>
    </row>
    <row r="51" spans="1:14" outlineLevel="1">
      <c r="A51" s="3681"/>
      <c r="B51" s="3702"/>
      <c r="C51" s="3703"/>
      <c r="D51" s="228" t="s">
        <v>1094</v>
      </c>
      <c r="E51" s="241"/>
      <c r="F51" s="241"/>
      <c r="G51" s="241"/>
      <c r="H51" s="241"/>
      <c r="I51" s="241"/>
      <c r="J51" s="241"/>
      <c r="K51" s="2476"/>
      <c r="L51" s="3706"/>
      <c r="M51" s="3730"/>
      <c r="N51" s="3731"/>
    </row>
    <row r="52" spans="1:14" ht="18" customHeight="1" outlineLevel="1">
      <c r="A52" s="3680"/>
      <c r="B52" s="3702" t="str">
        <f>'1_MdR'!B28</f>
        <v>Producto 2: Portal de transparencia fiscal y Tablero de control con funcionalidades analíticas, desarrollados</v>
      </c>
      <c r="C52" s="3703" t="str">
        <f>'1_MdR'!C28</f>
        <v>Informe</v>
      </c>
      <c r="D52" s="225" t="s">
        <v>1092</v>
      </c>
      <c r="E52" s="2472" t="str">
        <f>+'1_MdR'!G28</f>
        <v>-</v>
      </c>
      <c r="F52" s="2472" t="str">
        <f>+'1_MdR'!H28</f>
        <v>-</v>
      </c>
      <c r="G52" s="2472" t="str">
        <f>+'1_MdR'!I28</f>
        <v>-</v>
      </c>
      <c r="H52" s="2472">
        <f>+'1_MdR'!J28</f>
        <v>1</v>
      </c>
      <c r="I52" s="2472">
        <f>+'1_MdR'!K28</f>
        <v>1</v>
      </c>
      <c r="J52" s="2472">
        <f>+'1_MdR'!L28</f>
        <v>1</v>
      </c>
      <c r="K52" s="2472">
        <f>+'1_MdR'!M28</f>
        <v>3</v>
      </c>
      <c r="L52" s="3704" t="str">
        <f>'1_MdR'!N28</f>
        <v xml:space="preserve"> - Informes de consultorías contratadas 
 - Reportes del sistema</v>
      </c>
      <c r="M52" s="3726" t="str">
        <f>'1_MdR'!P28</f>
        <v>Informe 1 (año 4): Informe avance desarrollo del Tablero de Control con funcionalidades analiticas
Informe 2 (año 5): Informe implementacion tablero de control.
Informe 3 (año 5): Informe portal de transparencia fiscal mejorado.</v>
      </c>
      <c r="N52" s="3727"/>
    </row>
    <row r="53" spans="1:14" ht="18" customHeight="1" outlineLevel="1">
      <c r="A53" s="3681"/>
      <c r="B53" s="3702"/>
      <c r="C53" s="3703"/>
      <c r="D53" s="226" t="s">
        <v>1093</v>
      </c>
      <c r="E53" s="2473" t="s">
        <v>157</v>
      </c>
      <c r="F53" s="2473" t="s">
        <v>157</v>
      </c>
      <c r="G53" s="2473" t="s">
        <v>157</v>
      </c>
      <c r="H53" s="2473">
        <v>1</v>
      </c>
      <c r="I53" s="2473">
        <v>1</v>
      </c>
      <c r="J53" s="2473">
        <v>1</v>
      </c>
      <c r="K53" s="2475">
        <v>3</v>
      </c>
      <c r="L53" s="3705"/>
      <c r="M53" s="3728"/>
      <c r="N53" s="3729"/>
    </row>
    <row r="54" spans="1:14" ht="18" customHeight="1" outlineLevel="1">
      <c r="A54" s="3681"/>
      <c r="B54" s="3702"/>
      <c r="C54" s="3703"/>
      <c r="D54" s="228" t="s">
        <v>1094</v>
      </c>
      <c r="E54" s="241"/>
      <c r="F54" s="241"/>
      <c r="G54" s="241"/>
      <c r="H54" s="241"/>
      <c r="I54" s="241"/>
      <c r="J54" s="241"/>
      <c r="K54" s="2476"/>
      <c r="L54" s="3706"/>
      <c r="M54" s="3730"/>
      <c r="N54" s="3731"/>
    </row>
    <row r="55" spans="1:14" ht="18" customHeight="1" outlineLevel="1">
      <c r="A55" s="3680"/>
      <c r="B55" s="3702" t="str">
        <f>'1_MdR'!B29</f>
        <v>Producto 3: Estrategia de gestión del cambio y comunicaciones desarrollada</v>
      </c>
      <c r="C55" s="3703" t="str">
        <f>'1_MdR'!C29</f>
        <v>Informe</v>
      </c>
      <c r="D55" s="225" t="s">
        <v>1092</v>
      </c>
      <c r="E55" s="2472" t="str">
        <f>+'1_MdR'!G29</f>
        <v>-</v>
      </c>
      <c r="F55" s="2472" t="str">
        <f>+'1_MdR'!H29</f>
        <v>-</v>
      </c>
      <c r="G55" s="2472" t="str">
        <f>+'1_MdR'!I29</f>
        <v>-</v>
      </c>
      <c r="H55" s="2472" t="str">
        <f>+'1_MdR'!J29</f>
        <v>-</v>
      </c>
      <c r="I55" s="2472" t="str">
        <f>+'1_MdR'!K29</f>
        <v>-</v>
      </c>
      <c r="J55" s="2472">
        <f>+'1_MdR'!L29</f>
        <v>1</v>
      </c>
      <c r="K55" s="2472">
        <f>+'1_MdR'!M29</f>
        <v>1</v>
      </c>
      <c r="L55" s="3704" t="str">
        <f>'1_MdR'!N29</f>
        <v xml:space="preserve"> - Documento de diseño de la estrategia
 - Informes de consultorias</v>
      </c>
      <c r="M55" s="3682">
        <f>'1_MdR'!P29</f>
        <v>0</v>
      </c>
      <c r="N55" s="3683"/>
    </row>
    <row r="56" spans="1:14" ht="18" customHeight="1" outlineLevel="1">
      <c r="A56" s="3681"/>
      <c r="B56" s="3702"/>
      <c r="C56" s="3703"/>
      <c r="D56" s="226" t="s">
        <v>1093</v>
      </c>
      <c r="E56" s="2473" t="s">
        <v>157</v>
      </c>
      <c r="F56" s="2473" t="s">
        <v>157</v>
      </c>
      <c r="G56" s="2473" t="s">
        <v>157</v>
      </c>
      <c r="H56" s="2473" t="s">
        <v>157</v>
      </c>
      <c r="I56" s="2473" t="s">
        <v>157</v>
      </c>
      <c r="J56" s="2473">
        <v>1</v>
      </c>
      <c r="K56" s="2475">
        <v>1</v>
      </c>
      <c r="L56" s="3705"/>
      <c r="M56" s="3684"/>
      <c r="N56" s="3685"/>
    </row>
    <row r="57" spans="1:14" ht="18" customHeight="1" outlineLevel="1">
      <c r="A57" s="3681"/>
      <c r="B57" s="3702"/>
      <c r="C57" s="3703"/>
      <c r="D57" s="228" t="s">
        <v>1094</v>
      </c>
      <c r="E57" s="241"/>
      <c r="F57" s="241"/>
      <c r="G57" s="241"/>
      <c r="H57" s="241"/>
      <c r="I57" s="241"/>
      <c r="J57" s="241"/>
      <c r="K57" s="2476"/>
      <c r="L57" s="3706"/>
      <c r="M57" s="3686"/>
      <c r="N57" s="3687"/>
    </row>
    <row r="58" spans="1:14">
      <c r="A58" s="2150"/>
      <c r="B58" s="2151" t="str">
        <f>'1_MdR'!B30</f>
        <v>Subcomponente 1.2 Eficiencia en las contrataciones públicas</v>
      </c>
      <c r="C58" s="2152"/>
      <c r="D58" s="2152"/>
      <c r="E58" s="2152"/>
      <c r="F58" s="2152"/>
      <c r="G58" s="2152"/>
      <c r="H58" s="2152"/>
      <c r="I58" s="2152"/>
      <c r="J58" s="2152"/>
      <c r="K58" s="2153"/>
      <c r="L58" s="2152"/>
      <c r="M58" s="2152"/>
      <c r="N58" s="2152"/>
    </row>
    <row r="59" spans="1:14" ht="28.25" customHeight="1" outlineLevel="1">
      <c r="A59" s="3680"/>
      <c r="B59" s="3702" t="str">
        <f>'1_MdR'!B31</f>
        <v>Producto 4: Modernización del Sistema de Contrataciones Públicas con accesibilidad para personas con discapacidad desarrollada. Incluye ajustes al sistema de información acutal de contrataciones y Sistema de detección de irregularidades y alertas tempranas</v>
      </c>
      <c r="C59" s="3703" t="str">
        <f>'1_MdR'!C31</f>
        <v xml:space="preserve">Informe </v>
      </c>
      <c r="D59" s="225" t="s">
        <v>1092</v>
      </c>
      <c r="E59" s="2472" t="str">
        <f>+'1_MdR'!G31</f>
        <v>-</v>
      </c>
      <c r="F59" s="2472" t="str">
        <f>+'1_MdR'!H31</f>
        <v>-</v>
      </c>
      <c r="G59" s="2472" t="str">
        <f>+'1_MdR'!I31</f>
        <v>-</v>
      </c>
      <c r="H59" s="2472">
        <f>+'1_MdR'!J31</f>
        <v>2</v>
      </c>
      <c r="I59" s="2472">
        <f>+'1_MdR'!K31</f>
        <v>1</v>
      </c>
      <c r="J59" s="2472">
        <f>+'1_MdR'!L31</f>
        <v>1</v>
      </c>
      <c r="K59" s="2472">
        <f>+'1_MdR'!M31</f>
        <v>4</v>
      </c>
      <c r="L59" s="3704" t="str">
        <f>'1_MdR'!N31</f>
        <v xml:space="preserve"> - Informes de consultorías contratadas 
 - Reportes del sistema</v>
      </c>
      <c r="M59" s="3707" t="str">
        <f>'1_MdR'!P31</f>
        <v>Indicador pro-diversidad.
Incluye: i) Marco legal y regulatorio, ii) Procesos y flujos de información, iii) Sistemas de información, iv) Capacidades de los Recursos Humanos, v) Servicios de tecnología, vi) Ciberseguridad. Accesibilidad para personas con discapacidad implica usabilidad para poblaciones invidentes, con discapacidad auditiva (Estándar Web Content Accessibility Guidelines WCAG2 y ADA). Prever que en su diseño debe incluir el requerimiento de las alertas tempranas.
Año 4. 
 -Informe I contiene  ajustes al sistema actual realizado
 -Informe II contiene Sistema de detección de irregularidades y alertas tempranas desarrollado
Año 5.Informe III contiene Sistema de Modernizacion disenado
Año 6.Informe IV contiene actividades de implementacion del sistema de modernizacion</v>
      </c>
      <c r="N59" s="3708"/>
    </row>
    <row r="60" spans="1:14" outlineLevel="1">
      <c r="A60" s="3681"/>
      <c r="B60" s="3702"/>
      <c r="C60" s="3703"/>
      <c r="D60" s="226" t="s">
        <v>1093</v>
      </c>
      <c r="E60" s="2473" t="s">
        <v>157</v>
      </c>
      <c r="F60" s="2473" t="s">
        <v>157</v>
      </c>
      <c r="G60" s="2473" t="s">
        <v>157</v>
      </c>
      <c r="H60" s="2473">
        <v>2</v>
      </c>
      <c r="I60" s="2473">
        <v>1</v>
      </c>
      <c r="J60" s="2473">
        <v>1</v>
      </c>
      <c r="K60" s="2475">
        <v>4</v>
      </c>
      <c r="L60" s="3705"/>
      <c r="M60" s="3709"/>
      <c r="N60" s="3710"/>
    </row>
    <row r="61" spans="1:14" outlineLevel="1">
      <c r="A61" s="3681"/>
      <c r="B61" s="3702"/>
      <c r="C61" s="3703"/>
      <c r="D61" s="228" t="s">
        <v>1094</v>
      </c>
      <c r="E61" s="241"/>
      <c r="F61" s="241"/>
      <c r="G61" s="241"/>
      <c r="H61" s="241"/>
      <c r="I61" s="241"/>
      <c r="J61" s="241"/>
      <c r="K61" s="2476"/>
      <c r="L61" s="3706"/>
      <c r="M61" s="3711"/>
      <c r="N61" s="3712"/>
    </row>
    <row r="62" spans="1:14" ht="50" customHeight="1" outlineLevel="1">
      <c r="A62" s="3680"/>
      <c r="B62" s="3702" t="str">
        <f>+'8_MP'!H121</f>
        <v>Producto 5: Profesionalización y Carrera Especial del SNCCP Implementada</v>
      </c>
      <c r="C62" s="3703" t="str">
        <f>'1_MdR'!C32</f>
        <v xml:space="preserve">Informe </v>
      </c>
      <c r="D62" s="225" t="s">
        <v>1092</v>
      </c>
      <c r="E62" s="2472" t="str">
        <f>+'1_MdR'!G32</f>
        <v>-</v>
      </c>
      <c r="F62" s="2472" t="str">
        <f>+'1_MdR'!H32</f>
        <v>-</v>
      </c>
      <c r="G62" s="2472" t="str">
        <f>+'1_MdR'!I32</f>
        <v>-</v>
      </c>
      <c r="H62" s="2472">
        <f>+'1_MdR'!J32</f>
        <v>1</v>
      </c>
      <c r="I62" s="2472">
        <f>+'1_MdR'!K32</f>
        <v>1</v>
      </c>
      <c r="J62" s="2472">
        <f>+'1_MdR'!L32</f>
        <v>1</v>
      </c>
      <c r="K62" s="2472">
        <f>+'1_MdR'!M32</f>
        <v>3</v>
      </c>
      <c r="L62" s="3704" t="str">
        <f>'1_MdR'!N32</f>
        <v xml:space="preserve"> - Informes de consultorías contratadas</v>
      </c>
      <c r="M62" s="3707" t="str">
        <f>'1_MdR'!P32</f>
        <v>El programa se entiende como implementado cuando la primera cohorte se ha certificado.
Año 3. Informe I  Diseño de programas avanzados de formación del comprador público y estrategia de certificación
Año 4. Informe II, contiene Aula Virtual/Campus Virtual diseñada
Año 5. Informe III, contiene reporte de certificaciones del primer cohorte</v>
      </c>
      <c r="N62" s="3708"/>
    </row>
    <row r="63" spans="1:14" outlineLevel="1">
      <c r="A63" s="3681"/>
      <c r="B63" s="3702"/>
      <c r="C63" s="3703"/>
      <c r="D63" s="226" t="s">
        <v>1093</v>
      </c>
      <c r="E63" s="2473" t="s">
        <v>157</v>
      </c>
      <c r="F63" s="2473" t="s">
        <v>157</v>
      </c>
      <c r="G63" s="2473"/>
      <c r="H63" s="2473">
        <v>1</v>
      </c>
      <c r="I63" s="2473">
        <v>1</v>
      </c>
      <c r="J63" s="2473">
        <v>1</v>
      </c>
      <c r="K63" s="2475">
        <v>3</v>
      </c>
      <c r="L63" s="3705"/>
      <c r="M63" s="3709"/>
      <c r="N63" s="3710"/>
    </row>
    <row r="64" spans="1:14" outlineLevel="1">
      <c r="A64" s="3681"/>
      <c r="B64" s="3702"/>
      <c r="C64" s="3703"/>
      <c r="D64" s="228" t="s">
        <v>1094</v>
      </c>
      <c r="E64" s="241"/>
      <c r="F64" s="241"/>
      <c r="G64" s="241"/>
      <c r="H64" s="241"/>
      <c r="I64" s="241"/>
      <c r="J64" s="241"/>
      <c r="K64" s="2476"/>
      <c r="L64" s="3706"/>
      <c r="M64" s="3711"/>
      <c r="N64" s="3712"/>
    </row>
    <row r="65" spans="1:14" ht="30" customHeight="1" outlineLevel="1">
      <c r="A65" s="3680"/>
      <c r="B65" s="3702" t="str">
        <f>+'8_MP'!H135</f>
        <v>Producto 6: Estrategia de compra pública sostenible, diseñada e implementada</v>
      </c>
      <c r="C65" s="3703" t="str">
        <f>'1_MdR'!C33</f>
        <v xml:space="preserve">Informe </v>
      </c>
      <c r="D65" s="225" t="s">
        <v>1092</v>
      </c>
      <c r="E65" s="2472" t="str">
        <f>+'1_MdR'!G33</f>
        <v>-</v>
      </c>
      <c r="F65" s="2472" t="str">
        <f>+'1_MdR'!H33</f>
        <v>-</v>
      </c>
      <c r="G65" s="2472" t="str">
        <f>+'1_MdR'!I33</f>
        <v>-</v>
      </c>
      <c r="H65" s="2472" t="str">
        <f>+'1_MdR'!J33</f>
        <v>1
Diseño de la Estrategia
/ primeras actividades implementadas</v>
      </c>
      <c r="I65" s="2472" t="str">
        <f>+'1_MdR'!K33</f>
        <v>1
actividades implementadas</v>
      </c>
      <c r="J65" s="2472" t="str">
        <f>+'1_MdR'!L33</f>
        <v>-</v>
      </c>
      <c r="K65" s="2472">
        <f>+'1_MdR'!M33</f>
        <v>2</v>
      </c>
      <c r="L65" s="3704" t="str">
        <f>'1_MdR'!N33</f>
        <v xml:space="preserve"> - Informes de consultorías contratadas
 - Documento de diseño de la estrategia
 - Informes de ejecución de la estrategia
/ Informe I</v>
      </c>
      <c r="M65" s="3707" t="str">
        <f>'1_MdR'!P33</f>
        <v>Indicador pro-género.
Los criterios sostenibles incluyen: económico, social (género y diversidad) y ambiental (verde)
Año 4. Informe I. Contiene la Estrategia diseñada y primeras actividades implementadas
Año 5.Informe II contiene detalle de actividades de implementación de la estrategia</v>
      </c>
      <c r="N65" s="3708"/>
    </row>
    <row r="66" spans="1:14" outlineLevel="1">
      <c r="A66" s="3681"/>
      <c r="B66" s="3702"/>
      <c r="C66" s="3703"/>
      <c r="D66" s="226" t="s">
        <v>1093</v>
      </c>
      <c r="E66" s="2473" t="s">
        <v>157</v>
      </c>
      <c r="F66" s="2473" t="s">
        <v>157</v>
      </c>
      <c r="G66" s="2473" t="s">
        <v>157</v>
      </c>
      <c r="H66" s="2473">
        <v>1</v>
      </c>
      <c r="I66" s="2473">
        <v>1</v>
      </c>
      <c r="J66" s="2473" t="s">
        <v>157</v>
      </c>
      <c r="K66" s="2475">
        <v>2</v>
      </c>
      <c r="L66" s="3705"/>
      <c r="M66" s="3709"/>
      <c r="N66" s="3710"/>
    </row>
    <row r="67" spans="1:14" outlineLevel="1">
      <c r="A67" s="3681"/>
      <c r="B67" s="3702"/>
      <c r="C67" s="3703"/>
      <c r="D67" s="228" t="s">
        <v>1094</v>
      </c>
      <c r="E67" s="241"/>
      <c r="F67" s="241"/>
      <c r="G67" s="241"/>
      <c r="H67" s="241"/>
      <c r="I67" s="241"/>
      <c r="J67" s="241"/>
      <c r="K67" s="2476"/>
      <c r="L67" s="3706"/>
      <c r="M67" s="3711"/>
      <c r="N67" s="3712"/>
    </row>
    <row r="68" spans="1:14">
      <c r="A68" s="2150"/>
      <c r="B68" s="2151" t="str">
        <f>+'8_MP'!H143</f>
        <v>Subcomponente 1.3 Mejora en la eficiencia de la gestión de las inversiones públicas</v>
      </c>
      <c r="C68" s="2152"/>
      <c r="D68" s="2152"/>
      <c r="E68" s="2152"/>
      <c r="F68" s="2152"/>
      <c r="G68" s="2152"/>
      <c r="H68" s="2152"/>
      <c r="I68" s="2152"/>
      <c r="J68" s="2152"/>
      <c r="K68" s="2153"/>
      <c r="L68" s="2152"/>
      <c r="M68" s="2152"/>
      <c r="N68" s="2152"/>
    </row>
    <row r="69" spans="1:14" outlineLevel="1">
      <c r="A69" s="3680"/>
      <c r="B69" s="3702" t="str">
        <f>'1_MdR'!B35</f>
        <v xml:space="preserve">Producto 7: Sistema de información actual de inversión pública ajustado para interoperar con los sistemas electrónicos de la DGCP, el MH y la CGRD. Incluye el Sistema de Monitoreo, Seguimiento &amp; Evaluación </v>
      </c>
      <c r="C69" s="3703" t="str">
        <f>'1_MdR'!C35</f>
        <v xml:space="preserve">Informe </v>
      </c>
      <c r="D69" s="225" t="s">
        <v>1092</v>
      </c>
      <c r="E69" s="2472" t="str">
        <f>+'1_MdR'!G35</f>
        <v>-</v>
      </c>
      <c r="F69" s="2472" t="str">
        <f>+'1_MdR'!H35</f>
        <v>-</v>
      </c>
      <c r="G69" s="2472" t="str">
        <f>+'1_MdR'!I35</f>
        <v>-</v>
      </c>
      <c r="H69" s="2472">
        <f>+'1_MdR'!J35</f>
        <v>2</v>
      </c>
      <c r="I69" s="2472">
        <f>+'1_MdR'!K35</f>
        <v>2</v>
      </c>
      <c r="J69" s="2472">
        <f>+'1_MdR'!L35</f>
        <v>1</v>
      </c>
      <c r="K69" s="2472">
        <f>+'1_MdR'!M35</f>
        <v>5</v>
      </c>
      <c r="L69" s="3704" t="str">
        <f>'1_MdR'!N35</f>
        <v>Informe elaboración documentación para la licitación y sus anexos.
- Informe proceso de licitación y sus anexos.
- Informe de adjudicación y sus anexos.
- Informe de implementación y sus anexos.</v>
      </c>
      <c r="M69" s="3707" t="str">
        <f>'1_MdR'!P35</f>
        <v>Informe 1 (año 3): diseño del sistema de monitoreo y evaluacion.
Infore 2 (año 4): Informe de avance de implementacion del SM&amp;E
Informe 3 (año 5): Informe de avance de implementacion del SM&amp;E
Informe 4 (año 6): Informe de implementacion del SM&amp;E
Informe 5 (año 6): Informe de infraestructura y servicio TIC implementado para migracion del SNIP</v>
      </c>
      <c r="N69" s="3708"/>
    </row>
    <row r="70" spans="1:14" outlineLevel="1">
      <c r="A70" s="3681"/>
      <c r="B70" s="3702"/>
      <c r="C70" s="3703"/>
      <c r="D70" s="226" t="s">
        <v>1093</v>
      </c>
      <c r="E70" s="2473" t="s">
        <v>157</v>
      </c>
      <c r="F70" s="2473" t="s">
        <v>157</v>
      </c>
      <c r="G70" s="2473" t="s">
        <v>157</v>
      </c>
      <c r="H70" s="2473">
        <v>2</v>
      </c>
      <c r="I70" s="2473">
        <v>1</v>
      </c>
      <c r="J70" s="2473">
        <v>2</v>
      </c>
      <c r="K70" s="2475">
        <v>5</v>
      </c>
      <c r="L70" s="3705"/>
      <c r="M70" s="3709"/>
      <c r="N70" s="3710"/>
    </row>
    <row r="71" spans="1:14" outlineLevel="1">
      <c r="A71" s="3681"/>
      <c r="B71" s="3702"/>
      <c r="C71" s="3703"/>
      <c r="D71" s="228" t="s">
        <v>1094</v>
      </c>
      <c r="E71" s="241"/>
      <c r="F71" s="241"/>
      <c r="G71" s="241"/>
      <c r="H71" s="241"/>
      <c r="I71" s="241"/>
      <c r="J71" s="241"/>
      <c r="K71" s="2476"/>
      <c r="L71" s="3706"/>
      <c r="M71" s="3711"/>
      <c r="N71" s="3712"/>
    </row>
    <row r="72" spans="1:14">
      <c r="A72" s="2150"/>
      <c r="B72" s="2151" t="str">
        <f>+'8_MP'!H180</f>
        <v>Subcomponente 1.4 Integridad Financiera</v>
      </c>
      <c r="C72" s="2152"/>
      <c r="D72" s="2152"/>
      <c r="E72" s="2152"/>
      <c r="F72" s="2152"/>
      <c r="G72" s="2152"/>
      <c r="H72" s="2152"/>
      <c r="I72" s="2152"/>
      <c r="J72" s="2152"/>
      <c r="K72" s="2153"/>
      <c r="L72" s="2152"/>
      <c r="M72" s="2152"/>
      <c r="N72" s="2152"/>
    </row>
    <row r="73" spans="1:14" outlineLevel="1">
      <c r="A73" s="3680"/>
      <c r="B73" s="3702" t="str">
        <f>+'8_MP'!H181</f>
        <v>Producto 8: Régimen de Beneficiarios Finales de personas y estructuras jurídicas diseñado e implementado. Incluye la Estrategia de Gestión del Cambio y comunicaciones</v>
      </c>
      <c r="C73" s="3703" t="str">
        <f>'1_MdR'!C37</f>
        <v>Informe</v>
      </c>
      <c r="D73" s="225" t="s">
        <v>1092</v>
      </c>
      <c r="E73" s="2472" t="str">
        <f>+'1_MdR'!G37</f>
        <v>-</v>
      </c>
      <c r="F73" s="2472" t="str">
        <f>+'1_MdR'!H37</f>
        <v>-</v>
      </c>
      <c r="G73" s="2472">
        <f>+'1_MdR'!I37</f>
        <v>1</v>
      </c>
      <c r="H73" s="2472">
        <f>+'1_MdR'!J37</f>
        <v>1</v>
      </c>
      <c r="I73" s="2472">
        <f>+'1_MdR'!K37</f>
        <v>1</v>
      </c>
      <c r="J73" s="2472">
        <f>+'1_MdR'!L37</f>
        <v>1</v>
      </c>
      <c r="K73" s="2472">
        <f>+'1_MdR'!M37</f>
        <v>4</v>
      </c>
      <c r="L73" s="3704" t="str">
        <f>'1_MdR'!N37</f>
        <v xml:space="preserve"> - Informes de consultorías contratadas </v>
      </c>
      <c r="M73" s="3707" t="str">
        <f>'1_MdR'!P37</f>
        <v>Infrme 1 (año 3): Informe propuesta marco legal y tributario del RBF
Informe 2 (año 4): Informe propuesta a CONCLAFIT
Informe 3 (año 4): Informe estrategia diseñada  de gestion del cambio del RBF
Informe 4 (año 5): Informe sobre implementacion de mejoras al sistema tecnologico del RBF</v>
      </c>
      <c r="N73" s="3708"/>
    </row>
    <row r="74" spans="1:14" outlineLevel="1">
      <c r="A74" s="3681"/>
      <c r="B74" s="3702"/>
      <c r="C74" s="3703"/>
      <c r="D74" s="226" t="s">
        <v>1093</v>
      </c>
      <c r="E74" s="2473" t="s">
        <v>157</v>
      </c>
      <c r="F74" s="2473">
        <v>0</v>
      </c>
      <c r="G74" s="2473">
        <v>1</v>
      </c>
      <c r="H74" s="2473">
        <v>2</v>
      </c>
      <c r="I74" s="2473">
        <v>1</v>
      </c>
      <c r="J74" s="2473">
        <v>1</v>
      </c>
      <c r="K74" s="2475">
        <v>4</v>
      </c>
      <c r="L74" s="3705"/>
      <c r="M74" s="3709"/>
      <c r="N74" s="3710"/>
    </row>
    <row r="75" spans="1:14" outlineLevel="1">
      <c r="A75" s="3681"/>
      <c r="B75" s="3702"/>
      <c r="C75" s="3703"/>
      <c r="D75" s="228" t="s">
        <v>1094</v>
      </c>
      <c r="E75" s="241"/>
      <c r="F75" s="241"/>
      <c r="G75" s="241"/>
      <c r="H75" s="241"/>
      <c r="I75" s="241"/>
      <c r="J75" s="241"/>
      <c r="K75" s="2476"/>
      <c r="L75" s="3706"/>
      <c r="M75" s="3711"/>
      <c r="N75" s="3712"/>
    </row>
    <row r="76" spans="1:14">
      <c r="A76" s="236"/>
      <c r="B76" s="237" t="str">
        <f>'1_MdR'!B39</f>
        <v>Componente 2: Fortalecimiento del Sistema de Control Interno</v>
      </c>
      <c r="C76" s="238"/>
      <c r="D76" s="238"/>
      <c r="E76" s="238"/>
      <c r="F76" s="238"/>
      <c r="G76" s="238"/>
      <c r="H76" s="238"/>
      <c r="I76" s="238"/>
      <c r="J76" s="238"/>
      <c r="K76" s="239"/>
      <c r="L76" s="238"/>
      <c r="M76" s="238"/>
      <c r="N76" s="238"/>
    </row>
    <row r="77" spans="1:14">
      <c r="A77" s="2150"/>
      <c r="B77" s="2151" t="str">
        <f>'1_MdR'!B41</f>
        <v>Subcomponente 2.1 Modelo de Gestión y estructura orgánica de la CGR  modernizados</v>
      </c>
      <c r="C77" s="2152"/>
      <c r="D77" s="2152"/>
      <c r="E77" s="2152"/>
      <c r="F77" s="2152"/>
      <c r="G77" s="2152"/>
      <c r="H77" s="2152"/>
      <c r="I77" s="2152"/>
      <c r="J77" s="2152"/>
      <c r="K77" s="2153"/>
      <c r="L77" s="2152"/>
      <c r="M77" s="2152"/>
      <c r="N77" s="2152"/>
    </row>
    <row r="78" spans="1:14" ht="18" customHeight="1" outlineLevel="1">
      <c r="A78" s="3680"/>
      <c r="B78" s="3702">
        <f>'1_MdR'!B42</f>
        <v>0</v>
      </c>
      <c r="C78" s="3703" t="str">
        <f>'1_MdR'!C42</f>
        <v xml:space="preserve">Informes </v>
      </c>
      <c r="D78" s="225" t="s">
        <v>1092</v>
      </c>
      <c r="E78" s="2472" t="s">
        <v>157</v>
      </c>
      <c r="F78" s="2472" t="s">
        <v>157</v>
      </c>
      <c r="G78" s="2472">
        <f>'1_MdR'!I42</f>
        <v>1</v>
      </c>
      <c r="H78" s="2472">
        <f>'1_MdR'!J42</f>
        <v>1</v>
      </c>
      <c r="I78" s="2472" t="str">
        <f>'1_MdR'!K42</f>
        <v>-</v>
      </c>
      <c r="J78" s="2472" t="str">
        <f>'1_MdR'!L42</f>
        <v>-</v>
      </c>
      <c r="K78" s="2474">
        <f>'1_MdR'!M42</f>
        <v>2</v>
      </c>
      <c r="L78" s="3704" t="str">
        <f>'1_MdR'!N42</f>
        <v xml:space="preserve"> - Informes de consultorías contratadas</v>
      </c>
      <c r="M78" s="3707" t="str">
        <f>'1_MdR'!P42</f>
        <v>Incluye rediseño de la estructura organizacional, manuales y dotación de RRHH. 2025: Informe de Nvo Modelo 2026. Estructura Organizacional, Funcional y Manuales de Funciones y Cargos</v>
      </c>
      <c r="N78" s="3708"/>
    </row>
    <row r="79" spans="1:14" ht="18" customHeight="1" outlineLevel="1">
      <c r="A79" s="3681"/>
      <c r="B79" s="3702"/>
      <c r="C79" s="3703"/>
      <c r="D79" s="226" t="s">
        <v>1093</v>
      </c>
      <c r="E79" s="2473" t="s">
        <v>157</v>
      </c>
      <c r="F79" s="2473" t="s">
        <v>157</v>
      </c>
      <c r="G79" s="2473">
        <v>1</v>
      </c>
      <c r="H79" s="2473">
        <v>1</v>
      </c>
      <c r="I79" s="2473" t="s">
        <v>157</v>
      </c>
      <c r="J79" s="2473" t="s">
        <v>157</v>
      </c>
      <c r="K79" s="2475">
        <v>2</v>
      </c>
      <c r="L79" s="3705"/>
      <c r="M79" s="3709"/>
      <c r="N79" s="3710"/>
    </row>
    <row r="80" spans="1:14" ht="18" customHeight="1" outlineLevel="1">
      <c r="A80" s="3681"/>
      <c r="B80" s="3702"/>
      <c r="C80" s="3703"/>
      <c r="D80" s="228" t="s">
        <v>1094</v>
      </c>
      <c r="E80" s="241"/>
      <c r="F80" s="241"/>
      <c r="G80" s="241"/>
      <c r="H80" s="241"/>
      <c r="I80" s="241"/>
      <c r="J80" s="241"/>
      <c r="K80" s="2476"/>
      <c r="L80" s="3706"/>
      <c r="M80" s="3711"/>
      <c r="N80" s="3712"/>
    </row>
    <row r="81" spans="1:14" ht="18" customHeight="1" outlineLevel="1">
      <c r="A81" s="3680"/>
      <c r="B81" s="3702">
        <f>'1_MdR'!B44</f>
        <v>0</v>
      </c>
      <c r="C81" s="3703" t="str">
        <f>'1_MdR'!C44</f>
        <v>Informes</v>
      </c>
      <c r="D81" s="225" t="s">
        <v>1092</v>
      </c>
      <c r="E81" s="2472" t="str">
        <f>'1_MdR'!G44</f>
        <v>-</v>
      </c>
      <c r="F81" s="2472" t="str">
        <f>'1_MdR'!H44</f>
        <v>-</v>
      </c>
      <c r="G81" s="2472" t="str">
        <f>'1_MdR'!I44</f>
        <v>-</v>
      </c>
      <c r="H81" s="2472">
        <f>'1_MdR'!J44</f>
        <v>1</v>
      </c>
      <c r="I81" s="2472">
        <f>'1_MdR'!K44</f>
        <v>1</v>
      </c>
      <c r="J81" s="2472" t="str">
        <f>'1_MdR'!L44</f>
        <v>-</v>
      </c>
      <c r="K81" s="2474">
        <f>'1_MdR'!M44</f>
        <v>2</v>
      </c>
      <c r="L81" s="3704" t="str">
        <f>'1_MdR'!N44</f>
        <v xml:space="preserve"> - Informes de consultorías contratadas</v>
      </c>
      <c r="M81" s="3707" t="str">
        <f>'1_MdR'!P44</f>
        <v>2026.  Modelo de Gestión de Riesgos 
2027. Transformación de procesos misionales</v>
      </c>
      <c r="N81" s="3708"/>
    </row>
    <row r="82" spans="1:14" ht="18" customHeight="1" outlineLevel="1">
      <c r="A82" s="3681"/>
      <c r="B82" s="3702"/>
      <c r="C82" s="3703"/>
      <c r="D82" s="226" t="s">
        <v>1093</v>
      </c>
      <c r="E82" s="2473" t="s">
        <v>157</v>
      </c>
      <c r="F82" s="2473" t="s">
        <v>157</v>
      </c>
      <c r="G82" s="2473" t="s">
        <v>157</v>
      </c>
      <c r="H82" s="2473">
        <v>1</v>
      </c>
      <c r="I82" s="2473">
        <v>1</v>
      </c>
      <c r="J82" s="2473" t="s">
        <v>157</v>
      </c>
      <c r="K82" s="2475">
        <v>2</v>
      </c>
      <c r="L82" s="3705"/>
      <c r="M82" s="3709"/>
      <c r="N82" s="3710"/>
    </row>
    <row r="83" spans="1:14" ht="18" customHeight="1" outlineLevel="1">
      <c r="A83" s="3681"/>
      <c r="B83" s="3702"/>
      <c r="C83" s="3703"/>
      <c r="D83" s="228" t="s">
        <v>1094</v>
      </c>
      <c r="E83" s="241"/>
      <c r="F83" s="241"/>
      <c r="G83" s="241"/>
      <c r="H83" s="241"/>
      <c r="I83" s="241"/>
      <c r="J83" s="241"/>
      <c r="K83" s="2476"/>
      <c r="L83" s="3706"/>
      <c r="M83" s="3711"/>
      <c r="N83" s="3712"/>
    </row>
    <row r="84" spans="1:14" ht="18" customHeight="1" outlineLevel="1">
      <c r="A84" s="3680"/>
      <c r="B84" s="3702">
        <f>'1_MdR'!B46</f>
        <v>0</v>
      </c>
      <c r="C84" s="3703" t="str">
        <f>'1_MdR'!C46</f>
        <v xml:space="preserve">Informes </v>
      </c>
      <c r="D84" s="225" t="s">
        <v>1092</v>
      </c>
      <c r="E84" s="2472" t="str">
        <f>'1_MdR'!G46</f>
        <v>-</v>
      </c>
      <c r="F84" s="2472" t="str">
        <f>'1_MdR'!H46</f>
        <v>-</v>
      </c>
      <c r="G84" s="2472">
        <f>'1_MdR'!I46</f>
        <v>1</v>
      </c>
      <c r="H84" s="2472">
        <f>'1_MdR'!J46</f>
        <v>1</v>
      </c>
      <c r="I84" s="2472">
        <f>'1_MdR'!K46</f>
        <v>1</v>
      </c>
      <c r="J84" s="2472" t="s">
        <v>157</v>
      </c>
      <c r="K84" s="2474">
        <f>'1_MdR'!M46</f>
        <v>3</v>
      </c>
      <c r="L84" s="3704" t="str">
        <f>'1_MdR'!N46</f>
        <v xml:space="preserve"> - Informes de consultorías contratadas</v>
      </c>
      <c r="M84" s="3707" t="str">
        <f>'1_MdR'!P45</f>
        <v xml:space="preserve">Etapa 1 implica…
Etapa 2 implica…
Etapa 3 implica…
</v>
      </c>
      <c r="N84" s="3708"/>
    </row>
    <row r="85" spans="1:14" ht="18" customHeight="1" outlineLevel="1">
      <c r="A85" s="3681"/>
      <c r="B85" s="3702"/>
      <c r="C85" s="3703"/>
      <c r="D85" s="226" t="s">
        <v>1093</v>
      </c>
      <c r="E85" s="2473" t="s">
        <v>157</v>
      </c>
      <c r="F85" s="2473" t="s">
        <v>157</v>
      </c>
      <c r="G85" s="2473">
        <v>1</v>
      </c>
      <c r="H85" s="2473">
        <v>1</v>
      </c>
      <c r="I85" s="2473">
        <v>1</v>
      </c>
      <c r="J85" s="2473" t="s">
        <v>157</v>
      </c>
      <c r="K85" s="2475">
        <v>3</v>
      </c>
      <c r="L85" s="3705"/>
      <c r="M85" s="3709"/>
      <c r="N85" s="3710"/>
    </row>
    <row r="86" spans="1:14" ht="18" customHeight="1" outlineLevel="1">
      <c r="A86" s="3681"/>
      <c r="B86" s="3702"/>
      <c r="C86" s="3703"/>
      <c r="D86" s="228" t="s">
        <v>1094</v>
      </c>
      <c r="E86" s="241"/>
      <c r="F86" s="241"/>
      <c r="G86" s="241"/>
      <c r="H86" s="241"/>
      <c r="I86" s="241"/>
      <c r="J86" s="241"/>
      <c r="K86" s="2476"/>
      <c r="L86" s="3706"/>
      <c r="M86" s="3711"/>
      <c r="N86" s="3712"/>
    </row>
    <row r="87" spans="1:14">
      <c r="A87" s="2150"/>
      <c r="B87" s="2151" t="str">
        <f>'1_MdR'!B48</f>
        <v>Subcomponente 2.2 Desarrollo de competencias para el control interno</v>
      </c>
      <c r="C87" s="2152"/>
      <c r="D87" s="2152"/>
      <c r="E87" s="2152"/>
      <c r="F87" s="2152"/>
      <c r="G87" s="2152"/>
      <c r="H87" s="2152"/>
      <c r="I87" s="2152"/>
      <c r="J87" s="2152"/>
      <c r="K87" s="2153"/>
      <c r="L87" s="2152"/>
      <c r="M87" s="2152"/>
      <c r="N87" s="2152"/>
    </row>
    <row r="88" spans="1:14" ht="18" customHeight="1" outlineLevel="1">
      <c r="A88" s="3680"/>
      <c r="B88" s="3702">
        <f>'1_MdR'!B49</f>
        <v>0</v>
      </c>
      <c r="C88" s="3703" t="str">
        <f>'1_MdR'!C49</f>
        <v>Informe</v>
      </c>
      <c r="D88" s="225" t="s">
        <v>1092</v>
      </c>
      <c r="E88" s="2472" t="str">
        <f>'1_MdR'!G49</f>
        <v>-</v>
      </c>
      <c r="F88" s="2472" t="s">
        <v>157</v>
      </c>
      <c r="G88" s="2472" t="s">
        <v>157</v>
      </c>
      <c r="H88" s="2472">
        <f>'1_MdR'!J49</f>
        <v>1</v>
      </c>
      <c r="I88" s="2472">
        <f>'1_MdR'!K49</f>
        <v>1</v>
      </c>
      <c r="J88" s="2472" t="str">
        <f>'1_MdR'!L49</f>
        <v>-</v>
      </c>
      <c r="K88" s="2474">
        <f>'1_MdR'!M49</f>
        <v>2</v>
      </c>
      <c r="L88" s="3704" t="str">
        <f>'1_MdR'!N49</f>
        <v xml:space="preserve"> - Informes de consultorías contratadas</v>
      </c>
      <c r="M88" s="3707" t="str">
        <f>'1_MdR'!P49</f>
        <v xml:space="preserve">Cierre de brechas realizado - Tercer etapa
2026. Brechas de competencias según modelo de talento humano dimensionadas. </v>
      </c>
      <c r="N88" s="3708"/>
    </row>
    <row r="89" spans="1:14" ht="18" customHeight="1" outlineLevel="1">
      <c r="A89" s="3681"/>
      <c r="B89" s="3702"/>
      <c r="C89" s="3703"/>
      <c r="D89" s="226" t="s">
        <v>1093</v>
      </c>
      <c r="E89" s="2473" t="s">
        <v>157</v>
      </c>
      <c r="F89" s="2473" t="s">
        <v>157</v>
      </c>
      <c r="G89" s="2473" t="s">
        <v>157</v>
      </c>
      <c r="H89" s="2473">
        <v>1</v>
      </c>
      <c r="I89" s="2473">
        <v>1</v>
      </c>
      <c r="J89" s="2473" t="s">
        <v>157</v>
      </c>
      <c r="K89" s="2475">
        <v>2</v>
      </c>
      <c r="L89" s="3705"/>
      <c r="M89" s="3709"/>
      <c r="N89" s="3710"/>
    </row>
    <row r="90" spans="1:14" ht="18" customHeight="1" outlineLevel="1">
      <c r="A90" s="3681"/>
      <c r="B90" s="3702"/>
      <c r="C90" s="3703"/>
      <c r="D90" s="228" t="s">
        <v>1094</v>
      </c>
      <c r="E90" s="241"/>
      <c r="F90" s="241"/>
      <c r="G90" s="241"/>
      <c r="H90" s="241"/>
      <c r="I90" s="241"/>
      <c r="J90" s="241"/>
      <c r="K90" s="2476"/>
      <c r="L90" s="3706"/>
      <c r="M90" s="3711"/>
      <c r="N90" s="3712"/>
    </row>
    <row r="91" spans="1:14" ht="18" customHeight="1" outlineLevel="1">
      <c r="A91" s="3680"/>
      <c r="B91" s="3702">
        <f>'1_MdR'!B50</f>
        <v>0</v>
      </c>
      <c r="C91" s="3703" t="str">
        <f>'1_MdR'!C50</f>
        <v>Informes</v>
      </c>
      <c r="D91" s="225" t="s">
        <v>1092</v>
      </c>
      <c r="E91" s="2472" t="str">
        <f>'1_MdR'!G50</f>
        <v>-</v>
      </c>
      <c r="F91" s="2472">
        <f>'1_MdR'!H50</f>
        <v>1</v>
      </c>
      <c r="G91" s="2472">
        <f>'1_MdR'!I50</f>
        <v>1</v>
      </c>
      <c r="H91" s="2472">
        <f>'1_MdR'!J50</f>
        <v>1</v>
      </c>
      <c r="I91" s="2472" t="s">
        <v>157</v>
      </c>
      <c r="J91" s="2472" t="s">
        <v>157</v>
      </c>
      <c r="K91" s="2474">
        <f>'1_MdR'!M50</f>
        <v>3</v>
      </c>
      <c r="L91" s="3704" t="str">
        <f>'1_MdR'!N50</f>
        <v xml:space="preserve"> - Informes de consultorías contratadas</v>
      </c>
      <c r="M91" s="3707" t="str">
        <f>'1_MdR'!P50</f>
        <v>Implica 31  colaboradores certificados en COSO ERM y 15 colaboradores certificados en CIA y la certificación nacional de la CGR 
2024. 15 certificados
2025. 10 certificados
2026. 6 certificados</v>
      </c>
      <c r="N91" s="3708"/>
    </row>
    <row r="92" spans="1:14" ht="18" customHeight="1" outlineLevel="1">
      <c r="A92" s="3681"/>
      <c r="B92" s="3702"/>
      <c r="C92" s="3703"/>
      <c r="D92" s="226" t="s">
        <v>1093</v>
      </c>
      <c r="E92" s="2473" t="s">
        <v>157</v>
      </c>
      <c r="F92" s="2473">
        <v>1</v>
      </c>
      <c r="G92" s="2473">
        <v>1</v>
      </c>
      <c r="H92" s="2473">
        <v>1</v>
      </c>
      <c r="I92" s="2473" t="s">
        <v>157</v>
      </c>
      <c r="J92" s="2473" t="s">
        <v>157</v>
      </c>
      <c r="K92" s="2475">
        <v>3</v>
      </c>
      <c r="L92" s="3705"/>
      <c r="M92" s="3709"/>
      <c r="N92" s="3710"/>
    </row>
    <row r="93" spans="1:14" ht="18" customHeight="1" outlineLevel="1">
      <c r="A93" s="3681"/>
      <c r="B93" s="3702"/>
      <c r="C93" s="3703"/>
      <c r="D93" s="228" t="s">
        <v>1094</v>
      </c>
      <c r="E93" s="241"/>
      <c r="F93" s="241"/>
      <c r="G93" s="241"/>
      <c r="H93" s="241"/>
      <c r="I93" s="241"/>
      <c r="J93" s="241"/>
      <c r="K93" s="2476"/>
      <c r="L93" s="3706"/>
      <c r="M93" s="3711"/>
      <c r="N93" s="3712"/>
    </row>
    <row r="94" spans="1:14" ht="18" customHeight="1" outlineLevel="1">
      <c r="A94" s="3680"/>
      <c r="B94" s="3702">
        <f>'1_MdR'!B52</f>
        <v>0</v>
      </c>
      <c r="C94" s="3703" t="str">
        <f>'1_MdR'!C52</f>
        <v>Informes</v>
      </c>
      <c r="D94" s="225" t="s">
        <v>1092</v>
      </c>
      <c r="E94" s="2472" t="str">
        <f>'1_MdR'!G52</f>
        <v>-</v>
      </c>
      <c r="F94" s="2472" t="s">
        <v>157</v>
      </c>
      <c r="G94" s="2472" t="s">
        <v>157</v>
      </c>
      <c r="H94" s="2472">
        <f>'1_MdR'!J52</f>
        <v>1</v>
      </c>
      <c r="I94" s="2472">
        <f>'1_MdR'!K52</f>
        <v>1</v>
      </c>
      <c r="J94" s="2472" t="str">
        <f>'1_MdR'!L52</f>
        <v>-</v>
      </c>
      <c r="K94" s="2474">
        <f>'1_MdR'!M52</f>
        <v>2</v>
      </c>
      <c r="L94" s="3704">
        <f>'1_MdR'!N52</f>
        <v>0</v>
      </c>
      <c r="M94" s="3707" t="str">
        <f>'1_MdR'!P52</f>
        <v xml:space="preserve">2026. Incluye normativas de control interno </v>
      </c>
      <c r="N94" s="3708"/>
    </row>
    <row r="95" spans="1:14" ht="18" customHeight="1" outlineLevel="1">
      <c r="A95" s="3681"/>
      <c r="B95" s="3702"/>
      <c r="C95" s="3703"/>
      <c r="D95" s="226" t="s">
        <v>1093</v>
      </c>
      <c r="E95" s="2473" t="s">
        <v>157</v>
      </c>
      <c r="F95" s="2473" t="s">
        <v>157</v>
      </c>
      <c r="G95" s="2473" t="s">
        <v>157</v>
      </c>
      <c r="H95" s="2473">
        <v>1</v>
      </c>
      <c r="I95" s="2473">
        <v>1</v>
      </c>
      <c r="J95" s="2473" t="s">
        <v>157</v>
      </c>
      <c r="K95" s="2475">
        <v>2</v>
      </c>
      <c r="L95" s="3705"/>
      <c r="M95" s="3709"/>
      <c r="N95" s="3710"/>
    </row>
    <row r="96" spans="1:14" ht="18" customHeight="1" outlineLevel="1">
      <c r="A96" s="3681"/>
      <c r="B96" s="3702"/>
      <c r="C96" s="3703"/>
      <c r="D96" s="228" t="s">
        <v>1094</v>
      </c>
      <c r="E96" s="241"/>
      <c r="F96" s="241"/>
      <c r="G96" s="241"/>
      <c r="H96" s="241"/>
      <c r="I96" s="241"/>
      <c r="J96" s="241"/>
      <c r="K96" s="2476"/>
      <c r="L96" s="3706"/>
      <c r="M96" s="3711"/>
      <c r="N96" s="3712"/>
    </row>
    <row r="97" spans="1:14">
      <c r="A97" s="2150"/>
      <c r="B97" s="2151" t="str">
        <f>'1_MdR'!B55</f>
        <v>Subcomponente 2.3 Tecnologías digitales orientadas a la transparencia y control del buen uso de los recursos públicos</v>
      </c>
      <c r="C97" s="2152"/>
      <c r="D97" s="2152"/>
      <c r="E97" s="2152"/>
      <c r="F97" s="2152"/>
      <c r="G97" s="2152"/>
      <c r="H97" s="2152"/>
      <c r="I97" s="2152"/>
      <c r="J97" s="2152"/>
      <c r="K97" s="2153"/>
      <c r="L97" s="2152"/>
      <c r="M97" s="2152"/>
      <c r="N97" s="2152"/>
    </row>
    <row r="98" spans="1:14" ht="18" customHeight="1" outlineLevel="1">
      <c r="A98" s="3680"/>
      <c r="B98" s="3702">
        <f>'1_MdR'!B56</f>
        <v>0</v>
      </c>
      <c r="C98" s="3722" t="str">
        <f>'1_MdR'!C56</f>
        <v>Informes</v>
      </c>
      <c r="D98" s="225" t="s">
        <v>1092</v>
      </c>
      <c r="E98" s="2472" t="s">
        <v>157</v>
      </c>
      <c r="F98" s="2472" t="s">
        <v>157</v>
      </c>
      <c r="G98" s="2472">
        <f>'1_MdR'!I56</f>
        <v>1</v>
      </c>
      <c r="H98" s="2472">
        <f>'1_MdR'!J56</f>
        <v>1</v>
      </c>
      <c r="I98" s="2472">
        <f>'1_MdR'!K56</f>
        <v>1</v>
      </c>
      <c r="J98" s="2472">
        <f>'1_MdR'!L56</f>
        <v>1</v>
      </c>
      <c r="K98" s="2474">
        <f>'1_MdR'!M56</f>
        <v>4</v>
      </c>
      <c r="L98" s="3723">
        <f>'1_MdR'!N56</f>
        <v>0</v>
      </c>
      <c r="M98" s="3682">
        <f>'1_MdR'!P56</f>
        <v>0</v>
      </c>
      <c r="N98" s="3683"/>
    </row>
    <row r="99" spans="1:14" ht="18" customHeight="1" outlineLevel="1">
      <c r="A99" s="3681"/>
      <c r="B99" s="3702"/>
      <c r="C99" s="3703"/>
      <c r="D99" s="226" t="s">
        <v>1093</v>
      </c>
      <c r="E99" s="2473" t="s">
        <v>157</v>
      </c>
      <c r="F99" s="2473" t="s">
        <v>157</v>
      </c>
      <c r="G99" s="2473">
        <v>1</v>
      </c>
      <c r="H99" s="2473">
        <v>1</v>
      </c>
      <c r="I99" s="2473">
        <v>1</v>
      </c>
      <c r="J99" s="2473">
        <v>1</v>
      </c>
      <c r="K99" s="2475">
        <v>4</v>
      </c>
      <c r="L99" s="3724"/>
      <c r="M99" s="3684"/>
      <c r="N99" s="3685"/>
    </row>
    <row r="100" spans="1:14" ht="18" customHeight="1" outlineLevel="1">
      <c r="A100" s="3681"/>
      <c r="B100" s="3702"/>
      <c r="C100" s="3703"/>
      <c r="D100" s="228" t="s">
        <v>1094</v>
      </c>
      <c r="E100" s="241"/>
      <c r="F100" s="241"/>
      <c r="G100" s="241"/>
      <c r="H100" s="241"/>
      <c r="I100" s="241"/>
      <c r="J100" s="241"/>
      <c r="K100" s="2476"/>
      <c r="L100" s="3725"/>
      <c r="M100" s="3686"/>
      <c r="N100" s="3687"/>
    </row>
    <row r="101" spans="1:14">
      <c r="A101" s="236"/>
      <c r="B101" s="237" t="str">
        <f>'1_MdR'!B59</f>
        <v xml:space="preserve">Componente 3: Fortalecimiento del acceso a la información, participación ciudadana e integridad en la administración pública y sector privado </v>
      </c>
      <c r="C101" s="238"/>
      <c r="D101" s="238"/>
      <c r="E101" s="238"/>
      <c r="F101" s="238"/>
      <c r="G101" s="238"/>
      <c r="H101" s="238"/>
      <c r="I101" s="238"/>
      <c r="J101" s="238"/>
      <c r="K101" s="239"/>
      <c r="L101" s="238"/>
      <c r="M101" s="238"/>
      <c r="N101" s="238"/>
    </row>
    <row r="102" spans="1:14">
      <c r="A102" s="2150"/>
      <c r="B102" s="2151" t="str">
        <f>'1_MdR'!B61</f>
        <v>Subcomponente 3.1. Innovación pública para la Integridad y prevención de la corrupción</v>
      </c>
      <c r="C102" s="2152"/>
      <c r="D102" s="2152"/>
      <c r="E102" s="2152"/>
      <c r="F102" s="2152"/>
      <c r="G102" s="2152"/>
      <c r="H102" s="2152"/>
      <c r="I102" s="2152"/>
      <c r="J102" s="2152"/>
      <c r="K102" s="2153"/>
      <c r="L102" s="2152"/>
      <c r="M102" s="2152"/>
      <c r="N102" s="2152"/>
    </row>
    <row r="103" spans="1:14" outlineLevel="1">
      <c r="A103" s="3680"/>
      <c r="B103" s="3702" t="str">
        <f>'1_MdR'!B62</f>
        <v>Producto 16: Sistema Nacional Integrado de Transparencia e Integridad Implementado. Incluye Plataforma de seguimiento y evaluación de componentes de integridad y sistema para el seguimiento de compromisos internacionales</v>
      </c>
      <c r="C103" s="3703" t="str">
        <f>'1_MdR'!C62</f>
        <v>Informe</v>
      </c>
      <c r="D103" s="225" t="s">
        <v>1092</v>
      </c>
      <c r="E103" s="2472" t="str">
        <f>+'1_MdR'!G62</f>
        <v>-</v>
      </c>
      <c r="F103" s="2472" t="str">
        <f>+'1_MdR'!H62</f>
        <v>-</v>
      </c>
      <c r="G103" s="2472">
        <f>+'1_MdR'!I62</f>
        <v>2</v>
      </c>
      <c r="H103" s="2472">
        <f>+'1_MdR'!J62</f>
        <v>1</v>
      </c>
      <c r="I103" s="2472">
        <f>+'1_MdR'!K62</f>
        <v>1</v>
      </c>
      <c r="J103" s="2472" t="str">
        <f>+'1_MdR'!L62</f>
        <v>-</v>
      </c>
      <c r="K103" s="2472">
        <f>+'1_MdR'!M62</f>
        <v>4</v>
      </c>
      <c r="L103" s="3704" t="str">
        <f>'1_MdR'!N62</f>
        <v xml:space="preserve"> - Informes de consultorías contratadas </v>
      </c>
      <c r="M103" s="3707" t="str">
        <f>'1_MdR'!P62</f>
        <v>Año 3. Estudio de situación y propuesta de planes de accion
Año 3.  Informe del diseño de plataforma del Sistema Nacional de Integridad.
Año 4. Informe de avance en el desarrollo de la plataforma del Sistema Nacional de Integridad.
Año 5. Informe de implementacion de la plataforma.</v>
      </c>
      <c r="N103" s="3708"/>
    </row>
    <row r="104" spans="1:14" outlineLevel="1">
      <c r="A104" s="3681"/>
      <c r="B104" s="3702"/>
      <c r="C104" s="3703"/>
      <c r="D104" s="226" t="s">
        <v>1093</v>
      </c>
      <c r="E104" s="2473" t="s">
        <v>157</v>
      </c>
      <c r="F104" s="2473" t="s">
        <v>157</v>
      </c>
      <c r="G104" s="2473">
        <v>2</v>
      </c>
      <c r="H104" s="2473">
        <v>1</v>
      </c>
      <c r="I104" s="2473">
        <v>1</v>
      </c>
      <c r="J104" s="2473">
        <v>0</v>
      </c>
      <c r="K104" s="2475">
        <v>4</v>
      </c>
      <c r="L104" s="3705"/>
      <c r="M104" s="3709"/>
      <c r="N104" s="3710"/>
    </row>
    <row r="105" spans="1:14" outlineLevel="1">
      <c r="A105" s="3681"/>
      <c r="B105" s="3702"/>
      <c r="C105" s="3703"/>
      <c r="D105" s="228" t="s">
        <v>1094</v>
      </c>
      <c r="E105" s="241"/>
      <c r="F105" s="241"/>
      <c r="G105" s="241" t="s">
        <v>1098</v>
      </c>
      <c r="H105" s="241"/>
      <c r="I105" s="241"/>
      <c r="J105" s="241"/>
      <c r="K105" s="2476"/>
      <c r="L105" s="3706"/>
      <c r="M105" s="3711"/>
      <c r="N105" s="3712"/>
    </row>
    <row r="106" spans="1:14" outlineLevel="1">
      <c r="A106" s="3680"/>
      <c r="B106" s="3702" t="str">
        <f>'1_MdR'!B63</f>
        <v>Producto 17: Marco regulatorio en materia de integridad, fortalecido. Incluye protección a denunciantes y normativas sobre conflictos de interes</v>
      </c>
      <c r="C106" s="3703" t="str">
        <f>'1_MdR'!C63</f>
        <v>Informe</v>
      </c>
      <c r="D106" s="225" t="s">
        <v>1092</v>
      </c>
      <c r="E106" s="2472" t="str">
        <f>+'1_MdR'!G63</f>
        <v>-</v>
      </c>
      <c r="F106" s="2472" t="str">
        <f>+'1_MdR'!H63</f>
        <v>-</v>
      </c>
      <c r="G106" s="2472" t="str">
        <f>+'1_MdR'!I63</f>
        <v>-</v>
      </c>
      <c r="H106" s="2472">
        <f>+'1_MdR'!J63</f>
        <v>1</v>
      </c>
      <c r="I106" s="2472">
        <f>+'1_MdR'!K63</f>
        <v>1</v>
      </c>
      <c r="J106" s="2472" t="str">
        <f>+'1_MdR'!L63</f>
        <v>-</v>
      </c>
      <c r="K106" s="2472">
        <f>+'1_MdR'!M63</f>
        <v>2</v>
      </c>
      <c r="L106" s="3704" t="str">
        <f>'1_MdR'!N63</f>
        <v xml:space="preserve"> - Informes de consultorías contratadas </v>
      </c>
      <c r="M106" s="3707" t="str">
        <f>'1_MdR'!P63</f>
        <v>Fortalecimiento implica la elaboración de los documentos del Marco Jurídico
Este Marco Juridico incluye, pero no se limita a, ley anticorrupción, ley antisoborno, ley de protección al denunciante.</v>
      </c>
      <c r="N106" s="3708"/>
    </row>
    <row r="107" spans="1:14" outlineLevel="1">
      <c r="A107" s="3681"/>
      <c r="B107" s="3702"/>
      <c r="C107" s="3703"/>
      <c r="D107" s="226" t="s">
        <v>1093</v>
      </c>
      <c r="E107" s="2473" t="s">
        <v>157</v>
      </c>
      <c r="F107" s="2473" t="s">
        <v>157</v>
      </c>
      <c r="G107" s="2473">
        <v>0</v>
      </c>
      <c r="H107" s="2473">
        <v>1</v>
      </c>
      <c r="I107" s="2473">
        <v>1</v>
      </c>
      <c r="J107" s="2473" t="s">
        <v>157</v>
      </c>
      <c r="K107" s="2475">
        <v>2</v>
      </c>
      <c r="L107" s="3705"/>
      <c r="M107" s="3709"/>
      <c r="N107" s="3710"/>
    </row>
    <row r="108" spans="1:14" outlineLevel="1">
      <c r="A108" s="3681"/>
      <c r="B108" s="3702"/>
      <c r="C108" s="3703"/>
      <c r="D108" s="228" t="s">
        <v>1094</v>
      </c>
      <c r="E108" s="241"/>
      <c r="F108" s="241"/>
      <c r="G108" s="241"/>
      <c r="H108" s="241"/>
      <c r="I108" s="241"/>
      <c r="J108" s="241"/>
      <c r="K108" s="2476"/>
      <c r="L108" s="3706"/>
      <c r="M108" s="3711"/>
      <c r="N108" s="3712"/>
    </row>
    <row r="109" spans="1:14" outlineLevel="1">
      <c r="A109" s="3680"/>
      <c r="B109" s="3702" t="str">
        <f>'1_MdR'!B64</f>
        <v>Producto 18: Programa de cumplimiento e integridad para el sector privado desarrollado</v>
      </c>
      <c r="C109" s="3703" t="str">
        <f>'1_MdR'!C64</f>
        <v xml:space="preserve">Informe </v>
      </c>
      <c r="D109" s="225" t="s">
        <v>1092</v>
      </c>
      <c r="E109" s="2472" t="str">
        <f>+'1_MdR'!G64</f>
        <v>-</v>
      </c>
      <c r="F109" s="2472" t="str">
        <f>+'1_MdR'!H64</f>
        <v>-</v>
      </c>
      <c r="G109" s="2472" t="str">
        <f>+'1_MdR'!I64</f>
        <v>-</v>
      </c>
      <c r="H109" s="2472">
        <f>+'1_MdR'!J64</f>
        <v>1</v>
      </c>
      <c r="I109" s="2472">
        <f>+'1_MdR'!K64</f>
        <v>1</v>
      </c>
      <c r="J109" s="2472" t="str">
        <f>+'1_MdR'!L64</f>
        <v>-</v>
      </c>
      <c r="K109" s="2472">
        <f>+'1_MdR'!M64</f>
        <v>2</v>
      </c>
      <c r="L109" s="3704" t="str">
        <f>'1_MdR'!N64</f>
        <v xml:space="preserve"> - Informes de consultorías contratadas </v>
      </c>
      <c r="M109" s="3707" t="str">
        <f>'1_MdR'!P64</f>
        <v>Etapa 1: Plataforma Web y caja de herramientas
Etapa 2: Registro de datos de las empresas</v>
      </c>
      <c r="N109" s="3708"/>
    </row>
    <row r="110" spans="1:14" outlineLevel="1">
      <c r="A110" s="3681"/>
      <c r="B110" s="3702"/>
      <c r="C110" s="3703"/>
      <c r="D110" s="226" t="s">
        <v>1093</v>
      </c>
      <c r="E110" s="2473" t="s">
        <v>157</v>
      </c>
      <c r="F110" s="2473" t="s">
        <v>157</v>
      </c>
      <c r="G110" s="2473">
        <v>0</v>
      </c>
      <c r="H110" s="2473">
        <v>1</v>
      </c>
      <c r="I110" s="2473">
        <v>1</v>
      </c>
      <c r="J110" s="2473" t="s">
        <v>157</v>
      </c>
      <c r="K110" s="2475">
        <v>2</v>
      </c>
      <c r="L110" s="3705"/>
      <c r="M110" s="3709"/>
      <c r="N110" s="3710"/>
    </row>
    <row r="111" spans="1:14" outlineLevel="1">
      <c r="A111" s="3681"/>
      <c r="B111" s="3702"/>
      <c r="C111" s="3703"/>
      <c r="D111" s="228" t="s">
        <v>1094</v>
      </c>
      <c r="E111" s="241"/>
      <c r="F111" s="241"/>
      <c r="G111" s="241"/>
      <c r="H111" s="241"/>
      <c r="I111" s="241"/>
      <c r="J111" s="241"/>
      <c r="K111" s="2476"/>
      <c r="L111" s="3706"/>
      <c r="M111" s="3711"/>
      <c r="N111" s="3712"/>
    </row>
    <row r="112" spans="1:14">
      <c r="A112" s="2150"/>
      <c r="B112" s="2151" t="str">
        <f>'1_MdR'!B65</f>
        <v>Subcomponente 3.2. Participación, control social y gestión de denuncias de corrupción administrativa</v>
      </c>
      <c r="C112" s="2152"/>
      <c r="D112" s="2152"/>
      <c r="E112" s="2152"/>
      <c r="F112" s="2152"/>
      <c r="G112" s="2152"/>
      <c r="H112" s="2152"/>
      <c r="I112" s="2152"/>
      <c r="J112" s="2152"/>
      <c r="K112" s="2153"/>
      <c r="L112" s="2152"/>
      <c r="M112" s="2152"/>
      <c r="N112" s="2152"/>
    </row>
    <row r="113" spans="1:14" outlineLevel="1">
      <c r="A113" s="3680"/>
      <c r="B113" s="3702" t="str">
        <f>'1_MdR'!B66</f>
        <v>Producto 19: Sistema para realizar investigaciones, seguimiento y respuesta a las denuncias ciudadanas desarrollado. Incluye metodologías y plataforma tecnológica de participación ciudadana y seguimiento de denuncias con enfoque de género y diversidad.</v>
      </c>
      <c r="C113" s="3703" t="str">
        <f>'1_MdR'!C66</f>
        <v>Informes</v>
      </c>
      <c r="D113" s="225" t="s">
        <v>1092</v>
      </c>
      <c r="E113" s="2472" t="str">
        <f>+'1_MdR'!G66</f>
        <v>-</v>
      </c>
      <c r="F113" s="2472" t="str">
        <f>+'1_MdR'!H66</f>
        <v>-</v>
      </c>
      <c r="G113" s="2472">
        <f>+'1_MdR'!I66</f>
        <v>1</v>
      </c>
      <c r="H113" s="2472">
        <f>+'1_MdR'!J66</f>
        <v>1</v>
      </c>
      <c r="I113" s="2472">
        <f>+'1_MdR'!K66</f>
        <v>1</v>
      </c>
      <c r="J113" s="2472" t="str">
        <f>+'1_MdR'!L66</f>
        <v>-</v>
      </c>
      <c r="K113" s="2472">
        <f>+'1_MdR'!M66</f>
        <v>3</v>
      </c>
      <c r="L113" s="3704" t="str">
        <f>'1_MdR'!N66</f>
        <v xml:space="preserve"> - Informes de consultorías contratadas </v>
      </c>
      <c r="M113" s="3707" t="str">
        <f>'1_MdR'!P66</f>
        <v>Informe 1 (año 3): Informe diagnóstico barreras de acceso y participacion ciudadana
Informe 2 (año 4): Informe diagnostico proceso de investigacion y seguimiento de denuncias
Informe 3 (año 5): Informe implementacion plataforma tecnologica de participacion ciudadana con enfoque de genero / diversidad</v>
      </c>
      <c r="N113" s="3708"/>
    </row>
    <row r="114" spans="1:14" outlineLevel="1">
      <c r="A114" s="3681"/>
      <c r="B114" s="3702"/>
      <c r="C114" s="3703"/>
      <c r="D114" s="226" t="s">
        <v>1093</v>
      </c>
      <c r="E114" s="2473" t="s">
        <v>157</v>
      </c>
      <c r="F114" s="2473" t="s">
        <v>157</v>
      </c>
      <c r="G114" s="2473">
        <v>1</v>
      </c>
      <c r="H114" s="2473">
        <v>1</v>
      </c>
      <c r="I114" s="2473">
        <v>1</v>
      </c>
      <c r="J114" s="2473">
        <v>0</v>
      </c>
      <c r="K114" s="2475">
        <v>3</v>
      </c>
      <c r="L114" s="3705"/>
      <c r="M114" s="3709"/>
      <c r="N114" s="3710"/>
    </row>
    <row r="115" spans="1:14" outlineLevel="1">
      <c r="A115" s="3681"/>
      <c r="B115" s="3702"/>
      <c r="C115" s="3703"/>
      <c r="D115" s="228" t="s">
        <v>1094</v>
      </c>
      <c r="E115" s="241"/>
      <c r="F115" s="241"/>
      <c r="G115" s="241" t="s">
        <v>1099</v>
      </c>
      <c r="H115" s="241"/>
      <c r="I115" s="241"/>
      <c r="J115" s="241"/>
      <c r="K115" s="2476"/>
      <c r="L115" s="3706"/>
      <c r="M115" s="3711"/>
      <c r="N115" s="3712"/>
    </row>
    <row r="116" spans="1:14">
      <c r="A116" s="2150"/>
      <c r="B116" s="2151" t="str">
        <f>'1_MdR'!B67</f>
        <v xml:space="preserve">Subcomponente 3.3. Innovación para la transparencia y el acceso a la información </v>
      </c>
      <c r="C116" s="2152"/>
      <c r="D116" s="2152"/>
      <c r="E116" s="2152"/>
      <c r="F116" s="2152"/>
      <c r="G116" s="2152"/>
      <c r="H116" s="2152"/>
      <c r="I116" s="2152"/>
      <c r="J116" s="2152"/>
      <c r="K116" s="2153"/>
      <c r="L116" s="2152"/>
      <c r="M116" s="2152"/>
      <c r="N116" s="2152"/>
    </row>
    <row r="117" spans="1:14" outlineLevel="1">
      <c r="A117" s="3680"/>
      <c r="B117" s="3702" t="str">
        <f>'1_MdR'!B68</f>
        <v>Producto 20: Plataforma tecnológica Nacional de Transparencia diseñado e implementado</v>
      </c>
      <c r="C117" s="3703" t="str">
        <f>'1_MdR'!C68</f>
        <v>Informes</v>
      </c>
      <c r="D117" s="225" t="s">
        <v>1092</v>
      </c>
      <c r="E117" s="2472" t="str">
        <f>+'1_MdR'!G68</f>
        <v>-</v>
      </c>
      <c r="F117" s="2472" t="str">
        <f>+'1_MdR'!H68</f>
        <v>-</v>
      </c>
      <c r="G117" s="2472" t="str">
        <f>+'1_MdR'!I68</f>
        <v>-</v>
      </c>
      <c r="H117" s="2472">
        <f>+'1_MdR'!J68</f>
        <v>0</v>
      </c>
      <c r="I117" s="2472">
        <f>+'1_MdR'!K68</f>
        <v>1</v>
      </c>
      <c r="J117" s="2472">
        <f>+'1_MdR'!L68</f>
        <v>1</v>
      </c>
      <c r="K117" s="2472">
        <f>+'1_MdR'!M68</f>
        <v>2</v>
      </c>
      <c r="L117" s="3704" t="str">
        <f>'1_MdR'!N68</f>
        <v xml:space="preserve"> - Informes de consultorías contratadas </v>
      </c>
      <c r="M117" s="3707" t="str">
        <f>'1_MdR'!P68</f>
        <v>Incluye la incorporación de  funcionalidades para garantizar el acceso para personas con discapacidad (Estándar Web Content Accessibility Guidelines WCAG2 y ADA). La mejora implica la Centralización de los portales de Datos Abiertos, de Gobierno Abierto, de la DIGEIG y de Solicitud de Acceso a la Información Pública. Se tendrán en consideración aspectos de la protección de datos personales.
Informe 1 (año 5): Informe diseño plataforma tecnologica unificada
Informe 2 (año 6): Informe implementacion plataforma tecnologica</v>
      </c>
      <c r="N117" s="3708"/>
    </row>
    <row r="118" spans="1:14" outlineLevel="1">
      <c r="A118" s="3681"/>
      <c r="B118" s="3702"/>
      <c r="C118" s="3703"/>
      <c r="D118" s="226" t="s">
        <v>1093</v>
      </c>
      <c r="E118" s="2473" t="s">
        <v>157</v>
      </c>
      <c r="F118" s="2473" t="s">
        <v>157</v>
      </c>
      <c r="G118" s="2473">
        <v>0</v>
      </c>
      <c r="H118" s="2473">
        <v>0</v>
      </c>
      <c r="I118" s="2473">
        <v>1</v>
      </c>
      <c r="J118" s="2473">
        <v>1</v>
      </c>
      <c r="K118" s="2475">
        <v>2</v>
      </c>
      <c r="L118" s="3705"/>
      <c r="M118" s="3709"/>
      <c r="N118" s="3710"/>
    </row>
    <row r="119" spans="1:14" outlineLevel="1">
      <c r="A119" s="3681"/>
      <c r="B119" s="3702"/>
      <c r="C119" s="3703"/>
      <c r="D119" s="228" t="s">
        <v>1094</v>
      </c>
      <c r="E119" s="241"/>
      <c r="F119" s="241"/>
      <c r="G119" s="241"/>
      <c r="H119" s="241"/>
      <c r="I119" s="241"/>
      <c r="J119" s="241"/>
      <c r="K119" s="2476"/>
      <c r="L119" s="3706"/>
      <c r="M119" s="3711"/>
      <c r="N119" s="3712"/>
    </row>
    <row r="120" spans="1:14">
      <c r="A120" s="2150"/>
      <c r="B120" s="2151" t="str">
        <f>'1_MdR'!B69</f>
        <v>Subcomponente 3.4. Comunicación y capacitación para la transparencia y la integridad</v>
      </c>
      <c r="C120" s="2152"/>
      <c r="D120" s="2152"/>
      <c r="E120" s="2152"/>
      <c r="F120" s="2152"/>
      <c r="G120" s="2152"/>
      <c r="H120" s="2152"/>
      <c r="I120" s="2152"/>
      <c r="J120" s="2152"/>
      <c r="K120" s="2153"/>
      <c r="L120" s="2152"/>
      <c r="M120" s="2152"/>
      <c r="N120" s="2152"/>
    </row>
    <row r="121" spans="1:14" outlineLevel="1">
      <c r="A121" s="3680"/>
      <c r="B121" s="3702" t="str">
        <f>'1_MdR'!B70</f>
        <v>Producto 21: Programa de Gestión del Cambio para la transparencia e integridad, desarrollado. Incluye programa de comunicación y difusión a la ciudadanía sobre DIGEIG y capacitación  interna de las nuevas modalidades de gestión</v>
      </c>
      <c r="C121" s="3703" t="str">
        <f>'1_MdR'!C70</f>
        <v>Informe</v>
      </c>
      <c r="D121" s="225" t="s">
        <v>1092</v>
      </c>
      <c r="E121" s="2472" t="str">
        <f>+'1_MdR'!G70</f>
        <v>-</v>
      </c>
      <c r="F121" s="2472" t="str">
        <f>+'1_MdR'!H70</f>
        <v>-</v>
      </c>
      <c r="G121" s="2472" t="str">
        <f>+'1_MdR'!I70</f>
        <v>-</v>
      </c>
      <c r="H121" s="2472">
        <f>+'1_MdR'!J70</f>
        <v>1</v>
      </c>
      <c r="I121" s="2472">
        <f>+'1_MdR'!K70</f>
        <v>1</v>
      </c>
      <c r="J121" s="2472">
        <f>+'1_MdR'!L70</f>
        <v>1</v>
      </c>
      <c r="K121" s="2472">
        <f>+'1_MdR'!M70</f>
        <v>3</v>
      </c>
      <c r="L121" s="3704" t="str">
        <f>'1_MdR'!N70</f>
        <v xml:space="preserve"> - Informes de consultorías contratadas </v>
      </c>
      <c r="M121" s="3707" t="str">
        <f>'1_MdR'!P70</f>
        <v>Informes anuales de ejecucion</v>
      </c>
      <c r="N121" s="3708"/>
    </row>
    <row r="122" spans="1:14" outlineLevel="1">
      <c r="A122" s="3681"/>
      <c r="B122" s="3702"/>
      <c r="C122" s="3703"/>
      <c r="D122" s="226" t="s">
        <v>1093</v>
      </c>
      <c r="E122" s="2473" t="s">
        <v>157</v>
      </c>
      <c r="F122" s="2473" t="s">
        <v>157</v>
      </c>
      <c r="G122" s="2473" t="s">
        <v>157</v>
      </c>
      <c r="H122" s="2473">
        <v>1</v>
      </c>
      <c r="I122" s="2473">
        <v>1</v>
      </c>
      <c r="J122" s="2473">
        <v>1</v>
      </c>
      <c r="K122" s="2475">
        <v>3</v>
      </c>
      <c r="L122" s="3705"/>
      <c r="M122" s="3709"/>
      <c r="N122" s="3710"/>
    </row>
    <row r="123" spans="1:14" outlineLevel="1">
      <c r="A123" s="3681"/>
      <c r="B123" s="3702"/>
      <c r="C123" s="3703"/>
      <c r="D123" s="228" t="s">
        <v>1094</v>
      </c>
      <c r="E123" s="241"/>
      <c r="F123" s="241"/>
      <c r="G123" s="241"/>
      <c r="H123" s="241"/>
      <c r="I123" s="241"/>
      <c r="J123" s="241"/>
      <c r="K123" s="2476"/>
      <c r="L123" s="3706"/>
      <c r="M123" s="3711"/>
      <c r="N123" s="3712"/>
    </row>
    <row r="124" spans="1:14">
      <c r="A124" s="105"/>
      <c r="B124" s="105"/>
      <c r="C124" s="105"/>
      <c r="D124" s="105"/>
      <c r="E124" s="105"/>
      <c r="F124" s="105"/>
      <c r="G124" s="105"/>
      <c r="H124" s="105"/>
      <c r="I124" s="105"/>
      <c r="J124" s="105"/>
      <c r="K124" s="242"/>
      <c r="L124" s="105"/>
      <c r="M124" s="105"/>
      <c r="N124" s="104"/>
    </row>
    <row r="125" spans="1:14">
      <c r="A125" s="3713" t="s">
        <v>1100</v>
      </c>
      <c r="B125" s="3714"/>
      <c r="C125" s="3714"/>
      <c r="D125" s="3714"/>
      <c r="E125" s="3714"/>
      <c r="F125" s="3714"/>
      <c r="G125" s="3714"/>
      <c r="H125" s="3714"/>
      <c r="I125" s="3714"/>
      <c r="J125" s="3714"/>
      <c r="K125" s="3714"/>
      <c r="L125" s="3714"/>
      <c r="M125" s="3714"/>
      <c r="N125" s="3715"/>
    </row>
    <row r="126" spans="1:14" ht="15" customHeight="1" outlineLevel="1">
      <c r="A126" s="3716" t="s">
        <v>484</v>
      </c>
      <c r="B126" s="3717" t="s">
        <v>1097</v>
      </c>
      <c r="C126" s="3718"/>
      <c r="D126" s="3721"/>
      <c r="E126" s="3721" t="s">
        <v>187</v>
      </c>
      <c r="F126" s="3721" t="s">
        <v>188</v>
      </c>
      <c r="G126" s="3721" t="s">
        <v>189</v>
      </c>
      <c r="H126" s="3721" t="s">
        <v>190</v>
      </c>
      <c r="I126" s="3721" t="s">
        <v>191</v>
      </c>
      <c r="J126" s="3721" t="s">
        <v>192</v>
      </c>
      <c r="K126" s="3695" t="s">
        <v>487</v>
      </c>
      <c r="L126" s="3696" t="s">
        <v>151</v>
      </c>
      <c r="M126" s="3697"/>
      <c r="N126" s="3698"/>
    </row>
    <row r="127" spans="1:14" outlineLevel="1">
      <c r="A127" s="3716">
        <v>0</v>
      </c>
      <c r="B127" s="3719"/>
      <c r="C127" s="3720"/>
      <c r="D127" s="3721"/>
      <c r="E127" s="3721">
        <v>0</v>
      </c>
      <c r="F127" s="3721">
        <v>1</v>
      </c>
      <c r="G127" s="3721">
        <v>2</v>
      </c>
      <c r="H127" s="3721">
        <v>3</v>
      </c>
      <c r="I127" s="3721">
        <v>4</v>
      </c>
      <c r="J127" s="3721">
        <v>5</v>
      </c>
      <c r="K127" s="3695">
        <v>0</v>
      </c>
      <c r="L127" s="3699"/>
      <c r="M127" s="3700"/>
      <c r="N127" s="3701"/>
    </row>
    <row r="128" spans="1:14" outlineLevel="1">
      <c r="A128" s="236" t="s">
        <v>3956</v>
      </c>
      <c r="B128" s="237" t="e">
        <f>K128</f>
        <v>#REF!</v>
      </c>
      <c r="C128" s="238"/>
      <c r="D128" s="238"/>
      <c r="E128" s="2509" t="e">
        <f>+#REF!+#REF!+#REF!+#REF!</f>
        <v>#REF!</v>
      </c>
      <c r="F128" s="2509" t="e">
        <f>+#REF!+#REF!+#REF!+#REF!</f>
        <v>#REF!</v>
      </c>
      <c r="G128" s="2509" t="e">
        <f>+#REF!+#REF!+#REF!+#REF!</f>
        <v>#REF!</v>
      </c>
      <c r="H128" s="2509" t="e">
        <f>+#REF!+#REF!+#REF!+#REF!</f>
        <v>#REF!</v>
      </c>
      <c r="I128" s="2509" t="e">
        <f>+#REF!+#REF!+#REF!+#REF!</f>
        <v>#REF!</v>
      </c>
      <c r="J128" s="2509" t="e">
        <f>+#REF!+#REF!+#REF!+#REF!</f>
        <v>#REF!</v>
      </c>
      <c r="K128" s="2509" t="e">
        <f>+#REF!+#REF!+#REF!+#REF!</f>
        <v>#REF!</v>
      </c>
      <c r="L128" s="238"/>
      <c r="M128" s="238"/>
      <c r="N128" s="238"/>
    </row>
    <row r="129" spans="1:14" outlineLevel="1">
      <c r="A129" s="236" t="str">
        <f>'8_MP'!$D$368</f>
        <v>3</v>
      </c>
      <c r="B129" s="237" t="str">
        <f>'8_MP'!$H$368</f>
        <v xml:space="preserve">Componente 3: Fortalecimiento del acceso a la información, participación ciudadana e integridad en la administración pública y sector privado </v>
      </c>
      <c r="C129" s="238"/>
      <c r="D129" s="238"/>
      <c r="E129" s="2509">
        <f t="shared" ref="E129:K129" si="0">+E130+E140+E144+E148</f>
        <v>0</v>
      </c>
      <c r="F129" s="2509">
        <f t="shared" si="0"/>
        <v>133000</v>
      </c>
      <c r="G129" s="2509">
        <f t="shared" si="0"/>
        <v>761900</v>
      </c>
      <c r="H129" s="2509">
        <f t="shared" si="0"/>
        <v>3452200.1799999997</v>
      </c>
      <c r="I129" s="2509">
        <f t="shared" si="0"/>
        <v>2173099.8200000003</v>
      </c>
      <c r="J129" s="2509">
        <f t="shared" si="0"/>
        <v>684800</v>
      </c>
      <c r="K129" s="2509">
        <f t="shared" si="0"/>
        <v>7205000</v>
      </c>
      <c r="L129" s="238"/>
      <c r="M129" s="238"/>
      <c r="N129" s="238"/>
    </row>
    <row r="130" spans="1:14" outlineLevel="1">
      <c r="A130" s="2150" t="str">
        <f>'8_MP'!$D$369</f>
        <v>3.1</v>
      </c>
      <c r="B130" s="2151" t="str">
        <f>'8_MP'!$H$369</f>
        <v>Subcomponente 3.1. Innovación pública para la Integridad y prevención de la corrupción</v>
      </c>
      <c r="C130" s="2152"/>
      <c r="D130" s="2152"/>
      <c r="E130" s="2508">
        <f t="shared" ref="E130:K130" si="1">+E132+E135+E138</f>
        <v>0</v>
      </c>
      <c r="F130" s="2508">
        <f t="shared" si="1"/>
        <v>109000</v>
      </c>
      <c r="G130" s="2508">
        <f t="shared" si="1"/>
        <v>473000</v>
      </c>
      <c r="H130" s="2508">
        <f t="shared" si="1"/>
        <v>1060100</v>
      </c>
      <c r="I130" s="2508">
        <f t="shared" si="1"/>
        <v>179900</v>
      </c>
      <c r="J130" s="2508">
        <f t="shared" si="1"/>
        <v>86000</v>
      </c>
      <c r="K130" s="2508">
        <f t="shared" si="1"/>
        <v>1908000</v>
      </c>
      <c r="L130" s="2152"/>
      <c r="M130" s="2152"/>
      <c r="N130" s="2152"/>
    </row>
    <row r="131" spans="1:14" ht="15" customHeight="1" outlineLevel="1">
      <c r="A131" s="3681"/>
      <c r="B131" s="3689" t="str">
        <f>+B103</f>
        <v>Producto 16: Sistema Nacional Integrado de Transparencia e Integridad Implementado. Incluye Plataforma de seguimiento y evaluación de componentes de integridad y sistema para el seguimiento de compromisos internacionales</v>
      </c>
      <c r="C131" s="3690"/>
      <c r="D131" s="226" t="s">
        <v>1092</v>
      </c>
      <c r="E131" s="243">
        <v>0</v>
      </c>
      <c r="F131" s="243">
        <v>50000</v>
      </c>
      <c r="G131" s="243">
        <v>313000</v>
      </c>
      <c r="H131" s="243">
        <v>347000</v>
      </c>
      <c r="I131" s="243">
        <v>454000</v>
      </c>
      <c r="J131" s="243">
        <v>250000</v>
      </c>
      <c r="K131" s="243">
        <f>SUM(E131:J131)</f>
        <v>1414000</v>
      </c>
      <c r="L131" s="3688"/>
      <c r="M131" s="3688"/>
      <c r="N131" s="3688"/>
    </row>
    <row r="132" spans="1:14" outlineLevel="1">
      <c r="A132" s="3681"/>
      <c r="B132" s="3691"/>
      <c r="C132" s="3692"/>
      <c r="D132" s="225" t="s">
        <v>1093</v>
      </c>
      <c r="E132" s="240">
        <f>+'8_MP'!AZ370</f>
        <v>0</v>
      </c>
      <c r="F132" s="240">
        <f>+'8_MP'!BN370</f>
        <v>65000</v>
      </c>
      <c r="G132" s="240">
        <f>+'8_MP'!CB370</f>
        <v>213000</v>
      </c>
      <c r="H132" s="240">
        <f>+'8_MP'!CP370</f>
        <v>787100</v>
      </c>
      <c r="I132" s="240">
        <f>+'8_MP'!DD370</f>
        <v>173900</v>
      </c>
      <c r="J132" s="240">
        <f>+'8_MP'!DI370</f>
        <v>0</v>
      </c>
      <c r="K132" s="240">
        <f>SUM(E132:J132)</f>
        <v>1239000</v>
      </c>
      <c r="L132" s="3688"/>
      <c r="M132" s="3688"/>
      <c r="N132" s="3688"/>
    </row>
    <row r="133" spans="1:14" outlineLevel="1">
      <c r="A133" s="3681"/>
      <c r="B133" s="3693"/>
      <c r="C133" s="3694"/>
      <c r="D133" s="228" t="s">
        <v>1094</v>
      </c>
      <c r="E133" s="244"/>
      <c r="F133" s="244">
        <v>64714.38</v>
      </c>
      <c r="G133" s="244">
        <v>3911.7</v>
      </c>
      <c r="H133" s="244"/>
      <c r="I133" s="244"/>
      <c r="J133" s="244"/>
      <c r="K133" s="3185">
        <f t="shared" ref="K133:K139" si="2">SUM(E133:J133)</f>
        <v>68626.080000000002</v>
      </c>
      <c r="L133" s="3688"/>
      <c r="M133" s="3688"/>
      <c r="N133" s="3688"/>
    </row>
    <row r="134" spans="1:14" ht="15" customHeight="1" outlineLevel="1">
      <c r="A134" s="3681"/>
      <c r="B134" s="3689" t="str">
        <f>+B106</f>
        <v>Producto 17: Marco regulatorio en materia de integridad, fortalecido. Incluye protección a denunciantes y normativas sobre conflictos de interes</v>
      </c>
      <c r="C134" s="3690"/>
      <c r="D134" s="226" t="s">
        <v>1092</v>
      </c>
      <c r="E134" s="243">
        <v>0</v>
      </c>
      <c r="F134" s="243">
        <v>0</v>
      </c>
      <c r="G134" s="243">
        <v>32000</v>
      </c>
      <c r="H134" s="243">
        <v>48000</v>
      </c>
      <c r="I134" s="243">
        <v>0</v>
      </c>
      <c r="J134" s="243">
        <v>0</v>
      </c>
      <c r="K134" s="243">
        <f>SUM(E134:J134)</f>
        <v>80000</v>
      </c>
      <c r="L134" s="3688"/>
      <c r="M134" s="3688"/>
      <c r="N134" s="3688"/>
    </row>
    <row r="135" spans="1:14" outlineLevel="1">
      <c r="A135" s="3681"/>
      <c r="B135" s="3691"/>
      <c r="C135" s="3692"/>
      <c r="D135" s="225" t="s">
        <v>1093</v>
      </c>
      <c r="E135" s="240">
        <f>+'8_MP'!AZ393</f>
        <v>0</v>
      </c>
      <c r="F135" s="240">
        <f>+'8_MP'!BN393</f>
        <v>0</v>
      </c>
      <c r="G135" s="240">
        <f>+'8_MP'!CB393</f>
        <v>92000</v>
      </c>
      <c r="H135" s="240">
        <f>+'8_MP'!CP393</f>
        <v>188000</v>
      </c>
      <c r="I135" s="240">
        <f>+'8_MP'!DD393</f>
        <v>0</v>
      </c>
      <c r="J135" s="240">
        <f>+'8_MP'!DI393</f>
        <v>86000</v>
      </c>
      <c r="K135" s="240">
        <f>SUM(E135:J135)</f>
        <v>366000</v>
      </c>
      <c r="L135" s="3688"/>
      <c r="M135" s="3688"/>
      <c r="N135" s="3688"/>
    </row>
    <row r="136" spans="1:14" outlineLevel="1">
      <c r="A136" s="3681"/>
      <c r="B136" s="3693"/>
      <c r="C136" s="3694"/>
      <c r="D136" s="228" t="s">
        <v>1094</v>
      </c>
      <c r="E136" s="244"/>
      <c r="F136" s="244">
        <v>0</v>
      </c>
      <c r="G136" s="244">
        <v>0</v>
      </c>
      <c r="H136" s="244"/>
      <c r="I136" s="244"/>
      <c r="J136" s="244"/>
      <c r="K136" s="3185">
        <f t="shared" si="2"/>
        <v>0</v>
      </c>
      <c r="L136" s="3688"/>
      <c r="M136" s="3688"/>
      <c r="N136" s="3688"/>
    </row>
    <row r="137" spans="1:14" ht="15" customHeight="1" outlineLevel="1">
      <c r="A137" s="3681"/>
      <c r="B137" s="3689" t="str">
        <f>+B109</f>
        <v>Producto 18: Programa de cumplimiento e integridad para el sector privado desarrollado</v>
      </c>
      <c r="C137" s="3690"/>
      <c r="D137" s="226" t="s">
        <v>1092</v>
      </c>
      <c r="E137" s="243">
        <v>0</v>
      </c>
      <c r="F137" s="243">
        <v>18000</v>
      </c>
      <c r="G137" s="243">
        <v>100000</v>
      </c>
      <c r="H137" s="243">
        <v>67500</v>
      </c>
      <c r="I137" s="243">
        <v>78500</v>
      </c>
      <c r="J137" s="243">
        <v>150000</v>
      </c>
      <c r="K137" s="243">
        <f>SUM(E137:J137)</f>
        <v>414000</v>
      </c>
      <c r="L137" s="3688"/>
      <c r="M137" s="3688"/>
      <c r="N137" s="3688"/>
    </row>
    <row r="138" spans="1:14" outlineLevel="1">
      <c r="A138" s="3681"/>
      <c r="B138" s="3691"/>
      <c r="C138" s="3692"/>
      <c r="D138" s="225" t="s">
        <v>1093</v>
      </c>
      <c r="E138" s="240">
        <f>+'8_MP'!AZ398</f>
        <v>0</v>
      </c>
      <c r="F138" s="240">
        <f>+'8_MP'!BN398</f>
        <v>44000</v>
      </c>
      <c r="G138" s="240">
        <f>+'8_MP'!CB398</f>
        <v>168000</v>
      </c>
      <c r="H138" s="240">
        <f>+'8_MP'!CP398</f>
        <v>85000</v>
      </c>
      <c r="I138" s="240">
        <f>+'8_MP'!DD398</f>
        <v>6000</v>
      </c>
      <c r="J138" s="240">
        <f>+'8_MP'!DI398</f>
        <v>0</v>
      </c>
      <c r="K138" s="240">
        <f>SUM(E138:J138)</f>
        <v>303000</v>
      </c>
      <c r="L138" s="3688"/>
      <c r="M138" s="3688"/>
      <c r="N138" s="3688"/>
    </row>
    <row r="139" spans="1:14" outlineLevel="1">
      <c r="A139" s="3681"/>
      <c r="B139" s="3693"/>
      <c r="C139" s="3694"/>
      <c r="D139" s="228" t="s">
        <v>1094</v>
      </c>
      <c r="E139" s="244"/>
      <c r="F139" s="244">
        <v>47282.46</v>
      </c>
      <c r="G139" s="244">
        <v>21768.19</v>
      </c>
      <c r="H139" s="244"/>
      <c r="I139" s="244"/>
      <c r="J139" s="244"/>
      <c r="K139" s="3185">
        <f t="shared" si="2"/>
        <v>69050.649999999994</v>
      </c>
      <c r="L139" s="3688"/>
      <c r="M139" s="3688"/>
      <c r="N139" s="3688"/>
    </row>
    <row r="140" spans="1:14" outlineLevel="1">
      <c r="A140" s="2150" t="str">
        <f>'8_MP'!$D$405</f>
        <v>3.2</v>
      </c>
      <c r="B140" s="2151" t="str">
        <f>'8_MP'!$H$405</f>
        <v>Subcomponente 3.2. Participación, control social y gestión de denuncias de corrupción administrativa</v>
      </c>
      <c r="C140" s="2152"/>
      <c r="D140" s="2152"/>
      <c r="E140" s="2508">
        <f t="shared" ref="E140:K140" si="3">+E142</f>
        <v>0</v>
      </c>
      <c r="F140" s="2508">
        <f t="shared" si="3"/>
        <v>18000</v>
      </c>
      <c r="G140" s="2508">
        <f t="shared" si="3"/>
        <v>232000</v>
      </c>
      <c r="H140" s="2508">
        <f t="shared" si="3"/>
        <v>375000.17999999993</v>
      </c>
      <c r="I140" s="2508">
        <f t="shared" si="3"/>
        <v>289999.82</v>
      </c>
      <c r="J140" s="2508">
        <f t="shared" si="3"/>
        <v>0</v>
      </c>
      <c r="K140" s="2508">
        <f t="shared" si="3"/>
        <v>915000</v>
      </c>
      <c r="L140" s="2152"/>
      <c r="M140" s="2152"/>
      <c r="N140" s="2152"/>
    </row>
    <row r="141" spans="1:14" outlineLevel="1">
      <c r="A141" s="3681"/>
      <c r="B141" s="3689" t="str">
        <f>+B113</f>
        <v>Producto 19: Sistema para realizar investigaciones, seguimiento y respuesta a las denuncias ciudadanas desarrollado. Incluye metodologías y plataforma tecnológica de participación ciudadana y seguimiento de denuncias con enfoque de género y diversidad.</v>
      </c>
      <c r="C141" s="3690"/>
      <c r="D141" s="226" t="s">
        <v>1092</v>
      </c>
      <c r="E141" s="243">
        <v>0</v>
      </c>
      <c r="F141" s="243">
        <v>25000</v>
      </c>
      <c r="G141" s="243">
        <v>159000</v>
      </c>
      <c r="H141" s="243">
        <v>321000</v>
      </c>
      <c r="I141" s="243">
        <v>240000</v>
      </c>
      <c r="J141" s="243">
        <v>170000</v>
      </c>
      <c r="K141" s="243">
        <f>SUM(E141:J141)</f>
        <v>915000</v>
      </c>
      <c r="L141" s="3688"/>
      <c r="M141" s="3688"/>
      <c r="N141" s="3688"/>
    </row>
    <row r="142" spans="1:14" outlineLevel="1">
      <c r="A142" s="3681"/>
      <c r="B142" s="3691"/>
      <c r="C142" s="3692"/>
      <c r="D142" s="225" t="s">
        <v>1093</v>
      </c>
      <c r="E142" s="240">
        <f>+'8_MP'!AZ406</f>
        <v>0</v>
      </c>
      <c r="F142" s="240">
        <f>+'8_MP'!BN406</f>
        <v>18000</v>
      </c>
      <c r="G142" s="240">
        <f>+'8_MP'!CB406</f>
        <v>232000</v>
      </c>
      <c r="H142" s="240">
        <f>+'8_MP'!CP406</f>
        <v>375000.17999999993</v>
      </c>
      <c r="I142" s="240">
        <f>+'8_MP'!DD406</f>
        <v>289999.82</v>
      </c>
      <c r="J142" s="240">
        <f>+'8_MP'!DI406</f>
        <v>0</v>
      </c>
      <c r="K142" s="240">
        <f>SUM(E142:J142)</f>
        <v>915000</v>
      </c>
      <c r="L142" s="3688"/>
      <c r="M142" s="3688"/>
      <c r="N142" s="3688"/>
    </row>
    <row r="143" spans="1:14" outlineLevel="1">
      <c r="A143" s="3681"/>
      <c r="B143" s="3693"/>
      <c r="C143" s="3694"/>
      <c r="D143" s="228" t="s">
        <v>1094</v>
      </c>
      <c r="E143" s="244"/>
      <c r="F143" s="244">
        <v>18040.52</v>
      </c>
      <c r="G143" s="244">
        <v>2945.07</v>
      </c>
      <c r="H143" s="244"/>
      <c r="I143" s="244"/>
      <c r="J143" s="244"/>
      <c r="K143" s="3185">
        <f>SUM(E143:J143)</f>
        <v>20985.59</v>
      </c>
      <c r="L143" s="3688"/>
      <c r="M143" s="3688"/>
      <c r="N143" s="3688"/>
    </row>
    <row r="144" spans="1:14" outlineLevel="1">
      <c r="A144" s="2150" t="str">
        <f>'8_MP'!$D$421</f>
        <v>3.3</v>
      </c>
      <c r="B144" s="2151" t="str">
        <f>'8_MP'!$H$421</f>
        <v xml:space="preserve">Subcomponente 3.3. Innovación para la transparencia y el acceso a la información </v>
      </c>
      <c r="C144" s="2152"/>
      <c r="D144" s="2152"/>
      <c r="E144" s="2508">
        <f t="shared" ref="E144:K144" si="4">+E146</f>
        <v>0</v>
      </c>
      <c r="F144" s="2508">
        <f t="shared" si="4"/>
        <v>6000</v>
      </c>
      <c r="G144" s="2508">
        <f t="shared" si="4"/>
        <v>51500</v>
      </c>
      <c r="H144" s="2508">
        <f t="shared" si="4"/>
        <v>1467000</v>
      </c>
      <c r="I144" s="2508">
        <f t="shared" si="4"/>
        <v>1311500</v>
      </c>
      <c r="J144" s="2508">
        <f t="shared" si="4"/>
        <v>489000</v>
      </c>
      <c r="K144" s="2508">
        <f t="shared" si="4"/>
        <v>3325000</v>
      </c>
      <c r="L144" s="2152"/>
      <c r="M144" s="2152"/>
      <c r="N144" s="2152"/>
    </row>
    <row r="145" spans="1:14" outlineLevel="1">
      <c r="A145" s="3681"/>
      <c r="B145" s="3689" t="str">
        <f>+B117</f>
        <v>Producto 20: Plataforma tecnológica Nacional de Transparencia diseñado e implementado</v>
      </c>
      <c r="C145" s="3690"/>
      <c r="D145" s="226" t="s">
        <v>1092</v>
      </c>
      <c r="E145" s="243">
        <v>0</v>
      </c>
      <c r="F145" s="243">
        <v>15000</v>
      </c>
      <c r="G145" s="243">
        <v>860000</v>
      </c>
      <c r="H145" s="243">
        <v>978000</v>
      </c>
      <c r="I145" s="243">
        <v>1304000</v>
      </c>
      <c r="J145" s="243">
        <v>168000</v>
      </c>
      <c r="K145" s="243">
        <f>SUM(E145:J145)</f>
        <v>3325000</v>
      </c>
      <c r="L145" s="3688"/>
      <c r="M145" s="3688"/>
      <c r="N145" s="3688"/>
    </row>
    <row r="146" spans="1:14" outlineLevel="1">
      <c r="A146" s="3681"/>
      <c r="B146" s="3691"/>
      <c r="C146" s="3692"/>
      <c r="D146" s="225" t="s">
        <v>1093</v>
      </c>
      <c r="E146" s="240">
        <f>+'8_MP'!AZ422</f>
        <v>0</v>
      </c>
      <c r="F146" s="240">
        <f>+'8_MP'!BN422</f>
        <v>6000</v>
      </c>
      <c r="G146" s="240">
        <f>+'8_MP'!CB422</f>
        <v>51500</v>
      </c>
      <c r="H146" s="240">
        <f>+'8_MP'!CP422</f>
        <v>1467000</v>
      </c>
      <c r="I146" s="240">
        <f>+'8_MP'!DD422</f>
        <v>1311500</v>
      </c>
      <c r="J146" s="240">
        <f>+'8_MP'!DI422</f>
        <v>489000</v>
      </c>
      <c r="K146" s="240">
        <f>SUM(E146:J146)</f>
        <v>3325000</v>
      </c>
      <c r="L146" s="3688"/>
      <c r="M146" s="3688"/>
      <c r="N146" s="3688"/>
    </row>
    <row r="147" spans="1:14" outlineLevel="1">
      <c r="A147" s="3681"/>
      <c r="B147" s="3693"/>
      <c r="C147" s="3694"/>
      <c r="D147" s="228" t="s">
        <v>1094</v>
      </c>
      <c r="E147" s="244"/>
      <c r="F147" s="244">
        <v>5936.62</v>
      </c>
      <c r="G147" s="244">
        <v>0</v>
      </c>
      <c r="H147" s="244"/>
      <c r="I147" s="244"/>
      <c r="J147" s="244"/>
      <c r="K147" s="3185">
        <f>SUM(E147:J147)</f>
        <v>5936.62</v>
      </c>
      <c r="L147" s="3688"/>
      <c r="M147" s="3688"/>
      <c r="N147" s="3688"/>
    </row>
    <row r="148" spans="1:14" outlineLevel="1">
      <c r="A148" s="2150" t="str">
        <f>'8_MP'!$D$439</f>
        <v>3.4</v>
      </c>
      <c r="B148" s="2151" t="str">
        <f>'8_MP'!$H$439</f>
        <v>Subcomponente 3.4. Comunicación y capacitación para la transparencia y la integridad</v>
      </c>
      <c r="C148" s="2152"/>
      <c r="D148" s="2152"/>
      <c r="E148" s="2508">
        <f t="shared" ref="E148:K148" si="5">+E150</f>
        <v>0</v>
      </c>
      <c r="F148" s="2508">
        <f>+F150</f>
        <v>0</v>
      </c>
      <c r="G148" s="2508">
        <f t="shared" si="5"/>
        <v>5400</v>
      </c>
      <c r="H148" s="2508">
        <f t="shared" si="5"/>
        <v>550100</v>
      </c>
      <c r="I148" s="2508">
        <f t="shared" si="5"/>
        <v>391700</v>
      </c>
      <c r="J148" s="2508">
        <f t="shared" si="5"/>
        <v>109800</v>
      </c>
      <c r="K148" s="2508">
        <f t="shared" si="5"/>
        <v>1057000</v>
      </c>
      <c r="L148" s="2152"/>
      <c r="M148" s="2152"/>
      <c r="N148" s="2152"/>
    </row>
    <row r="149" spans="1:14" outlineLevel="1">
      <c r="A149" s="3681"/>
      <c r="B149" s="3689" t="str">
        <f>+B121</f>
        <v>Producto 21: Programa de Gestión del Cambio para la transparencia e integridad, desarrollado. Incluye programa de comunicación y difusión a la ciudadanía sobre DIGEIG y capacitación  interna de las nuevas modalidades de gestión</v>
      </c>
      <c r="C149" s="3690"/>
      <c r="D149" s="226" t="s">
        <v>1092</v>
      </c>
      <c r="E149" s="243">
        <v>0</v>
      </c>
      <c r="F149" s="243">
        <v>12000</v>
      </c>
      <c r="G149" s="243">
        <v>301550</v>
      </c>
      <c r="H149" s="243">
        <v>335400</v>
      </c>
      <c r="I149" s="243">
        <v>329400</v>
      </c>
      <c r="J149" s="243">
        <v>78650</v>
      </c>
      <c r="K149" s="243">
        <f>SUM(E149:J149)</f>
        <v>1057000</v>
      </c>
      <c r="L149" s="3688"/>
      <c r="M149" s="3688"/>
      <c r="N149" s="3688"/>
    </row>
    <row r="150" spans="1:14" outlineLevel="1">
      <c r="A150" s="3681"/>
      <c r="B150" s="3691"/>
      <c r="C150" s="3692"/>
      <c r="D150" s="225" t="s">
        <v>1093</v>
      </c>
      <c r="E150" s="240">
        <f>+'8_MP'!AZ440</f>
        <v>0</v>
      </c>
      <c r="F150" s="240">
        <f>+'8_MP'!BN440</f>
        <v>0</v>
      </c>
      <c r="G150" s="240">
        <f>+'8_MP'!CB440</f>
        <v>5400</v>
      </c>
      <c r="H150" s="240">
        <f>+'8_MP'!CP440</f>
        <v>550100</v>
      </c>
      <c r="I150" s="240">
        <f>+'8_MP'!DD440</f>
        <v>391700</v>
      </c>
      <c r="J150" s="240">
        <f>+'8_MP'!DI440</f>
        <v>109800</v>
      </c>
      <c r="K150" s="240">
        <f>SUM(E150:J150)</f>
        <v>1057000</v>
      </c>
      <c r="L150" s="3688"/>
      <c r="M150" s="3688"/>
      <c r="N150" s="3688"/>
    </row>
    <row r="151" spans="1:14" outlineLevel="1">
      <c r="A151" s="3681"/>
      <c r="B151" s="3693"/>
      <c r="C151" s="3694"/>
      <c r="D151" s="228" t="s">
        <v>1094</v>
      </c>
      <c r="E151" s="244"/>
      <c r="F151" s="244">
        <v>0</v>
      </c>
      <c r="G151" s="244">
        <v>0</v>
      </c>
      <c r="H151" s="244"/>
      <c r="I151" s="244"/>
      <c r="J151" s="244"/>
      <c r="K151" s="3185">
        <f>SUM(E151:J151)</f>
        <v>0</v>
      </c>
      <c r="L151" s="3688"/>
      <c r="M151" s="3688"/>
      <c r="N151" s="3688"/>
    </row>
    <row r="152" spans="1:14">
      <c r="D152" s="3523" t="s">
        <v>1101</v>
      </c>
      <c r="E152" s="3524" t="e">
        <f>IFERROR(#REF!/#REF!,NA())</f>
        <v>#N/A</v>
      </c>
      <c r="F152" s="3524" t="e">
        <f>IFERROR(#REF!/#REF!,NA())</f>
        <v>#N/A</v>
      </c>
      <c r="G152" s="3524" t="e">
        <f>IFERROR(#REF!/#REF!,NA())</f>
        <v>#N/A</v>
      </c>
      <c r="H152" s="3524" t="e">
        <f>IFERROR(#REF!/#REF!,NA())</f>
        <v>#N/A</v>
      </c>
      <c r="I152" s="3524" t="e">
        <f>IFERROR(#REF!/#REF!,NA())</f>
        <v>#N/A</v>
      </c>
      <c r="J152" s="3524" t="e">
        <f>IFERROR(#REF!/#REF!,NA())</f>
        <v>#N/A</v>
      </c>
      <c r="K152" s="3524" t="e">
        <f>IFERROR(#REF!/#REF!,NA())</f>
        <v>#N/A</v>
      </c>
    </row>
    <row r="153" spans="1:14">
      <c r="D153" s="3523"/>
      <c r="E153" s="3523"/>
      <c r="F153" s="3523"/>
      <c r="G153" s="3523"/>
      <c r="H153" s="3523"/>
      <c r="I153" s="3523"/>
      <c r="J153" s="3523"/>
      <c r="K153" s="3521"/>
    </row>
    <row r="154" spans="1:14">
      <c r="D154" s="225"/>
      <c r="E154" s="3520"/>
      <c r="F154" s="3520"/>
      <c r="G154" s="3520"/>
      <c r="H154" s="3520"/>
      <c r="I154" s="3520"/>
      <c r="J154" s="3185" t="s">
        <v>586</v>
      </c>
      <c r="K154" s="3185" t="e">
        <f>#REF!-#REF!</f>
        <v>#REF!</v>
      </c>
    </row>
    <row r="155" spans="1:14">
      <c r="D155" s="3523"/>
      <c r="E155" s="3522"/>
      <c r="F155" s="3522"/>
      <c r="G155" s="3523"/>
      <c r="H155" s="3523"/>
      <c r="I155" s="3523"/>
      <c r="J155" s="3523"/>
      <c r="K155" s="3521"/>
    </row>
    <row r="156" spans="1:14">
      <c r="D156" s="3523"/>
      <c r="E156" s="3523"/>
      <c r="F156" s="3523"/>
      <c r="G156" s="3523"/>
      <c r="H156" s="3523"/>
      <c r="I156" s="3523"/>
      <c r="J156" s="3523"/>
      <c r="K156" s="3521"/>
    </row>
  </sheetData>
  <mergeCells count="246">
    <mergeCell ref="A3:B3"/>
    <mergeCell ref="C3:N3"/>
    <mergeCell ref="A4:B4"/>
    <mergeCell ref="C4:N4"/>
    <mergeCell ref="A5:B5"/>
    <mergeCell ref="C5:N5"/>
    <mergeCell ref="A6:N6"/>
    <mergeCell ref="A7:N7"/>
    <mergeCell ref="A8:B9"/>
    <mergeCell ref="C8:C9"/>
    <mergeCell ref="D8:D9"/>
    <mergeCell ref="E8:E9"/>
    <mergeCell ref="F8:F9"/>
    <mergeCell ref="G8:H9"/>
    <mergeCell ref="I8:L9"/>
    <mergeCell ref="M8:N9"/>
    <mergeCell ref="A13:B15"/>
    <mergeCell ref="C13:C15"/>
    <mergeCell ref="G13:H13"/>
    <mergeCell ref="I13:L15"/>
    <mergeCell ref="M13:N15"/>
    <mergeCell ref="G14:H14"/>
    <mergeCell ref="G15:H15"/>
    <mergeCell ref="A10:B12"/>
    <mergeCell ref="C10:C12"/>
    <mergeCell ref="G10:H10"/>
    <mergeCell ref="I10:L12"/>
    <mergeCell ref="M10:N12"/>
    <mergeCell ref="G11:H11"/>
    <mergeCell ref="G12:H12"/>
    <mergeCell ref="A19:B21"/>
    <mergeCell ref="C19:C21"/>
    <mergeCell ref="G19:H19"/>
    <mergeCell ref="I19:L21"/>
    <mergeCell ref="M19:N21"/>
    <mergeCell ref="G20:H20"/>
    <mergeCell ref="G21:H21"/>
    <mergeCell ref="A16:B18"/>
    <mergeCell ref="C16:C18"/>
    <mergeCell ref="G16:H16"/>
    <mergeCell ref="I16:L18"/>
    <mergeCell ref="M16:N18"/>
    <mergeCell ref="G17:H17"/>
    <mergeCell ref="G18:H18"/>
    <mergeCell ref="A25:B27"/>
    <mergeCell ref="C25:C27"/>
    <mergeCell ref="G25:H25"/>
    <mergeCell ref="I25:L27"/>
    <mergeCell ref="M25:N27"/>
    <mergeCell ref="G26:H26"/>
    <mergeCell ref="G27:H27"/>
    <mergeCell ref="A22:N22"/>
    <mergeCell ref="A23:B24"/>
    <mergeCell ref="C23:C24"/>
    <mergeCell ref="D23:D24"/>
    <mergeCell ref="E23:E24"/>
    <mergeCell ref="F23:F24"/>
    <mergeCell ref="G23:H24"/>
    <mergeCell ref="I23:L24"/>
    <mergeCell ref="M23:N24"/>
    <mergeCell ref="A28:N28"/>
    <mergeCell ref="A29:B30"/>
    <mergeCell ref="C29:C30"/>
    <mergeCell ref="D29:D30"/>
    <mergeCell ref="E29:E30"/>
    <mergeCell ref="F29:F30"/>
    <mergeCell ref="G29:H30"/>
    <mergeCell ref="I29:L30"/>
    <mergeCell ref="M29:N30"/>
    <mergeCell ref="A34:B36"/>
    <mergeCell ref="C34:C36"/>
    <mergeCell ref="G34:H34"/>
    <mergeCell ref="I34:L36"/>
    <mergeCell ref="M34:N36"/>
    <mergeCell ref="G35:H35"/>
    <mergeCell ref="G36:H36"/>
    <mergeCell ref="A31:B33"/>
    <mergeCell ref="C31:C33"/>
    <mergeCell ref="G31:H31"/>
    <mergeCell ref="I31:L33"/>
    <mergeCell ref="M31:N33"/>
    <mergeCell ref="G32:H32"/>
    <mergeCell ref="G33:H33"/>
    <mergeCell ref="A40:B42"/>
    <mergeCell ref="C40:C42"/>
    <mergeCell ref="G40:H40"/>
    <mergeCell ref="I40:L42"/>
    <mergeCell ref="M40:N42"/>
    <mergeCell ref="G41:H41"/>
    <mergeCell ref="G42:H42"/>
    <mergeCell ref="A37:B39"/>
    <mergeCell ref="C37:C39"/>
    <mergeCell ref="G37:H37"/>
    <mergeCell ref="I37:L39"/>
    <mergeCell ref="M37:N39"/>
    <mergeCell ref="G38:H38"/>
    <mergeCell ref="G39:H39"/>
    <mergeCell ref="A44:N44"/>
    <mergeCell ref="A45:A46"/>
    <mergeCell ref="B45:B46"/>
    <mergeCell ref="C45:C46"/>
    <mergeCell ref="D45:D46"/>
    <mergeCell ref="E45:E46"/>
    <mergeCell ref="F45:F46"/>
    <mergeCell ref="G45:G46"/>
    <mergeCell ref="H45:H46"/>
    <mergeCell ref="I45:I46"/>
    <mergeCell ref="J45:J46"/>
    <mergeCell ref="K45:K46"/>
    <mergeCell ref="L45:L46"/>
    <mergeCell ref="M45:N46"/>
    <mergeCell ref="A49:A51"/>
    <mergeCell ref="B49:B51"/>
    <mergeCell ref="C49:C51"/>
    <mergeCell ref="L49:L51"/>
    <mergeCell ref="M49:N51"/>
    <mergeCell ref="A52:A54"/>
    <mergeCell ref="B52:B54"/>
    <mergeCell ref="C52:C54"/>
    <mergeCell ref="L52:L54"/>
    <mergeCell ref="M52:N54"/>
    <mergeCell ref="A55:A57"/>
    <mergeCell ref="B55:B57"/>
    <mergeCell ref="C55:C57"/>
    <mergeCell ref="L55:L57"/>
    <mergeCell ref="M55:N57"/>
    <mergeCell ref="A59:A61"/>
    <mergeCell ref="B59:B61"/>
    <mergeCell ref="C59:C61"/>
    <mergeCell ref="L59:L61"/>
    <mergeCell ref="M59:N61"/>
    <mergeCell ref="A62:A64"/>
    <mergeCell ref="B62:B64"/>
    <mergeCell ref="C62:C64"/>
    <mergeCell ref="L62:L64"/>
    <mergeCell ref="M62:N64"/>
    <mergeCell ref="A65:A67"/>
    <mergeCell ref="B65:B67"/>
    <mergeCell ref="C65:C67"/>
    <mergeCell ref="L65:L67"/>
    <mergeCell ref="M65:N67"/>
    <mergeCell ref="A69:A71"/>
    <mergeCell ref="B69:B71"/>
    <mergeCell ref="C69:C71"/>
    <mergeCell ref="L69:L71"/>
    <mergeCell ref="M69:N71"/>
    <mergeCell ref="A73:A75"/>
    <mergeCell ref="B73:B75"/>
    <mergeCell ref="C73:C75"/>
    <mergeCell ref="L73:L75"/>
    <mergeCell ref="M73:N75"/>
    <mergeCell ref="A78:A80"/>
    <mergeCell ref="B78:B80"/>
    <mergeCell ref="C78:C80"/>
    <mergeCell ref="L78:L80"/>
    <mergeCell ref="M78:N80"/>
    <mergeCell ref="A81:A83"/>
    <mergeCell ref="B81:B83"/>
    <mergeCell ref="C81:C83"/>
    <mergeCell ref="L81:L83"/>
    <mergeCell ref="M81:N83"/>
    <mergeCell ref="A84:A86"/>
    <mergeCell ref="B84:B86"/>
    <mergeCell ref="C84:C86"/>
    <mergeCell ref="L84:L86"/>
    <mergeCell ref="M84:N86"/>
    <mergeCell ref="A88:A90"/>
    <mergeCell ref="B88:B90"/>
    <mergeCell ref="C88:C90"/>
    <mergeCell ref="L88:L90"/>
    <mergeCell ref="M88:N90"/>
    <mergeCell ref="A91:A93"/>
    <mergeCell ref="B91:B93"/>
    <mergeCell ref="C91:C93"/>
    <mergeCell ref="L91:L93"/>
    <mergeCell ref="M91:N93"/>
    <mergeCell ref="A94:A96"/>
    <mergeCell ref="B94:B96"/>
    <mergeCell ref="C94:C96"/>
    <mergeCell ref="L94:L96"/>
    <mergeCell ref="M94:N96"/>
    <mergeCell ref="A98:A100"/>
    <mergeCell ref="B98:B100"/>
    <mergeCell ref="C98:C100"/>
    <mergeCell ref="L98:L100"/>
    <mergeCell ref="M98:N100"/>
    <mergeCell ref="A103:A105"/>
    <mergeCell ref="B103:B105"/>
    <mergeCell ref="C103:C105"/>
    <mergeCell ref="L103:L105"/>
    <mergeCell ref="M103:N105"/>
    <mergeCell ref="A106:A108"/>
    <mergeCell ref="B106:B108"/>
    <mergeCell ref="C106:C108"/>
    <mergeCell ref="L106:L108"/>
    <mergeCell ref="M106:N108"/>
    <mergeCell ref="A109:A111"/>
    <mergeCell ref="B109:B111"/>
    <mergeCell ref="C109:C111"/>
    <mergeCell ref="L109:L111"/>
    <mergeCell ref="M109:N111"/>
    <mergeCell ref="A113:A115"/>
    <mergeCell ref="B113:B115"/>
    <mergeCell ref="C113:C115"/>
    <mergeCell ref="L113:L115"/>
    <mergeCell ref="M113:N115"/>
    <mergeCell ref="A117:A119"/>
    <mergeCell ref="B117:B119"/>
    <mergeCell ref="C117:C119"/>
    <mergeCell ref="L117:L119"/>
    <mergeCell ref="M117:N119"/>
    <mergeCell ref="A121:A123"/>
    <mergeCell ref="B121:B123"/>
    <mergeCell ref="C121:C123"/>
    <mergeCell ref="L121:L123"/>
    <mergeCell ref="M121:N123"/>
    <mergeCell ref="A125:N125"/>
    <mergeCell ref="A126:A127"/>
    <mergeCell ref="B126:C127"/>
    <mergeCell ref="D126:D127"/>
    <mergeCell ref="E126:E127"/>
    <mergeCell ref="F126:F127"/>
    <mergeCell ref="G126:G127"/>
    <mergeCell ref="H126:H127"/>
    <mergeCell ref="I126:I127"/>
    <mergeCell ref="J126:J127"/>
    <mergeCell ref="K126:K127"/>
    <mergeCell ref="L126:N127"/>
    <mergeCell ref="A131:A133"/>
    <mergeCell ref="B131:C133"/>
    <mergeCell ref="L131:N133"/>
    <mergeCell ref="A141:A143"/>
    <mergeCell ref="B141:C143"/>
    <mergeCell ref="L141:N143"/>
    <mergeCell ref="A145:A147"/>
    <mergeCell ref="B145:C147"/>
    <mergeCell ref="L145:N147"/>
    <mergeCell ref="A134:A136"/>
    <mergeCell ref="B134:C136"/>
    <mergeCell ref="L134:N136"/>
    <mergeCell ref="A137:A139"/>
    <mergeCell ref="B137:C139"/>
    <mergeCell ref="L137:N139"/>
    <mergeCell ref="A149:A151"/>
    <mergeCell ref="B149:C151"/>
    <mergeCell ref="L149:N151"/>
  </mergeCell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T66"/>
  <sheetViews>
    <sheetView showGridLines="0" workbookViewId="0">
      <pane ySplit="2" topLeftCell="A3" activePane="bottomLeft" state="frozen"/>
      <selection pane="bottomLeft" activeCell="P19" sqref="P19"/>
    </sheetView>
  </sheetViews>
  <sheetFormatPr baseColWidth="10" defaultColWidth="11.5" defaultRowHeight="15" outlineLevelCol="1"/>
  <cols>
    <col min="1" max="1" width="11.5" style="252"/>
    <col min="2" max="2" width="24.5" style="2676" customWidth="1"/>
    <col min="3" max="3" width="18.5" style="511" customWidth="1"/>
    <col min="4" max="4" width="16.5" style="511" customWidth="1"/>
    <col min="5" max="5" width="18.5" style="511" hidden="1" customWidth="1" outlineLevel="1"/>
    <col min="6" max="6" width="16.5" style="511" hidden="1" customWidth="1" outlineLevel="1"/>
    <col min="7" max="7" width="15.83203125" style="511" customWidth="1" collapsed="1"/>
    <col min="8" max="8" width="2.5" style="511" customWidth="1"/>
    <col min="9" max="9" width="16.5" style="511" customWidth="1"/>
    <col min="10" max="12" width="11.5" style="252"/>
    <col min="13" max="13" width="13.5" style="252" bestFit="1" customWidth="1"/>
    <col min="14" max="16" width="11.5" style="252"/>
    <col min="17" max="17" width="15.83203125" style="252" bestFit="1" customWidth="1"/>
    <col min="18" max="18" width="14.1640625" bestFit="1" customWidth="1"/>
    <col min="20" max="20" width="14.5" customWidth="1"/>
    <col min="21" max="16384" width="11.5" style="252"/>
  </cols>
  <sheetData>
    <row r="2" spans="2:17" ht="36" customHeight="1">
      <c r="B2" s="2658" t="s">
        <v>1102</v>
      </c>
      <c r="C2" s="2659" t="s">
        <v>1103</v>
      </c>
      <c r="D2" s="2659" t="s">
        <v>1104</v>
      </c>
      <c r="E2" s="2659" t="s">
        <v>1105</v>
      </c>
      <c r="F2" s="2659" t="s">
        <v>1106</v>
      </c>
      <c r="G2" s="2659" t="s">
        <v>1107</v>
      </c>
      <c r="H2" s="286"/>
      <c r="I2" s="2660" t="s">
        <v>1108</v>
      </c>
      <c r="J2" s="2660" t="s">
        <v>156</v>
      </c>
    </row>
    <row r="3" spans="2:17">
      <c r="B3" s="2661">
        <v>45199</v>
      </c>
      <c r="C3" s="2662">
        <v>731292</v>
      </c>
      <c r="D3" s="2663"/>
      <c r="E3" s="2664"/>
      <c r="F3" s="2662">
        <f>D3</f>
        <v>0</v>
      </c>
      <c r="G3" s="2662">
        <f>C3-D3</f>
        <v>731292</v>
      </c>
      <c r="H3" s="2665"/>
      <c r="I3" s="2662">
        <f>(C3*0.8)-D3</f>
        <v>585033.6</v>
      </c>
      <c r="J3" s="2666">
        <f>IFERROR(D3/C3,0)</f>
        <v>0</v>
      </c>
      <c r="Q3" s="2667"/>
    </row>
    <row r="4" spans="2:17">
      <c r="B4" s="2661">
        <v>45199</v>
      </c>
      <c r="C4" s="2662"/>
      <c r="D4" s="2663">
        <v>45257.65</v>
      </c>
      <c r="E4" s="2664">
        <f>IFERROR((D4-D3)/D3,D4)</f>
        <v>45257.65</v>
      </c>
      <c r="F4" s="2662">
        <f>F3+D4</f>
        <v>45257.65</v>
      </c>
      <c r="G4" s="2662">
        <f t="shared" ref="G4:G63" si="0">G3+C4-D4</f>
        <v>686034.35</v>
      </c>
      <c r="H4" s="2668"/>
      <c r="I4" s="2662">
        <f>I3+(C4*0.8)-D4</f>
        <v>539775.94999999995</v>
      </c>
      <c r="J4" s="2666">
        <f>IFERROR(SUM($D$3:D4)/SUM($C$3:C4),0)</f>
        <v>6.1887248869124785E-2</v>
      </c>
      <c r="Q4" s="2667"/>
    </row>
    <row r="5" spans="2:17">
      <c r="B5" s="2661">
        <v>45229</v>
      </c>
      <c r="C5" s="2662"/>
      <c r="D5" s="2663">
        <v>18605.920000000002</v>
      </c>
      <c r="E5" s="2664">
        <f t="shared" ref="E5:E63" si="1">IFERROR((D5-D4)/D4,D5)</f>
        <v>-0.58888895026586663</v>
      </c>
      <c r="F5" s="2662">
        <f t="shared" ref="F5:F63" si="2">F4+D5</f>
        <v>63863.570000000007</v>
      </c>
      <c r="G5" s="2662">
        <f t="shared" si="0"/>
        <v>667428.42999999993</v>
      </c>
      <c r="H5" s="2668"/>
      <c r="I5" s="2662">
        <f t="shared" ref="I5:I63" si="3">I4+(C5*0.8)-D5</f>
        <v>521170.02999999997</v>
      </c>
      <c r="J5" s="2666">
        <f>IFERROR(SUM($D$3:D5)/SUM($C$3:C5),0)</f>
        <v>8.7329780716868241E-2</v>
      </c>
      <c r="Q5" s="2667"/>
    </row>
    <row r="6" spans="2:17">
      <c r="B6" s="2661">
        <v>45259</v>
      </c>
      <c r="C6" s="2662"/>
      <c r="D6" s="2663">
        <v>18605.920000000002</v>
      </c>
      <c r="E6" s="2664">
        <f t="shared" si="1"/>
        <v>0</v>
      </c>
      <c r="F6" s="2662">
        <f t="shared" si="2"/>
        <v>82469.490000000005</v>
      </c>
      <c r="G6" s="2662">
        <f t="shared" si="0"/>
        <v>648822.50999999989</v>
      </c>
      <c r="H6" s="2668"/>
      <c r="I6" s="2662">
        <f t="shared" si="3"/>
        <v>502564.11</v>
      </c>
      <c r="J6" s="2666">
        <f>IFERROR(SUM($D$3:D6)/SUM($C$3:C6),0)</f>
        <v>0.11277231256461168</v>
      </c>
      <c r="Q6" s="2667"/>
    </row>
    <row r="7" spans="2:17">
      <c r="B7" s="2669">
        <v>45289</v>
      </c>
      <c r="C7" s="2670"/>
      <c r="D7" s="2663">
        <v>18605.920000000002</v>
      </c>
      <c r="E7" s="2664">
        <f t="shared" si="1"/>
        <v>0</v>
      </c>
      <c r="F7" s="2670">
        <f t="shared" si="2"/>
        <v>101075.41</v>
      </c>
      <c r="G7" s="2670">
        <f t="shared" si="0"/>
        <v>630216.58999999985</v>
      </c>
      <c r="H7" s="2671"/>
      <c r="I7" s="2662">
        <f t="shared" si="3"/>
        <v>483958.19</v>
      </c>
      <c r="J7" s="2666">
        <f>IFERROR(SUM($D$3:D7)/SUM($C$3:C7),0)</f>
        <v>0.13821484441235513</v>
      </c>
      <c r="Q7" s="2667"/>
    </row>
    <row r="8" spans="2:17">
      <c r="B8" s="2661">
        <v>45319</v>
      </c>
      <c r="C8" s="2662"/>
      <c r="D8" s="2663">
        <v>18605.920000000002</v>
      </c>
      <c r="E8" s="2664">
        <f t="shared" si="1"/>
        <v>0</v>
      </c>
      <c r="F8" s="2662">
        <f t="shared" si="2"/>
        <v>119681.33</v>
      </c>
      <c r="G8" s="2662">
        <f t="shared" si="0"/>
        <v>611610.66999999981</v>
      </c>
      <c r="H8" s="2668"/>
      <c r="I8" s="2662">
        <f t="shared" si="3"/>
        <v>465352.27</v>
      </c>
      <c r="J8" s="2666">
        <f>IFERROR(SUM($D$3:D8)/SUM($C$3:C8),0)</f>
        <v>0.16365737626009857</v>
      </c>
      <c r="Q8" s="2667"/>
    </row>
    <row r="9" spans="2:17">
      <c r="B9" s="2661">
        <v>45349</v>
      </c>
      <c r="C9" s="2662"/>
      <c r="D9" s="2663">
        <v>35337.440000000002</v>
      </c>
      <c r="E9" s="2664">
        <f t="shared" si="1"/>
        <v>0.89925787061322415</v>
      </c>
      <c r="F9" s="2662">
        <f t="shared" si="2"/>
        <v>155018.77000000002</v>
      </c>
      <c r="G9" s="2662">
        <f t="shared" si="0"/>
        <v>576273.22999999975</v>
      </c>
      <c r="H9" s="2668"/>
      <c r="I9" s="2662">
        <f t="shared" si="3"/>
        <v>430014.83</v>
      </c>
      <c r="J9" s="2666">
        <f>IFERROR(SUM($D$3:D9)/SUM($C$3:C9),0)</f>
        <v>0.21197930512025295</v>
      </c>
      <c r="Q9" s="2667"/>
    </row>
    <row r="10" spans="2:17">
      <c r="B10" s="2661">
        <v>45379</v>
      </c>
      <c r="C10" s="2662"/>
      <c r="D10" s="2663">
        <v>51456.31</v>
      </c>
      <c r="E10" s="2664">
        <f t="shared" si="1"/>
        <v>0.45614141828044119</v>
      </c>
      <c r="F10" s="2662">
        <f t="shared" si="2"/>
        <v>206475.08000000002</v>
      </c>
      <c r="G10" s="2662">
        <f t="shared" si="0"/>
        <v>524816.91999999969</v>
      </c>
      <c r="H10" s="2668"/>
      <c r="I10" s="2662">
        <f t="shared" si="3"/>
        <v>378558.52</v>
      </c>
      <c r="J10" s="2666">
        <f>IFERROR(SUM($D$3:D10)/SUM($C$3:C10),0)</f>
        <v>0.28234286714472467</v>
      </c>
      <c r="Q10" s="2667"/>
    </row>
    <row r="11" spans="2:17">
      <c r="B11" s="2661">
        <v>45409</v>
      </c>
      <c r="C11" s="2662"/>
      <c r="D11" s="2663">
        <v>51274.47</v>
      </c>
      <c r="E11" s="2664">
        <f t="shared" si="1"/>
        <v>-3.5338717447869175E-3</v>
      </c>
      <c r="F11" s="2662">
        <f t="shared" si="2"/>
        <v>257749.55000000002</v>
      </c>
      <c r="G11" s="2662">
        <f t="shared" si="0"/>
        <v>473542.44999999972</v>
      </c>
      <c r="H11" s="2668"/>
      <c r="I11" s="2662">
        <f t="shared" si="3"/>
        <v>327284.05000000005</v>
      </c>
      <c r="J11" s="2666">
        <f>IFERROR(SUM($D$3:D11)/SUM($C$3:C11),0)</f>
        <v>0.35245777336549561</v>
      </c>
      <c r="Q11" s="2667"/>
    </row>
    <row r="12" spans="2:17">
      <c r="B12" s="2661">
        <v>45439</v>
      </c>
      <c r="C12" s="2662"/>
      <c r="D12" s="2663">
        <v>59704.709999999992</v>
      </c>
      <c r="E12" s="2664">
        <f t="shared" si="1"/>
        <v>0.16441398614164107</v>
      </c>
      <c r="F12" s="2662">
        <f t="shared" si="2"/>
        <v>317454.26</v>
      </c>
      <c r="G12" s="2662">
        <f t="shared" si="0"/>
        <v>413837.73999999976</v>
      </c>
      <c r="H12" s="2668"/>
      <c r="I12" s="2662">
        <f t="shared" si="3"/>
        <v>267579.34000000008</v>
      </c>
      <c r="J12" s="2666">
        <f>IFERROR(SUM($D$3:D12)/SUM($C$3:C12),0)</f>
        <v>0.43410055080597082</v>
      </c>
      <c r="Q12" s="2667"/>
    </row>
    <row r="13" spans="2:17">
      <c r="B13" s="2669">
        <v>45469</v>
      </c>
      <c r="C13" s="2670"/>
      <c r="D13" s="2663">
        <v>76673.09</v>
      </c>
      <c r="E13" s="2664">
        <f t="shared" si="1"/>
        <v>0.28420504847942496</v>
      </c>
      <c r="F13" s="2670">
        <f t="shared" si="2"/>
        <v>394127.35</v>
      </c>
      <c r="G13" s="2670">
        <f t="shared" si="0"/>
        <v>337164.64999999979</v>
      </c>
      <c r="H13" s="2671"/>
      <c r="I13" s="2662">
        <f t="shared" si="3"/>
        <v>190906.25000000009</v>
      </c>
      <c r="J13" s="2666">
        <f>IFERROR(SUM($D$3:D13)/SUM($C$3:C13),0)</f>
        <v>0.53894661776691111</v>
      </c>
      <c r="Q13" s="2667"/>
    </row>
    <row r="14" spans="2:17">
      <c r="B14" s="2661">
        <v>45499</v>
      </c>
      <c r="C14" s="2662"/>
      <c r="D14" s="2663">
        <v>105709.73</v>
      </c>
      <c r="E14" s="2664">
        <f t="shared" si="1"/>
        <v>0.37870705354381834</v>
      </c>
      <c r="F14" s="2662">
        <f t="shared" si="2"/>
        <v>499837.07999999996</v>
      </c>
      <c r="G14" s="2662">
        <f t="shared" si="0"/>
        <v>231454.91999999981</v>
      </c>
      <c r="H14" s="2668"/>
      <c r="I14" s="2662">
        <f t="shared" si="3"/>
        <v>85196.520000000091</v>
      </c>
      <c r="J14" s="2666">
        <f>IFERROR(SUM($D$3:D14)/SUM($C$3:C14),0)</f>
        <v>0.68349862982228704</v>
      </c>
      <c r="Q14" s="2667"/>
    </row>
    <row r="15" spans="2:17">
      <c r="B15" s="2661">
        <v>45529</v>
      </c>
      <c r="C15" s="2672">
        <f>SUM(D16:D21)</f>
        <v>248500</v>
      </c>
      <c r="D15" s="2663">
        <f>'8_MP'!BI7+54596.92+0.26</f>
        <v>60597.18</v>
      </c>
      <c r="E15" s="2664">
        <f t="shared" si="1"/>
        <v>-0.42675872883224653</v>
      </c>
      <c r="F15" s="2662">
        <f t="shared" si="2"/>
        <v>560434.26</v>
      </c>
      <c r="G15" s="2662">
        <f t="shared" si="0"/>
        <v>419357.73999999982</v>
      </c>
      <c r="H15" s="2668"/>
      <c r="I15" s="2662">
        <f t="shared" si="3"/>
        <v>223399.34000000008</v>
      </c>
      <c r="J15" s="2666">
        <f>IFERROR(SUM($D$3:D15)/SUM($C$3:C15),0)</f>
        <v>0.57199309649394969</v>
      </c>
      <c r="M15"/>
      <c r="Q15" s="2667"/>
    </row>
    <row r="16" spans="2:17">
      <c r="B16" s="2661">
        <v>45559</v>
      </c>
      <c r="C16" s="2662"/>
      <c r="D16" s="2682">
        <f>'8_MP'!BJ7</f>
        <v>16500</v>
      </c>
      <c r="E16" s="2664">
        <f t="shared" si="1"/>
        <v>-0.72771010136115244</v>
      </c>
      <c r="F16" s="2662">
        <f t="shared" si="2"/>
        <v>576934.26</v>
      </c>
      <c r="G16" s="2662">
        <f t="shared" si="0"/>
        <v>402857.73999999982</v>
      </c>
      <c r="H16" s="2668"/>
      <c r="I16" s="2662">
        <f t="shared" si="3"/>
        <v>206899.34000000008</v>
      </c>
      <c r="J16" s="2666">
        <f>IFERROR(SUM($D$3:D16)/SUM($C$3:C16),0)</f>
        <v>0.58883340545748486</v>
      </c>
      <c r="M16"/>
      <c r="Q16" s="2667"/>
    </row>
    <row r="17" spans="2:17">
      <c r="B17" s="2661">
        <v>45589</v>
      </c>
      <c r="C17" s="2662"/>
      <c r="D17" s="2663">
        <f>'8_MP'!BK7</f>
        <v>21000</v>
      </c>
      <c r="E17" s="2664">
        <f t="shared" si="1"/>
        <v>0.27272727272727271</v>
      </c>
      <c r="F17" s="2662">
        <f t="shared" si="2"/>
        <v>597934.26</v>
      </c>
      <c r="G17" s="2662">
        <f t="shared" si="0"/>
        <v>381857.73999999982</v>
      </c>
      <c r="H17" s="2668"/>
      <c r="I17" s="2662">
        <f t="shared" si="3"/>
        <v>185899.34000000008</v>
      </c>
      <c r="J17" s="2666">
        <f>IFERROR(SUM($D$3:D17)/SUM($C$3:C17),0)</f>
        <v>0.61026652595652953</v>
      </c>
      <c r="M17"/>
      <c r="Q17" s="2667"/>
    </row>
    <row r="18" spans="2:17">
      <c r="B18" s="2661">
        <v>45619</v>
      </c>
      <c r="C18" s="2662"/>
      <c r="D18" s="2663">
        <f>'8_MP'!BL7</f>
        <v>7500</v>
      </c>
      <c r="E18" s="2664">
        <f t="shared" si="1"/>
        <v>-0.6428571428571429</v>
      </c>
      <c r="F18" s="2662">
        <f t="shared" si="2"/>
        <v>605434.26</v>
      </c>
      <c r="G18" s="2662">
        <f t="shared" si="0"/>
        <v>374357.73999999982</v>
      </c>
      <c r="H18" s="2668"/>
      <c r="I18" s="2662">
        <f t="shared" si="3"/>
        <v>178399.34000000008</v>
      </c>
      <c r="J18" s="2666">
        <f>IFERROR(SUM($D$3:D18)/SUM($C$3:C18),0)</f>
        <v>0.61792121184904547</v>
      </c>
      <c r="M18"/>
      <c r="Q18" s="2667"/>
    </row>
    <row r="19" spans="2:17">
      <c r="B19" s="2669">
        <v>45649</v>
      </c>
      <c r="C19" s="2662"/>
      <c r="D19" s="2663">
        <f>'8_MP'!BM7</f>
        <v>82000</v>
      </c>
      <c r="E19" s="2664">
        <f t="shared" si="1"/>
        <v>9.9333333333333336</v>
      </c>
      <c r="F19" s="2670">
        <f t="shared" si="2"/>
        <v>687434.26</v>
      </c>
      <c r="G19" s="2670">
        <f t="shared" si="0"/>
        <v>292357.73999999982</v>
      </c>
      <c r="H19" s="2671"/>
      <c r="I19" s="2662">
        <f t="shared" si="3"/>
        <v>96399.340000000084</v>
      </c>
      <c r="J19" s="2666">
        <f>IFERROR(SUM($D$3:D19)/SUM($C$3:C19),0)</f>
        <v>0.70161244427388669</v>
      </c>
      <c r="M19"/>
      <c r="Q19" s="2667"/>
    </row>
    <row r="20" spans="2:17">
      <c r="B20" s="2661">
        <v>45679</v>
      </c>
      <c r="C20" s="2672">
        <f>SUM(D22:D27)</f>
        <v>410000</v>
      </c>
      <c r="D20" s="2663">
        <f>'8_MP'!BP7</f>
        <v>59500</v>
      </c>
      <c r="E20" s="2664">
        <f t="shared" si="1"/>
        <v>-0.27439024390243905</v>
      </c>
      <c r="F20" s="2662">
        <f t="shared" si="2"/>
        <v>746934.26</v>
      </c>
      <c r="G20" s="2662">
        <f t="shared" si="0"/>
        <v>642857.73999999976</v>
      </c>
      <c r="H20" s="2668"/>
      <c r="I20" s="2662">
        <f t="shared" si="3"/>
        <v>364899.34000000008</v>
      </c>
      <c r="J20" s="2666">
        <f>IFERROR(SUM($D$3:D20)/SUM($C$3:C20),0)</f>
        <v>0.53744320013354518</v>
      </c>
      <c r="M20" s="2673"/>
      <c r="Q20" s="2667"/>
    </row>
    <row r="21" spans="2:17">
      <c r="B21" s="2661">
        <v>45709</v>
      </c>
      <c r="C21" s="2662"/>
      <c r="D21" s="2682">
        <f>'8_MP'!BQ7</f>
        <v>62000</v>
      </c>
      <c r="E21" s="2664">
        <f t="shared" si="1"/>
        <v>4.2016806722689079E-2</v>
      </c>
      <c r="F21" s="2662">
        <f t="shared" si="2"/>
        <v>808934.26</v>
      </c>
      <c r="G21" s="2662">
        <f t="shared" si="0"/>
        <v>580857.73999999976</v>
      </c>
      <c r="H21" s="2668"/>
      <c r="I21" s="2662">
        <f t="shared" si="3"/>
        <v>302899.34000000008</v>
      </c>
      <c r="J21" s="2666">
        <f>IFERROR(SUM($D$3:D21)/SUM($C$3:C21),0)</f>
        <v>0.58205419228201061</v>
      </c>
      <c r="M21" s="2673"/>
      <c r="Q21" s="2667"/>
    </row>
    <row r="22" spans="2:17">
      <c r="B22" s="2661">
        <v>45739</v>
      </c>
      <c r="C22" s="2662"/>
      <c r="D22" s="2683">
        <f>'8_MP'!BR7</f>
        <v>47000</v>
      </c>
      <c r="E22" s="2664">
        <f t="shared" si="1"/>
        <v>-0.24193548387096775</v>
      </c>
      <c r="F22" s="2662">
        <f t="shared" si="2"/>
        <v>855934.26</v>
      </c>
      <c r="G22" s="2662">
        <f t="shared" si="0"/>
        <v>533857.73999999976</v>
      </c>
      <c r="H22" s="2668"/>
      <c r="I22" s="2662">
        <f t="shared" si="3"/>
        <v>255899.34000000008</v>
      </c>
      <c r="J22" s="2666">
        <f>IFERROR(SUM($D$3:D22)/SUM($C$3:C22),0)</f>
        <v>0.61587220245907304</v>
      </c>
      <c r="M22" s="2673"/>
      <c r="Q22" s="2667"/>
    </row>
    <row r="23" spans="2:17">
      <c r="B23" s="2661">
        <v>45769</v>
      </c>
      <c r="C23" s="2662"/>
      <c r="D23" s="2663">
        <f>'8_MP'!BS7</f>
        <v>107500</v>
      </c>
      <c r="E23" s="2664">
        <f t="shared" si="1"/>
        <v>1.2872340425531914</v>
      </c>
      <c r="F23" s="2662">
        <f t="shared" si="2"/>
        <v>963434.26</v>
      </c>
      <c r="G23" s="2662">
        <f t="shared" si="0"/>
        <v>426357.73999999976</v>
      </c>
      <c r="H23" s="2668"/>
      <c r="I23" s="2662">
        <f t="shared" si="3"/>
        <v>148399.34000000008</v>
      </c>
      <c r="J23" s="2666">
        <f>IFERROR(SUM($D$3:D23)/SUM($C$3:C23),0)</f>
        <v>0.69322190658746052</v>
      </c>
      <c r="M23" s="2673"/>
      <c r="Q23" s="2667"/>
    </row>
    <row r="24" spans="2:17">
      <c r="B24" s="2661">
        <v>45799</v>
      </c>
      <c r="C24" s="2662"/>
      <c r="D24" s="2663">
        <f>'8_MP'!BT7</f>
        <v>40500</v>
      </c>
      <c r="E24" s="2664">
        <f t="shared" si="1"/>
        <v>-0.62325581395348839</v>
      </c>
      <c r="F24" s="2662">
        <f t="shared" si="2"/>
        <v>1003934.26</v>
      </c>
      <c r="G24" s="2662">
        <f t="shared" si="0"/>
        <v>385857.73999999976</v>
      </c>
      <c r="H24" s="2668"/>
      <c r="I24" s="2662">
        <f t="shared" si="3"/>
        <v>107899.34000000008</v>
      </c>
      <c r="J24" s="2666">
        <f>IFERROR(SUM($D$3:D24)/SUM($C$3:C24),0)</f>
        <v>0.7223629579102484</v>
      </c>
      <c r="M24" s="2673"/>
      <c r="Q24" s="2667"/>
    </row>
    <row r="25" spans="2:17">
      <c r="B25" s="2669">
        <v>45829</v>
      </c>
      <c r="C25" s="2672">
        <f>SUM(D28:D33)</f>
        <v>1194994.2857142857</v>
      </c>
      <c r="D25" s="2663">
        <f>'8_MP'!BU7</f>
        <v>60000</v>
      </c>
      <c r="E25" s="2664">
        <f t="shared" si="1"/>
        <v>0.48148148148148145</v>
      </c>
      <c r="F25" s="2670">
        <f t="shared" si="2"/>
        <v>1063934.26</v>
      </c>
      <c r="G25" s="2670">
        <f t="shared" si="0"/>
        <v>1520852.0257142854</v>
      </c>
      <c r="H25" s="2671"/>
      <c r="I25" s="2662">
        <f t="shared" si="3"/>
        <v>1003894.7685714287</v>
      </c>
      <c r="J25" s="2666">
        <f>IFERROR(SUM($D$3:D25)/SUM($C$3:C25),0)</f>
        <v>0.41161401462093805</v>
      </c>
      <c r="M25" s="2673"/>
      <c r="Q25" s="2667"/>
    </row>
    <row r="26" spans="2:17">
      <c r="B26" s="2661">
        <v>45859</v>
      </c>
      <c r="C26" s="2662"/>
      <c r="D26" s="2663">
        <f>'8_MP'!BV7</f>
        <v>113500</v>
      </c>
      <c r="E26" s="2664">
        <f t="shared" si="1"/>
        <v>0.89166666666666672</v>
      </c>
      <c r="F26" s="2662">
        <f t="shared" si="2"/>
        <v>1177434.26</v>
      </c>
      <c r="G26" s="2662">
        <f t="shared" si="0"/>
        <v>1407352.0257142854</v>
      </c>
      <c r="H26" s="2668"/>
      <c r="I26" s="2662">
        <f t="shared" si="3"/>
        <v>890394.76857142872</v>
      </c>
      <c r="J26" s="2666">
        <f>IFERROR(SUM($D$3:D26)/SUM($C$3:C26),0)</f>
        <v>0.45552480160835629</v>
      </c>
      <c r="M26" s="2673"/>
      <c r="Q26" s="2667"/>
    </row>
    <row r="27" spans="2:17">
      <c r="B27" s="2661">
        <v>45889</v>
      </c>
      <c r="C27" s="2662"/>
      <c r="D27" s="2683">
        <f>'8_MP'!BW7</f>
        <v>41500</v>
      </c>
      <c r="E27" s="2664">
        <f t="shared" si="1"/>
        <v>-0.63436123348017626</v>
      </c>
      <c r="F27" s="2662">
        <f t="shared" si="2"/>
        <v>1218934.26</v>
      </c>
      <c r="G27" s="2662">
        <f t="shared" si="0"/>
        <v>1365852.0257142854</v>
      </c>
      <c r="H27" s="2668"/>
      <c r="I27" s="2662">
        <f t="shared" si="3"/>
        <v>848894.76857142872</v>
      </c>
      <c r="J27" s="2666">
        <f>IFERROR(SUM($D$3:D27)/SUM($C$3:C27),0)</f>
        <v>0.47158028759935061</v>
      </c>
      <c r="M27" s="2673"/>
      <c r="Q27" s="2667"/>
    </row>
    <row r="28" spans="2:17">
      <c r="B28" s="2661">
        <v>45919</v>
      </c>
      <c r="C28" s="2662"/>
      <c r="D28" s="2682">
        <f>'8_MP'!BX7</f>
        <v>100500</v>
      </c>
      <c r="E28" s="2664">
        <f t="shared" si="1"/>
        <v>1.4216867469879517</v>
      </c>
      <c r="F28" s="2662">
        <f t="shared" si="2"/>
        <v>1319434.26</v>
      </c>
      <c r="G28" s="2662">
        <f t="shared" si="0"/>
        <v>1265352.0257142854</v>
      </c>
      <c r="H28" s="2668"/>
      <c r="I28" s="2662">
        <f t="shared" si="3"/>
        <v>748394.76857142872</v>
      </c>
      <c r="J28" s="2666">
        <f>IFERROR(SUM($D$3:D28)/SUM($C$3:C28),0)</f>
        <v>0.51046164524019233</v>
      </c>
      <c r="M28" s="2673"/>
      <c r="Q28" s="2667"/>
    </row>
    <row r="29" spans="2:17">
      <c r="B29" s="2661">
        <v>45949</v>
      </c>
      <c r="C29" s="2662"/>
      <c r="D29" s="2663">
        <f>'8_MP'!BY7</f>
        <v>49500</v>
      </c>
      <c r="E29" s="2664">
        <f t="shared" si="1"/>
        <v>-0.5074626865671642</v>
      </c>
      <c r="F29" s="2662">
        <f t="shared" si="2"/>
        <v>1368934.26</v>
      </c>
      <c r="G29" s="2662">
        <f t="shared" si="0"/>
        <v>1215852.0257142854</v>
      </c>
      <c r="H29" s="2668"/>
      <c r="I29" s="2662">
        <f t="shared" si="3"/>
        <v>698894.76857142872</v>
      </c>
      <c r="J29" s="2666">
        <f>IFERROR(SUM($D$3:D29)/SUM($C$3:C29),0)</f>
        <v>0.52961216467523375</v>
      </c>
      <c r="M29" s="2673"/>
      <c r="Q29" s="2667"/>
    </row>
    <row r="30" spans="2:17">
      <c r="B30" s="2661">
        <v>45979</v>
      </c>
      <c r="C30" s="2662"/>
      <c r="D30" s="2663">
        <f>'8_MP'!BZ7</f>
        <v>62900</v>
      </c>
      <c r="E30" s="2664">
        <f t="shared" si="1"/>
        <v>0.27070707070707073</v>
      </c>
      <c r="F30" s="2662">
        <f t="shared" si="2"/>
        <v>1431834.26</v>
      </c>
      <c r="G30" s="2662">
        <f t="shared" si="0"/>
        <v>1152952.0257142854</v>
      </c>
      <c r="H30" s="2668"/>
      <c r="I30" s="2662">
        <f t="shared" si="3"/>
        <v>635994.76857142872</v>
      </c>
      <c r="J30" s="2666">
        <f>IFERROR(SUM($D$3:D30)/SUM($C$3:C30),0)</f>
        <v>0.55394686512905411</v>
      </c>
      <c r="M30" s="2673"/>
      <c r="Q30" s="2667"/>
    </row>
    <row r="31" spans="2:17">
      <c r="B31" s="2669">
        <v>46009</v>
      </c>
      <c r="C31" s="2670"/>
      <c r="D31" s="2663">
        <f>'8_MP'!CA7</f>
        <v>17500</v>
      </c>
      <c r="E31" s="2664">
        <f t="shared" si="1"/>
        <v>-0.72178060413354528</v>
      </c>
      <c r="F31" s="2670">
        <f t="shared" si="2"/>
        <v>1449334.26</v>
      </c>
      <c r="G31" s="2670">
        <f t="shared" si="0"/>
        <v>1135452.0257142854</v>
      </c>
      <c r="H31" s="2671"/>
      <c r="I31" s="2662">
        <f t="shared" si="3"/>
        <v>618494.76857142872</v>
      </c>
      <c r="J31" s="2666">
        <f>IFERROR(SUM($D$3:D31)/SUM($C$3:C31),0)</f>
        <v>0.56071725078790713</v>
      </c>
      <c r="M31" s="2673"/>
      <c r="Q31" s="2667"/>
    </row>
    <row r="32" spans="2:17">
      <c r="B32" s="2661">
        <v>46039</v>
      </c>
      <c r="C32" s="2662"/>
      <c r="D32" s="2663">
        <f>'8_MP'!CD7</f>
        <v>202357.14285714284</v>
      </c>
      <c r="E32" s="2664">
        <f t="shared" si="1"/>
        <v>10.563265306122448</v>
      </c>
      <c r="F32" s="2662">
        <f t="shared" si="2"/>
        <v>1651691.402857143</v>
      </c>
      <c r="G32" s="2662">
        <f t="shared" si="0"/>
        <v>933094.8828571426</v>
      </c>
      <c r="H32" s="2668"/>
      <c r="I32" s="2662">
        <f t="shared" si="3"/>
        <v>416137.62571428588</v>
      </c>
      <c r="J32" s="2666">
        <f>IFERROR(SUM($D$3:D32)/SUM($C$3:C32),0)</f>
        <v>0.6390050163859915</v>
      </c>
      <c r="Q32" s="2667"/>
    </row>
    <row r="33" spans="2:17">
      <c r="B33" s="2661">
        <v>46069</v>
      </c>
      <c r="C33" s="2662"/>
      <c r="D33" s="2682">
        <f>'8_MP'!CE7</f>
        <v>762237.14285714284</v>
      </c>
      <c r="E33" s="2664">
        <f t="shared" si="1"/>
        <v>2.7667913872220264</v>
      </c>
      <c r="F33" s="2662">
        <f t="shared" si="2"/>
        <v>2413928.5457142857</v>
      </c>
      <c r="G33" s="2662">
        <f t="shared" si="0"/>
        <v>170857.73999999976</v>
      </c>
      <c r="H33" s="2668"/>
      <c r="I33" s="2662">
        <f t="shared" si="3"/>
        <v>-346099.51714285696</v>
      </c>
      <c r="J33" s="2666">
        <f>IFERROR(SUM($D$3:D33)/SUM($C$3:C33),0)</f>
        <v>0.93389869756571209</v>
      </c>
      <c r="Q33" s="2667"/>
    </row>
    <row r="34" spans="2:17">
      <c r="B34" s="2661">
        <v>46099</v>
      </c>
      <c r="C34" s="2662"/>
      <c r="D34" s="2683">
        <f>'8_MP'!CF7</f>
        <v>53357.142857142855</v>
      </c>
      <c r="E34" s="2664">
        <f t="shared" si="1"/>
        <v>-0.92999928781069263</v>
      </c>
      <c r="F34" s="2662">
        <f t="shared" si="2"/>
        <v>2467285.6885714284</v>
      </c>
      <c r="G34" s="2662">
        <f t="shared" si="0"/>
        <v>117500.5971428569</v>
      </c>
      <c r="H34" s="2668"/>
      <c r="I34" s="2662">
        <f t="shared" si="3"/>
        <v>-399456.6599999998</v>
      </c>
      <c r="J34" s="2666">
        <f>IFERROR(SUM($D$3:D34)/SUM($C$3:C34),0)</f>
        <v>0.95454146526841899</v>
      </c>
      <c r="Q34" s="2667"/>
    </row>
    <row r="35" spans="2:17">
      <c r="B35" s="2661">
        <v>46129</v>
      </c>
      <c r="C35" s="2662"/>
      <c r="D35" s="2663">
        <f>'8_MP'!CG7</f>
        <v>176117.14285714284</v>
      </c>
      <c r="E35" s="2664">
        <f t="shared" si="1"/>
        <v>2.3007228915662647</v>
      </c>
      <c r="F35" s="2662">
        <f t="shared" si="2"/>
        <v>2643402.8314285711</v>
      </c>
      <c r="G35" s="2662">
        <f t="shared" si="0"/>
        <v>-58616.545714285938</v>
      </c>
      <c r="H35" s="2668"/>
      <c r="I35" s="2662">
        <f t="shared" si="3"/>
        <v>-575573.80285714264</v>
      </c>
      <c r="J35" s="2666">
        <f>IFERROR(SUM($D$3:D35)/SUM($C$3:C35),0)</f>
        <v>1.0226775211700287</v>
      </c>
      <c r="Q35" s="2667"/>
    </row>
    <row r="36" spans="2:17">
      <c r="B36" s="2661">
        <v>46159</v>
      </c>
      <c r="C36" s="2662"/>
      <c r="D36" s="2663">
        <f>'8_MP'!CH7</f>
        <v>528057.14285714284</v>
      </c>
      <c r="E36" s="2664">
        <f t="shared" si="1"/>
        <v>1.9983290342466866</v>
      </c>
      <c r="F36" s="2662">
        <f t="shared" si="2"/>
        <v>3171459.9742857139</v>
      </c>
      <c r="G36" s="2662">
        <f t="shared" si="0"/>
        <v>-586673.68857142876</v>
      </c>
      <c r="H36" s="2668"/>
      <c r="I36" s="2662">
        <f t="shared" si="3"/>
        <v>-1103630.9457142856</v>
      </c>
      <c r="J36" s="2666">
        <f>IFERROR(SUM($D$3:D36)/SUM($C$3:C36),0)</f>
        <v>1.2269718358588806</v>
      </c>
      <c r="Q36" s="2667"/>
    </row>
    <row r="37" spans="2:17">
      <c r="B37" s="2669">
        <v>46189</v>
      </c>
      <c r="C37" s="2670"/>
      <c r="D37" s="2663">
        <f>'8_MP'!CI7</f>
        <v>89357.142857142855</v>
      </c>
      <c r="E37" s="2664">
        <f t="shared" si="1"/>
        <v>-0.83078130072502976</v>
      </c>
      <c r="F37" s="2670">
        <f t="shared" si="2"/>
        <v>3260817.1171428566</v>
      </c>
      <c r="G37" s="2670">
        <f t="shared" si="0"/>
        <v>-676030.8314285716</v>
      </c>
      <c r="H37" s="2671"/>
      <c r="I37" s="2662">
        <f t="shared" si="3"/>
        <v>-1192988.0885714286</v>
      </c>
      <c r="J37" s="2666">
        <f>IFERROR(SUM($D$3:D37)/SUM($C$3:C37),0)</f>
        <v>1.2615422540597996</v>
      </c>
      <c r="Q37" s="2667"/>
    </row>
    <row r="38" spans="2:17">
      <c r="B38" s="2661">
        <v>46219</v>
      </c>
      <c r="C38" s="2662"/>
      <c r="D38" s="2663">
        <f>'8_MP'!CJ7</f>
        <v>262617.23285714287</v>
      </c>
      <c r="E38" s="2664">
        <f t="shared" si="1"/>
        <v>1.9389618385291769</v>
      </c>
      <c r="F38" s="2662">
        <f t="shared" si="2"/>
        <v>3523434.3499999996</v>
      </c>
      <c r="G38" s="2662">
        <f t="shared" si="0"/>
        <v>-938648.06428571441</v>
      </c>
      <c r="H38" s="2668"/>
      <c r="I38" s="2662">
        <f t="shared" si="3"/>
        <v>-1455605.3214285714</v>
      </c>
      <c r="J38" s="2666">
        <f>IFERROR(SUM($D$3:D38)/SUM($C$3:C38),0)</f>
        <v>1.363143393894295</v>
      </c>
      <c r="Q38" s="2667"/>
    </row>
    <row r="39" spans="2:17">
      <c r="B39" s="2661">
        <v>46249</v>
      </c>
      <c r="C39" s="2662"/>
      <c r="D39" s="2683">
        <f>'8_MP'!CK7</f>
        <v>473800</v>
      </c>
      <c r="E39" s="2664">
        <f t="shared" si="1"/>
        <v>0.8041466466053856</v>
      </c>
      <c r="F39" s="2662">
        <f t="shared" si="2"/>
        <v>3997234.3499999996</v>
      </c>
      <c r="G39" s="2662">
        <f t="shared" si="0"/>
        <v>-1412448.0642857144</v>
      </c>
      <c r="H39" s="2668"/>
      <c r="I39" s="2662">
        <f t="shared" si="3"/>
        <v>-1929405.3214285714</v>
      </c>
      <c r="J39" s="2666">
        <f>IFERROR(SUM($D$3:D39)/SUM($C$3:C39),0)</f>
        <v>1.5464467496179846</v>
      </c>
      <c r="Q39" s="2667"/>
    </row>
    <row r="40" spans="2:17">
      <c r="B40" s="2661">
        <v>46279</v>
      </c>
      <c r="C40" s="2662"/>
      <c r="D40" s="2663">
        <f>'8_MP'!CL7</f>
        <v>163700</v>
      </c>
      <c r="E40" s="2664">
        <f t="shared" si="1"/>
        <v>-0.65449556775010553</v>
      </c>
      <c r="F40" s="2662">
        <f t="shared" si="2"/>
        <v>4160934.3499999996</v>
      </c>
      <c r="G40" s="2662">
        <f t="shared" si="0"/>
        <v>-1576148.0642857144</v>
      </c>
      <c r="H40" s="2668"/>
      <c r="I40" s="2662">
        <f t="shared" si="3"/>
        <v>-2093105.3214285714</v>
      </c>
      <c r="J40" s="2666">
        <f>IFERROR(SUM($D$3:D40)/SUM($C$3:C40),0)</f>
        <v>1.6097788714667982</v>
      </c>
      <c r="Q40" s="2667"/>
    </row>
    <row r="41" spans="2:17">
      <c r="B41" s="2661">
        <v>46309</v>
      </c>
      <c r="C41" s="2662"/>
      <c r="D41" s="2663">
        <f>'8_MP'!CM7</f>
        <v>272000.08999999997</v>
      </c>
      <c r="E41" s="2664">
        <f t="shared" si="1"/>
        <v>0.66157660354306635</v>
      </c>
      <c r="F41" s="2662">
        <f t="shared" si="2"/>
        <v>4432934.4399999995</v>
      </c>
      <c r="G41" s="2662">
        <f t="shared" si="0"/>
        <v>-1848148.1542857145</v>
      </c>
      <c r="H41" s="2668"/>
      <c r="I41" s="2662">
        <f t="shared" si="3"/>
        <v>-2365105.4114285712</v>
      </c>
      <c r="J41" s="2666">
        <f>IFERROR(SUM($D$3:D41)/SUM($C$3:C41),0)</f>
        <v>1.7150100433835258</v>
      </c>
      <c r="Q41" s="2667"/>
    </row>
    <row r="42" spans="2:17">
      <c r="B42" s="2661">
        <v>46339</v>
      </c>
      <c r="C42" s="2662"/>
      <c r="D42" s="2663">
        <f>'8_MP'!CN7</f>
        <v>402900</v>
      </c>
      <c r="E42" s="2664">
        <f t="shared" si="1"/>
        <v>0.48124950988067705</v>
      </c>
      <c r="F42" s="2662">
        <f t="shared" si="2"/>
        <v>4835834.4399999995</v>
      </c>
      <c r="G42" s="2662">
        <f t="shared" si="0"/>
        <v>-2251048.1542857145</v>
      </c>
      <c r="H42" s="2668"/>
      <c r="I42" s="2662">
        <f t="shared" si="3"/>
        <v>-2768005.4114285712</v>
      </c>
      <c r="J42" s="2666">
        <f>IFERROR(SUM($D$3:D42)/SUM($C$3:C42),0)</f>
        <v>1.8708836652093481</v>
      </c>
      <c r="Q42" s="2667"/>
    </row>
    <row r="43" spans="2:17">
      <c r="B43" s="2669">
        <v>46369</v>
      </c>
      <c r="C43" s="2670"/>
      <c r="D43" s="2663">
        <f>'8_MP'!CO7</f>
        <v>65700</v>
      </c>
      <c r="E43" s="2664">
        <f t="shared" si="1"/>
        <v>-0.8369322412509308</v>
      </c>
      <c r="F43" s="2670">
        <f t="shared" si="2"/>
        <v>4901534.4399999995</v>
      </c>
      <c r="G43" s="2670">
        <f t="shared" si="0"/>
        <v>-2316748.1542857145</v>
      </c>
      <c r="H43" s="2671"/>
      <c r="I43" s="2662">
        <f t="shared" si="3"/>
        <v>-2833705.4114285712</v>
      </c>
      <c r="J43" s="2666">
        <f>IFERROR(SUM($D$3:D43)/SUM($C$3:C43),0)</f>
        <v>1.8963016273685849</v>
      </c>
      <c r="Q43" s="2667"/>
    </row>
    <row r="44" spans="2:17">
      <c r="B44" s="2661">
        <v>46399</v>
      </c>
      <c r="C44" s="2662"/>
      <c r="D44" s="2663">
        <f>'8_MP'!CR7</f>
        <v>77700</v>
      </c>
      <c r="E44" s="2664">
        <f t="shared" si="1"/>
        <v>0.18264840182648401</v>
      </c>
      <c r="F44" s="2662">
        <f t="shared" si="2"/>
        <v>4979234.4399999995</v>
      </c>
      <c r="G44" s="2662">
        <f t="shared" si="0"/>
        <v>-2394448.1542857145</v>
      </c>
      <c r="H44" s="2668"/>
      <c r="I44" s="2662">
        <f t="shared" si="3"/>
        <v>-2911405.4114285712</v>
      </c>
      <c r="J44" s="2666">
        <f>IFERROR(SUM($D$3:D44)/SUM($C$3:C44),0)</f>
        <v>1.9263621396938924</v>
      </c>
      <c r="Q44" s="2667"/>
    </row>
    <row r="45" spans="2:17">
      <c r="B45" s="2661">
        <v>46429</v>
      </c>
      <c r="C45" s="2662"/>
      <c r="D45" s="2663">
        <f>'8_MP'!CS7</f>
        <v>534000.09</v>
      </c>
      <c r="E45" s="2664">
        <f t="shared" si="1"/>
        <v>5.8725880308880303</v>
      </c>
      <c r="F45" s="2662">
        <f t="shared" si="2"/>
        <v>5513234.5299999993</v>
      </c>
      <c r="G45" s="2662">
        <f t="shared" si="0"/>
        <v>-2928448.2442857143</v>
      </c>
      <c r="H45" s="2668"/>
      <c r="I45" s="2662">
        <f t="shared" si="3"/>
        <v>-3445405.5014285711</v>
      </c>
      <c r="J45" s="2666">
        <f>IFERROR(SUM($D$3:D45)/SUM($C$3:C45),0)</f>
        <v>2.1329556569031625</v>
      </c>
      <c r="Q45" s="2667"/>
    </row>
    <row r="46" spans="2:17">
      <c r="B46" s="2661">
        <v>46459</v>
      </c>
      <c r="C46" s="2662"/>
      <c r="D46" s="2663">
        <f>'8_MP'!CT7</f>
        <v>10000</v>
      </c>
      <c r="E46" s="2664">
        <f t="shared" si="1"/>
        <v>-0.98127341139586699</v>
      </c>
      <c r="F46" s="2662">
        <f t="shared" si="2"/>
        <v>5523234.5299999993</v>
      </c>
      <c r="G46" s="2662">
        <f t="shared" si="0"/>
        <v>-2938448.2442857143</v>
      </c>
      <c r="H46" s="2668"/>
      <c r="I46" s="2662">
        <f t="shared" si="3"/>
        <v>-3455405.5014285711</v>
      </c>
      <c r="J46" s="2666">
        <f>IFERROR(SUM($D$3:D46)/SUM($C$3:C46),0)</f>
        <v>2.1368244487082215</v>
      </c>
      <c r="Q46" s="2667"/>
    </row>
    <row r="47" spans="2:17">
      <c r="B47" s="2661">
        <v>46489</v>
      </c>
      <c r="C47" s="2662"/>
      <c r="D47" s="2663">
        <f>'8_MP'!CU7</f>
        <v>22000</v>
      </c>
      <c r="E47" s="2664">
        <f t="shared" si="1"/>
        <v>1.2</v>
      </c>
      <c r="F47" s="2662">
        <f t="shared" si="2"/>
        <v>5545234.5299999993</v>
      </c>
      <c r="G47" s="2662">
        <f t="shared" si="0"/>
        <v>-2960448.2442857143</v>
      </c>
      <c r="H47" s="2668"/>
      <c r="I47" s="2662">
        <f t="shared" si="3"/>
        <v>-3477405.5014285711</v>
      </c>
      <c r="J47" s="2666">
        <f>IFERROR(SUM($D$3:D47)/SUM($C$3:C47),0)</f>
        <v>2.1453357906793511</v>
      </c>
      <c r="Q47" s="2667"/>
    </row>
    <row r="48" spans="2:17">
      <c r="B48" s="2661">
        <v>46519</v>
      </c>
      <c r="C48" s="2662"/>
      <c r="D48" s="2663">
        <f>'8_MP'!CV7</f>
        <v>376000.08999999997</v>
      </c>
      <c r="E48" s="2664">
        <f t="shared" si="1"/>
        <v>16.090913181818181</v>
      </c>
      <c r="F48" s="2662">
        <f t="shared" si="2"/>
        <v>5921234.6199999992</v>
      </c>
      <c r="G48" s="2662">
        <f t="shared" si="0"/>
        <v>-3336448.3342857142</v>
      </c>
      <c r="H48" s="2668"/>
      <c r="I48" s="2662">
        <f t="shared" si="3"/>
        <v>-3853405.5914285709</v>
      </c>
      <c r="J48" s="2666">
        <f>IFERROR(SUM($D$3:D48)/SUM($C$3:C48),0)</f>
        <v>2.2908023973686911</v>
      </c>
      <c r="Q48" s="2667"/>
    </row>
    <row r="49" spans="2:17">
      <c r="B49" s="2669">
        <v>46549</v>
      </c>
      <c r="C49" s="2670"/>
      <c r="D49" s="2663">
        <f>'8_MP'!CW7</f>
        <v>109800</v>
      </c>
      <c r="E49" s="2664">
        <f t="shared" si="1"/>
        <v>-0.70797879330294844</v>
      </c>
      <c r="F49" s="2670">
        <f t="shared" si="2"/>
        <v>6031034.6199999992</v>
      </c>
      <c r="G49" s="2670">
        <f t="shared" si="0"/>
        <v>-3446248.3342857142</v>
      </c>
      <c r="H49" s="2671"/>
      <c r="I49" s="2662">
        <f t="shared" si="3"/>
        <v>-3963205.5914285709</v>
      </c>
      <c r="J49" s="2666">
        <f>IFERROR(SUM($D$3:D49)/SUM($C$3:C49),0)</f>
        <v>2.3332817313882375</v>
      </c>
      <c r="Q49" s="2667"/>
    </row>
    <row r="50" spans="2:17">
      <c r="B50" s="2661">
        <v>46579</v>
      </c>
      <c r="C50" s="2662"/>
      <c r="D50" s="2663">
        <f>'8_MP'!CX7</f>
        <v>129500</v>
      </c>
      <c r="E50" s="2664">
        <f t="shared" si="1"/>
        <v>0.17941712204007285</v>
      </c>
      <c r="F50" s="2662">
        <f t="shared" si="2"/>
        <v>6160534.6199999992</v>
      </c>
      <c r="G50" s="2662">
        <f t="shared" si="0"/>
        <v>-3575748.3342857142</v>
      </c>
      <c r="H50" s="2668"/>
      <c r="I50" s="2662">
        <f t="shared" si="3"/>
        <v>-4092705.5914285709</v>
      </c>
      <c r="J50" s="2666">
        <f>IFERROR(SUM($D$3:D50)/SUM($C$3:C50),0)</f>
        <v>2.38338258526375</v>
      </c>
      <c r="Q50" s="2667"/>
    </row>
    <row r="51" spans="2:17">
      <c r="B51" s="2661">
        <v>46609</v>
      </c>
      <c r="C51" s="2662"/>
      <c r="D51" s="2663">
        <f>'8_MP'!CY7</f>
        <v>326000</v>
      </c>
      <c r="E51" s="2664">
        <f t="shared" si="1"/>
        <v>1.5173745173745175</v>
      </c>
      <c r="F51" s="2662">
        <f t="shared" si="2"/>
        <v>6486534.6199999992</v>
      </c>
      <c r="G51" s="2662">
        <f t="shared" si="0"/>
        <v>-3901748.3342857142</v>
      </c>
      <c r="H51" s="2668"/>
      <c r="I51" s="2662">
        <f t="shared" si="3"/>
        <v>-4418705.5914285704</v>
      </c>
      <c r="J51" s="2666">
        <f>IFERROR(SUM($D$3:D51)/SUM($C$3:C51),0)</f>
        <v>2.5095051981086693</v>
      </c>
      <c r="Q51" s="2667"/>
    </row>
    <row r="52" spans="2:17">
      <c r="B52" s="2661">
        <v>46639</v>
      </c>
      <c r="C52" s="2662"/>
      <c r="D52" s="2663">
        <f>'8_MP'!CZ7</f>
        <v>45000.09</v>
      </c>
      <c r="E52" s="2664">
        <f t="shared" si="1"/>
        <v>-0.86196291411042958</v>
      </c>
      <c r="F52" s="2662">
        <f t="shared" si="2"/>
        <v>6531534.709999999</v>
      </c>
      <c r="G52" s="2662">
        <f t="shared" si="0"/>
        <v>-3946748.424285714</v>
      </c>
      <c r="H52" s="2668"/>
      <c r="I52" s="2662">
        <f t="shared" si="3"/>
        <v>-4463705.6814285703</v>
      </c>
      <c r="J52" s="2666">
        <f>IFERROR(SUM($D$3:D52)/SUM($C$3:C52),0)</f>
        <v>2.5269147960505602</v>
      </c>
      <c r="Q52" s="2667"/>
    </row>
    <row r="53" spans="2:17">
      <c r="B53" s="2661">
        <v>46669</v>
      </c>
      <c r="C53" s="2662"/>
      <c r="D53" s="2663">
        <f>'8_MP'!DA7</f>
        <v>172100</v>
      </c>
      <c r="E53" s="2664">
        <f t="shared" si="1"/>
        <v>2.8244367955708536</v>
      </c>
      <c r="F53" s="2662">
        <f t="shared" si="2"/>
        <v>6703634.709999999</v>
      </c>
      <c r="G53" s="2662">
        <f t="shared" si="0"/>
        <v>-4118848.424285714</v>
      </c>
      <c r="H53" s="2668"/>
      <c r="I53" s="2662">
        <f t="shared" si="3"/>
        <v>-4635805.6814285703</v>
      </c>
      <c r="J53" s="2666">
        <f>IFERROR(SUM($D$3:D53)/SUM($C$3:C53),0)</f>
        <v>2.5934967030156235</v>
      </c>
      <c r="Q53" s="2667"/>
    </row>
    <row r="54" spans="2:17">
      <c r="B54" s="2661">
        <v>46699</v>
      </c>
      <c r="C54" s="2662"/>
      <c r="D54" s="2663">
        <f>'8_MP'!DB7</f>
        <v>326000</v>
      </c>
      <c r="E54" s="2664">
        <f t="shared" si="1"/>
        <v>0.89424753050552008</v>
      </c>
      <c r="F54" s="2662">
        <f t="shared" si="2"/>
        <v>7029634.709999999</v>
      </c>
      <c r="G54" s="2662">
        <f t="shared" si="0"/>
        <v>-4444848.4242857136</v>
      </c>
      <c r="H54" s="2668"/>
      <c r="I54" s="2662">
        <f t="shared" si="3"/>
        <v>-4961805.6814285703</v>
      </c>
      <c r="J54" s="2666">
        <f>IFERROR(SUM($D$3:D54)/SUM($C$3:C54),0)</f>
        <v>2.7196193158605428</v>
      </c>
      <c r="Q54" s="2667"/>
    </row>
    <row r="55" spans="2:17">
      <c r="B55" s="2669">
        <v>46729</v>
      </c>
      <c r="C55" s="2670"/>
      <c r="D55" s="2663">
        <f>'8_MP'!DC7</f>
        <v>44999.549999999996</v>
      </c>
      <c r="E55" s="2664">
        <f t="shared" si="1"/>
        <v>-0.86196457055214726</v>
      </c>
      <c r="F55" s="2670">
        <f t="shared" si="2"/>
        <v>7074634.2599999988</v>
      </c>
      <c r="G55" s="2670">
        <f t="shared" si="0"/>
        <v>-4489847.9742857134</v>
      </c>
      <c r="H55" s="2671"/>
      <c r="I55" s="2662">
        <f t="shared" si="3"/>
        <v>-5006805.2314285701</v>
      </c>
      <c r="J55" s="2666">
        <f>IFERROR(SUM($D$3:D55)/SUM($C$3:C55),0)</f>
        <v>2.7370287048876767</v>
      </c>
      <c r="Q55" s="2667"/>
    </row>
    <row r="56" spans="2:17">
      <c r="B56" s="2661">
        <v>46759</v>
      </c>
      <c r="C56" s="2662"/>
      <c r="D56" s="2663">
        <f>'8_MP'!DF7</f>
        <v>684800</v>
      </c>
      <c r="E56" s="2664">
        <f t="shared" si="1"/>
        <v>14.217929957077349</v>
      </c>
      <c r="F56" s="2662">
        <f t="shared" si="2"/>
        <v>7759434.2599999988</v>
      </c>
      <c r="G56" s="2662">
        <f t="shared" si="0"/>
        <v>-5174647.9742857134</v>
      </c>
      <c r="H56" s="2668"/>
      <c r="I56" s="2662">
        <f t="shared" si="3"/>
        <v>-5691605.2314285701</v>
      </c>
      <c r="J56" s="2666">
        <f>IFERROR(SUM($D$3:D56)/SUM($C$3:C56),0)</f>
        <v>3.0019635676981085</v>
      </c>
      <c r="Q56" s="2667"/>
    </row>
    <row r="57" spans="2:17">
      <c r="B57" s="2661">
        <v>46789</v>
      </c>
      <c r="C57" s="2662"/>
      <c r="D57" s="2663">
        <f>'8_MP'!DG7</f>
        <v>0</v>
      </c>
      <c r="E57" s="2664">
        <f t="shared" si="1"/>
        <v>-1</v>
      </c>
      <c r="F57" s="2662">
        <f t="shared" si="2"/>
        <v>7759434.2599999988</v>
      </c>
      <c r="G57" s="2662">
        <f t="shared" si="0"/>
        <v>-5174647.9742857134</v>
      </c>
      <c r="H57" s="2668"/>
      <c r="I57" s="2662">
        <f t="shared" si="3"/>
        <v>-5691605.2314285701</v>
      </c>
      <c r="J57" s="2666">
        <f>IFERROR(SUM($D$3:D57)/SUM($C$3:C57),0)</f>
        <v>3.0019635676981085</v>
      </c>
      <c r="Q57" s="2667"/>
    </row>
    <row r="58" spans="2:17">
      <c r="B58" s="2661">
        <v>46819</v>
      </c>
      <c r="C58" s="2662"/>
      <c r="D58" s="2663">
        <f>'8_MP'!DH7</f>
        <v>0</v>
      </c>
      <c r="E58" s="2664">
        <f t="shared" si="1"/>
        <v>0</v>
      </c>
      <c r="F58" s="2662">
        <f t="shared" si="2"/>
        <v>7759434.2599999988</v>
      </c>
      <c r="G58" s="2662">
        <f t="shared" si="0"/>
        <v>-5174647.9742857134</v>
      </c>
      <c r="H58" s="2668"/>
      <c r="I58" s="2662">
        <f t="shared" si="3"/>
        <v>-5691605.2314285701</v>
      </c>
      <c r="J58" s="2666">
        <f>IFERROR(SUM($D$3:D58)/SUM($C$3:C58),0)</f>
        <v>3.0019635676981085</v>
      </c>
      <c r="Q58" s="2667"/>
    </row>
    <row r="59" spans="2:17">
      <c r="B59" s="2661">
        <v>46849</v>
      </c>
      <c r="C59" s="2662"/>
      <c r="D59" s="2663"/>
      <c r="E59" s="2664">
        <f t="shared" si="1"/>
        <v>0</v>
      </c>
      <c r="F59" s="2662">
        <f t="shared" si="2"/>
        <v>7759434.2599999988</v>
      </c>
      <c r="G59" s="2662">
        <f t="shared" si="0"/>
        <v>-5174647.9742857134</v>
      </c>
      <c r="H59" s="2668"/>
      <c r="I59" s="2662">
        <f t="shared" si="3"/>
        <v>-5691605.2314285701</v>
      </c>
      <c r="J59" s="2666">
        <f>IFERROR(SUM($D$3:D59)/SUM($C$3:C59),0)</f>
        <v>3.0019635676981085</v>
      </c>
      <c r="Q59" s="2667"/>
    </row>
    <row r="60" spans="2:17">
      <c r="B60" s="2661">
        <v>46879</v>
      </c>
      <c r="C60" s="2662"/>
      <c r="D60" s="2663"/>
      <c r="E60" s="2664">
        <f t="shared" si="1"/>
        <v>0</v>
      </c>
      <c r="F60" s="2662">
        <f t="shared" si="2"/>
        <v>7759434.2599999988</v>
      </c>
      <c r="G60" s="2662">
        <f t="shared" si="0"/>
        <v>-5174647.9742857134</v>
      </c>
      <c r="H60" s="2668"/>
      <c r="I60" s="2662">
        <f t="shared" si="3"/>
        <v>-5691605.2314285701</v>
      </c>
      <c r="J60" s="2666">
        <f>IFERROR(SUM($D$3:D60)/SUM($C$3:C60),0)</f>
        <v>3.0019635676981085</v>
      </c>
      <c r="Q60" s="2667"/>
    </row>
    <row r="61" spans="2:17">
      <c r="B61" s="2669">
        <v>46909</v>
      </c>
      <c r="C61" s="2670"/>
      <c r="D61" s="2663"/>
      <c r="E61" s="2664">
        <f t="shared" si="1"/>
        <v>0</v>
      </c>
      <c r="F61" s="2670">
        <f t="shared" si="2"/>
        <v>7759434.2599999988</v>
      </c>
      <c r="G61" s="2670">
        <f t="shared" si="0"/>
        <v>-5174647.9742857134</v>
      </c>
      <c r="H61" s="2671"/>
      <c r="I61" s="2662">
        <f t="shared" si="3"/>
        <v>-5691605.2314285701</v>
      </c>
      <c r="J61" s="2666">
        <f>IFERROR(SUM($D$3:D61)/SUM($C$3:C61),0)</f>
        <v>3.0019635676981085</v>
      </c>
      <c r="Q61" s="2667"/>
    </row>
    <row r="62" spans="2:17">
      <c r="B62" s="2661">
        <v>46939</v>
      </c>
      <c r="C62" s="2662"/>
      <c r="D62" s="2663"/>
      <c r="E62" s="2664">
        <f t="shared" si="1"/>
        <v>0</v>
      </c>
      <c r="F62" s="2662">
        <f t="shared" si="2"/>
        <v>7759434.2599999988</v>
      </c>
      <c r="G62" s="2662">
        <f t="shared" si="0"/>
        <v>-5174647.9742857134</v>
      </c>
      <c r="H62" s="2668"/>
      <c r="I62" s="2662">
        <f t="shared" si="3"/>
        <v>-5691605.2314285701</v>
      </c>
      <c r="J62" s="2666">
        <f>IFERROR(SUM($D$3:D62)/SUM($C$3:C62),0)</f>
        <v>3.0019635676981085</v>
      </c>
      <c r="Q62" s="2667"/>
    </row>
    <row r="63" spans="2:17">
      <c r="B63" s="2661">
        <v>46969</v>
      </c>
      <c r="C63" s="2662"/>
      <c r="D63" s="2663"/>
      <c r="E63" s="2664">
        <f t="shared" si="1"/>
        <v>0</v>
      </c>
      <c r="F63" s="2662">
        <f t="shared" si="2"/>
        <v>7759434.2599999988</v>
      </c>
      <c r="G63" s="2662">
        <f t="shared" si="0"/>
        <v>-5174647.9742857134</v>
      </c>
      <c r="H63" s="2668"/>
      <c r="I63" s="2662">
        <f t="shared" si="3"/>
        <v>-5691605.2314285701</v>
      </c>
      <c r="J63" s="2666">
        <f>IFERROR(SUM($D$3:D63)/SUM($C$3:C63),0)</f>
        <v>3.0019635676981085</v>
      </c>
      <c r="Q63" s="2667"/>
    </row>
    <row r="64" spans="2:17">
      <c r="B64" s="2674" t="s">
        <v>1109</v>
      </c>
      <c r="C64" s="2670">
        <f>SUM(C3:C63)</f>
        <v>2584786.2857142854</v>
      </c>
      <c r="D64" s="2684">
        <f>SUM(D3:D63)</f>
        <v>7759434.2599999988</v>
      </c>
      <c r="E64" s="2670"/>
      <c r="F64" s="2670"/>
      <c r="G64" s="2670">
        <f>G63</f>
        <v>-5174647.9742857134</v>
      </c>
      <c r="H64" s="2675"/>
      <c r="I64" s="2670"/>
      <c r="J64" s="2666">
        <f>J63</f>
        <v>3.0019635676981085</v>
      </c>
    </row>
    <row r="65" spans="2:6" ht="2" customHeight="1">
      <c r="C65" s="2677"/>
      <c r="D65" s="2677"/>
      <c r="E65" s="2677"/>
      <c r="F65" s="2677"/>
    </row>
    <row r="66" spans="2:6">
      <c r="B66" s="2678"/>
      <c r="C66" s="2679" t="s">
        <v>1110</v>
      </c>
      <c r="D66" s="2680">
        <f>D64-'8_MP'!DJ7</f>
        <v>554434.25999999885</v>
      </c>
      <c r="E66" s="2681"/>
    </row>
  </sheetData>
  <printOptions horizontalCentered="1"/>
  <pageMargins left="0.70866141732283472" right="0.70866141732283472" top="0.74803149606299213" bottom="0.74803149606299213" header="0.31496062992125984" footer="0.31496062992125984"/>
  <pageSetup scale="84" fitToHeight="10000" orientation="portrait" horizontalDpi="4294967293" verticalDpi="1200" r:id="rId1"/>
  <headerFooter>
    <oddFooter>&amp;L&amp;9Archivo: &amp;F&amp;R&amp;9Pag: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EQ600"/>
  <sheetViews>
    <sheetView showGridLines="0" tabSelected="1" zoomScale="110" zoomScaleNormal="110" zoomScalePageLayoutView="125" workbookViewId="0">
      <pane xSplit="1" ySplit="6" topLeftCell="F413" activePane="bottomRight" state="frozen"/>
      <selection pane="topRight" activeCell="B1" sqref="B1"/>
      <selection pane="bottomLeft" activeCell="A7" sqref="A7"/>
      <selection pane="bottomRight" activeCell="BN2" sqref="BN2"/>
    </sheetView>
  </sheetViews>
  <sheetFormatPr baseColWidth="10" defaultColWidth="11.5" defaultRowHeight="14" outlineLevelRow="5" outlineLevelCol="1"/>
  <cols>
    <col min="1" max="1" width="1.5" style="108" hidden="1" customWidth="1"/>
    <col min="2" max="2" width="2.5" style="127" hidden="1" customWidth="1" outlineLevel="1"/>
    <col min="3" max="3" width="8.5" style="2822" hidden="1" customWidth="1" outlineLevel="1"/>
    <col min="4" max="4" width="11.33203125" style="156" hidden="1" customWidth="1" collapsed="1"/>
    <col min="5" max="5" width="3.6640625" style="152" customWidth="1"/>
    <col min="6" max="6" width="7.33203125" style="156" bestFit="1" customWidth="1"/>
    <col min="7" max="7" width="5.5" style="109" bestFit="1" customWidth="1"/>
    <col min="8" max="8" width="109.5" style="2692" customWidth="1"/>
    <col min="9" max="9" width="14.5" style="541" hidden="1" customWidth="1" outlineLevel="1"/>
    <col min="10" max="10" width="3.1640625" style="127" hidden="1" customWidth="1" outlineLevel="1"/>
    <col min="11" max="11" width="2.1640625" style="1037" customWidth="1" collapsed="1"/>
    <col min="12" max="12" width="15.5" style="152" hidden="1" customWidth="1" outlineLevel="1"/>
    <col min="13" max="13" width="10" style="152" hidden="1" customWidth="1" outlineLevel="1"/>
    <col min="14" max="21" width="10" style="157" hidden="1" customWidth="1" outlineLevel="1"/>
    <col min="22" max="22" width="2.1640625" style="1037" customWidth="1" collapsed="1"/>
    <col min="23" max="23" width="10.33203125" style="847" customWidth="1" outlineLevel="1"/>
    <col min="24" max="24" width="8.6640625" style="847" customWidth="1" outlineLevel="1"/>
    <col min="25" max="25" width="8.5" style="848" customWidth="1" outlineLevel="1"/>
    <col min="26" max="26" width="11.5" style="847" customWidth="1" outlineLevel="1"/>
    <col min="27" max="27" width="4.5" style="847" customWidth="1" outlineLevel="1"/>
    <col min="28" max="28" width="9.6640625" style="108" customWidth="1" outlineLevel="1"/>
    <col min="29" max="29" width="2.1640625" style="1037" customWidth="1"/>
    <col min="30" max="30" width="7.6640625" style="127" customWidth="1" outlineLevel="1"/>
    <col min="31" max="31" width="4.83203125" style="152" customWidth="1" outlineLevel="1"/>
    <col min="32" max="32" width="6.33203125" style="152" customWidth="1" outlineLevel="1"/>
    <col min="33" max="33" width="4.33203125" style="152" customWidth="1" outlineLevel="1"/>
    <col min="34" max="34" width="13.5" style="108" customWidth="1" outlineLevel="1"/>
    <col min="35" max="35" width="13.5" style="155" customWidth="1" outlineLevel="1"/>
    <col min="36" max="36" width="15.33203125" style="1764" customWidth="1" outlineLevel="1"/>
    <col min="37" max="37" width="2.1640625" style="1037" customWidth="1"/>
    <col min="38" max="38" width="12.33203125" style="108" customWidth="1" outlineLevel="1"/>
    <col min="39" max="39" width="10.6640625" style="108" customWidth="1" outlineLevel="1"/>
    <col min="40" max="40" width="14.5" style="108" customWidth="1" outlineLevel="1"/>
    <col min="41" max="41" width="2.1640625" style="1037" customWidth="1"/>
    <col min="42" max="51" width="12.1640625" style="966" customWidth="1" outlineLevel="1"/>
    <col min="52" max="52" width="8.5" style="2041" bestFit="1" customWidth="1"/>
    <col min="53" max="53" width="2.5" style="1037" hidden="1" customWidth="1"/>
    <col min="54" max="54" width="9.33203125" style="966" customWidth="1" outlineLevel="1"/>
    <col min="55" max="55" width="10.5" style="966" customWidth="1" outlineLevel="1"/>
    <col min="56" max="56" width="9.33203125" style="966" customWidth="1" outlineLevel="1"/>
    <col min="57" max="58" width="9.6640625" style="966" customWidth="1" outlineLevel="1"/>
    <col min="59" max="59" width="10.5" style="966" customWidth="1" outlineLevel="1"/>
    <col min="60" max="60" width="9.6640625" style="966" customWidth="1" outlineLevel="1"/>
    <col min="61" max="61" width="10.5" style="966" customWidth="1" outlineLevel="1"/>
    <col min="62" max="62" width="14" style="966" customWidth="1" outlineLevel="1"/>
    <col min="63" max="63" width="11" style="966" customWidth="1" outlineLevel="1"/>
    <col min="64" max="64" width="13.5" style="966" customWidth="1" outlineLevel="1"/>
    <col min="65" max="65" width="12.83203125" style="966" customWidth="1" outlineLevel="1"/>
    <col min="66" max="66" width="14.5" style="2041" bestFit="1" customWidth="1"/>
    <col min="67" max="67" width="6.6640625" style="1037" hidden="1" customWidth="1"/>
    <col min="68" max="71" width="8.5" style="966" customWidth="1" outlineLevel="1"/>
    <col min="72" max="72" width="9.83203125" style="966" customWidth="1" outlineLevel="1"/>
    <col min="73" max="73" width="9" style="966" customWidth="1" outlineLevel="1"/>
    <col min="74" max="75" width="8.5" style="966" customWidth="1" outlineLevel="1"/>
    <col min="76" max="76" width="10.6640625" style="966" customWidth="1" outlineLevel="1"/>
    <col min="77" max="77" width="8.5" style="966" customWidth="1" outlineLevel="1"/>
    <col min="78" max="78" width="10.33203125" style="966" customWidth="1" outlineLevel="1"/>
    <col min="79" max="79" width="9.5" style="966" customWidth="1" outlineLevel="1"/>
    <col min="80" max="80" width="12.33203125" style="2041" bestFit="1" customWidth="1"/>
    <col min="81" max="81" width="6.6640625" style="1037" hidden="1" customWidth="1"/>
    <col min="82" max="82" width="11.5" style="966" customWidth="1" outlineLevel="1"/>
    <col min="83" max="83" width="12.83203125" style="966" customWidth="1" outlineLevel="1"/>
    <col min="84" max="84" width="11.5" style="966" customWidth="1" outlineLevel="1"/>
    <col min="85" max="85" width="12.83203125" style="966" customWidth="1" outlineLevel="1"/>
    <col min="86" max="86" width="11.5" style="966" customWidth="1" outlineLevel="1"/>
    <col min="87" max="87" width="13.1640625" style="966" customWidth="1" outlineLevel="1"/>
    <col min="88" max="88" width="12" style="966" customWidth="1" outlineLevel="1"/>
    <col min="89" max="89" width="12.83203125" style="966" customWidth="1" outlineLevel="1"/>
    <col min="90" max="90" width="14" style="966" customWidth="1" outlineLevel="1"/>
    <col min="91" max="91" width="13.1640625" style="966" customWidth="1" outlineLevel="1"/>
    <col min="92" max="92" width="13.5" style="966" customWidth="1" outlineLevel="1"/>
    <col min="93" max="93" width="13.1640625" style="966" customWidth="1" outlineLevel="1"/>
    <col min="94" max="94" width="11" style="2031" bestFit="1" customWidth="1"/>
    <col min="95" max="95" width="6.6640625" style="1037" hidden="1" customWidth="1"/>
    <col min="96" max="96" width="11.5" style="966" customWidth="1" outlineLevel="1"/>
    <col min="97" max="97" width="12.83203125" style="966" customWidth="1" outlineLevel="1"/>
    <col min="98" max="98" width="13.1640625" style="966" customWidth="1" outlineLevel="1"/>
    <col min="99" max="99" width="11" style="966" customWidth="1" outlineLevel="1"/>
    <col min="100" max="100" width="12.83203125" style="966" customWidth="1" outlineLevel="1"/>
    <col min="101" max="101" width="12.5" style="966" customWidth="1" outlineLevel="1"/>
    <col min="102" max="102" width="12.83203125" style="966" customWidth="1" outlineLevel="1"/>
    <col min="103" max="103" width="11" style="966" customWidth="1" outlineLevel="1"/>
    <col min="104" max="104" width="14" style="966" customWidth="1" outlineLevel="1"/>
    <col min="105" max="105" width="12.5" style="966" customWidth="1" outlineLevel="1"/>
    <col min="106" max="106" width="13.5" style="966" customWidth="1" outlineLevel="1"/>
    <col min="107" max="107" width="12.83203125" style="966" customWidth="1" outlineLevel="1"/>
    <col min="108" max="108" width="11" style="968" bestFit="1" customWidth="1"/>
    <col min="109" max="109" width="6.6640625" style="1037" hidden="1" customWidth="1"/>
    <col min="110" max="110" width="12.83203125" style="966" customWidth="1" outlineLevel="1"/>
    <col min="111" max="111" width="10.5" style="966" customWidth="1" outlineLevel="1"/>
    <col min="112" max="112" width="11" style="966" customWidth="1" outlineLevel="1"/>
    <col min="113" max="113" width="10" style="968" bestFit="1" customWidth="1"/>
    <col min="114" max="114" width="13.5" style="3113" bestFit="1" customWidth="1"/>
    <col min="115" max="115" width="5.5" style="108" customWidth="1"/>
    <col min="116" max="116" width="17.1640625" style="108" bestFit="1" customWidth="1"/>
    <col min="117" max="117" width="11.5" style="108"/>
    <col min="118" max="118" width="40.5" style="152" bestFit="1" customWidth="1"/>
    <col min="119" max="119" width="62.5" style="152" bestFit="1" customWidth="1"/>
    <col min="120" max="120" width="32.1640625" style="152" bestFit="1" customWidth="1"/>
    <col min="121" max="121" width="20.1640625" style="152" bestFit="1" customWidth="1"/>
    <col min="122" max="122" width="20.5" style="108" bestFit="1" customWidth="1"/>
    <col min="123" max="123" width="12.83203125" style="108" bestFit="1" customWidth="1"/>
    <col min="124" max="124" width="12.5" style="108" bestFit="1" customWidth="1"/>
    <col min="125" max="125" width="25.5" style="108" bestFit="1" customWidth="1"/>
    <col min="126" max="126" width="11.5" style="108" bestFit="1" customWidth="1"/>
    <col min="127" max="127" width="12.83203125" style="108" bestFit="1" customWidth="1"/>
    <col min="128" max="128" width="14.5" style="108" bestFit="1" customWidth="1"/>
    <col min="129" max="130" width="12.5" style="108" bestFit="1" customWidth="1"/>
    <col min="131" max="131" width="12.83203125" style="108" bestFit="1" customWidth="1"/>
    <col min="132" max="132" width="11.5" style="108" bestFit="1" customWidth="1"/>
    <col min="133" max="133" width="12.5" style="108" bestFit="1" customWidth="1"/>
    <col min="134" max="134" width="14.5" style="108" bestFit="1" customWidth="1"/>
    <col min="135" max="137" width="12.5" style="108" bestFit="1" customWidth="1"/>
    <col min="138" max="138" width="11.5" style="108" bestFit="1" customWidth="1"/>
    <col min="139" max="139" width="12.5" style="108" bestFit="1" customWidth="1"/>
    <col min="140" max="16384" width="11.5" style="108"/>
  </cols>
  <sheetData>
    <row r="1" spans="2:127" outlineLevel="1">
      <c r="B1" s="150"/>
      <c r="C1" s="2819"/>
      <c r="D1" s="2937" t="s">
        <v>1111</v>
      </c>
      <c r="E1" s="2820"/>
      <c r="F1" s="2937"/>
      <c r="G1" s="2821"/>
      <c r="H1" s="3287"/>
      <c r="I1" s="3287"/>
      <c r="J1" s="153"/>
      <c r="L1" s="153"/>
      <c r="M1" s="153"/>
      <c r="N1" s="153"/>
      <c r="O1" s="153"/>
      <c r="P1" s="153"/>
      <c r="Q1" s="153"/>
      <c r="R1" s="153"/>
      <c r="S1" s="153"/>
      <c r="T1" s="153"/>
      <c r="U1" s="153"/>
      <c r="AB1" s="155">
        <f>+AN1-7205000</f>
        <v>0</v>
      </c>
      <c r="AD1" s="150"/>
      <c r="AE1" s="151"/>
      <c r="AH1" s="421" t="s">
        <v>1112</v>
      </c>
      <c r="AI1" s="3288">
        <f>+AI7</f>
        <v>7205000</v>
      </c>
      <c r="AJ1" s="1754"/>
      <c r="AL1" s="422">
        <f>+AL7</f>
        <v>7205000</v>
      </c>
      <c r="AM1" s="422">
        <f>+AM7</f>
        <v>0</v>
      </c>
      <c r="AN1" s="3518">
        <f>SUM(AL1:AM1)</f>
        <v>7205000</v>
      </c>
      <c r="AP1" s="965"/>
      <c r="AQ1" s="965"/>
      <c r="AR1" s="965"/>
      <c r="AS1" s="965"/>
      <c r="AT1" s="965"/>
      <c r="AU1" s="965"/>
      <c r="AV1" s="965"/>
      <c r="AW1" s="965"/>
      <c r="AX1" s="965"/>
      <c r="AY1" s="965"/>
      <c r="AZ1" s="2045"/>
      <c r="BB1" s="965"/>
      <c r="BC1" s="965"/>
      <c r="BD1" s="965"/>
      <c r="BE1" s="965"/>
      <c r="BF1" s="965"/>
      <c r="BG1" s="965"/>
      <c r="BH1" s="965"/>
      <c r="BI1" s="965"/>
      <c r="BJ1" s="965"/>
      <c r="BK1" s="965"/>
      <c r="BL1" s="965"/>
      <c r="BM1" s="965"/>
      <c r="BN1" s="3550">
        <f>+AI1-7205000</f>
        <v>0</v>
      </c>
      <c r="BP1" s="965"/>
      <c r="BQ1" s="965"/>
      <c r="BR1" s="965"/>
      <c r="BS1" s="965"/>
      <c r="BT1" s="965"/>
      <c r="BU1" s="965"/>
      <c r="BV1" s="965"/>
      <c r="BW1" s="965"/>
      <c r="BX1" s="965"/>
      <c r="BY1" s="965"/>
      <c r="BZ1" s="965"/>
      <c r="CA1" s="965"/>
      <c r="CD1" s="965"/>
      <c r="CE1" s="965"/>
      <c r="CF1" s="965"/>
      <c r="CG1" s="965"/>
      <c r="CH1" s="965"/>
      <c r="CI1" s="965"/>
      <c r="CJ1" s="965"/>
      <c r="CK1" s="965"/>
      <c r="CL1" s="965"/>
      <c r="CM1" s="965"/>
      <c r="CN1" s="965"/>
      <c r="CO1" s="965"/>
      <c r="CR1" s="965"/>
      <c r="CS1" s="965"/>
      <c r="CT1" s="965"/>
      <c r="CU1" s="965"/>
      <c r="CV1" s="965"/>
      <c r="CW1" s="965"/>
      <c r="CX1" s="965"/>
      <c r="CY1" s="965"/>
      <c r="CZ1" s="965"/>
      <c r="DA1" s="965"/>
      <c r="DB1" s="965"/>
      <c r="DC1" s="965"/>
      <c r="DF1" s="965"/>
      <c r="DG1" s="965"/>
      <c r="DH1" s="965"/>
      <c r="DU1" s="153" t="s">
        <v>1113</v>
      </c>
      <c r="DV1" s="2714"/>
      <c r="DW1" s="2714"/>
    </row>
    <row r="2" spans="2:127" outlineLevel="1">
      <c r="H2" s="3289"/>
      <c r="I2" s="3290"/>
      <c r="N2" s="3291"/>
      <c r="O2" s="3291"/>
      <c r="P2" s="3291"/>
      <c r="Q2" s="3291"/>
      <c r="R2" s="3291"/>
      <c r="S2" s="3291"/>
      <c r="T2" s="3291"/>
      <c r="U2" s="3291"/>
      <c r="AE2" s="151"/>
      <c r="AH2" s="153" t="s">
        <v>1114</v>
      </c>
      <c r="AI2" s="154">
        <v>7205000</v>
      </c>
      <c r="AJ2" s="1755"/>
      <c r="AL2" s="154">
        <v>7205000</v>
      </c>
      <c r="AM2" s="154">
        <v>0</v>
      </c>
      <c r="AN2" s="155">
        <f>SUM(AL2:AM2)</f>
        <v>7205000</v>
      </c>
      <c r="AP2" s="965"/>
      <c r="AQ2" s="965"/>
      <c r="AR2" s="965"/>
      <c r="AS2" s="965"/>
      <c r="AT2" s="965"/>
      <c r="AU2" s="965"/>
      <c r="AV2" s="965"/>
      <c r="AW2" s="965"/>
      <c r="AX2" s="965"/>
      <c r="AY2" s="965"/>
      <c r="AZ2" s="2045"/>
      <c r="BB2" s="965"/>
      <c r="BC2" s="965"/>
      <c r="BD2" s="965"/>
      <c r="BE2" s="965"/>
      <c r="BF2" s="965"/>
      <c r="BG2" s="965"/>
      <c r="BH2" s="965"/>
      <c r="BI2" s="965"/>
      <c r="BJ2" s="965"/>
      <c r="BK2" s="965"/>
      <c r="BL2" s="965"/>
      <c r="BM2" s="965"/>
      <c r="BN2" s="2045"/>
      <c r="BP2" s="965"/>
      <c r="BQ2" s="965"/>
      <c r="BR2" s="965"/>
      <c r="BS2" s="965"/>
      <c r="BT2" s="965"/>
      <c r="BU2" s="965"/>
      <c r="BV2" s="965"/>
      <c r="BW2" s="965"/>
      <c r="BX2" s="965"/>
      <c r="BY2" s="965"/>
      <c r="BZ2" s="965"/>
      <c r="CA2" s="965"/>
      <c r="CD2" s="965"/>
      <c r="CE2" s="965"/>
      <c r="CF2" s="965"/>
      <c r="CG2" s="965"/>
      <c r="CH2" s="965"/>
      <c r="CI2" s="965"/>
      <c r="CJ2" s="965"/>
      <c r="CK2" s="965"/>
      <c r="CL2" s="965"/>
      <c r="CM2" s="965"/>
      <c r="CN2" s="965"/>
      <c r="CO2" s="965"/>
      <c r="CR2" s="965"/>
      <c r="CS2" s="965"/>
      <c r="CT2" s="965"/>
      <c r="CU2" s="965"/>
      <c r="CV2" s="965"/>
      <c r="CW2" s="965"/>
      <c r="CX2" s="965"/>
      <c r="CY2" s="965"/>
      <c r="CZ2" s="965"/>
      <c r="DA2" s="965"/>
      <c r="DB2" s="965"/>
      <c r="DC2" s="965"/>
      <c r="DF2" s="965"/>
      <c r="DG2" s="965"/>
      <c r="DH2" s="965"/>
      <c r="DU2" s="108" t="s">
        <v>1115</v>
      </c>
      <c r="DV2" s="2823"/>
      <c r="DW2" s="2823"/>
    </row>
    <row r="3" spans="2:127" outlineLevel="1">
      <c r="H3" s="3289"/>
      <c r="I3" s="3290"/>
      <c r="N3" s="3291"/>
      <c r="O3" s="3291"/>
      <c r="P3" s="3291"/>
      <c r="Q3" s="3291"/>
      <c r="R3" s="3291"/>
      <c r="S3" s="3291"/>
      <c r="T3" s="3291"/>
      <c r="U3" s="3291"/>
      <c r="AE3" s="152" t="s">
        <v>1116</v>
      </c>
      <c r="AF3" s="158">
        <v>1</v>
      </c>
      <c r="AH3" s="423" t="s">
        <v>586</v>
      </c>
      <c r="AI3" s="424">
        <f>+AI2-AI1</f>
        <v>0</v>
      </c>
      <c r="AJ3" s="1756"/>
      <c r="AL3" s="424">
        <f>+AL2-AL1</f>
        <v>0</v>
      </c>
      <c r="AM3" s="424">
        <f>+AM2-AM1</f>
        <v>0</v>
      </c>
      <c r="AN3" s="424">
        <f>SUM(AL3:AM3)</f>
        <v>0</v>
      </c>
      <c r="CB3" s="2042"/>
      <c r="DD3" s="970"/>
      <c r="DI3" s="970"/>
      <c r="DJ3" s="3114"/>
      <c r="DU3" s="108" t="s">
        <v>1117</v>
      </c>
      <c r="DV3" s="2823"/>
      <c r="DW3" s="2823"/>
    </row>
    <row r="4" spans="2:127" ht="14" customHeight="1">
      <c r="B4" s="152"/>
      <c r="C4" s="152"/>
      <c r="D4" s="3962" t="s">
        <v>1118</v>
      </c>
      <c r="E4" s="3962"/>
      <c r="F4" s="3962"/>
      <c r="G4" s="3962"/>
      <c r="H4" s="3962"/>
      <c r="I4" s="3962"/>
      <c r="J4" s="3962"/>
      <c r="L4" s="3966" t="s">
        <v>1119</v>
      </c>
      <c r="M4" s="3966"/>
      <c r="N4" s="3966"/>
      <c r="O4" s="3966"/>
      <c r="P4" s="3966"/>
      <c r="Q4" s="3966"/>
      <c r="R4" s="3966"/>
      <c r="S4" s="3966"/>
      <c r="T4" s="3966"/>
      <c r="U4" s="3966"/>
      <c r="W4" s="3965" t="s">
        <v>1120</v>
      </c>
      <c r="X4" s="3965"/>
      <c r="Y4" s="3965"/>
      <c r="Z4" s="3965"/>
      <c r="AA4" s="3965"/>
      <c r="AB4" s="3965"/>
      <c r="AD4" s="3963" t="s">
        <v>1121</v>
      </c>
      <c r="AE4" s="3963"/>
      <c r="AF4" s="3963"/>
      <c r="AG4" s="3963"/>
      <c r="AH4" s="3963"/>
      <c r="AI4" s="3963"/>
      <c r="AJ4" s="3963"/>
      <c r="AL4" s="3964" t="s">
        <v>1122</v>
      </c>
      <c r="AM4" s="3964"/>
      <c r="AN4" s="3964"/>
      <c r="AP4" s="3951" t="s">
        <v>1123</v>
      </c>
      <c r="AQ4" s="3951"/>
      <c r="AR4" s="3951"/>
      <c r="AS4" s="3951"/>
      <c r="AT4" s="3951"/>
      <c r="AU4" s="3951"/>
      <c r="AV4" s="3951"/>
      <c r="AW4" s="3951"/>
      <c r="AX4" s="3951"/>
      <c r="AY4" s="3951"/>
      <c r="AZ4" s="3951"/>
      <c r="BA4" s="3951"/>
      <c r="BB4" s="3951"/>
      <c r="BC4" s="3951"/>
      <c r="BD4" s="3951"/>
      <c r="BE4" s="3951"/>
      <c r="BF4" s="3951"/>
      <c r="BG4" s="3951"/>
      <c r="BH4" s="3951"/>
      <c r="BI4" s="3951"/>
      <c r="BJ4" s="3951"/>
      <c r="BK4" s="3951"/>
      <c r="BL4" s="3951"/>
      <c r="BM4" s="3951"/>
      <c r="BN4" s="3951"/>
      <c r="BO4" s="3951"/>
      <c r="BP4" s="3951"/>
      <c r="BQ4" s="3951"/>
      <c r="BR4" s="3951"/>
      <c r="BS4" s="3951"/>
      <c r="BT4" s="3951"/>
      <c r="BU4" s="3951"/>
      <c r="BV4" s="3951"/>
      <c r="BW4" s="3951"/>
      <c r="BX4" s="3951"/>
      <c r="BY4" s="3951"/>
      <c r="BZ4" s="3951"/>
      <c r="CA4" s="3951"/>
      <c r="CB4" s="3951"/>
      <c r="CC4" s="3951"/>
      <c r="CD4" s="3951"/>
      <c r="CE4" s="3951"/>
      <c r="CF4" s="3951"/>
      <c r="CG4" s="3951"/>
      <c r="CH4" s="3951"/>
      <c r="CI4" s="3951"/>
      <c r="CJ4" s="3951"/>
      <c r="CK4" s="3951"/>
      <c r="CL4" s="3951"/>
      <c r="CM4" s="3951"/>
      <c r="CN4" s="3951"/>
      <c r="CO4" s="3951"/>
      <c r="CP4" s="3951"/>
      <c r="CQ4" s="3951"/>
      <c r="CR4" s="3951"/>
      <c r="CS4" s="3951"/>
      <c r="CT4" s="3951"/>
      <c r="CU4" s="3951"/>
      <c r="CV4" s="3951"/>
      <c r="CW4" s="3951"/>
      <c r="CX4" s="3951"/>
      <c r="CY4" s="3951"/>
      <c r="CZ4" s="3951"/>
      <c r="DA4" s="3951"/>
      <c r="DB4" s="3951"/>
      <c r="DC4" s="3951"/>
      <c r="DD4" s="3951"/>
      <c r="DE4" s="3951"/>
      <c r="DF4" s="3951"/>
      <c r="DG4" s="3951"/>
      <c r="DH4" s="3951"/>
      <c r="DI4" s="3951"/>
      <c r="DJ4" s="3951"/>
      <c r="DU4" s="108" t="s">
        <v>1124</v>
      </c>
      <c r="DV4" s="2823"/>
      <c r="DW4" s="2823"/>
    </row>
    <row r="5" spans="2:127" ht="14" customHeight="1">
      <c r="B5" s="3955" t="s">
        <v>1125</v>
      </c>
      <c r="C5" s="3802" t="s">
        <v>1126</v>
      </c>
      <c r="D5" s="3967" t="s">
        <v>1127</v>
      </c>
      <c r="E5" s="1549"/>
      <c r="F5" s="3967" t="s">
        <v>1128</v>
      </c>
      <c r="G5" s="3957" t="s">
        <v>1129</v>
      </c>
      <c r="H5" s="3986" t="s">
        <v>609</v>
      </c>
      <c r="I5" s="3960" t="s">
        <v>1130</v>
      </c>
      <c r="J5" s="3957" t="s">
        <v>1131</v>
      </c>
      <c r="L5" s="3961" t="s">
        <v>1089</v>
      </c>
      <c r="M5" s="3961" t="s">
        <v>186</v>
      </c>
      <c r="N5" s="3956" t="s">
        <v>1132</v>
      </c>
      <c r="O5" s="3956" t="s">
        <v>1133</v>
      </c>
      <c r="P5" s="3956" t="s">
        <v>188</v>
      </c>
      <c r="Q5" s="3956" t="s">
        <v>189</v>
      </c>
      <c r="R5" s="3956" t="s">
        <v>190</v>
      </c>
      <c r="S5" s="3956" t="s">
        <v>191</v>
      </c>
      <c r="T5" s="3956" t="s">
        <v>1134</v>
      </c>
      <c r="U5" s="3956" t="s">
        <v>193</v>
      </c>
      <c r="W5" s="3817" t="s">
        <v>1135</v>
      </c>
      <c r="X5" s="3817" t="s">
        <v>1136</v>
      </c>
      <c r="Y5" s="3817" t="s">
        <v>1137</v>
      </c>
      <c r="Z5" s="3799" t="s">
        <v>1138</v>
      </c>
      <c r="AA5" s="3799" t="s">
        <v>1139</v>
      </c>
      <c r="AB5" s="3955" t="s">
        <v>1140</v>
      </c>
      <c r="AD5" s="3955" t="s">
        <v>1089</v>
      </c>
      <c r="AE5" s="3955" t="s">
        <v>1141</v>
      </c>
      <c r="AF5" s="3955" t="s">
        <v>1142</v>
      </c>
      <c r="AG5" s="3955" t="s">
        <v>1143</v>
      </c>
      <c r="AH5" s="3955" t="s">
        <v>1144</v>
      </c>
      <c r="AI5" s="3955" t="s">
        <v>1145</v>
      </c>
      <c r="AJ5" s="3955" t="s">
        <v>1146</v>
      </c>
      <c r="AL5" s="3955" t="s">
        <v>1075</v>
      </c>
      <c r="AM5" s="3955" t="s">
        <v>1147</v>
      </c>
      <c r="AN5" s="3955" t="s">
        <v>487</v>
      </c>
      <c r="AP5" s="3927" t="s">
        <v>1148</v>
      </c>
      <c r="AQ5" s="3928"/>
      <c r="AR5" s="3928"/>
      <c r="AS5" s="3928"/>
      <c r="AT5" s="3928"/>
      <c r="AU5" s="3928"/>
      <c r="AV5" s="3928"/>
      <c r="AW5" s="3928"/>
      <c r="AX5" s="3928"/>
      <c r="AY5" s="3929"/>
      <c r="AZ5" s="3926" t="s">
        <v>1149</v>
      </c>
      <c r="BB5" s="3927" t="s">
        <v>1150</v>
      </c>
      <c r="BC5" s="3928"/>
      <c r="BD5" s="3928"/>
      <c r="BE5" s="3928"/>
      <c r="BF5" s="3928"/>
      <c r="BG5" s="3928"/>
      <c r="BH5" s="3928"/>
      <c r="BI5" s="3928"/>
      <c r="BJ5" s="3928"/>
      <c r="BK5" s="3928"/>
      <c r="BL5" s="3928"/>
      <c r="BM5" s="3928"/>
      <c r="BN5" s="3926" t="s">
        <v>188</v>
      </c>
      <c r="BP5" s="3927" t="s">
        <v>1151</v>
      </c>
      <c r="BQ5" s="3928"/>
      <c r="BR5" s="3928"/>
      <c r="BS5" s="3928"/>
      <c r="BT5" s="3928"/>
      <c r="BU5" s="3928"/>
      <c r="BV5" s="3928"/>
      <c r="BW5" s="3928"/>
      <c r="BX5" s="3928"/>
      <c r="BY5" s="3928"/>
      <c r="BZ5" s="3928"/>
      <c r="CA5" s="3928"/>
      <c r="CB5" s="3926" t="s">
        <v>189</v>
      </c>
      <c r="CD5" s="3927" t="s">
        <v>1152</v>
      </c>
      <c r="CE5" s="3928"/>
      <c r="CF5" s="3928"/>
      <c r="CG5" s="3928"/>
      <c r="CH5" s="3928"/>
      <c r="CI5" s="3928"/>
      <c r="CJ5" s="3928"/>
      <c r="CK5" s="3928"/>
      <c r="CL5" s="3928"/>
      <c r="CM5" s="3928"/>
      <c r="CN5" s="3928"/>
      <c r="CO5" s="3928"/>
      <c r="CP5" s="3926" t="s">
        <v>190</v>
      </c>
      <c r="CR5" s="3927" t="s">
        <v>1153</v>
      </c>
      <c r="CS5" s="3928"/>
      <c r="CT5" s="3928"/>
      <c r="CU5" s="3928"/>
      <c r="CV5" s="3928"/>
      <c r="CW5" s="3928"/>
      <c r="CX5" s="3928"/>
      <c r="CY5" s="3928"/>
      <c r="CZ5" s="3928"/>
      <c r="DA5" s="3928"/>
      <c r="DB5" s="3928"/>
      <c r="DC5" s="3928"/>
      <c r="DD5" s="3926" t="s">
        <v>191</v>
      </c>
      <c r="DF5" s="3927" t="s">
        <v>1154</v>
      </c>
      <c r="DG5" s="3928"/>
      <c r="DH5" s="3928"/>
      <c r="DI5" s="3926" t="s">
        <v>192</v>
      </c>
      <c r="DJ5" s="3954" t="s">
        <v>487</v>
      </c>
      <c r="DN5" s="3888" t="s">
        <v>1155</v>
      </c>
      <c r="DO5" s="3888" t="s">
        <v>1156</v>
      </c>
      <c r="DP5" s="3888" t="s">
        <v>1157</v>
      </c>
      <c r="DQ5" s="3888" t="s">
        <v>1158</v>
      </c>
      <c r="DR5" s="3888" t="s">
        <v>1159</v>
      </c>
      <c r="DU5" s="108" t="s">
        <v>1160</v>
      </c>
      <c r="DV5" s="2823"/>
      <c r="DW5" s="2823"/>
    </row>
    <row r="6" spans="2:127" ht="15">
      <c r="B6" s="3955"/>
      <c r="C6" s="3804"/>
      <c r="D6" s="3968"/>
      <c r="E6" s="2713"/>
      <c r="F6" s="3968"/>
      <c r="G6" s="3958"/>
      <c r="H6" s="3986"/>
      <c r="I6" s="3958"/>
      <c r="J6" s="3959"/>
      <c r="L6" s="3961"/>
      <c r="M6" s="3961"/>
      <c r="N6" s="3956"/>
      <c r="O6" s="3956"/>
      <c r="P6" s="3956"/>
      <c r="Q6" s="3956"/>
      <c r="R6" s="3956"/>
      <c r="S6" s="3956"/>
      <c r="T6" s="3956"/>
      <c r="U6" s="3956"/>
      <c r="W6" s="3817"/>
      <c r="X6" s="3817"/>
      <c r="Y6" s="3817"/>
      <c r="Z6" s="3799"/>
      <c r="AA6" s="3801"/>
      <c r="AB6" s="3955"/>
      <c r="AD6" s="3955"/>
      <c r="AE6" s="3955"/>
      <c r="AF6" s="3955"/>
      <c r="AG6" s="3955"/>
      <c r="AH6" s="3955"/>
      <c r="AI6" s="3955"/>
      <c r="AJ6" s="3955"/>
      <c r="AL6" s="3955"/>
      <c r="AM6" s="3955"/>
      <c r="AN6" s="3955"/>
      <c r="AP6" s="2003" t="s">
        <v>1161</v>
      </c>
      <c r="AQ6" s="2003" t="s">
        <v>1162</v>
      </c>
      <c r="AR6" s="2003" t="s">
        <v>1163</v>
      </c>
      <c r="AS6" s="2003" t="s">
        <v>1164</v>
      </c>
      <c r="AT6" s="2003" t="s">
        <v>1165</v>
      </c>
      <c r="AU6" s="2003" t="s">
        <v>1166</v>
      </c>
      <c r="AV6" s="2003" t="s">
        <v>1167</v>
      </c>
      <c r="AW6" s="2003" t="s">
        <v>1168</v>
      </c>
      <c r="AX6" s="2003" t="s">
        <v>1169</v>
      </c>
      <c r="AY6" s="2003" t="s">
        <v>1170</v>
      </c>
      <c r="AZ6" s="3926"/>
      <c r="BB6" s="2003" t="s">
        <v>1171</v>
      </c>
      <c r="BC6" s="2003" t="s">
        <v>1172</v>
      </c>
      <c r="BD6" s="2003" t="s">
        <v>1161</v>
      </c>
      <c r="BE6" s="2003" t="s">
        <v>1162</v>
      </c>
      <c r="BF6" s="2003" t="s">
        <v>1163</v>
      </c>
      <c r="BG6" s="2003" t="s">
        <v>1164</v>
      </c>
      <c r="BH6" s="2003" t="s">
        <v>1165</v>
      </c>
      <c r="BI6" s="2003" t="s">
        <v>1166</v>
      </c>
      <c r="BJ6" s="2003" t="s">
        <v>1167</v>
      </c>
      <c r="BK6" s="2003" t="s">
        <v>1168</v>
      </c>
      <c r="BL6" s="2003" t="s">
        <v>1169</v>
      </c>
      <c r="BM6" s="2003" t="s">
        <v>1170</v>
      </c>
      <c r="BN6" s="3926"/>
      <c r="BP6" s="2003" t="s">
        <v>1171</v>
      </c>
      <c r="BQ6" s="2003" t="s">
        <v>1172</v>
      </c>
      <c r="BR6" s="2003" t="s">
        <v>1161</v>
      </c>
      <c r="BS6" s="2003" t="s">
        <v>1162</v>
      </c>
      <c r="BT6" s="2003" t="s">
        <v>1163</v>
      </c>
      <c r="BU6" s="2003" t="s">
        <v>1164</v>
      </c>
      <c r="BV6" s="2003" t="s">
        <v>1165</v>
      </c>
      <c r="BW6" s="2003" t="s">
        <v>1166</v>
      </c>
      <c r="BX6" s="2003" t="s">
        <v>1167</v>
      </c>
      <c r="BY6" s="2003" t="s">
        <v>1168</v>
      </c>
      <c r="BZ6" s="2003" t="s">
        <v>1169</v>
      </c>
      <c r="CA6" s="2003" t="s">
        <v>1170</v>
      </c>
      <c r="CB6" s="3926"/>
      <c r="CD6" s="2003" t="s">
        <v>1171</v>
      </c>
      <c r="CE6" s="2003" t="s">
        <v>1172</v>
      </c>
      <c r="CF6" s="2003" t="s">
        <v>1161</v>
      </c>
      <c r="CG6" s="2003" t="s">
        <v>1162</v>
      </c>
      <c r="CH6" s="2003" t="s">
        <v>1163</v>
      </c>
      <c r="CI6" s="2003" t="s">
        <v>1164</v>
      </c>
      <c r="CJ6" s="2003" t="s">
        <v>1165</v>
      </c>
      <c r="CK6" s="2003" t="s">
        <v>1166</v>
      </c>
      <c r="CL6" s="2003" t="s">
        <v>1167</v>
      </c>
      <c r="CM6" s="2003" t="s">
        <v>1168</v>
      </c>
      <c r="CN6" s="2003" t="s">
        <v>1169</v>
      </c>
      <c r="CO6" s="2003" t="s">
        <v>1170</v>
      </c>
      <c r="CP6" s="3926"/>
      <c r="CR6" s="2003" t="s">
        <v>1171</v>
      </c>
      <c r="CS6" s="2003" t="s">
        <v>1172</v>
      </c>
      <c r="CT6" s="2003" t="s">
        <v>1161</v>
      </c>
      <c r="CU6" s="2003" t="s">
        <v>1162</v>
      </c>
      <c r="CV6" s="2003" t="s">
        <v>1163</v>
      </c>
      <c r="CW6" s="2003" t="s">
        <v>1164</v>
      </c>
      <c r="CX6" s="2003" t="s">
        <v>1165</v>
      </c>
      <c r="CY6" s="2003" t="s">
        <v>1166</v>
      </c>
      <c r="CZ6" s="2003" t="s">
        <v>1167</v>
      </c>
      <c r="DA6" s="2003" t="s">
        <v>1168</v>
      </c>
      <c r="DB6" s="2003" t="s">
        <v>1169</v>
      </c>
      <c r="DC6" s="2003" t="s">
        <v>1170</v>
      </c>
      <c r="DD6" s="3926"/>
      <c r="DF6" s="2003" t="s">
        <v>1171</v>
      </c>
      <c r="DG6" s="2003" t="s">
        <v>1172</v>
      </c>
      <c r="DH6" s="2003" t="s">
        <v>1161</v>
      </c>
      <c r="DI6" s="3926"/>
      <c r="DJ6" s="3954"/>
      <c r="DN6" s="3889"/>
      <c r="DO6" s="3889"/>
      <c r="DP6" s="3889"/>
      <c r="DQ6" s="3889"/>
      <c r="DR6" s="3889"/>
      <c r="DU6" s="108" t="s">
        <v>1173</v>
      </c>
      <c r="DV6" s="2823"/>
      <c r="DW6" s="2823"/>
    </row>
    <row r="7" spans="2:127" ht="15">
      <c r="B7" s="163"/>
      <c r="C7" s="2824" t="s">
        <v>1174</v>
      </c>
      <c r="D7" s="2938"/>
      <c r="E7" s="2830"/>
      <c r="F7" s="3293"/>
      <c r="G7" s="65"/>
      <c r="H7" s="3294" t="s">
        <v>64</v>
      </c>
      <c r="I7" s="3294"/>
      <c r="J7" s="163"/>
      <c r="L7" s="160"/>
      <c r="M7" s="160"/>
      <c r="N7" s="3295"/>
      <c r="O7" s="3295"/>
      <c r="P7" s="3295"/>
      <c r="Q7" s="3295"/>
      <c r="R7" s="3295"/>
      <c r="S7" s="3295"/>
      <c r="T7" s="3295"/>
      <c r="U7" s="3295"/>
      <c r="W7" s="849"/>
      <c r="X7" s="849"/>
      <c r="Y7" s="849"/>
      <c r="Z7" s="849"/>
      <c r="AA7" s="849"/>
      <c r="AB7" s="164"/>
      <c r="AD7" s="163"/>
      <c r="AE7" s="160"/>
      <c r="AF7" s="160"/>
      <c r="AG7" s="160"/>
      <c r="AH7" s="66">
        <f>AH218+AH371</f>
        <v>0</v>
      </c>
      <c r="AI7" s="66">
        <f>AI215+AI368</f>
        <v>7205000</v>
      </c>
      <c r="AJ7" s="1106">
        <f>60000000-AI7</f>
        <v>52795000</v>
      </c>
      <c r="AL7" s="66">
        <f>AL218+AL368+AL453+AL454</f>
        <v>7205000</v>
      </c>
      <c r="AM7" s="66">
        <f>AM218+AM371+AM453+AM454</f>
        <v>0</v>
      </c>
      <c r="AN7" s="66">
        <f>AN215+AN368</f>
        <v>7205000</v>
      </c>
      <c r="AP7" s="971">
        <f>AP215+AP368</f>
        <v>0</v>
      </c>
      <c r="AQ7" s="971">
        <f>AQ215+AQ368</f>
        <v>0</v>
      </c>
      <c r="AR7" s="971">
        <f>AR215+AR368</f>
        <v>0</v>
      </c>
      <c r="AS7" s="971">
        <f>AS215+AS368</f>
        <v>0</v>
      </c>
      <c r="AT7" s="971">
        <f>AT215+AT368</f>
        <v>0</v>
      </c>
      <c r="AU7" s="971">
        <f>AU215+AU368</f>
        <v>0</v>
      </c>
      <c r="AV7" s="971">
        <f>AV215+AV368</f>
        <v>0</v>
      </c>
      <c r="AW7" s="971">
        <f>AW215+AW368</f>
        <v>0</v>
      </c>
      <c r="AX7" s="971">
        <f>AX215+AX368</f>
        <v>0</v>
      </c>
      <c r="AY7" s="971">
        <f>AY215+AY368</f>
        <v>0</v>
      </c>
      <c r="AZ7" s="971">
        <f>SUM(AP7:AY7)</f>
        <v>0</v>
      </c>
      <c r="BB7" s="971">
        <f>BB215+BB368</f>
        <v>0</v>
      </c>
      <c r="BC7" s="971">
        <f>BC215+BC368</f>
        <v>0</v>
      </c>
      <c r="BD7" s="971">
        <f>BD215+BD368</f>
        <v>0</v>
      </c>
      <c r="BE7" s="971">
        <f>BE215+BE368</f>
        <v>0</v>
      </c>
      <c r="BF7" s="971">
        <f>BF215+BF368</f>
        <v>0</v>
      </c>
      <c r="BG7" s="971">
        <f>BG215+BG368</f>
        <v>0</v>
      </c>
      <c r="BH7" s="971">
        <f>BH215+BH368</f>
        <v>0</v>
      </c>
      <c r="BI7" s="971">
        <f>BI215+BI368</f>
        <v>6000</v>
      </c>
      <c r="BJ7" s="971">
        <f>BJ215+BJ368</f>
        <v>16500</v>
      </c>
      <c r="BK7" s="971">
        <f>BK215+BK368</f>
        <v>21000</v>
      </c>
      <c r="BL7" s="971">
        <f>BL215+BL368</f>
        <v>7500</v>
      </c>
      <c r="BM7" s="971">
        <f>BM215+BM368</f>
        <v>82000</v>
      </c>
      <c r="BN7" s="3295">
        <f>SUM(BB7:BM7)</f>
        <v>133000</v>
      </c>
      <c r="BP7" s="971">
        <f>BP215+BP368</f>
        <v>59500</v>
      </c>
      <c r="BQ7" s="971">
        <f>BQ215+BQ368</f>
        <v>62000</v>
      </c>
      <c r="BR7" s="971">
        <f>BR215+BR368</f>
        <v>47000</v>
      </c>
      <c r="BS7" s="971">
        <f>BS215+BS368</f>
        <v>107500</v>
      </c>
      <c r="BT7" s="971">
        <f>BT215+BT368</f>
        <v>40500</v>
      </c>
      <c r="BU7" s="971">
        <f>BU215+BU368</f>
        <v>60000</v>
      </c>
      <c r="BV7" s="971">
        <f>BV215+BV368</f>
        <v>113500</v>
      </c>
      <c r="BW7" s="971">
        <f>BW215+BW368</f>
        <v>41500</v>
      </c>
      <c r="BX7" s="971">
        <f>BX215+BX368</f>
        <v>100500</v>
      </c>
      <c r="BY7" s="971">
        <f>BY215+BY368</f>
        <v>49500</v>
      </c>
      <c r="BZ7" s="971">
        <f>BZ215+BZ368</f>
        <v>62900</v>
      </c>
      <c r="CA7" s="971">
        <f>CA215+CA368</f>
        <v>17500</v>
      </c>
      <c r="CB7" s="971">
        <f>SUM(BP7:CA7)</f>
        <v>761900</v>
      </c>
      <c r="CD7" s="971">
        <f>CD215+CD368</f>
        <v>202357.14285714284</v>
      </c>
      <c r="CE7" s="971">
        <f>CE215+CE368</f>
        <v>762237.14285714284</v>
      </c>
      <c r="CF7" s="971">
        <f>CF215+CF368</f>
        <v>53357.142857142855</v>
      </c>
      <c r="CG7" s="971">
        <f>CG215+CG368</f>
        <v>176117.14285714284</v>
      </c>
      <c r="CH7" s="971">
        <f>CH215+CH368</f>
        <v>528057.14285714284</v>
      </c>
      <c r="CI7" s="971">
        <f>CI215+CI368</f>
        <v>89357.142857142855</v>
      </c>
      <c r="CJ7" s="971">
        <f>CJ215+CJ368</f>
        <v>262617.23285714287</v>
      </c>
      <c r="CK7" s="971">
        <f>CK215+CK368</f>
        <v>473800</v>
      </c>
      <c r="CL7" s="971">
        <f>CL215+CL368</f>
        <v>163700</v>
      </c>
      <c r="CM7" s="971">
        <f>CM215+CM368</f>
        <v>272000.08999999997</v>
      </c>
      <c r="CN7" s="971">
        <f>CN215+CN368</f>
        <v>402900</v>
      </c>
      <c r="CO7" s="971">
        <f>CO215+CO368</f>
        <v>65700</v>
      </c>
      <c r="CP7" s="972">
        <f>SUM(CD7:CO7)</f>
        <v>3452200.1799999997</v>
      </c>
      <c r="CR7" s="971">
        <f>CR215+CR368</f>
        <v>77700</v>
      </c>
      <c r="CS7" s="971">
        <f>CS215+CS368</f>
        <v>534000.09</v>
      </c>
      <c r="CT7" s="971">
        <f>CT215+CT368</f>
        <v>10000</v>
      </c>
      <c r="CU7" s="971">
        <f>CU215+CU368</f>
        <v>22000</v>
      </c>
      <c r="CV7" s="971">
        <f>CV215+CV368</f>
        <v>376000.08999999997</v>
      </c>
      <c r="CW7" s="971">
        <f>CW215+CW368</f>
        <v>109800</v>
      </c>
      <c r="CX7" s="971">
        <f>CX215+CX368</f>
        <v>129500</v>
      </c>
      <c r="CY7" s="971">
        <f>CY215+CY368</f>
        <v>326000</v>
      </c>
      <c r="CZ7" s="971">
        <f>CZ215+CZ368</f>
        <v>45000.09</v>
      </c>
      <c r="DA7" s="971">
        <f>DA215+DA368</f>
        <v>172100</v>
      </c>
      <c r="DB7" s="971">
        <f>DB215+DB368</f>
        <v>326000</v>
      </c>
      <c r="DC7" s="971">
        <f>DC215+DC368</f>
        <v>44999.549999999996</v>
      </c>
      <c r="DD7" s="971">
        <f>SUM(CR7:DC7)</f>
        <v>2173099.8199999998</v>
      </c>
      <c r="DF7" s="971">
        <f>DF215+DF368</f>
        <v>684800</v>
      </c>
      <c r="DG7" s="971">
        <f>DG215+DG368</f>
        <v>0</v>
      </c>
      <c r="DH7" s="971">
        <f>DH215+DH368</f>
        <v>0</v>
      </c>
      <c r="DI7" s="3079">
        <f>SUM(DF7:DH7)</f>
        <v>684800</v>
      </c>
      <c r="DJ7" s="3296">
        <f>+AZ7+BN7+CB7+CP7+DD7+DI7</f>
        <v>7205000</v>
      </c>
      <c r="DL7" s="1027">
        <f>+AN7-DJ7</f>
        <v>0</v>
      </c>
      <c r="DN7" s="2717" t="s">
        <v>1175</v>
      </c>
      <c r="DO7" s="2718" t="s">
        <v>1175</v>
      </c>
      <c r="DP7" s="2718"/>
      <c r="DQ7" s="2718" t="s">
        <v>1175</v>
      </c>
      <c r="DR7" s="2718"/>
      <c r="DS7" s="1037"/>
      <c r="DT7" s="1037"/>
    </row>
    <row r="8" spans="2:127" s="153" customFormat="1" ht="15" hidden="1" outlineLevel="1">
      <c r="B8" s="2826"/>
      <c r="C8" s="3298"/>
      <c r="D8" s="2939" t="s">
        <v>496</v>
      </c>
      <c r="E8" s="2830"/>
      <c r="F8" s="3299" t="s">
        <v>496</v>
      </c>
      <c r="G8" s="2828"/>
      <c r="H8" s="3300" t="s">
        <v>11</v>
      </c>
      <c r="I8" s="3300" t="s">
        <v>4</v>
      </c>
      <c r="J8" s="427"/>
      <c r="K8" s="1037"/>
      <c r="L8" s="425"/>
      <c r="M8" s="425"/>
      <c r="N8" s="3301"/>
      <c r="O8" s="3301"/>
      <c r="P8" s="3301"/>
      <c r="Q8" s="3301"/>
      <c r="R8" s="3301"/>
      <c r="S8" s="3301"/>
      <c r="T8" s="3301"/>
      <c r="U8" s="3301"/>
      <c r="V8" s="1037"/>
      <c r="W8" s="850"/>
      <c r="X8" s="850"/>
      <c r="Y8" s="850"/>
      <c r="Z8" s="850"/>
      <c r="AA8" s="850"/>
      <c r="AB8" s="431"/>
      <c r="AC8" s="1037"/>
      <c r="AD8" s="426"/>
      <c r="AE8" s="425"/>
      <c r="AF8" s="425"/>
      <c r="AG8" s="425"/>
      <c r="AH8" s="433"/>
      <c r="AI8" s="433">
        <f>+AI9+AI52+AI68</f>
        <v>6997000.2715999996</v>
      </c>
      <c r="AJ8" s="685"/>
      <c r="AK8" s="1037"/>
      <c r="AL8" s="433">
        <f>+AL9+AL52+AL68</f>
        <v>6997000.2715999996</v>
      </c>
      <c r="AM8" s="433">
        <f>+AM9+AM52+AM68</f>
        <v>0</v>
      </c>
      <c r="AN8" s="433">
        <f t="shared" ref="AN8:AN49" si="0">+AL8+AM8</f>
        <v>6997000.2715999996</v>
      </c>
      <c r="AO8" s="1037"/>
      <c r="AP8" s="433">
        <f t="shared" ref="AP8:AY8" si="1">+AP9+AP52+AP68</f>
        <v>0</v>
      </c>
      <c r="AQ8" s="433">
        <f t="shared" si="1"/>
        <v>0</v>
      </c>
      <c r="AR8" s="433">
        <f t="shared" si="1"/>
        <v>0</v>
      </c>
      <c r="AS8" s="433">
        <f t="shared" si="1"/>
        <v>0</v>
      </c>
      <c r="AT8" s="433">
        <f t="shared" si="1"/>
        <v>0</v>
      </c>
      <c r="AU8" s="433">
        <f t="shared" si="1"/>
        <v>0</v>
      </c>
      <c r="AV8" s="433">
        <f t="shared" si="1"/>
        <v>0</v>
      </c>
      <c r="AW8" s="433">
        <f t="shared" si="1"/>
        <v>0</v>
      </c>
      <c r="AX8" s="433">
        <f t="shared" si="1"/>
        <v>0</v>
      </c>
      <c r="AY8" s="433">
        <f t="shared" si="1"/>
        <v>0</v>
      </c>
      <c r="AZ8" s="433">
        <f t="shared" ref="AZ8:DA8" si="2">+AZ9+AZ52+AZ68</f>
        <v>0</v>
      </c>
      <c r="BA8" s="1037">
        <f t="shared" si="2"/>
        <v>0</v>
      </c>
      <c r="BB8" s="433">
        <f t="shared" si="2"/>
        <v>0</v>
      </c>
      <c r="BC8" s="433">
        <f t="shared" si="2"/>
        <v>0</v>
      </c>
      <c r="BD8" s="433">
        <f t="shared" si="2"/>
        <v>0</v>
      </c>
      <c r="BE8" s="433">
        <f t="shared" si="2"/>
        <v>0</v>
      </c>
      <c r="BF8" s="433">
        <f t="shared" si="2"/>
        <v>0</v>
      </c>
      <c r="BG8" s="433">
        <f t="shared" si="2"/>
        <v>29294.6</v>
      </c>
      <c r="BH8" s="433">
        <f t="shared" si="2"/>
        <v>6000</v>
      </c>
      <c r="BI8" s="433">
        <f t="shared" si="2"/>
        <v>29647</v>
      </c>
      <c r="BJ8" s="433">
        <f t="shared" si="2"/>
        <v>59294</v>
      </c>
      <c r="BK8" s="433">
        <f t="shared" si="2"/>
        <v>27547</v>
      </c>
      <c r="BL8" s="433">
        <f t="shared" si="2"/>
        <v>81132.2</v>
      </c>
      <c r="BM8" s="433">
        <f t="shared" si="2"/>
        <v>66643</v>
      </c>
      <c r="BN8" s="433">
        <f t="shared" si="2"/>
        <v>299557.8</v>
      </c>
      <c r="BO8" s="1037">
        <f t="shared" si="2"/>
        <v>0</v>
      </c>
      <c r="BP8" s="433">
        <f t="shared" si="2"/>
        <v>59443</v>
      </c>
      <c r="BQ8" s="433">
        <f t="shared" si="2"/>
        <v>42943</v>
      </c>
      <c r="BR8" s="433">
        <f t="shared" si="2"/>
        <v>59743</v>
      </c>
      <c r="BS8" s="433">
        <f t="shared" si="2"/>
        <v>63043</v>
      </c>
      <c r="BT8" s="433">
        <f t="shared" si="2"/>
        <v>125825</v>
      </c>
      <c r="BU8" s="433">
        <f t="shared" si="2"/>
        <v>92865.02</v>
      </c>
      <c r="BV8" s="433">
        <f t="shared" si="2"/>
        <v>84818.02</v>
      </c>
      <c r="BW8" s="433">
        <f t="shared" si="2"/>
        <v>64118.020000000004</v>
      </c>
      <c r="BX8" s="433">
        <f t="shared" si="2"/>
        <v>73118.02</v>
      </c>
      <c r="BY8" s="433">
        <f t="shared" si="2"/>
        <v>307798.82</v>
      </c>
      <c r="BZ8" s="433">
        <f t="shared" si="2"/>
        <v>47522.020000000004</v>
      </c>
      <c r="CA8" s="433">
        <f t="shared" si="2"/>
        <v>334873.02</v>
      </c>
      <c r="CB8" s="433">
        <f t="shared" si="2"/>
        <v>1356109.9400000002</v>
      </c>
      <c r="CC8" s="1037">
        <f t="shared" si="2"/>
        <v>0</v>
      </c>
      <c r="CD8" s="433">
        <f t="shared" si="2"/>
        <v>41522.020000000004</v>
      </c>
      <c r="CE8" s="433">
        <f t="shared" si="2"/>
        <v>851565.91440000013</v>
      </c>
      <c r="CF8" s="433">
        <f t="shared" si="2"/>
        <v>310593.7144</v>
      </c>
      <c r="CG8" s="433">
        <f t="shared" si="2"/>
        <v>107217.69440000001</v>
      </c>
      <c r="CH8" s="433">
        <f t="shared" si="2"/>
        <v>174417.69440000001</v>
      </c>
      <c r="CI8" s="433">
        <f t="shared" si="2"/>
        <v>275071.69440000004</v>
      </c>
      <c r="CJ8" s="433">
        <f t="shared" si="2"/>
        <v>507920.08215999999</v>
      </c>
      <c r="CK8" s="433">
        <f t="shared" si="2"/>
        <v>148271.69440000001</v>
      </c>
      <c r="CL8" s="433">
        <f t="shared" si="2"/>
        <v>269071.69440000004</v>
      </c>
      <c r="CM8" s="433">
        <f t="shared" si="2"/>
        <v>75071.694400000008</v>
      </c>
      <c r="CN8" s="433">
        <f t="shared" si="2"/>
        <v>948068.46992000006</v>
      </c>
      <c r="CO8" s="433">
        <f t="shared" si="2"/>
        <v>75071.694400000008</v>
      </c>
      <c r="CP8" s="433">
        <f t="shared" si="2"/>
        <v>3783864.0616800003</v>
      </c>
      <c r="CQ8" s="1037">
        <f t="shared" si="2"/>
        <v>0</v>
      </c>
      <c r="CR8" s="433">
        <f t="shared" si="2"/>
        <v>269071.69440000004</v>
      </c>
      <c r="CS8" s="433">
        <f t="shared" si="2"/>
        <v>729296.77552000002</v>
      </c>
      <c r="CT8" s="433">
        <f t="shared" si="2"/>
        <v>344900</v>
      </c>
      <c r="CU8" s="433">
        <f t="shared" si="2"/>
        <v>0</v>
      </c>
      <c r="CV8" s="433">
        <f t="shared" si="2"/>
        <v>89600</v>
      </c>
      <c r="CW8" s="433">
        <f t="shared" si="2"/>
        <v>14400</v>
      </c>
      <c r="CX8" s="433">
        <f t="shared" si="2"/>
        <v>95800</v>
      </c>
      <c r="CY8" s="433">
        <f t="shared" si="2"/>
        <v>0</v>
      </c>
      <c r="CZ8" s="433">
        <f t="shared" si="2"/>
        <v>14400</v>
      </c>
      <c r="DA8" s="433">
        <f t="shared" si="2"/>
        <v>0</v>
      </c>
      <c r="DB8" s="433">
        <f t="shared" ref="DB8:DI8" si="3">+DB9+DB52+DB68</f>
        <v>0</v>
      </c>
      <c r="DC8" s="433">
        <f t="shared" si="3"/>
        <v>0</v>
      </c>
      <c r="DD8" s="433">
        <f t="shared" si="3"/>
        <v>1557468.4699200001</v>
      </c>
      <c r="DE8" s="1037">
        <f t="shared" si="3"/>
        <v>0</v>
      </c>
      <c r="DF8" s="433">
        <f t="shared" si="3"/>
        <v>0</v>
      </c>
      <c r="DG8" s="433">
        <f t="shared" si="3"/>
        <v>0</v>
      </c>
      <c r="DH8" s="433">
        <f t="shared" si="3"/>
        <v>0</v>
      </c>
      <c r="DI8" s="3081">
        <f t="shared" si="3"/>
        <v>0</v>
      </c>
      <c r="DJ8" s="3302">
        <f>+AZ8+BN8+CB8+CP8+DD8+DI8</f>
        <v>6997000.2716000006</v>
      </c>
      <c r="DL8" s="1027">
        <f>+AN8-DJ8</f>
        <v>0</v>
      </c>
      <c r="DN8" s="2721" t="s">
        <v>1175</v>
      </c>
      <c r="DO8" s="2722" t="s">
        <v>1175</v>
      </c>
      <c r="DP8" s="2722"/>
      <c r="DQ8" s="2722" t="s">
        <v>1175</v>
      </c>
      <c r="DR8" s="2722" t="str">
        <f t="shared" ref="DR8:DR92" si="4">MID(D8,1,1)</f>
        <v>1</v>
      </c>
      <c r="DS8" s="1037"/>
      <c r="DT8" s="1037"/>
    </row>
    <row r="9" spans="2:127" s="153" customFormat="1" ht="18.5" hidden="1" customHeight="1" outlineLevel="2">
      <c r="B9" s="2829"/>
      <c r="C9" s="3303" t="s">
        <v>499</v>
      </c>
      <c r="D9" s="2940" t="s">
        <v>499</v>
      </c>
      <c r="E9" s="2830"/>
      <c r="F9" s="3304" t="s">
        <v>499</v>
      </c>
      <c r="G9" s="2831"/>
      <c r="H9" s="3305" t="s">
        <v>615</v>
      </c>
      <c r="I9" s="3305" t="s">
        <v>4</v>
      </c>
      <c r="J9" s="106" t="s">
        <v>1176</v>
      </c>
      <c r="K9" s="1037"/>
      <c r="L9" s="358" t="s">
        <v>196</v>
      </c>
      <c r="M9" s="358">
        <v>0</v>
      </c>
      <c r="N9" s="358">
        <v>2022</v>
      </c>
      <c r="O9" s="358" t="s">
        <v>157</v>
      </c>
      <c r="P9" s="358" t="s">
        <v>157</v>
      </c>
      <c r="Q9" s="358" t="s">
        <v>157</v>
      </c>
      <c r="R9" s="358">
        <v>1</v>
      </c>
      <c r="S9" s="358">
        <v>1</v>
      </c>
      <c r="T9" s="358">
        <v>1</v>
      </c>
      <c r="U9" s="358">
        <v>3</v>
      </c>
      <c r="V9" s="1037"/>
      <c r="W9" s="358"/>
      <c r="X9" s="358"/>
      <c r="Y9" s="358"/>
      <c r="Z9" s="358"/>
      <c r="AA9" s="358"/>
      <c r="AB9" s="174"/>
      <c r="AC9" s="1037"/>
      <c r="AD9" s="106"/>
      <c r="AE9" s="172"/>
      <c r="AF9" s="172"/>
      <c r="AG9" s="172"/>
      <c r="AH9" s="176"/>
      <c r="AI9" s="176">
        <f>+AI10+AI13+AI16+AI19+AI24+AI39+AI44</f>
        <v>4998000.2715999996</v>
      </c>
      <c r="AJ9" s="686"/>
      <c r="AK9" s="1037"/>
      <c r="AL9" s="176">
        <f>+AL10+AL13+AL16+AL19+AL24+AL39+AL44</f>
        <v>4998000.2715999996</v>
      </c>
      <c r="AM9" s="176">
        <f>+AM10+AM13+AM16+AM19+AM24+AM39+AM44</f>
        <v>0</v>
      </c>
      <c r="AN9" s="176">
        <f t="shared" si="0"/>
        <v>4998000.2715999996</v>
      </c>
      <c r="AO9" s="1037"/>
      <c r="AP9" s="176">
        <f t="shared" ref="AP9:AZ9" si="5">+AP10+AP13+AP16+AP19+AP24+AP39+AP44</f>
        <v>0</v>
      </c>
      <c r="AQ9" s="176">
        <f t="shared" si="5"/>
        <v>0</v>
      </c>
      <c r="AR9" s="176">
        <f t="shared" si="5"/>
        <v>0</v>
      </c>
      <c r="AS9" s="176">
        <f t="shared" si="5"/>
        <v>0</v>
      </c>
      <c r="AT9" s="176">
        <f t="shared" si="5"/>
        <v>0</v>
      </c>
      <c r="AU9" s="176">
        <f t="shared" si="5"/>
        <v>0</v>
      </c>
      <c r="AV9" s="176">
        <f t="shared" si="5"/>
        <v>0</v>
      </c>
      <c r="AW9" s="176">
        <f t="shared" si="5"/>
        <v>0</v>
      </c>
      <c r="AX9" s="176">
        <f t="shared" si="5"/>
        <v>0</v>
      </c>
      <c r="AY9" s="176">
        <f t="shared" si="5"/>
        <v>0</v>
      </c>
      <c r="AZ9" s="176">
        <f t="shared" si="5"/>
        <v>0</v>
      </c>
      <c r="BA9" s="1037"/>
      <c r="BB9" s="176">
        <f t="shared" ref="BB9:DI9" si="6">+BB10+BB13+BB16+BB19+BB24+BB39+BB44</f>
        <v>0</v>
      </c>
      <c r="BC9" s="176">
        <f t="shared" si="6"/>
        <v>0</v>
      </c>
      <c r="BD9" s="176">
        <f t="shared" si="6"/>
        <v>0</v>
      </c>
      <c r="BE9" s="176">
        <f t="shared" si="6"/>
        <v>0</v>
      </c>
      <c r="BF9" s="176">
        <f t="shared" si="6"/>
        <v>0</v>
      </c>
      <c r="BG9" s="176">
        <f t="shared" si="6"/>
        <v>29294.6</v>
      </c>
      <c r="BH9" s="176">
        <f t="shared" si="6"/>
        <v>3000</v>
      </c>
      <c r="BI9" s="176">
        <f t="shared" si="6"/>
        <v>25147</v>
      </c>
      <c r="BJ9" s="176">
        <f t="shared" si="6"/>
        <v>59294</v>
      </c>
      <c r="BK9" s="176">
        <f t="shared" si="6"/>
        <v>27547</v>
      </c>
      <c r="BL9" s="176">
        <f t="shared" si="6"/>
        <v>81132.2</v>
      </c>
      <c r="BM9" s="176">
        <f t="shared" si="6"/>
        <v>60643</v>
      </c>
      <c r="BN9" s="176">
        <f t="shared" si="6"/>
        <v>286057.8</v>
      </c>
      <c r="BO9" s="485">
        <f t="shared" si="6"/>
        <v>0</v>
      </c>
      <c r="BP9" s="176">
        <f t="shared" si="6"/>
        <v>59443</v>
      </c>
      <c r="BQ9" s="176">
        <f t="shared" si="6"/>
        <v>42943</v>
      </c>
      <c r="BR9" s="176">
        <f t="shared" si="6"/>
        <v>53743</v>
      </c>
      <c r="BS9" s="176">
        <f t="shared" si="6"/>
        <v>52543</v>
      </c>
      <c r="BT9" s="176">
        <f t="shared" si="6"/>
        <v>125825</v>
      </c>
      <c r="BU9" s="176">
        <f t="shared" si="6"/>
        <v>92865.02</v>
      </c>
      <c r="BV9" s="176">
        <f t="shared" si="6"/>
        <v>84818.02</v>
      </c>
      <c r="BW9" s="176">
        <f t="shared" si="6"/>
        <v>64118.020000000004</v>
      </c>
      <c r="BX9" s="176">
        <f t="shared" si="6"/>
        <v>67118.02</v>
      </c>
      <c r="BY9" s="176">
        <f t="shared" si="6"/>
        <v>301798.82</v>
      </c>
      <c r="BZ9" s="176">
        <f t="shared" si="6"/>
        <v>41522.020000000004</v>
      </c>
      <c r="CA9" s="176">
        <f t="shared" si="6"/>
        <v>334873.02</v>
      </c>
      <c r="CB9" s="176">
        <f t="shared" si="6"/>
        <v>1321609.9400000002</v>
      </c>
      <c r="CC9" s="485">
        <f t="shared" si="6"/>
        <v>0</v>
      </c>
      <c r="CD9" s="176">
        <f t="shared" si="6"/>
        <v>41522.020000000004</v>
      </c>
      <c r="CE9" s="176">
        <f t="shared" si="6"/>
        <v>761965.91440000013</v>
      </c>
      <c r="CF9" s="176">
        <f t="shared" si="6"/>
        <v>116593.71440000001</v>
      </c>
      <c r="CG9" s="176">
        <f t="shared" si="6"/>
        <v>107217.69440000001</v>
      </c>
      <c r="CH9" s="176">
        <f t="shared" si="6"/>
        <v>107217.69440000001</v>
      </c>
      <c r="CI9" s="176">
        <f t="shared" si="6"/>
        <v>75071.694400000008</v>
      </c>
      <c r="CJ9" s="176">
        <f t="shared" si="6"/>
        <v>406120.08215999999</v>
      </c>
      <c r="CK9" s="176">
        <f t="shared" si="6"/>
        <v>75071.694400000008</v>
      </c>
      <c r="CL9" s="176">
        <f t="shared" si="6"/>
        <v>75071.694400000008</v>
      </c>
      <c r="CM9" s="176">
        <f t="shared" si="6"/>
        <v>75071.694400000008</v>
      </c>
      <c r="CN9" s="176">
        <f t="shared" si="6"/>
        <v>737168.46992000006</v>
      </c>
      <c r="CO9" s="176">
        <f t="shared" si="6"/>
        <v>75071.694400000008</v>
      </c>
      <c r="CP9" s="176">
        <f t="shared" si="6"/>
        <v>2653164.0616800003</v>
      </c>
      <c r="CQ9" s="485">
        <f t="shared" si="6"/>
        <v>0</v>
      </c>
      <c r="CR9" s="176">
        <f t="shared" si="6"/>
        <v>75071.694400000008</v>
      </c>
      <c r="CS9" s="176">
        <f t="shared" si="6"/>
        <v>662096.77552000002</v>
      </c>
      <c r="CT9" s="176">
        <f t="shared" si="6"/>
        <v>0</v>
      </c>
      <c r="CU9" s="176">
        <f t="shared" si="6"/>
        <v>0</v>
      </c>
      <c r="CV9" s="176">
        <f t="shared" si="6"/>
        <v>0</v>
      </c>
      <c r="CW9" s="176">
        <f t="shared" si="6"/>
        <v>0</v>
      </c>
      <c r="CX9" s="176">
        <f t="shared" si="6"/>
        <v>0</v>
      </c>
      <c r="CY9" s="176">
        <f t="shared" si="6"/>
        <v>0</v>
      </c>
      <c r="CZ9" s="176">
        <f t="shared" si="6"/>
        <v>0</v>
      </c>
      <c r="DA9" s="176">
        <f t="shared" si="6"/>
        <v>0</v>
      </c>
      <c r="DB9" s="176">
        <f t="shared" si="6"/>
        <v>0</v>
      </c>
      <c r="DC9" s="176">
        <f t="shared" si="6"/>
        <v>0</v>
      </c>
      <c r="DD9" s="176">
        <f t="shared" si="6"/>
        <v>737168.46992000006</v>
      </c>
      <c r="DE9" s="485">
        <f>+DE10+DE13+DE16+DE19+DE24+DE39+DE44</f>
        <v>0</v>
      </c>
      <c r="DF9" s="176">
        <f t="shared" si="6"/>
        <v>0</v>
      </c>
      <c r="DG9" s="176">
        <f t="shared" si="6"/>
        <v>0</v>
      </c>
      <c r="DH9" s="176">
        <f t="shared" si="6"/>
        <v>0</v>
      </c>
      <c r="DI9" s="3082">
        <f t="shared" si="6"/>
        <v>0</v>
      </c>
      <c r="DJ9" s="3116">
        <f>+AZ9+BN9+CB9+CP9+DD9+DI9</f>
        <v>4998000.2716000006</v>
      </c>
      <c r="DL9" s="1027">
        <f t="shared" ref="DL9:DL72" si="7">+AN9-DJ9</f>
        <v>0</v>
      </c>
      <c r="DN9" s="2723" t="s">
        <v>1175</v>
      </c>
      <c r="DO9" s="2724" t="s">
        <v>1175</v>
      </c>
      <c r="DP9" s="2724"/>
      <c r="DQ9" s="2724" t="s">
        <v>1175</v>
      </c>
      <c r="DR9" s="2724" t="str">
        <f t="shared" si="4"/>
        <v>1</v>
      </c>
      <c r="DS9" s="1037"/>
      <c r="DT9" s="1037"/>
    </row>
    <row r="10" spans="2:127" s="153" customFormat="1" ht="33" hidden="1" customHeight="1" outlineLevel="3">
      <c r="B10" s="2832"/>
      <c r="C10" s="3306" t="s">
        <v>497</v>
      </c>
      <c r="D10" s="2941" t="s">
        <v>497</v>
      </c>
      <c r="E10" s="2830"/>
      <c r="F10" s="3307" t="s">
        <v>497</v>
      </c>
      <c r="G10" s="2833"/>
      <c r="H10" s="3308" t="s">
        <v>498</v>
      </c>
      <c r="I10" s="3308" t="s">
        <v>4</v>
      </c>
      <c r="J10" s="1250" t="s">
        <v>1177</v>
      </c>
      <c r="K10" s="1037"/>
      <c r="L10" s="851"/>
      <c r="M10" s="851"/>
      <c r="N10" s="851"/>
      <c r="O10" s="851"/>
      <c r="P10" s="851"/>
      <c r="Q10" s="851"/>
      <c r="R10" s="851"/>
      <c r="S10" s="851"/>
      <c r="T10" s="851"/>
      <c r="U10" s="851"/>
      <c r="V10" s="1037"/>
      <c r="W10" s="851"/>
      <c r="X10" s="851"/>
      <c r="Y10" s="851"/>
      <c r="Z10" s="851"/>
      <c r="AA10" s="851"/>
      <c r="AB10" s="1250"/>
      <c r="AC10" s="1037"/>
      <c r="AD10" s="2834"/>
      <c r="AE10" s="1255"/>
      <c r="AF10" s="1255"/>
      <c r="AG10" s="1255"/>
      <c r="AH10" s="1257"/>
      <c r="AI10" s="1257">
        <f>SUM(AI11:AI12)</f>
        <v>0</v>
      </c>
      <c r="AJ10" s="691"/>
      <c r="AK10" s="1037"/>
      <c r="AL10" s="398">
        <f>SUM(AL11:AL12)</f>
        <v>0</v>
      </c>
      <c r="AM10" s="398">
        <f>SUM(AM11:AM12)</f>
        <v>0</v>
      </c>
      <c r="AN10" s="398">
        <f t="shared" si="0"/>
        <v>0</v>
      </c>
      <c r="AO10" s="1037"/>
      <c r="AP10" s="992">
        <f t="shared" ref="AP10:AY10" si="8">SUM(AP11:AP12)</f>
        <v>0</v>
      </c>
      <c r="AQ10" s="992">
        <f t="shared" si="8"/>
        <v>0</v>
      </c>
      <c r="AR10" s="992">
        <f t="shared" si="8"/>
        <v>0</v>
      </c>
      <c r="AS10" s="992">
        <f t="shared" si="8"/>
        <v>0</v>
      </c>
      <c r="AT10" s="992">
        <f t="shared" si="8"/>
        <v>0</v>
      </c>
      <c r="AU10" s="992">
        <f t="shared" si="8"/>
        <v>0</v>
      </c>
      <c r="AV10" s="992">
        <f t="shared" si="8"/>
        <v>0</v>
      </c>
      <c r="AW10" s="992">
        <f t="shared" si="8"/>
        <v>0</v>
      </c>
      <c r="AX10" s="992">
        <f t="shared" si="8"/>
        <v>0</v>
      </c>
      <c r="AY10" s="992">
        <f t="shared" si="8"/>
        <v>0</v>
      </c>
      <c r="AZ10" s="992">
        <f t="shared" ref="AZ10:AZ91" si="9">SUM(AP10:AY10)</f>
        <v>0</v>
      </c>
      <c r="BA10" s="2835"/>
      <c r="BB10" s="992">
        <f t="shared" ref="BB10:BM10" si="10">SUM(BB11:BB12)</f>
        <v>0</v>
      </c>
      <c r="BC10" s="992">
        <f t="shared" si="10"/>
        <v>0</v>
      </c>
      <c r="BD10" s="992">
        <f t="shared" si="10"/>
        <v>0</v>
      </c>
      <c r="BE10" s="992">
        <f t="shared" si="10"/>
        <v>0</v>
      </c>
      <c r="BF10" s="992">
        <f t="shared" si="10"/>
        <v>0</v>
      </c>
      <c r="BG10" s="992">
        <f t="shared" si="10"/>
        <v>0</v>
      </c>
      <c r="BH10" s="992">
        <f t="shared" si="10"/>
        <v>0</v>
      </c>
      <c r="BI10" s="992">
        <f t="shared" si="10"/>
        <v>0</v>
      </c>
      <c r="BJ10" s="992">
        <f t="shared" si="10"/>
        <v>0</v>
      </c>
      <c r="BK10" s="992">
        <f t="shared" si="10"/>
        <v>0</v>
      </c>
      <c r="BL10" s="992">
        <f t="shared" si="10"/>
        <v>0</v>
      </c>
      <c r="BM10" s="992">
        <f t="shared" si="10"/>
        <v>0</v>
      </c>
      <c r="BN10" s="992">
        <f t="shared" ref="BN10:BN91" si="11">SUM(BB10:BM10)</f>
        <v>0</v>
      </c>
      <c r="BO10" s="2835"/>
      <c r="BP10" s="992">
        <f t="shared" ref="BP10:CA10" si="12">SUM(BP11:BP12)</f>
        <v>0</v>
      </c>
      <c r="BQ10" s="992">
        <f t="shared" si="12"/>
        <v>0</v>
      </c>
      <c r="BR10" s="992">
        <f t="shared" si="12"/>
        <v>0</v>
      </c>
      <c r="BS10" s="992">
        <f t="shared" si="12"/>
        <v>0</v>
      </c>
      <c r="BT10" s="992">
        <f t="shared" si="12"/>
        <v>0</v>
      </c>
      <c r="BU10" s="992">
        <f>SUM(BU11:BU12)</f>
        <v>0</v>
      </c>
      <c r="BV10" s="992">
        <f t="shared" si="12"/>
        <v>0</v>
      </c>
      <c r="BW10" s="992">
        <f t="shared" si="12"/>
        <v>0</v>
      </c>
      <c r="BX10" s="992">
        <f t="shared" si="12"/>
        <v>0</v>
      </c>
      <c r="BY10" s="992">
        <f t="shared" si="12"/>
        <v>0</v>
      </c>
      <c r="BZ10" s="992">
        <f t="shared" si="12"/>
        <v>0</v>
      </c>
      <c r="CA10" s="992">
        <f t="shared" si="12"/>
        <v>0</v>
      </c>
      <c r="CB10" s="992">
        <f t="shared" ref="CB10:CB91" si="13">SUM(BP10:CA10)</f>
        <v>0</v>
      </c>
      <c r="CC10" s="2835"/>
      <c r="CD10" s="992">
        <f t="shared" ref="CD10:CO10" si="14">SUM(CD11:CD12)</f>
        <v>0</v>
      </c>
      <c r="CE10" s="992">
        <f t="shared" si="14"/>
        <v>0</v>
      </c>
      <c r="CF10" s="992">
        <f t="shared" si="14"/>
        <v>0</v>
      </c>
      <c r="CG10" s="992">
        <f t="shared" si="14"/>
        <v>0</v>
      </c>
      <c r="CH10" s="992">
        <f t="shared" si="14"/>
        <v>0</v>
      </c>
      <c r="CI10" s="992">
        <f t="shared" si="14"/>
        <v>0</v>
      </c>
      <c r="CJ10" s="992">
        <f t="shared" si="14"/>
        <v>0</v>
      </c>
      <c r="CK10" s="992">
        <f t="shared" si="14"/>
        <v>0</v>
      </c>
      <c r="CL10" s="992">
        <f t="shared" si="14"/>
        <v>0</v>
      </c>
      <c r="CM10" s="992">
        <f t="shared" si="14"/>
        <v>0</v>
      </c>
      <c r="CN10" s="992">
        <f t="shared" si="14"/>
        <v>0</v>
      </c>
      <c r="CO10" s="992">
        <f t="shared" si="14"/>
        <v>0</v>
      </c>
      <c r="CP10" s="992">
        <f>SUM(CD10:CO10)</f>
        <v>0</v>
      </c>
      <c r="CQ10" s="2835"/>
      <c r="CR10" s="992">
        <f t="shared" ref="CR10:DC10" si="15">SUM(CR11:CR12)</f>
        <v>0</v>
      </c>
      <c r="CS10" s="992">
        <f t="shared" si="15"/>
        <v>0</v>
      </c>
      <c r="CT10" s="992">
        <f t="shared" si="15"/>
        <v>0</v>
      </c>
      <c r="CU10" s="992">
        <f t="shared" si="15"/>
        <v>0</v>
      </c>
      <c r="CV10" s="992">
        <f t="shared" si="15"/>
        <v>0</v>
      </c>
      <c r="CW10" s="992">
        <f t="shared" si="15"/>
        <v>0</v>
      </c>
      <c r="CX10" s="992">
        <f t="shared" si="15"/>
        <v>0</v>
      </c>
      <c r="CY10" s="992">
        <f t="shared" si="15"/>
        <v>0</v>
      </c>
      <c r="CZ10" s="992">
        <f t="shared" si="15"/>
        <v>0</v>
      </c>
      <c r="DA10" s="992">
        <f t="shared" si="15"/>
        <v>0</v>
      </c>
      <c r="DB10" s="992">
        <f t="shared" si="15"/>
        <v>0</v>
      </c>
      <c r="DC10" s="992">
        <f t="shared" si="15"/>
        <v>0</v>
      </c>
      <c r="DD10" s="992">
        <f t="shared" ref="DD10:DD49" si="16">SUM(CR10:DC10)</f>
        <v>0</v>
      </c>
      <c r="DE10" s="2835"/>
      <c r="DF10" s="992">
        <f>SUM(DF11:DF12)</f>
        <v>0</v>
      </c>
      <c r="DG10" s="992">
        <f>SUM(DG11:DG12)</f>
        <v>0</v>
      </c>
      <c r="DH10" s="992">
        <f>SUM(DH11:DH12)</f>
        <v>0</v>
      </c>
      <c r="DI10" s="3083">
        <f>SUM(DF10:DH10)</f>
        <v>0</v>
      </c>
      <c r="DJ10" s="3117">
        <f>+AZ10+BN10+CB10+CP10+DD10+DI10</f>
        <v>0</v>
      </c>
      <c r="DL10" s="1027">
        <f t="shared" si="7"/>
        <v>0</v>
      </c>
      <c r="DN10" s="2725" t="s">
        <v>1175</v>
      </c>
      <c r="DO10" s="2726" t="s">
        <v>1175</v>
      </c>
      <c r="DP10" s="2726"/>
      <c r="DQ10" s="2726" t="s">
        <v>1175</v>
      </c>
      <c r="DR10" s="2726" t="str">
        <f t="shared" si="4"/>
        <v>1</v>
      </c>
      <c r="DS10" s="1037"/>
      <c r="DT10" s="1037"/>
    </row>
    <row r="11" spans="2:127" ht="15" hidden="1" outlineLevel="4">
      <c r="B11" s="2836"/>
      <c r="C11" s="3309" t="s">
        <v>618</v>
      </c>
      <c r="D11" s="3310" t="s">
        <v>618</v>
      </c>
      <c r="E11" s="2830"/>
      <c r="F11" s="3310" t="s">
        <v>616</v>
      </c>
      <c r="G11" s="2838"/>
      <c r="H11" s="3311" t="s">
        <v>1178</v>
      </c>
      <c r="I11" s="3312"/>
      <c r="J11" s="103"/>
      <c r="L11" s="853"/>
      <c r="M11" s="853"/>
      <c r="N11" s="853"/>
      <c r="O11" s="853"/>
      <c r="P11" s="853"/>
      <c r="Q11" s="853"/>
      <c r="R11" s="853"/>
      <c r="S11" s="853"/>
      <c r="T11" s="853"/>
      <c r="U11" s="853"/>
      <c r="W11" s="853"/>
      <c r="X11" s="853"/>
      <c r="Y11" s="853"/>
      <c r="Z11" s="853"/>
      <c r="AA11" s="3799"/>
      <c r="AB11" s="3869"/>
      <c r="AD11" s="1459" t="s">
        <v>1179</v>
      </c>
      <c r="AE11" s="712"/>
      <c r="AF11" s="179"/>
      <c r="AG11" s="179"/>
      <c r="AH11" s="1048"/>
      <c r="AI11" s="1048"/>
      <c r="AJ11" s="3871"/>
      <c r="AL11" s="1343">
        <f>+AI11</f>
        <v>0</v>
      </c>
      <c r="AM11" s="1343">
        <v>0</v>
      </c>
      <c r="AN11" s="1343">
        <f t="shared" si="0"/>
        <v>0</v>
      </c>
      <c r="AP11" s="3872"/>
      <c r="AQ11" s="3872"/>
      <c r="AR11" s="3872"/>
      <c r="AS11" s="3872"/>
      <c r="AT11" s="3872"/>
      <c r="AU11" s="3872"/>
      <c r="AV11" s="3872"/>
      <c r="AW11" s="3872"/>
      <c r="AX11" s="3872"/>
      <c r="AY11" s="3872"/>
      <c r="AZ11" s="3811">
        <f t="shared" si="9"/>
        <v>0</v>
      </c>
      <c r="BA11" s="2835"/>
      <c r="BB11" s="2074"/>
      <c r="BC11" s="2074"/>
      <c r="BD11" s="2074"/>
      <c r="BE11" s="2074"/>
      <c r="BF11" s="2074"/>
      <c r="BG11" s="2074"/>
      <c r="BH11" s="2074"/>
      <c r="BI11" s="2074"/>
      <c r="BJ11" s="2074"/>
      <c r="BK11" s="2074"/>
      <c r="BL11" s="2074"/>
      <c r="BM11" s="2644"/>
      <c r="BN11" s="2643">
        <f>SUM(BB11:BM11)</f>
        <v>0</v>
      </c>
      <c r="BO11" s="2835"/>
      <c r="BP11" s="2644"/>
      <c r="BQ11" s="2074">
        <f>+$AH$11</f>
        <v>0</v>
      </c>
      <c r="BR11" s="2074">
        <f>+$AH$11</f>
        <v>0</v>
      </c>
      <c r="BS11" s="2074">
        <f>+$AH$11</f>
        <v>0</v>
      </c>
      <c r="BT11" s="2074">
        <f>+$AH$11</f>
        <v>0</v>
      </c>
      <c r="BU11" s="2644"/>
      <c r="BV11" s="2644"/>
      <c r="BW11" s="2074"/>
      <c r="BX11" s="2074"/>
      <c r="BY11" s="2074"/>
      <c r="BZ11" s="2074"/>
      <c r="CA11" s="2074"/>
      <c r="CB11" s="2643">
        <f>SUM(BP11:CA11)</f>
        <v>0</v>
      </c>
      <c r="CC11" s="2835"/>
      <c r="CD11" s="2074"/>
      <c r="CE11" s="2074"/>
      <c r="CF11" s="2074"/>
      <c r="CG11" s="2074"/>
      <c r="CH11" s="2074"/>
      <c r="CI11" s="2074"/>
      <c r="CJ11" s="2074"/>
      <c r="CK11" s="2074"/>
      <c r="CL11" s="2074"/>
      <c r="CM11" s="2074"/>
      <c r="CN11" s="2074"/>
      <c r="CO11" s="2074"/>
      <c r="CP11" s="2643">
        <f>SUM(CD11:CO11)</f>
        <v>0</v>
      </c>
      <c r="CQ11" s="2835"/>
      <c r="CR11" s="2074"/>
      <c r="CS11" s="2074"/>
      <c r="CT11" s="2074"/>
      <c r="CU11" s="2074"/>
      <c r="CV11" s="2074"/>
      <c r="CW11" s="2074"/>
      <c r="CX11" s="2074"/>
      <c r="CY11" s="2074"/>
      <c r="CZ11" s="2074"/>
      <c r="DA11" s="2074"/>
      <c r="DB11" s="2074"/>
      <c r="DC11" s="2074"/>
      <c r="DD11" s="2643">
        <f t="shared" si="16"/>
        <v>0</v>
      </c>
      <c r="DE11" s="2835"/>
      <c r="DF11" s="2074"/>
      <c r="DG11" s="2074"/>
      <c r="DH11" s="2074"/>
      <c r="DI11" s="3084">
        <f>SUM(DF11:DH11)</f>
        <v>0</v>
      </c>
      <c r="DJ11" s="3118">
        <f t="shared" ref="DJ11:DJ72" si="17">+AZ11+BN11+CB11+CP11+DD11+DI11</f>
        <v>0</v>
      </c>
      <c r="DL11" s="1027">
        <f>+AN11-DJ11</f>
        <v>0</v>
      </c>
      <c r="DN11" s="3890" t="s">
        <v>1180</v>
      </c>
      <c r="DO11" s="3890" t="s">
        <v>1181</v>
      </c>
      <c r="DP11" s="4020" t="s">
        <v>1117</v>
      </c>
      <c r="DQ11" s="3890" t="s">
        <v>4</v>
      </c>
      <c r="DR11" s="3890" t="str">
        <f t="shared" si="4"/>
        <v>1</v>
      </c>
      <c r="DS11" s="1037"/>
      <c r="DT11" s="1037"/>
    </row>
    <row r="12" spans="2:127" ht="15" hidden="1" outlineLevel="4">
      <c r="B12" s="2836"/>
      <c r="C12" s="3309"/>
      <c r="D12" s="3310" t="s">
        <v>1182</v>
      </c>
      <c r="E12" s="2837"/>
      <c r="F12" s="3313" t="s">
        <v>618</v>
      </c>
      <c r="G12" s="2838"/>
      <c r="H12" s="3314" t="s">
        <v>1183</v>
      </c>
      <c r="I12" s="3312"/>
      <c r="J12" s="103"/>
      <c r="L12" s="853"/>
      <c r="M12" s="853"/>
      <c r="N12" s="853"/>
      <c r="O12" s="853"/>
      <c r="P12" s="853"/>
      <c r="Q12" s="853"/>
      <c r="R12" s="853"/>
      <c r="S12" s="853"/>
      <c r="T12" s="853"/>
      <c r="U12" s="853"/>
      <c r="W12" s="853"/>
      <c r="X12" s="853"/>
      <c r="Y12" s="853"/>
      <c r="Z12" s="1481"/>
      <c r="AA12" s="3800"/>
      <c r="AB12" s="3870"/>
      <c r="AD12" s="1459" t="s">
        <v>1179</v>
      </c>
      <c r="AE12" s="712"/>
      <c r="AF12" s="179"/>
      <c r="AG12" s="179"/>
      <c r="AH12" s="1048"/>
      <c r="AI12" s="1048"/>
      <c r="AJ12" s="3871"/>
      <c r="AL12" s="725">
        <f>+AI12</f>
        <v>0</v>
      </c>
      <c r="AM12" s="725">
        <v>0</v>
      </c>
      <c r="AN12" s="1748">
        <f t="shared" si="0"/>
        <v>0</v>
      </c>
      <c r="AP12" s="3873"/>
      <c r="AQ12" s="3873"/>
      <c r="AR12" s="3873"/>
      <c r="AS12" s="3873"/>
      <c r="AT12" s="3873"/>
      <c r="AU12" s="3873"/>
      <c r="AV12" s="3873"/>
      <c r="AW12" s="3873"/>
      <c r="AX12" s="3873"/>
      <c r="AY12" s="3873"/>
      <c r="AZ12" s="3813">
        <f t="shared" si="9"/>
        <v>0</v>
      </c>
      <c r="BA12" s="2835"/>
      <c r="BB12" s="2074"/>
      <c r="BC12" s="2074"/>
      <c r="BD12" s="2074"/>
      <c r="BE12" s="2074"/>
      <c r="BF12" s="2074"/>
      <c r="BG12" s="2074"/>
      <c r="BH12" s="2074"/>
      <c r="BI12" s="2074"/>
      <c r="BJ12" s="2074"/>
      <c r="BK12" s="2074"/>
      <c r="BL12" s="2074"/>
      <c r="BM12" s="2074"/>
      <c r="BN12" s="2643">
        <f>SUM(BB12:BM12)</f>
        <v>0</v>
      </c>
      <c r="BO12" s="2835"/>
      <c r="BP12" s="2074"/>
      <c r="BQ12" s="2074"/>
      <c r="BR12" s="2074"/>
      <c r="BS12" s="2074"/>
      <c r="BT12" s="2074"/>
      <c r="BU12" s="2074"/>
      <c r="BV12" s="2074"/>
      <c r="BW12" s="2074"/>
      <c r="BX12" s="2074">
        <f>+$AH$12</f>
        <v>0</v>
      </c>
      <c r="BY12" s="2074">
        <f>+$AH$12</f>
        <v>0</v>
      </c>
      <c r="BZ12" s="2074">
        <f>+$AH$12</f>
        <v>0</v>
      </c>
      <c r="CA12" s="2074">
        <f>+$AH$12</f>
        <v>0</v>
      </c>
      <c r="CB12" s="2656">
        <f t="shared" si="13"/>
        <v>0</v>
      </c>
      <c r="CC12" s="2835"/>
      <c r="CD12" s="2074">
        <f t="shared" ref="CD12:CK12" si="18">+$AH$12</f>
        <v>0</v>
      </c>
      <c r="CE12" s="2074">
        <f t="shared" si="18"/>
        <v>0</v>
      </c>
      <c r="CF12" s="2074">
        <f t="shared" si="18"/>
        <v>0</v>
      </c>
      <c r="CG12" s="2074">
        <f t="shared" si="18"/>
        <v>0</v>
      </c>
      <c r="CH12" s="2074">
        <f t="shared" si="18"/>
        <v>0</v>
      </c>
      <c r="CI12" s="2074">
        <f t="shared" si="18"/>
        <v>0</v>
      </c>
      <c r="CJ12" s="2074">
        <f t="shared" si="18"/>
        <v>0</v>
      </c>
      <c r="CK12" s="2074">
        <f t="shared" si="18"/>
        <v>0</v>
      </c>
      <c r="CL12" s="2074"/>
      <c r="CM12" s="2074"/>
      <c r="CN12" s="2074"/>
      <c r="CO12" s="2074"/>
      <c r="CP12" s="2643">
        <f>SUM(CD12:CO12)</f>
        <v>0</v>
      </c>
      <c r="CQ12" s="2835"/>
      <c r="CR12" s="1407"/>
      <c r="CS12" s="1407"/>
      <c r="CT12" s="1407"/>
      <c r="CU12" s="1407"/>
      <c r="CV12" s="1407"/>
      <c r="CW12" s="1407"/>
      <c r="CX12" s="1407"/>
      <c r="CY12" s="1407"/>
      <c r="CZ12" s="1407"/>
      <c r="DA12" s="1407"/>
      <c r="DB12" s="1407"/>
      <c r="DC12" s="1407"/>
      <c r="DD12" s="2643">
        <f t="shared" si="16"/>
        <v>0</v>
      </c>
      <c r="DE12" s="2835"/>
      <c r="DF12" s="1407"/>
      <c r="DG12" s="1407"/>
      <c r="DH12" s="1407"/>
      <c r="DI12" s="3084">
        <f>SUM(DF12:DH12)</f>
        <v>0</v>
      </c>
      <c r="DJ12" s="3118">
        <f t="shared" si="17"/>
        <v>0</v>
      </c>
      <c r="DL12" s="1027">
        <f t="shared" si="7"/>
        <v>0</v>
      </c>
      <c r="DN12" s="3891"/>
      <c r="DO12" s="3891"/>
      <c r="DP12" s="3891"/>
      <c r="DQ12" s="3891"/>
      <c r="DR12" s="3891" t="str">
        <f t="shared" si="4"/>
        <v>1</v>
      </c>
      <c r="DS12" s="1037"/>
      <c r="DT12" s="1037"/>
    </row>
    <row r="13" spans="2:127" s="153" customFormat="1" ht="19.25" hidden="1" customHeight="1" outlineLevel="3" collapsed="1">
      <c r="B13" s="2839"/>
      <c r="C13" s="3306"/>
      <c r="D13" s="2941"/>
      <c r="E13" s="2236"/>
      <c r="F13" s="2949" t="s">
        <v>624</v>
      </c>
      <c r="G13" s="2833"/>
      <c r="H13" s="1250" t="s">
        <v>1184</v>
      </c>
      <c r="I13" s="399"/>
      <c r="J13" s="399"/>
      <c r="K13" s="1037"/>
      <c r="L13" s="851"/>
      <c r="M13" s="851"/>
      <c r="N13" s="851"/>
      <c r="O13" s="851"/>
      <c r="P13" s="851"/>
      <c r="Q13" s="851"/>
      <c r="R13" s="851"/>
      <c r="S13" s="851"/>
      <c r="T13" s="851"/>
      <c r="U13" s="851"/>
      <c r="V13" s="1037"/>
      <c r="W13" s="851"/>
      <c r="X13" s="851"/>
      <c r="Y13" s="851"/>
      <c r="Z13" s="851"/>
      <c r="AA13" s="851"/>
      <c r="AB13" s="1250"/>
      <c r="AC13" s="1037"/>
      <c r="AD13" s="2840"/>
      <c r="AE13" s="397"/>
      <c r="AF13" s="397"/>
      <c r="AG13" s="397"/>
      <c r="AH13" s="398"/>
      <c r="AI13" s="1257">
        <f>SUM(AI14:AI15)</f>
        <v>1685241.9387999999</v>
      </c>
      <c r="AJ13" s="680"/>
      <c r="AK13" s="1037"/>
      <c r="AL13" s="398">
        <f>SUM(AL14:AL15)</f>
        <v>1685241.9387999999</v>
      </c>
      <c r="AM13" s="398">
        <v>0</v>
      </c>
      <c r="AN13" s="398">
        <f t="shared" si="0"/>
        <v>1685241.9387999999</v>
      </c>
      <c r="AO13" s="1037"/>
      <c r="AP13" s="992">
        <f t="shared" ref="AP13:AY13" si="19">SUM(AP14:AP15)</f>
        <v>0</v>
      </c>
      <c r="AQ13" s="992">
        <f t="shared" si="19"/>
        <v>0</v>
      </c>
      <c r="AR13" s="992">
        <f t="shared" si="19"/>
        <v>0</v>
      </c>
      <c r="AS13" s="992">
        <f t="shared" si="19"/>
        <v>0</v>
      </c>
      <c r="AT13" s="992">
        <f t="shared" si="19"/>
        <v>0</v>
      </c>
      <c r="AU13" s="992">
        <f t="shared" si="19"/>
        <v>0</v>
      </c>
      <c r="AV13" s="992">
        <f t="shared" si="19"/>
        <v>0</v>
      </c>
      <c r="AW13" s="992">
        <f t="shared" si="19"/>
        <v>0</v>
      </c>
      <c r="AX13" s="992">
        <f t="shared" si="19"/>
        <v>0</v>
      </c>
      <c r="AY13" s="992">
        <f t="shared" si="19"/>
        <v>0</v>
      </c>
      <c r="AZ13" s="992">
        <f>SUM(AP13:AY13)</f>
        <v>0</v>
      </c>
      <c r="BA13" s="2835"/>
      <c r="BB13" s="992">
        <f t="shared" ref="BB13:BM13" si="20">SUM(BB14:BB15)</f>
        <v>0</v>
      </c>
      <c r="BC13" s="992">
        <f t="shared" si="20"/>
        <v>0</v>
      </c>
      <c r="BD13" s="992">
        <f t="shared" si="20"/>
        <v>0</v>
      </c>
      <c r="BE13" s="992">
        <f t="shared" si="20"/>
        <v>0</v>
      </c>
      <c r="BF13" s="992">
        <f t="shared" si="20"/>
        <v>0</v>
      </c>
      <c r="BG13" s="992">
        <f t="shared" si="20"/>
        <v>6000</v>
      </c>
      <c r="BH13" s="992">
        <f t="shared" si="20"/>
        <v>0</v>
      </c>
      <c r="BI13" s="992">
        <f t="shared" si="20"/>
        <v>0</v>
      </c>
      <c r="BJ13" s="992">
        <f t="shared" si="20"/>
        <v>9000</v>
      </c>
      <c r="BK13" s="992">
        <f t="shared" si="20"/>
        <v>0</v>
      </c>
      <c r="BL13" s="992">
        <f t="shared" si="20"/>
        <v>0</v>
      </c>
      <c r="BM13" s="992">
        <f t="shared" si="20"/>
        <v>15000</v>
      </c>
      <c r="BN13" s="992">
        <f t="shared" si="11"/>
        <v>30000</v>
      </c>
      <c r="BO13" s="2835"/>
      <c r="BP13" s="992">
        <f t="shared" ref="BP13:CA13" si="21">SUM(BP14:BP15)</f>
        <v>0</v>
      </c>
      <c r="BQ13" s="992">
        <f t="shared" si="21"/>
        <v>0</v>
      </c>
      <c r="BR13" s="992">
        <f t="shared" si="21"/>
        <v>0</v>
      </c>
      <c r="BS13" s="992">
        <f t="shared" si="21"/>
        <v>0</v>
      </c>
      <c r="BT13" s="992">
        <f t="shared" si="21"/>
        <v>0</v>
      </c>
      <c r="BU13" s="992">
        <f t="shared" si="21"/>
        <v>0</v>
      </c>
      <c r="BV13" s="992">
        <f t="shared" si="21"/>
        <v>0</v>
      </c>
      <c r="BW13" s="992">
        <f t="shared" si="21"/>
        <v>0</v>
      </c>
      <c r="BX13" s="992">
        <f t="shared" si="21"/>
        <v>0</v>
      </c>
      <c r="BY13" s="992">
        <f t="shared" si="21"/>
        <v>0</v>
      </c>
      <c r="BZ13" s="992">
        <f t="shared" si="21"/>
        <v>0</v>
      </c>
      <c r="CA13" s="992">
        <f t="shared" si="21"/>
        <v>0</v>
      </c>
      <c r="CB13" s="992">
        <f t="shared" si="13"/>
        <v>0</v>
      </c>
      <c r="CC13" s="2835"/>
      <c r="CD13" s="992">
        <f t="shared" ref="CD13:CO13" si="22">SUM(CD14:CD15)</f>
        <v>0</v>
      </c>
      <c r="CE13" s="992">
        <f t="shared" si="22"/>
        <v>0</v>
      </c>
      <c r="CF13" s="992">
        <f t="shared" si="22"/>
        <v>0</v>
      </c>
      <c r="CG13" s="992">
        <f t="shared" si="22"/>
        <v>0</v>
      </c>
      <c r="CH13" s="992">
        <f t="shared" si="22"/>
        <v>0</v>
      </c>
      <c r="CI13" s="992">
        <f t="shared" si="22"/>
        <v>0</v>
      </c>
      <c r="CJ13" s="992">
        <f t="shared" si="22"/>
        <v>331048.38776000001</v>
      </c>
      <c r="CK13" s="992">
        <f t="shared" si="22"/>
        <v>0</v>
      </c>
      <c r="CL13" s="992">
        <f t="shared" si="22"/>
        <v>0</v>
      </c>
      <c r="CM13" s="992">
        <f t="shared" si="22"/>
        <v>0</v>
      </c>
      <c r="CN13" s="992">
        <f t="shared" si="22"/>
        <v>662096.77552000002</v>
      </c>
      <c r="CO13" s="992">
        <f t="shared" si="22"/>
        <v>0</v>
      </c>
      <c r="CP13" s="992">
        <f t="shared" ref="CP13:CP91" si="23">SUM(CD13:CO13)</f>
        <v>993145.16327999998</v>
      </c>
      <c r="CQ13" s="2835"/>
      <c r="CR13" s="992">
        <f t="shared" ref="CR13:DC13" si="24">SUM(CR14:CR15)</f>
        <v>0</v>
      </c>
      <c r="CS13" s="992">
        <f t="shared" si="24"/>
        <v>662096.77552000002</v>
      </c>
      <c r="CT13" s="992">
        <f t="shared" si="24"/>
        <v>0</v>
      </c>
      <c r="CU13" s="992">
        <f t="shared" si="24"/>
        <v>0</v>
      </c>
      <c r="CV13" s="992">
        <f t="shared" si="24"/>
        <v>0</v>
      </c>
      <c r="CW13" s="992">
        <f t="shared" si="24"/>
        <v>0</v>
      </c>
      <c r="CX13" s="992">
        <f t="shared" si="24"/>
        <v>0</v>
      </c>
      <c r="CY13" s="992">
        <f t="shared" si="24"/>
        <v>0</v>
      </c>
      <c r="CZ13" s="992">
        <f t="shared" si="24"/>
        <v>0</v>
      </c>
      <c r="DA13" s="992">
        <f t="shared" si="24"/>
        <v>0</v>
      </c>
      <c r="DB13" s="992">
        <f t="shared" si="24"/>
        <v>0</v>
      </c>
      <c r="DC13" s="992">
        <f t="shared" si="24"/>
        <v>0</v>
      </c>
      <c r="DD13" s="992">
        <f t="shared" si="16"/>
        <v>662096.77552000002</v>
      </c>
      <c r="DE13" s="2835"/>
      <c r="DF13" s="992">
        <f>SUM(DF14:DF15)</f>
        <v>0</v>
      </c>
      <c r="DG13" s="992">
        <f>SUM(DG14:DG15)</f>
        <v>0</v>
      </c>
      <c r="DH13" s="992">
        <f>SUM(DH14:DH15)</f>
        <v>0</v>
      </c>
      <c r="DI13" s="3083">
        <f>SUM(DF13:DH13)</f>
        <v>0</v>
      </c>
      <c r="DJ13" s="3117">
        <f t="shared" si="17"/>
        <v>1685241.9388000001</v>
      </c>
      <c r="DL13" s="1027">
        <f t="shared" si="7"/>
        <v>0</v>
      </c>
      <c r="DN13" s="2727" t="s">
        <v>1180</v>
      </c>
      <c r="DO13" s="2728" t="s">
        <v>1181</v>
      </c>
      <c r="DP13" s="2728" t="s">
        <v>1117</v>
      </c>
      <c r="DQ13" s="2728" t="s">
        <v>4</v>
      </c>
      <c r="DR13" s="2728" t="str">
        <f t="shared" si="4"/>
        <v/>
      </c>
      <c r="DS13" s="1037"/>
      <c r="DT13" s="1037"/>
    </row>
    <row r="14" spans="2:127" ht="45" hidden="1" outlineLevel="4">
      <c r="B14" s="2836"/>
      <c r="C14" s="3309" t="s">
        <v>620</v>
      </c>
      <c r="D14" s="3310" t="s">
        <v>620</v>
      </c>
      <c r="E14" s="2841"/>
      <c r="F14" s="3310" t="s">
        <v>1185</v>
      </c>
      <c r="G14" s="2838"/>
      <c r="H14" s="3311" t="s">
        <v>1186</v>
      </c>
      <c r="I14" s="3312"/>
      <c r="J14" s="103"/>
      <c r="L14" s="853"/>
      <c r="M14" s="853"/>
      <c r="N14" s="853"/>
      <c r="O14" s="853"/>
      <c r="P14" s="853"/>
      <c r="Q14" s="853"/>
      <c r="R14" s="853"/>
      <c r="S14" s="853"/>
      <c r="T14" s="853"/>
      <c r="U14" s="853"/>
      <c r="W14" s="3527" t="s">
        <v>763</v>
      </c>
      <c r="X14" s="853" t="s">
        <v>1075</v>
      </c>
      <c r="Y14" s="853" t="s">
        <v>1187</v>
      </c>
      <c r="Z14" s="853" t="s">
        <v>1188</v>
      </c>
      <c r="AA14" s="3799"/>
      <c r="AB14" s="3869"/>
      <c r="AD14" s="1459" t="s">
        <v>1189</v>
      </c>
      <c r="AE14" s="712">
        <v>1</v>
      </c>
      <c r="AF14" s="179">
        <v>6</v>
      </c>
      <c r="AG14" s="179"/>
      <c r="AH14" s="1048">
        <v>5000</v>
      </c>
      <c r="AI14" s="1048">
        <f>+AE14*AF14*AH14</f>
        <v>30000</v>
      </c>
      <c r="AJ14" s="3315"/>
      <c r="AL14" s="1343">
        <f>+AI14</f>
        <v>30000</v>
      </c>
      <c r="AM14" s="1343"/>
      <c r="AN14" s="1343">
        <f t="shared" si="0"/>
        <v>30000</v>
      </c>
      <c r="AP14" s="3872"/>
      <c r="AQ14" s="3872"/>
      <c r="AR14" s="3872"/>
      <c r="AS14" s="3872"/>
      <c r="AT14" s="3872"/>
      <c r="AU14" s="3872"/>
      <c r="AV14" s="3872"/>
      <c r="AW14" s="3872"/>
      <c r="AX14" s="3872"/>
      <c r="AY14" s="3872"/>
      <c r="AZ14" s="3811"/>
      <c r="BA14" s="2835"/>
      <c r="BB14" s="2074"/>
      <c r="BC14" s="2074"/>
      <c r="BD14" s="2074"/>
      <c r="BE14" s="2074"/>
      <c r="BF14" s="2074"/>
      <c r="BG14" s="2074">
        <f>+$AI$14*0.2</f>
        <v>6000</v>
      </c>
      <c r="BH14" s="2074"/>
      <c r="BI14" s="2074"/>
      <c r="BJ14" s="2074">
        <f>+$AI$14*0.3</f>
        <v>9000</v>
      </c>
      <c r="BK14" s="2074"/>
      <c r="BL14" s="2074"/>
      <c r="BM14" s="2074">
        <f>+$AI$14*0.5</f>
        <v>15000</v>
      </c>
      <c r="BN14" s="2643">
        <f t="shared" ref="BN14:BN19" si="25">SUM(BB14:BM14)</f>
        <v>30000</v>
      </c>
      <c r="BO14" s="2835"/>
      <c r="BP14" s="2074"/>
      <c r="BQ14" s="2074"/>
      <c r="BR14" s="2074"/>
      <c r="BS14" s="2074"/>
      <c r="BT14" s="2074"/>
      <c r="BU14" s="2074"/>
      <c r="BV14" s="2074"/>
      <c r="BW14" s="2074"/>
      <c r="BX14" s="2074"/>
      <c r="BY14" s="2074"/>
      <c r="BZ14" s="2074"/>
      <c r="CA14" s="2074"/>
      <c r="CB14" s="2643">
        <f>SUM(BP14:CA14)</f>
        <v>0</v>
      </c>
      <c r="CC14" s="2835"/>
      <c r="CD14" s="2074"/>
      <c r="CE14" s="2074"/>
      <c r="CF14" s="2074"/>
      <c r="CG14" s="2074"/>
      <c r="CH14" s="2074"/>
      <c r="CI14" s="2074"/>
      <c r="CJ14" s="2074"/>
      <c r="CK14" s="2074"/>
      <c r="CL14" s="2074"/>
      <c r="CM14" s="2074"/>
      <c r="CN14" s="2074"/>
      <c r="CO14" s="2074"/>
      <c r="CP14" s="2643">
        <f>SUM(CD14:CO14)</f>
        <v>0</v>
      </c>
      <c r="CQ14" s="2835"/>
      <c r="CR14" s="2074"/>
      <c r="CS14" s="2074"/>
      <c r="CT14" s="2074"/>
      <c r="CU14" s="2074"/>
      <c r="CV14" s="2074"/>
      <c r="CW14" s="2074"/>
      <c r="CX14" s="2074"/>
      <c r="CY14" s="2074"/>
      <c r="CZ14" s="2074"/>
      <c r="DA14" s="2074"/>
      <c r="DB14" s="2074"/>
      <c r="DC14" s="2074"/>
      <c r="DD14" s="2643">
        <f t="shared" si="16"/>
        <v>0</v>
      </c>
      <c r="DE14" s="2835"/>
      <c r="DF14" s="2074"/>
      <c r="DG14" s="2074"/>
      <c r="DH14" s="2074"/>
      <c r="DI14" s="3084">
        <f t="shared" ref="DI14:DI23" si="26">SUM(DF14:DH14)</f>
        <v>0</v>
      </c>
      <c r="DJ14" s="3118">
        <f t="shared" si="17"/>
        <v>30000</v>
      </c>
      <c r="DL14" s="1027">
        <f t="shared" si="7"/>
        <v>0</v>
      </c>
      <c r="DN14" s="3890"/>
      <c r="DO14" s="3890"/>
      <c r="DP14" s="4020"/>
      <c r="DQ14" s="3890"/>
      <c r="DR14" s="3890"/>
      <c r="DS14" s="1037"/>
      <c r="DT14" s="1037"/>
    </row>
    <row r="15" spans="2:127" ht="45" hidden="1" outlineLevel="4">
      <c r="B15" s="2836"/>
      <c r="C15" s="3309"/>
      <c r="D15" s="3310" t="s">
        <v>1190</v>
      </c>
      <c r="E15" s="2837"/>
      <c r="F15" s="3313" t="s">
        <v>1191</v>
      </c>
      <c r="G15" s="2838"/>
      <c r="H15" s="3314" t="s">
        <v>1192</v>
      </c>
      <c r="I15" s="3312"/>
      <c r="J15" s="103"/>
      <c r="L15" s="853"/>
      <c r="M15" s="853"/>
      <c r="N15" s="853"/>
      <c r="O15" s="853"/>
      <c r="P15" s="853"/>
      <c r="Q15" s="853"/>
      <c r="R15" s="853"/>
      <c r="S15" s="853"/>
      <c r="T15" s="853"/>
      <c r="U15" s="853"/>
      <c r="W15" s="3527" t="s">
        <v>853</v>
      </c>
      <c r="X15" s="853" t="s">
        <v>1075</v>
      </c>
      <c r="Y15" s="2987" t="s">
        <v>1193</v>
      </c>
      <c r="Z15" s="2686" t="s">
        <v>1194</v>
      </c>
      <c r="AA15" s="3800"/>
      <c r="AB15" s="3870"/>
      <c r="AD15" s="1459" t="s">
        <v>1195</v>
      </c>
      <c r="AE15" s="712">
        <v>1</v>
      </c>
      <c r="AF15" s="179">
        <v>1</v>
      </c>
      <c r="AG15" s="179"/>
      <c r="AH15" s="1048">
        <f>60000+1556074+30584+8583.9388</f>
        <v>1655241.9387999999</v>
      </c>
      <c r="AI15" s="1048">
        <f>+AE15*AF15*AH15</f>
        <v>1655241.9387999999</v>
      </c>
      <c r="AJ15" s="3315"/>
      <c r="AL15" s="725">
        <f>+AI15</f>
        <v>1655241.9387999999</v>
      </c>
      <c r="AM15" s="725"/>
      <c r="AN15" s="1748">
        <f t="shared" si="0"/>
        <v>1655241.9387999999</v>
      </c>
      <c r="AP15" s="3873"/>
      <c r="AQ15" s="3873"/>
      <c r="AR15" s="3873"/>
      <c r="AS15" s="3873"/>
      <c r="AT15" s="3873"/>
      <c r="AU15" s="3873"/>
      <c r="AV15" s="3873"/>
      <c r="AW15" s="3873"/>
      <c r="AX15" s="3873"/>
      <c r="AY15" s="3873"/>
      <c r="AZ15" s="3813"/>
      <c r="BA15" s="2835"/>
      <c r="BB15" s="2074"/>
      <c r="BC15" s="2074"/>
      <c r="BD15" s="2074"/>
      <c r="BE15" s="2074"/>
      <c r="BF15" s="2074"/>
      <c r="BG15" s="2074"/>
      <c r="BH15" s="2074"/>
      <c r="BI15" s="2074"/>
      <c r="BJ15" s="2074"/>
      <c r="BK15" s="2074"/>
      <c r="BL15" s="2074"/>
      <c r="BM15" s="2074"/>
      <c r="BN15" s="2643">
        <f t="shared" si="25"/>
        <v>0</v>
      </c>
      <c r="BO15" s="2835"/>
      <c r="BP15" s="2074"/>
      <c r="BQ15" s="2074"/>
      <c r="BR15" s="2074"/>
      <c r="BS15" s="2074"/>
      <c r="BT15" s="2074"/>
      <c r="BU15" s="2074"/>
      <c r="BV15" s="2074"/>
      <c r="BW15" s="2074"/>
      <c r="BX15" s="2074"/>
      <c r="BY15" s="2074"/>
      <c r="BZ15" s="2074"/>
      <c r="CA15" s="2074"/>
      <c r="CB15" s="2656">
        <f t="shared" si="13"/>
        <v>0</v>
      </c>
      <c r="CC15" s="2835"/>
      <c r="CD15" s="2074"/>
      <c r="CE15" s="2074"/>
      <c r="CF15" s="2074"/>
      <c r="CG15" s="2074"/>
      <c r="CH15" s="2074"/>
      <c r="CI15" s="2074"/>
      <c r="CJ15" s="2074">
        <f>+$AH$15*0.2</f>
        <v>331048.38776000001</v>
      </c>
      <c r="CK15" s="2074"/>
      <c r="CL15" s="2074"/>
      <c r="CM15" s="2074"/>
      <c r="CN15" s="2074">
        <f>+$AH$15*0.4</f>
        <v>662096.77552000002</v>
      </c>
      <c r="CO15" s="2074"/>
      <c r="CP15" s="2656">
        <f>SUM(CD15:CO15)</f>
        <v>993145.16327999998</v>
      </c>
      <c r="CQ15" s="2835"/>
      <c r="CR15" s="2074"/>
      <c r="CS15" s="2074">
        <f>+$AH$15*0.4</f>
        <v>662096.77552000002</v>
      </c>
      <c r="CT15" s="2074"/>
      <c r="CU15" s="2074"/>
      <c r="CV15" s="2074"/>
      <c r="CW15" s="2074"/>
      <c r="CX15" s="2074"/>
      <c r="CY15" s="2074"/>
      <c r="CZ15" s="2074"/>
      <c r="DA15" s="2074"/>
      <c r="DB15" s="2074"/>
      <c r="DC15" s="2074"/>
      <c r="DD15" s="2656">
        <f t="shared" si="16"/>
        <v>662096.77552000002</v>
      </c>
      <c r="DE15" s="2835"/>
      <c r="DF15" s="1407"/>
      <c r="DG15" s="1407"/>
      <c r="DH15" s="1407"/>
      <c r="DI15" s="3084">
        <f t="shared" si="26"/>
        <v>0</v>
      </c>
      <c r="DJ15" s="3118">
        <f t="shared" si="17"/>
        <v>1655241.9388000001</v>
      </c>
      <c r="DL15" s="1027">
        <f t="shared" si="7"/>
        <v>0</v>
      </c>
      <c r="DN15" s="3891"/>
      <c r="DO15" s="3891"/>
      <c r="DP15" s="3891"/>
      <c r="DQ15" s="3891"/>
      <c r="DR15" s="3891"/>
      <c r="DS15" s="1037"/>
      <c r="DT15" s="1037"/>
    </row>
    <row r="16" spans="2:127" s="153" customFormat="1" ht="45" hidden="1" outlineLevel="3" collapsed="1">
      <c r="B16" s="2839"/>
      <c r="C16" s="3306" t="s">
        <v>630</v>
      </c>
      <c r="D16" s="2941" t="s">
        <v>630</v>
      </c>
      <c r="E16" s="2830"/>
      <c r="F16" s="2949" t="s">
        <v>626</v>
      </c>
      <c r="G16" s="2833"/>
      <c r="H16" s="1250" t="s">
        <v>631</v>
      </c>
      <c r="I16" s="399"/>
      <c r="J16" s="399"/>
      <c r="K16" s="1037"/>
      <c r="L16" s="851"/>
      <c r="M16" s="851"/>
      <c r="N16" s="851"/>
      <c r="O16" s="851"/>
      <c r="P16" s="851"/>
      <c r="Q16" s="851"/>
      <c r="R16" s="851"/>
      <c r="S16" s="851"/>
      <c r="T16" s="851"/>
      <c r="U16" s="851"/>
      <c r="V16" s="1037"/>
      <c r="W16" s="851" t="s">
        <v>763</v>
      </c>
      <c r="X16" s="851" t="s">
        <v>1075</v>
      </c>
      <c r="Y16" s="851" t="s">
        <v>1187</v>
      </c>
      <c r="Z16" s="851"/>
      <c r="AA16" s="851"/>
      <c r="AB16" s="1250"/>
      <c r="AC16" s="1037"/>
      <c r="AD16" s="2840"/>
      <c r="AE16" s="397"/>
      <c r="AF16" s="397"/>
      <c r="AG16" s="397"/>
      <c r="AH16" s="398"/>
      <c r="AI16" s="1257">
        <f>SUM(AI17:AI18)</f>
        <v>1173404</v>
      </c>
      <c r="AJ16" s="680"/>
      <c r="AK16" s="1037"/>
      <c r="AL16" s="398">
        <f>SUM(AL17:AL18)</f>
        <v>1173404</v>
      </c>
      <c r="AM16" s="398">
        <v>0</v>
      </c>
      <c r="AN16" s="398">
        <f t="shared" si="0"/>
        <v>1173404</v>
      </c>
      <c r="AO16" s="1037"/>
      <c r="AP16" s="992">
        <f t="shared" ref="AP16:AY16" si="27">SUM(AP17:AP18)</f>
        <v>0</v>
      </c>
      <c r="AQ16" s="992">
        <f t="shared" si="27"/>
        <v>0</v>
      </c>
      <c r="AR16" s="992">
        <f t="shared" si="27"/>
        <v>0</v>
      </c>
      <c r="AS16" s="992">
        <f t="shared" si="27"/>
        <v>0</v>
      </c>
      <c r="AT16" s="992">
        <f t="shared" si="27"/>
        <v>0</v>
      </c>
      <c r="AU16" s="992">
        <f t="shared" si="27"/>
        <v>0</v>
      </c>
      <c r="AV16" s="992">
        <f t="shared" si="27"/>
        <v>0</v>
      </c>
      <c r="AW16" s="992">
        <f t="shared" si="27"/>
        <v>0</v>
      </c>
      <c r="AX16" s="992">
        <f t="shared" si="27"/>
        <v>0</v>
      </c>
      <c r="AY16" s="992">
        <f t="shared" si="27"/>
        <v>0</v>
      </c>
      <c r="AZ16" s="992">
        <f>SUM(AP16:AY16)</f>
        <v>0</v>
      </c>
      <c r="BA16" s="2835"/>
      <c r="BB16" s="992">
        <f t="shared" ref="BB16:BM16" si="28">SUM(BB17:BB18)</f>
        <v>0</v>
      </c>
      <c r="BC16" s="992">
        <f t="shared" si="28"/>
        <v>0</v>
      </c>
      <c r="BD16" s="992">
        <f t="shared" si="28"/>
        <v>0</v>
      </c>
      <c r="BE16" s="992">
        <f t="shared" si="28"/>
        <v>0</v>
      </c>
      <c r="BF16" s="992">
        <f t="shared" si="28"/>
        <v>0</v>
      </c>
      <c r="BG16" s="992">
        <f t="shared" si="28"/>
        <v>0</v>
      </c>
      <c r="BH16" s="992">
        <f t="shared" si="28"/>
        <v>0</v>
      </c>
      <c r="BI16" s="992">
        <f t="shared" si="28"/>
        <v>0</v>
      </c>
      <c r="BJ16" s="992">
        <f t="shared" si="28"/>
        <v>0</v>
      </c>
      <c r="BK16" s="992">
        <f t="shared" si="28"/>
        <v>0</v>
      </c>
      <c r="BL16" s="992">
        <f t="shared" si="28"/>
        <v>0</v>
      </c>
      <c r="BM16" s="992">
        <f t="shared" si="28"/>
        <v>0</v>
      </c>
      <c r="BN16" s="992">
        <f t="shared" si="25"/>
        <v>0</v>
      </c>
      <c r="BO16" s="2835"/>
      <c r="BP16" s="992">
        <f t="shared" ref="BP16:CA16" si="29">SUM(BP17:BP18)</f>
        <v>0</v>
      </c>
      <c r="BQ16" s="992">
        <f t="shared" si="29"/>
        <v>0</v>
      </c>
      <c r="BR16" s="992">
        <f t="shared" si="29"/>
        <v>0</v>
      </c>
      <c r="BS16" s="992">
        <f t="shared" si="29"/>
        <v>0</v>
      </c>
      <c r="BT16" s="992">
        <f t="shared" si="29"/>
        <v>0</v>
      </c>
      <c r="BU16" s="992">
        <f t="shared" si="29"/>
        <v>0</v>
      </c>
      <c r="BV16" s="992">
        <f t="shared" si="29"/>
        <v>0</v>
      </c>
      <c r="BW16" s="992">
        <f t="shared" si="29"/>
        <v>0</v>
      </c>
      <c r="BX16" s="992">
        <f t="shared" si="29"/>
        <v>0</v>
      </c>
      <c r="BY16" s="992">
        <f t="shared" si="29"/>
        <v>234680.80000000002</v>
      </c>
      <c r="BZ16" s="992">
        <f t="shared" si="29"/>
        <v>0</v>
      </c>
      <c r="CA16" s="992">
        <f t="shared" si="29"/>
        <v>293351</v>
      </c>
      <c r="CB16" s="992">
        <f>SUM(BP16:CA16)</f>
        <v>528031.80000000005</v>
      </c>
      <c r="CC16" s="2835"/>
      <c r="CD16" s="992">
        <f t="shared" ref="CD16:CO16" si="30">SUM(CD17:CD18)</f>
        <v>0</v>
      </c>
      <c r="CE16" s="992">
        <f t="shared" si="30"/>
        <v>645372.20000000007</v>
      </c>
      <c r="CF16" s="992">
        <f t="shared" si="30"/>
        <v>0</v>
      </c>
      <c r="CG16" s="992">
        <f t="shared" si="30"/>
        <v>0</v>
      </c>
      <c r="CH16" s="992">
        <f t="shared" si="30"/>
        <v>0</v>
      </c>
      <c r="CI16" s="992">
        <f t="shared" si="30"/>
        <v>0</v>
      </c>
      <c r="CJ16" s="992">
        <f t="shared" si="30"/>
        <v>0</v>
      </c>
      <c r="CK16" s="992">
        <f t="shared" si="30"/>
        <v>0</v>
      </c>
      <c r="CL16" s="992">
        <f t="shared" si="30"/>
        <v>0</v>
      </c>
      <c r="CM16" s="992">
        <f t="shared" si="30"/>
        <v>0</v>
      </c>
      <c r="CN16" s="992">
        <f t="shared" si="30"/>
        <v>0</v>
      </c>
      <c r="CO16" s="992">
        <f t="shared" si="30"/>
        <v>0</v>
      </c>
      <c r="CP16" s="992">
        <f>SUM(CD16:CO16)</f>
        <v>645372.20000000007</v>
      </c>
      <c r="CQ16" s="2835"/>
      <c r="CR16" s="992">
        <f t="shared" ref="CR16:DC16" si="31">SUM(CR17:CR18)</f>
        <v>0</v>
      </c>
      <c r="CS16" s="992">
        <f t="shared" si="31"/>
        <v>0</v>
      </c>
      <c r="CT16" s="992">
        <f t="shared" si="31"/>
        <v>0</v>
      </c>
      <c r="CU16" s="992">
        <f t="shared" si="31"/>
        <v>0</v>
      </c>
      <c r="CV16" s="992">
        <f t="shared" si="31"/>
        <v>0</v>
      </c>
      <c r="CW16" s="992">
        <f t="shared" si="31"/>
        <v>0</v>
      </c>
      <c r="CX16" s="992">
        <f t="shared" si="31"/>
        <v>0</v>
      </c>
      <c r="CY16" s="992">
        <f t="shared" si="31"/>
        <v>0</v>
      </c>
      <c r="CZ16" s="992">
        <f t="shared" si="31"/>
        <v>0</v>
      </c>
      <c r="DA16" s="992">
        <f t="shared" si="31"/>
        <v>0</v>
      </c>
      <c r="DB16" s="992">
        <f t="shared" si="31"/>
        <v>0</v>
      </c>
      <c r="DC16" s="992">
        <f t="shared" si="31"/>
        <v>0</v>
      </c>
      <c r="DD16" s="992">
        <f t="shared" si="16"/>
        <v>0</v>
      </c>
      <c r="DE16" s="2835"/>
      <c r="DF16" s="992">
        <f>SUM(DF17:DF18)</f>
        <v>0</v>
      </c>
      <c r="DG16" s="992">
        <f>SUM(DG17:DG18)</f>
        <v>0</v>
      </c>
      <c r="DH16" s="992">
        <f>SUM(DH17:DH18)</f>
        <v>0</v>
      </c>
      <c r="DI16" s="3083">
        <f>SUM(DF16:DH16)</f>
        <v>0</v>
      </c>
      <c r="DJ16" s="3117">
        <f t="shared" si="17"/>
        <v>1173404</v>
      </c>
      <c r="DL16" s="1027">
        <f>+AN16-DJ16</f>
        <v>0</v>
      </c>
      <c r="DN16" s="2727" t="s">
        <v>1180</v>
      </c>
      <c r="DO16" s="2728" t="s">
        <v>1181</v>
      </c>
      <c r="DP16" s="2728" t="s">
        <v>1117</v>
      </c>
      <c r="DQ16" s="2728" t="s">
        <v>4</v>
      </c>
      <c r="DR16" s="2728" t="str">
        <f t="shared" si="4"/>
        <v>1</v>
      </c>
      <c r="DS16" s="1037"/>
      <c r="DT16" s="1037"/>
    </row>
    <row r="17" spans="2:124" ht="27.5" hidden="1" customHeight="1" outlineLevel="4">
      <c r="B17" s="2836"/>
      <c r="C17" s="3309"/>
      <c r="D17" s="3310" t="s">
        <v>632</v>
      </c>
      <c r="E17" s="2842"/>
      <c r="F17" s="3310" t="s">
        <v>1196</v>
      </c>
      <c r="G17" s="2838"/>
      <c r="H17" s="3311" t="s">
        <v>1197</v>
      </c>
      <c r="I17" s="3312"/>
      <c r="J17" s="103"/>
      <c r="L17" s="853"/>
      <c r="M17" s="853"/>
      <c r="N17" s="853"/>
      <c r="O17" s="853"/>
      <c r="P17" s="853"/>
      <c r="Q17" s="853"/>
      <c r="R17" s="853"/>
      <c r="S17" s="853"/>
      <c r="T17" s="853"/>
      <c r="U17" s="853"/>
      <c r="W17" s="3952" t="s">
        <v>774</v>
      </c>
      <c r="X17" s="3799" t="s">
        <v>1075</v>
      </c>
      <c r="Y17" s="3799" t="s">
        <v>1198</v>
      </c>
      <c r="Z17" s="3799">
        <v>64</v>
      </c>
      <c r="AA17" s="3799"/>
      <c r="AB17" s="3869"/>
      <c r="AD17" s="529" t="s">
        <v>1179</v>
      </c>
      <c r="AE17" s="763">
        <v>1</v>
      </c>
      <c r="AF17" s="763">
        <v>12</v>
      </c>
      <c r="AG17" s="763"/>
      <c r="AH17" s="724">
        <f>1000000+173404</f>
        <v>1173404</v>
      </c>
      <c r="AI17" s="724">
        <f>+AH17*AE17</f>
        <v>1173404</v>
      </c>
      <c r="AJ17" s="3871"/>
      <c r="AL17" s="1343">
        <f>+AI17</f>
        <v>1173404</v>
      </c>
      <c r="AM17" s="1343"/>
      <c r="AN17" s="1343">
        <f t="shared" si="0"/>
        <v>1173404</v>
      </c>
      <c r="AP17" s="3872"/>
      <c r="AQ17" s="3872"/>
      <c r="AR17" s="3872"/>
      <c r="AS17" s="3872"/>
      <c r="AT17" s="3872"/>
      <c r="AU17" s="3872"/>
      <c r="AV17" s="3872"/>
      <c r="AW17" s="3872"/>
      <c r="AX17" s="3872"/>
      <c r="AY17" s="3872"/>
      <c r="AZ17" s="3811"/>
      <c r="BA17" s="2835"/>
      <c r="BB17" s="2074"/>
      <c r="BC17" s="2074"/>
      <c r="BD17" s="2074"/>
      <c r="BE17" s="2074"/>
      <c r="BF17" s="2074"/>
      <c r="BG17" s="2074"/>
      <c r="BH17" s="2074"/>
      <c r="BI17" s="2074"/>
      <c r="BJ17" s="2074"/>
      <c r="BK17" s="2074"/>
      <c r="BL17" s="2074"/>
      <c r="BM17" s="2074"/>
      <c r="BN17" s="2643">
        <f t="shared" si="25"/>
        <v>0</v>
      </c>
      <c r="BO17" s="2835"/>
      <c r="BP17" s="2074"/>
      <c r="BQ17" s="2074"/>
      <c r="BR17" s="2074"/>
      <c r="BS17" s="2074"/>
      <c r="BT17" s="2074"/>
      <c r="BU17" s="2074"/>
      <c r="BV17" s="2074"/>
      <c r="BW17" s="2074"/>
      <c r="BX17" s="2074"/>
      <c r="BY17" s="3526">
        <f>+$AH$17*0.2</f>
        <v>234680.80000000002</v>
      </c>
      <c r="BZ17" s="2074"/>
      <c r="CA17" s="3526">
        <f>+$AH$17*0.25</f>
        <v>293351</v>
      </c>
      <c r="CB17" s="2688">
        <f>SUM(BP17:CA17)</f>
        <v>528031.80000000005</v>
      </c>
      <c r="CC17" s="2835"/>
      <c r="CD17" s="2074"/>
      <c r="CE17" s="2074">
        <f>+$AH$17*0.55</f>
        <v>645372.20000000007</v>
      </c>
      <c r="CF17" s="2074"/>
      <c r="CG17" s="2074"/>
      <c r="CH17" s="2074"/>
      <c r="CI17" s="2074"/>
      <c r="CJ17" s="2074"/>
      <c r="CK17" s="2074"/>
      <c r="CL17" s="2074"/>
      <c r="CM17" s="2074"/>
      <c r="CN17" s="2074"/>
      <c r="CO17" s="2074"/>
      <c r="CP17" s="2643">
        <f>SUM(CD17:CO17)</f>
        <v>645372.20000000007</v>
      </c>
      <c r="CQ17" s="2835"/>
      <c r="CR17" s="2074"/>
      <c r="CS17" s="2074"/>
      <c r="CT17" s="2074"/>
      <c r="CU17" s="2074"/>
      <c r="CV17" s="2074"/>
      <c r="CW17" s="2074"/>
      <c r="CX17" s="2074"/>
      <c r="CY17" s="2074"/>
      <c r="CZ17" s="2074"/>
      <c r="DA17" s="2074"/>
      <c r="DB17" s="2074"/>
      <c r="DC17" s="2074"/>
      <c r="DD17" s="2643">
        <f t="shared" si="16"/>
        <v>0</v>
      </c>
      <c r="DE17" s="2835"/>
      <c r="DF17" s="2074"/>
      <c r="DG17" s="2074"/>
      <c r="DH17" s="2074"/>
      <c r="DI17" s="3084">
        <f>SUM(DF17:DH17)</f>
        <v>0</v>
      </c>
      <c r="DJ17" s="3118">
        <f>+AZ17+BN17+CB17+CP17+DD17+DI17</f>
        <v>1173404</v>
      </c>
      <c r="DL17" s="1027">
        <f>+AN17-DJ17</f>
        <v>0</v>
      </c>
      <c r="DN17" s="3890"/>
      <c r="DO17" s="3890"/>
      <c r="DP17" s="4020"/>
      <c r="DQ17" s="3890"/>
      <c r="DR17" s="3890"/>
      <c r="DS17" s="1037"/>
      <c r="DT17" s="1037"/>
    </row>
    <row r="18" spans="2:124" ht="14.5" hidden="1" customHeight="1" outlineLevel="4">
      <c r="B18" s="2836"/>
      <c r="C18" s="3309"/>
      <c r="D18" s="3310" t="s">
        <v>635</v>
      </c>
      <c r="E18" s="2842"/>
      <c r="F18" s="3313" t="s">
        <v>1199</v>
      </c>
      <c r="G18" s="2838"/>
      <c r="H18" s="3314" t="s">
        <v>1200</v>
      </c>
      <c r="I18" s="3312"/>
      <c r="J18" s="103"/>
      <c r="L18" s="853"/>
      <c r="M18" s="853"/>
      <c r="N18" s="853"/>
      <c r="O18" s="853"/>
      <c r="P18" s="853"/>
      <c r="Q18" s="853"/>
      <c r="R18" s="853"/>
      <c r="S18" s="853"/>
      <c r="T18" s="853"/>
      <c r="U18" s="853"/>
      <c r="W18" s="3953"/>
      <c r="X18" s="3800"/>
      <c r="Y18" s="3801"/>
      <c r="Z18" s="3801"/>
      <c r="AA18" s="3800"/>
      <c r="AB18" s="3870"/>
      <c r="AD18" s="529"/>
      <c r="AE18" s="763"/>
      <c r="AF18" s="763"/>
      <c r="AG18" s="108"/>
      <c r="AH18" s="2645"/>
      <c r="AI18" s="724">
        <f>+AH18</f>
        <v>0</v>
      </c>
      <c r="AJ18" s="3871"/>
      <c r="AL18" s="725">
        <f>+AI18</f>
        <v>0</v>
      </c>
      <c r="AM18" s="725"/>
      <c r="AN18" s="1748">
        <f t="shared" si="0"/>
        <v>0</v>
      </c>
      <c r="AP18" s="3873"/>
      <c r="AQ18" s="3873"/>
      <c r="AR18" s="3873"/>
      <c r="AS18" s="3873"/>
      <c r="AT18" s="3873"/>
      <c r="AU18" s="3873"/>
      <c r="AV18" s="3873"/>
      <c r="AW18" s="3873"/>
      <c r="AX18" s="3873"/>
      <c r="AY18" s="3873"/>
      <c r="AZ18" s="3813"/>
      <c r="BA18" s="2835"/>
      <c r="BB18" s="2074"/>
      <c r="BC18" s="2074"/>
      <c r="BD18" s="2074"/>
      <c r="BE18" s="2074"/>
      <c r="BF18" s="2074"/>
      <c r="BG18" s="2074"/>
      <c r="BH18" s="2074"/>
      <c r="BI18" s="2074"/>
      <c r="BJ18" s="2074"/>
      <c r="BK18" s="2074"/>
      <c r="BL18" s="2074"/>
      <c r="BM18" s="2074"/>
      <c r="BN18" s="2643">
        <f t="shared" si="25"/>
        <v>0</v>
      </c>
      <c r="BO18" s="2835"/>
      <c r="BP18" s="2074"/>
      <c r="BQ18" s="2074"/>
      <c r="BR18" s="2074"/>
      <c r="BS18" s="2074"/>
      <c r="BT18" s="2074"/>
      <c r="BU18" s="2074"/>
      <c r="BV18" s="2074"/>
      <c r="BW18" s="2074"/>
      <c r="BX18" s="2074"/>
      <c r="BY18" s="2074">
        <f>+$AH$18*0.2</f>
        <v>0</v>
      </c>
      <c r="BZ18" s="2074"/>
      <c r="CA18" s="2074">
        <f>+$AH$18*0.8</f>
        <v>0</v>
      </c>
      <c r="CB18" s="2656">
        <f>SUM(BP18:CA18)</f>
        <v>0</v>
      </c>
      <c r="CC18" s="2835"/>
      <c r="CD18" s="2074"/>
      <c r="CE18" s="2074"/>
      <c r="CF18" s="2074"/>
      <c r="CG18" s="2074"/>
      <c r="CH18" s="2074"/>
      <c r="CI18" s="2074"/>
      <c r="CJ18" s="2074"/>
      <c r="CK18" s="2074"/>
      <c r="CL18" s="2074"/>
      <c r="CM18" s="2074"/>
      <c r="CN18" s="2074"/>
      <c r="CO18" s="2074"/>
      <c r="CP18" s="2656">
        <f>SUM(CD18:CO18)</f>
        <v>0</v>
      </c>
      <c r="CQ18" s="2835"/>
      <c r="CR18" s="2074"/>
      <c r="CS18" s="2074"/>
      <c r="CT18" s="2074"/>
      <c r="CU18" s="2074"/>
      <c r="CV18" s="2074"/>
      <c r="CW18" s="2074"/>
      <c r="CX18" s="2074"/>
      <c r="CY18" s="2074"/>
      <c r="CZ18" s="2074"/>
      <c r="DA18" s="2074"/>
      <c r="DB18" s="2074"/>
      <c r="DC18" s="2074"/>
      <c r="DD18" s="2656">
        <f t="shared" si="16"/>
        <v>0</v>
      </c>
      <c r="DE18" s="2835"/>
      <c r="DF18" s="1407"/>
      <c r="DG18" s="1407"/>
      <c r="DH18" s="1407"/>
      <c r="DI18" s="3084">
        <f t="shared" si="26"/>
        <v>0</v>
      </c>
      <c r="DJ18" s="3118">
        <f t="shared" si="17"/>
        <v>0</v>
      </c>
      <c r="DL18" s="1027">
        <f>+AN18-DJ18</f>
        <v>0</v>
      </c>
      <c r="DN18" s="3891"/>
      <c r="DO18" s="3891"/>
      <c r="DP18" s="3891"/>
      <c r="DQ18" s="3891"/>
      <c r="DR18" s="3891"/>
      <c r="DS18" s="1037"/>
      <c r="DT18" s="1037"/>
    </row>
    <row r="19" spans="2:124" s="153" customFormat="1" ht="15" hidden="1" outlineLevel="3">
      <c r="B19" s="2839"/>
      <c r="C19" s="3306" t="s">
        <v>654</v>
      </c>
      <c r="D19" s="2941" t="s">
        <v>654</v>
      </c>
      <c r="E19" s="2830"/>
      <c r="F19" s="3307" t="s">
        <v>628</v>
      </c>
      <c r="G19" s="2833"/>
      <c r="H19" s="3308" t="s">
        <v>655</v>
      </c>
      <c r="I19" s="3316"/>
      <c r="J19" s="399"/>
      <c r="K19" s="1037"/>
      <c r="L19" s="851"/>
      <c r="M19" s="851"/>
      <c r="N19" s="851"/>
      <c r="O19" s="851"/>
      <c r="P19" s="851"/>
      <c r="Q19" s="851"/>
      <c r="R19" s="851"/>
      <c r="S19" s="851"/>
      <c r="T19" s="851"/>
      <c r="U19" s="851"/>
      <c r="V19" s="1037"/>
      <c r="W19" s="851"/>
      <c r="X19" s="851"/>
      <c r="Y19" s="851"/>
      <c r="Z19" s="851"/>
      <c r="AA19" s="851"/>
      <c r="AB19" s="1250"/>
      <c r="AC19" s="1037"/>
      <c r="AD19" s="2840"/>
      <c r="AE19" s="2506"/>
      <c r="AF19" s="397"/>
      <c r="AG19" s="397"/>
      <c r="AH19" s="398"/>
      <c r="AI19" s="1257">
        <f>SUM(AI20:AI23)</f>
        <v>616596</v>
      </c>
      <c r="AJ19" s="680"/>
      <c r="AK19" s="1037"/>
      <c r="AL19" s="398">
        <f>SUM(AL20:AL23)</f>
        <v>616596</v>
      </c>
      <c r="AM19" s="398">
        <v>0</v>
      </c>
      <c r="AN19" s="398">
        <f t="shared" si="0"/>
        <v>616596</v>
      </c>
      <c r="AO19" s="1037"/>
      <c r="AP19" s="992">
        <f>SUM(AP20:AP23)</f>
        <v>0</v>
      </c>
      <c r="AQ19" s="992">
        <f t="shared" ref="AQ19:AY19" si="32">SUM(AQ20:AQ23)</f>
        <v>0</v>
      </c>
      <c r="AR19" s="992">
        <f t="shared" si="32"/>
        <v>0</v>
      </c>
      <c r="AS19" s="992">
        <f t="shared" si="32"/>
        <v>0</v>
      </c>
      <c r="AT19" s="992">
        <f t="shared" si="32"/>
        <v>0</v>
      </c>
      <c r="AU19" s="992">
        <f t="shared" si="32"/>
        <v>0</v>
      </c>
      <c r="AV19" s="992">
        <f t="shared" si="32"/>
        <v>0</v>
      </c>
      <c r="AW19" s="992">
        <f t="shared" si="32"/>
        <v>0</v>
      </c>
      <c r="AX19" s="992">
        <f t="shared" si="32"/>
        <v>0</v>
      </c>
      <c r="AY19" s="992">
        <f t="shared" si="32"/>
        <v>0</v>
      </c>
      <c r="AZ19" s="992">
        <f>SUM(AP19:AY19)</f>
        <v>0</v>
      </c>
      <c r="BA19" s="2835"/>
      <c r="BB19" s="992">
        <f>SUM(BB20:BB23)</f>
        <v>0</v>
      </c>
      <c r="BC19" s="992">
        <f t="shared" ref="BC19:BM19" si="33">SUM(BC20:BC23)</f>
        <v>0</v>
      </c>
      <c r="BD19" s="992">
        <f t="shared" si="33"/>
        <v>0</v>
      </c>
      <c r="BE19" s="992">
        <f t="shared" si="33"/>
        <v>0</v>
      </c>
      <c r="BF19" s="992">
        <f t="shared" si="33"/>
        <v>0</v>
      </c>
      <c r="BG19" s="992">
        <f t="shared" si="33"/>
        <v>18794.599999999999</v>
      </c>
      <c r="BH19" s="992">
        <f t="shared" si="33"/>
        <v>0</v>
      </c>
      <c r="BI19" s="992">
        <f t="shared" si="33"/>
        <v>25147</v>
      </c>
      <c r="BJ19" s="992">
        <f t="shared" si="33"/>
        <v>50294</v>
      </c>
      <c r="BK19" s="992">
        <f t="shared" si="33"/>
        <v>25147</v>
      </c>
      <c r="BL19" s="992">
        <f t="shared" si="33"/>
        <v>73332.2</v>
      </c>
      <c r="BM19" s="992">
        <f t="shared" si="33"/>
        <v>35743</v>
      </c>
      <c r="BN19" s="992">
        <f t="shared" si="25"/>
        <v>228457.8</v>
      </c>
      <c r="BO19" s="2835"/>
      <c r="BP19" s="992">
        <f t="shared" ref="BP19:CA19" si="34">SUM(BP20:BP23)</f>
        <v>35743</v>
      </c>
      <c r="BQ19" s="992">
        <f t="shared" si="34"/>
        <v>35743</v>
      </c>
      <c r="BR19" s="992">
        <f t="shared" si="34"/>
        <v>35743</v>
      </c>
      <c r="BS19" s="992">
        <f t="shared" si="34"/>
        <v>35743</v>
      </c>
      <c r="BT19" s="992">
        <f t="shared" si="34"/>
        <v>73279</v>
      </c>
      <c r="BU19" s="992">
        <f t="shared" si="34"/>
        <v>45119.020000000004</v>
      </c>
      <c r="BV19" s="992">
        <f t="shared" si="34"/>
        <v>19972.02</v>
      </c>
      <c r="BW19" s="992">
        <f t="shared" si="34"/>
        <v>19972.02</v>
      </c>
      <c r="BX19" s="992">
        <f t="shared" si="34"/>
        <v>19972.02</v>
      </c>
      <c r="BY19" s="992">
        <f t="shared" si="34"/>
        <v>19972.02</v>
      </c>
      <c r="BZ19" s="992">
        <f t="shared" si="34"/>
        <v>9376.02</v>
      </c>
      <c r="CA19" s="992">
        <f t="shared" si="34"/>
        <v>9376.02</v>
      </c>
      <c r="CB19" s="992">
        <f t="shared" si="13"/>
        <v>360010.14000000013</v>
      </c>
      <c r="CC19" s="2835"/>
      <c r="CD19" s="992">
        <f t="shared" ref="CD19:CO19" si="35">SUM(CD20:CD23)</f>
        <v>9376.02</v>
      </c>
      <c r="CE19" s="992">
        <f t="shared" si="35"/>
        <v>9376.02</v>
      </c>
      <c r="CF19" s="992">
        <f t="shared" si="35"/>
        <v>9376.02</v>
      </c>
      <c r="CG19" s="992">
        <f t="shared" si="35"/>
        <v>0</v>
      </c>
      <c r="CH19" s="992">
        <f t="shared" si="35"/>
        <v>0</v>
      </c>
      <c r="CI19" s="992">
        <f t="shared" si="35"/>
        <v>0</v>
      </c>
      <c r="CJ19" s="992">
        <f t="shared" si="35"/>
        <v>0</v>
      </c>
      <c r="CK19" s="992">
        <f t="shared" si="35"/>
        <v>0</v>
      </c>
      <c r="CL19" s="992">
        <f t="shared" si="35"/>
        <v>0</v>
      </c>
      <c r="CM19" s="992">
        <f t="shared" si="35"/>
        <v>0</v>
      </c>
      <c r="CN19" s="992">
        <f t="shared" si="35"/>
        <v>0</v>
      </c>
      <c r="CO19" s="992">
        <f t="shared" si="35"/>
        <v>0</v>
      </c>
      <c r="CP19" s="992">
        <f t="shared" si="23"/>
        <v>28128.06</v>
      </c>
      <c r="CQ19" s="2835"/>
      <c r="CR19" s="992">
        <f t="shared" ref="CR19:DC19" si="36">SUM(CR20:CR23)</f>
        <v>0</v>
      </c>
      <c r="CS19" s="992">
        <f t="shared" si="36"/>
        <v>0</v>
      </c>
      <c r="CT19" s="992">
        <f t="shared" si="36"/>
        <v>0</v>
      </c>
      <c r="CU19" s="992">
        <f t="shared" si="36"/>
        <v>0</v>
      </c>
      <c r="CV19" s="992">
        <f t="shared" si="36"/>
        <v>0</v>
      </c>
      <c r="CW19" s="992">
        <f t="shared" si="36"/>
        <v>0</v>
      </c>
      <c r="CX19" s="992">
        <f t="shared" si="36"/>
        <v>0</v>
      </c>
      <c r="CY19" s="992">
        <f t="shared" si="36"/>
        <v>0</v>
      </c>
      <c r="CZ19" s="992">
        <f t="shared" si="36"/>
        <v>0</v>
      </c>
      <c r="DA19" s="992">
        <f t="shared" si="36"/>
        <v>0</v>
      </c>
      <c r="DB19" s="992">
        <f t="shared" si="36"/>
        <v>0</v>
      </c>
      <c r="DC19" s="992">
        <f t="shared" si="36"/>
        <v>0</v>
      </c>
      <c r="DD19" s="992">
        <f t="shared" si="16"/>
        <v>0</v>
      </c>
      <c r="DE19" s="2835"/>
      <c r="DF19" s="992">
        <f>SUM(DF20:DF23)</f>
        <v>0</v>
      </c>
      <c r="DG19" s="992">
        <f>SUM(DG20:DG23)</f>
        <v>0</v>
      </c>
      <c r="DH19" s="992">
        <f>SUM(DH20:DH23)</f>
        <v>0</v>
      </c>
      <c r="DI19" s="3083">
        <f>SUM(DF19:DH19)</f>
        <v>0</v>
      </c>
      <c r="DJ19" s="3117">
        <f t="shared" si="17"/>
        <v>616596.00000000023</v>
      </c>
      <c r="DL19" s="1027">
        <f>+AN19-DJ19</f>
        <v>0</v>
      </c>
      <c r="DN19" s="2727" t="s">
        <v>1180</v>
      </c>
      <c r="DO19" s="2728" t="s">
        <v>1181</v>
      </c>
      <c r="DP19" s="2728" t="s">
        <v>1117</v>
      </c>
      <c r="DQ19" s="2728" t="s">
        <v>4</v>
      </c>
      <c r="DR19" s="2728" t="str">
        <f t="shared" si="4"/>
        <v>1</v>
      </c>
      <c r="DS19" s="1037"/>
      <c r="DT19" s="1037"/>
    </row>
    <row r="20" spans="2:124" ht="27" hidden="1" customHeight="1" outlineLevel="4">
      <c r="B20" s="2836"/>
      <c r="C20" s="3309" t="s">
        <v>656</v>
      </c>
      <c r="D20" s="3310" t="s">
        <v>656</v>
      </c>
      <c r="E20" s="2843"/>
      <c r="F20" s="2965" t="s">
        <v>1201</v>
      </c>
      <c r="G20" s="2838"/>
      <c r="H20" s="2694" t="s">
        <v>657</v>
      </c>
      <c r="I20" s="3312"/>
      <c r="J20" s="103"/>
      <c r="L20" s="853"/>
      <c r="M20" s="853"/>
      <c r="N20" s="853"/>
      <c r="O20" s="853"/>
      <c r="P20" s="853"/>
      <c r="Q20" s="853"/>
      <c r="R20" s="853"/>
      <c r="S20" s="853"/>
      <c r="T20" s="853"/>
      <c r="U20" s="853"/>
      <c r="W20" s="1207" t="s">
        <v>1202</v>
      </c>
      <c r="X20" s="1207" t="s">
        <v>1075</v>
      </c>
      <c r="Y20" s="1207" t="s">
        <v>1187</v>
      </c>
      <c r="Z20" s="1207" t="s">
        <v>1203</v>
      </c>
      <c r="AA20" s="2646"/>
      <c r="AB20" s="1234"/>
      <c r="AD20" s="2844"/>
      <c r="AE20" s="1463" t="s">
        <v>494</v>
      </c>
      <c r="AF20" s="1463" t="s">
        <v>1204</v>
      </c>
      <c r="AG20" s="1463"/>
      <c r="AH20" s="2648">
        <v>9384</v>
      </c>
      <c r="AI20" s="1124">
        <f>AE20*AH20*AF20</f>
        <v>187680</v>
      </c>
      <c r="AJ20" s="693" t="s">
        <v>1205</v>
      </c>
      <c r="AL20" s="1343">
        <f>+AI20</f>
        <v>187680</v>
      </c>
      <c r="AM20" s="1343"/>
      <c r="AN20" s="1343">
        <f t="shared" si="0"/>
        <v>187680</v>
      </c>
      <c r="AP20" s="3872"/>
      <c r="AQ20" s="3872"/>
      <c r="AR20" s="3872"/>
      <c r="AS20" s="3872"/>
      <c r="AT20" s="3872"/>
      <c r="AU20" s="3872"/>
      <c r="AV20" s="3872"/>
      <c r="AW20" s="3872"/>
      <c r="AX20" s="3872"/>
      <c r="AY20" s="3872"/>
      <c r="AZ20" s="3811"/>
      <c r="BA20" s="2835"/>
      <c r="BB20" s="2074"/>
      <c r="BC20" s="2074"/>
      <c r="BD20" s="2074"/>
      <c r="BE20" s="2074"/>
      <c r="BF20" s="2074"/>
      <c r="BG20" s="2074">
        <v>18794.599999999999</v>
      </c>
      <c r="BH20" s="1011"/>
      <c r="BI20" s="2074"/>
      <c r="BJ20" s="2074"/>
      <c r="BK20" s="2650"/>
      <c r="BL20" s="2650">
        <v>37589.199999999997</v>
      </c>
      <c r="BM20" s="2074"/>
      <c r="BN20" s="2643">
        <f t="shared" si="11"/>
        <v>56383.799999999996</v>
      </c>
      <c r="BO20" s="2835"/>
      <c r="BP20" s="2074"/>
      <c r="BQ20" s="2074"/>
      <c r="BR20" s="2074"/>
      <c r="BS20" s="2074"/>
      <c r="BT20" s="2650">
        <f>+($AI$20/2)*40%</f>
        <v>37536</v>
      </c>
      <c r="BU20" s="3111">
        <f>+$AH$20-7.98</f>
        <v>9376.02</v>
      </c>
      <c r="BV20" s="2074">
        <f t="shared" ref="BV20:CA20" si="37">+$AH$20-7.98</f>
        <v>9376.02</v>
      </c>
      <c r="BW20" s="2074">
        <f t="shared" si="37"/>
        <v>9376.02</v>
      </c>
      <c r="BX20" s="2074">
        <f t="shared" si="37"/>
        <v>9376.02</v>
      </c>
      <c r="BY20" s="2074">
        <f t="shared" si="37"/>
        <v>9376.02</v>
      </c>
      <c r="BZ20" s="2074">
        <f t="shared" si="37"/>
        <v>9376.02</v>
      </c>
      <c r="CA20" s="2074">
        <f t="shared" si="37"/>
        <v>9376.02</v>
      </c>
      <c r="CB20" s="2643">
        <f>SUM(BP20:CA20)</f>
        <v>103168.14000000003</v>
      </c>
      <c r="CC20" s="2835"/>
      <c r="CD20" s="2074">
        <f t="shared" ref="CD20:CF20" si="38">+$AH$20-7.98</f>
        <v>9376.02</v>
      </c>
      <c r="CE20" s="2074">
        <f t="shared" si="38"/>
        <v>9376.02</v>
      </c>
      <c r="CF20" s="2074">
        <f t="shared" si="38"/>
        <v>9376.02</v>
      </c>
      <c r="CG20" s="2074"/>
      <c r="CH20" s="2074"/>
      <c r="CI20" s="2074"/>
      <c r="CJ20" s="2074"/>
      <c r="CK20" s="2074"/>
      <c r="CL20" s="2074"/>
      <c r="CM20" s="2074"/>
      <c r="CN20" s="2074"/>
      <c r="CO20" s="2074"/>
      <c r="CP20" s="2643">
        <f t="shared" si="23"/>
        <v>28128.06</v>
      </c>
      <c r="CQ20" s="2835"/>
      <c r="CR20" s="2074"/>
      <c r="CS20" s="2074"/>
      <c r="CT20" s="2074"/>
      <c r="CU20" s="2074"/>
      <c r="CV20" s="2074"/>
      <c r="CW20" s="2074"/>
      <c r="CX20" s="2074"/>
      <c r="CY20" s="2074"/>
      <c r="CZ20" s="2074"/>
      <c r="DA20" s="2074"/>
      <c r="DB20" s="2074"/>
      <c r="DC20" s="2074"/>
      <c r="DD20" s="2643">
        <f t="shared" si="16"/>
        <v>0</v>
      </c>
      <c r="DE20" s="2835"/>
      <c r="DF20" s="2074"/>
      <c r="DG20" s="2074"/>
      <c r="DH20" s="2074"/>
      <c r="DI20" s="3084">
        <f t="shared" si="26"/>
        <v>0</v>
      </c>
      <c r="DJ20" s="3118">
        <f t="shared" si="17"/>
        <v>187680.00000000003</v>
      </c>
      <c r="DL20" s="3317">
        <f t="shared" si="7"/>
        <v>0</v>
      </c>
      <c r="DN20" s="3890"/>
      <c r="DO20" s="3890"/>
      <c r="DP20" s="4020"/>
      <c r="DQ20" s="3890"/>
      <c r="DR20" s="3890"/>
      <c r="DS20" s="1037"/>
      <c r="DT20" s="1037"/>
    </row>
    <row r="21" spans="2:124" ht="19.25" hidden="1" customHeight="1" outlineLevel="4">
      <c r="B21" s="2836"/>
      <c r="C21" s="3309" t="s">
        <v>662</v>
      </c>
      <c r="D21" s="3310" t="s">
        <v>662</v>
      </c>
      <c r="E21" s="2843"/>
      <c r="F21" s="2965" t="s">
        <v>1206</v>
      </c>
      <c r="G21" s="2838"/>
      <c r="H21" s="2694" t="s">
        <v>1207</v>
      </c>
      <c r="I21" s="3312"/>
      <c r="J21" s="103"/>
      <c r="L21" s="853"/>
      <c r="M21" s="853"/>
      <c r="N21" s="853"/>
      <c r="O21" s="853"/>
      <c r="P21" s="853"/>
      <c r="Q21" s="853"/>
      <c r="R21" s="853"/>
      <c r="S21" s="853"/>
      <c r="T21" s="853"/>
      <c r="U21" s="853"/>
      <c r="W21" s="1925" t="s">
        <v>763</v>
      </c>
      <c r="X21" s="1925" t="s">
        <v>1075</v>
      </c>
      <c r="Y21" s="1925" t="s">
        <v>1187</v>
      </c>
      <c r="Z21" s="1925" t="s">
        <v>1208</v>
      </c>
      <c r="AA21" s="1930"/>
      <c r="AB21" s="2647"/>
      <c r="AD21" s="2844"/>
      <c r="AE21" s="2649">
        <v>6</v>
      </c>
      <c r="AF21" s="2649" t="s">
        <v>1209</v>
      </c>
      <c r="AG21" s="1463"/>
      <c r="AH21" s="2648">
        <v>3532</v>
      </c>
      <c r="AI21" s="1124">
        <f>AE21*AH21*AF21</f>
        <v>254304</v>
      </c>
      <c r="AJ21" s="693"/>
      <c r="AL21" s="725">
        <f>+AI21</f>
        <v>254304</v>
      </c>
      <c r="AM21" s="725"/>
      <c r="AN21" s="1748">
        <f t="shared" si="0"/>
        <v>254304</v>
      </c>
      <c r="AP21" s="3873"/>
      <c r="AQ21" s="3873"/>
      <c r="AR21" s="3873"/>
      <c r="AS21" s="3873"/>
      <c r="AT21" s="3873"/>
      <c r="AU21" s="3873"/>
      <c r="AV21" s="3873"/>
      <c r="AW21" s="3873"/>
      <c r="AX21" s="3873"/>
      <c r="AY21" s="3873"/>
      <c r="AZ21" s="3813"/>
      <c r="BA21" s="2835"/>
      <c r="BB21" s="2074"/>
      <c r="BC21" s="2074"/>
      <c r="BD21" s="2074"/>
      <c r="BE21" s="2074"/>
      <c r="BF21" s="2074"/>
      <c r="BG21" s="2074"/>
      <c r="BH21" s="1011"/>
      <c r="BI21" s="1011">
        <f>+$AH$21*$AE$21</f>
        <v>21192</v>
      </c>
      <c r="BJ21" s="1011">
        <f>+$AH$21*$AE$21*2</f>
        <v>42384</v>
      </c>
      <c r="BK21" s="1011">
        <f>+$AH$21*$AE$21</f>
        <v>21192</v>
      </c>
      <c r="BL21" s="1011">
        <f>+$AH$21*$AE$21</f>
        <v>21192</v>
      </c>
      <c r="BM21" s="1011">
        <f>+$AH$21*$AE$21</f>
        <v>21192</v>
      </c>
      <c r="BN21" s="2643">
        <f>SUM(BB21:BM21)</f>
        <v>127152</v>
      </c>
      <c r="BO21" s="2835"/>
      <c r="BP21" s="1011">
        <f t="shared" ref="BP21:BU21" si="39">+$AH$21*$AE$21</f>
        <v>21192</v>
      </c>
      <c r="BQ21" s="1011">
        <f t="shared" si="39"/>
        <v>21192</v>
      </c>
      <c r="BR21" s="1011">
        <f t="shared" si="39"/>
        <v>21192</v>
      </c>
      <c r="BS21" s="1011">
        <f t="shared" si="39"/>
        <v>21192</v>
      </c>
      <c r="BT21" s="1011">
        <f t="shared" si="39"/>
        <v>21192</v>
      </c>
      <c r="BU21" s="1011">
        <f t="shared" si="39"/>
        <v>21192</v>
      </c>
      <c r="BV21" s="1011"/>
      <c r="BW21" s="1011"/>
      <c r="BX21" s="1011"/>
      <c r="BY21" s="1011"/>
      <c r="BZ21" s="1011"/>
      <c r="CA21" s="1011"/>
      <c r="CB21" s="2656">
        <f t="shared" si="13"/>
        <v>127152</v>
      </c>
      <c r="CC21" s="2835"/>
      <c r="CD21" s="2074"/>
      <c r="CE21" s="2074"/>
      <c r="CF21" s="2074"/>
      <c r="CG21" s="2074"/>
      <c r="CH21" s="2074"/>
      <c r="CI21" s="2074"/>
      <c r="CJ21" s="2074"/>
      <c r="CK21" s="2074"/>
      <c r="CL21" s="2074"/>
      <c r="CM21" s="2074"/>
      <c r="CN21" s="2074"/>
      <c r="CO21" s="2074"/>
      <c r="CP21" s="2656">
        <f t="shared" si="23"/>
        <v>0</v>
      </c>
      <c r="CQ21" s="2835"/>
      <c r="CR21" s="2074"/>
      <c r="CS21" s="2074"/>
      <c r="CT21" s="2074"/>
      <c r="CU21" s="2074"/>
      <c r="CV21" s="2074"/>
      <c r="CW21" s="2074"/>
      <c r="CX21" s="2074"/>
      <c r="CY21" s="2074"/>
      <c r="CZ21" s="2074"/>
      <c r="DA21" s="2074"/>
      <c r="DB21" s="2074"/>
      <c r="DC21" s="2074"/>
      <c r="DD21" s="2656">
        <f t="shared" si="16"/>
        <v>0</v>
      </c>
      <c r="DE21" s="2835"/>
      <c r="DF21" s="1407"/>
      <c r="DG21" s="1407"/>
      <c r="DH21" s="1407"/>
      <c r="DI21" s="3084">
        <f t="shared" si="26"/>
        <v>0</v>
      </c>
      <c r="DJ21" s="3118">
        <f t="shared" si="17"/>
        <v>254304</v>
      </c>
      <c r="DL21" s="1027">
        <f t="shared" si="7"/>
        <v>0</v>
      </c>
      <c r="DN21" s="3891"/>
      <c r="DO21" s="3891"/>
      <c r="DP21" s="3891"/>
      <c r="DQ21" s="3891"/>
      <c r="DR21" s="3891"/>
      <c r="DS21" s="1037"/>
      <c r="DT21" s="1037"/>
    </row>
    <row r="22" spans="2:124" ht="15.5" hidden="1" customHeight="1" outlineLevel="4">
      <c r="B22" s="2836"/>
      <c r="C22" s="3309" t="s">
        <v>662</v>
      </c>
      <c r="D22" s="3310" t="s">
        <v>1210</v>
      </c>
      <c r="E22" s="2843"/>
      <c r="F22" s="2965" t="s">
        <v>1211</v>
      </c>
      <c r="G22" s="2838"/>
      <c r="H22" s="2694" t="s">
        <v>1212</v>
      </c>
      <c r="I22" s="3312"/>
      <c r="J22" s="103"/>
      <c r="L22" s="853"/>
      <c r="M22" s="853"/>
      <c r="N22" s="853"/>
      <c r="O22" s="853"/>
      <c r="P22" s="853"/>
      <c r="Q22" s="853"/>
      <c r="R22" s="853"/>
      <c r="S22" s="853"/>
      <c r="T22" s="853"/>
      <c r="U22" s="853"/>
      <c r="W22" s="1207" t="s">
        <v>763</v>
      </c>
      <c r="X22" s="1207" t="s">
        <v>1075</v>
      </c>
      <c r="Y22" s="1207" t="s">
        <v>1187</v>
      </c>
      <c r="Z22" s="1207" t="s">
        <v>1213</v>
      </c>
      <c r="AA22" s="2646"/>
      <c r="AB22" s="1234"/>
      <c r="AD22" s="2844"/>
      <c r="AE22" s="2649">
        <v>3</v>
      </c>
      <c r="AF22" s="2649">
        <v>12</v>
      </c>
      <c r="AG22" s="1463"/>
      <c r="AH22" s="2648">
        <v>3532</v>
      </c>
      <c r="AI22" s="1124">
        <f>AE22*AH22*AF22</f>
        <v>127152</v>
      </c>
      <c r="AJ22" s="693"/>
      <c r="AL22" s="1343">
        <f>+AI22</f>
        <v>127152</v>
      </c>
      <c r="AM22" s="1343"/>
      <c r="AN22" s="1343">
        <f t="shared" si="0"/>
        <v>127152</v>
      </c>
      <c r="AP22" s="3872"/>
      <c r="AQ22" s="3872"/>
      <c r="AR22" s="3872"/>
      <c r="AS22" s="3872"/>
      <c r="AT22" s="3872"/>
      <c r="AU22" s="3872"/>
      <c r="AV22" s="3872"/>
      <c r="AW22" s="3872"/>
      <c r="AX22" s="3872"/>
      <c r="AY22" s="3872"/>
      <c r="AZ22" s="3811"/>
      <c r="BA22" s="2835"/>
      <c r="BB22" s="2074"/>
      <c r="BC22" s="2074"/>
      <c r="BD22" s="2074"/>
      <c r="BE22" s="2074"/>
      <c r="BF22" s="2074"/>
      <c r="BG22" s="2074"/>
      <c r="BH22" s="2074"/>
      <c r="BI22" s="2074"/>
      <c r="BJ22" s="2074"/>
      <c r="BK22" s="2074"/>
      <c r="BL22" s="2074">
        <f>+$AE$22*$AH$22</f>
        <v>10596</v>
      </c>
      <c r="BM22" s="2074">
        <f>+$AE$22*$AH$22</f>
        <v>10596</v>
      </c>
      <c r="BN22" s="2643">
        <f t="shared" si="11"/>
        <v>21192</v>
      </c>
      <c r="BO22" s="2835"/>
      <c r="BP22" s="2074">
        <f t="shared" ref="BP22:BY22" si="40">+$AE$22*$AH$22</f>
        <v>10596</v>
      </c>
      <c r="BQ22" s="2074">
        <f t="shared" si="40"/>
        <v>10596</v>
      </c>
      <c r="BR22" s="2074">
        <f t="shared" si="40"/>
        <v>10596</v>
      </c>
      <c r="BS22" s="2074">
        <f t="shared" si="40"/>
        <v>10596</v>
      </c>
      <c r="BT22" s="2074">
        <f t="shared" si="40"/>
        <v>10596</v>
      </c>
      <c r="BU22" s="2074">
        <f t="shared" si="40"/>
        <v>10596</v>
      </c>
      <c r="BV22" s="2074">
        <f t="shared" si="40"/>
        <v>10596</v>
      </c>
      <c r="BW22" s="2074">
        <f t="shared" si="40"/>
        <v>10596</v>
      </c>
      <c r="BX22" s="2074">
        <f t="shared" si="40"/>
        <v>10596</v>
      </c>
      <c r="BY22" s="2074">
        <f t="shared" si="40"/>
        <v>10596</v>
      </c>
      <c r="BZ22" s="1011"/>
      <c r="CA22" s="1011"/>
      <c r="CB22" s="2643">
        <f t="shared" si="13"/>
        <v>105960</v>
      </c>
      <c r="CC22" s="2835"/>
      <c r="CD22" s="2074"/>
      <c r="CE22" s="2074"/>
      <c r="CF22" s="2074"/>
      <c r="CG22" s="2074"/>
      <c r="CH22" s="2074"/>
      <c r="CI22" s="2074"/>
      <c r="CJ22" s="2074"/>
      <c r="CK22" s="2074"/>
      <c r="CL22" s="2074"/>
      <c r="CM22" s="2074"/>
      <c r="CN22" s="2074"/>
      <c r="CO22" s="2074"/>
      <c r="CP22" s="2643">
        <f t="shared" si="23"/>
        <v>0</v>
      </c>
      <c r="CQ22" s="2835"/>
      <c r="CR22" s="2074"/>
      <c r="CS22" s="2074"/>
      <c r="CT22" s="2074"/>
      <c r="CU22" s="2074"/>
      <c r="CV22" s="2074"/>
      <c r="CW22" s="2074"/>
      <c r="CX22" s="2074"/>
      <c r="CY22" s="2074"/>
      <c r="CZ22" s="2074"/>
      <c r="DA22" s="2074"/>
      <c r="DB22" s="2074"/>
      <c r="DC22" s="2074"/>
      <c r="DD22" s="2643">
        <f t="shared" si="16"/>
        <v>0</v>
      </c>
      <c r="DE22" s="2835"/>
      <c r="DF22" s="2074"/>
      <c r="DG22" s="2074"/>
      <c r="DH22" s="2074"/>
      <c r="DI22" s="3084">
        <f t="shared" si="26"/>
        <v>0</v>
      </c>
      <c r="DJ22" s="3118">
        <f t="shared" si="17"/>
        <v>127152</v>
      </c>
      <c r="DL22" s="1027">
        <f t="shared" si="7"/>
        <v>0</v>
      </c>
      <c r="DN22" s="3890"/>
      <c r="DO22" s="3890"/>
      <c r="DP22" s="4020"/>
      <c r="DQ22" s="3890"/>
      <c r="DR22" s="3890"/>
      <c r="DS22" s="1037"/>
      <c r="DT22" s="1037"/>
    </row>
    <row r="23" spans="2:124" ht="18" hidden="1" customHeight="1" outlineLevel="4">
      <c r="B23" s="2836"/>
      <c r="C23" s="3309" t="s">
        <v>668</v>
      </c>
      <c r="D23" s="3310" t="s">
        <v>668</v>
      </c>
      <c r="E23" s="2843"/>
      <c r="F23" s="2965" t="s">
        <v>1214</v>
      </c>
      <c r="G23" s="2838"/>
      <c r="H23" s="2694" t="s">
        <v>669</v>
      </c>
      <c r="I23" s="3312"/>
      <c r="J23" s="103"/>
      <c r="L23" s="853"/>
      <c r="M23" s="853"/>
      <c r="N23" s="853"/>
      <c r="O23" s="853"/>
      <c r="P23" s="853"/>
      <c r="Q23" s="853"/>
      <c r="R23" s="853"/>
      <c r="S23" s="853"/>
      <c r="T23" s="853"/>
      <c r="U23" s="853"/>
      <c r="W23" s="1925" t="s">
        <v>763</v>
      </c>
      <c r="X23" s="1925" t="s">
        <v>1075</v>
      </c>
      <c r="Y23" s="1925" t="s">
        <v>1187</v>
      </c>
      <c r="Z23" s="1925" t="s">
        <v>1215</v>
      </c>
      <c r="AA23" s="1930"/>
      <c r="AB23" s="2647"/>
      <c r="AD23" s="2844"/>
      <c r="AE23" s="2649" t="s">
        <v>494</v>
      </c>
      <c r="AF23" s="2649" t="s">
        <v>1209</v>
      </c>
      <c r="AG23" s="1463"/>
      <c r="AH23" s="1463">
        <v>3955</v>
      </c>
      <c r="AI23" s="1124">
        <f>AE23*AH23*AF23</f>
        <v>47460</v>
      </c>
      <c r="AJ23" s="693"/>
      <c r="AL23" s="725">
        <f>+AI23</f>
        <v>47460</v>
      </c>
      <c r="AM23" s="725"/>
      <c r="AN23" s="1748">
        <f t="shared" si="0"/>
        <v>47460</v>
      </c>
      <c r="AP23" s="3873"/>
      <c r="AQ23" s="3873"/>
      <c r="AR23" s="3873"/>
      <c r="AS23" s="3873"/>
      <c r="AT23" s="3873"/>
      <c r="AU23" s="3873"/>
      <c r="AV23" s="3873"/>
      <c r="AW23" s="3873"/>
      <c r="AX23" s="3873"/>
      <c r="AY23" s="3873"/>
      <c r="AZ23" s="3813"/>
      <c r="BA23" s="2835"/>
      <c r="BB23" s="2074"/>
      <c r="BC23" s="2074"/>
      <c r="BD23" s="2074"/>
      <c r="BE23" s="2074"/>
      <c r="BF23" s="2074"/>
      <c r="BG23" s="2074"/>
      <c r="BH23" s="1011"/>
      <c r="BI23" s="1011">
        <f>+$AH$23*$AE$23</f>
        <v>3955</v>
      </c>
      <c r="BJ23" s="1011">
        <f>+$AH$23*$AE$23*2</f>
        <v>7910</v>
      </c>
      <c r="BK23" s="1011">
        <f>+$AH$23*$AE$23</f>
        <v>3955</v>
      </c>
      <c r="BL23" s="1011">
        <f>+$AH$23*$AE$23</f>
        <v>3955</v>
      </c>
      <c r="BM23" s="1011">
        <f>+$AH$23*$AE$23</f>
        <v>3955</v>
      </c>
      <c r="BN23" s="2643">
        <f t="shared" si="11"/>
        <v>23730</v>
      </c>
      <c r="BO23" s="2835"/>
      <c r="BP23" s="1011">
        <f t="shared" ref="BP23:BU23" si="41">+$AH$23*$AE$23</f>
        <v>3955</v>
      </c>
      <c r="BQ23" s="1011">
        <f t="shared" si="41"/>
        <v>3955</v>
      </c>
      <c r="BR23" s="1011">
        <f t="shared" si="41"/>
        <v>3955</v>
      </c>
      <c r="BS23" s="1011">
        <f t="shared" si="41"/>
        <v>3955</v>
      </c>
      <c r="BT23" s="1011">
        <f t="shared" si="41"/>
        <v>3955</v>
      </c>
      <c r="BU23" s="1011">
        <f t="shared" si="41"/>
        <v>3955</v>
      </c>
      <c r="BV23" s="1011"/>
      <c r="BW23" s="1011"/>
      <c r="BX23" s="1011"/>
      <c r="BY23" s="1011"/>
      <c r="BZ23" s="1011"/>
      <c r="CA23" s="1011"/>
      <c r="CB23" s="2656">
        <f t="shared" si="13"/>
        <v>23730</v>
      </c>
      <c r="CC23" s="2835"/>
      <c r="CD23" s="2074"/>
      <c r="CE23" s="2074"/>
      <c r="CF23" s="2074"/>
      <c r="CG23" s="2074"/>
      <c r="CH23" s="2074"/>
      <c r="CI23" s="2074"/>
      <c r="CJ23" s="2074"/>
      <c r="CK23" s="2074"/>
      <c r="CL23" s="2074"/>
      <c r="CM23" s="2074"/>
      <c r="CN23" s="2074"/>
      <c r="CO23" s="2074"/>
      <c r="CP23" s="2656">
        <f t="shared" si="23"/>
        <v>0</v>
      </c>
      <c r="CQ23" s="2835"/>
      <c r="CR23" s="2074"/>
      <c r="CS23" s="2074"/>
      <c r="CT23" s="2074"/>
      <c r="CU23" s="2074"/>
      <c r="CV23" s="2074"/>
      <c r="CW23" s="2074"/>
      <c r="CX23" s="2074"/>
      <c r="CY23" s="2074"/>
      <c r="CZ23" s="2074"/>
      <c r="DA23" s="2074"/>
      <c r="DB23" s="2074"/>
      <c r="DC23" s="2074"/>
      <c r="DD23" s="2656">
        <f t="shared" si="16"/>
        <v>0</v>
      </c>
      <c r="DE23" s="2835"/>
      <c r="DF23" s="1407"/>
      <c r="DG23" s="1407"/>
      <c r="DH23" s="1407"/>
      <c r="DI23" s="3084">
        <f t="shared" si="26"/>
        <v>0</v>
      </c>
      <c r="DJ23" s="3118">
        <f t="shared" si="17"/>
        <v>47460</v>
      </c>
      <c r="DL23" s="1027">
        <f t="shared" si="7"/>
        <v>0</v>
      </c>
      <c r="DN23" s="3891"/>
      <c r="DO23" s="3891"/>
      <c r="DP23" s="3891"/>
      <c r="DQ23" s="3891"/>
      <c r="DR23" s="3891"/>
      <c r="DS23" s="1037"/>
      <c r="DT23" s="1037"/>
    </row>
    <row r="24" spans="2:124" s="153" customFormat="1" ht="15" hidden="1" outlineLevel="3">
      <c r="B24" s="2839"/>
      <c r="C24" s="3306" t="s">
        <v>674</v>
      </c>
      <c r="D24" s="2941" t="s">
        <v>674</v>
      </c>
      <c r="E24" s="2830"/>
      <c r="F24" s="3307" t="s">
        <v>630</v>
      </c>
      <c r="G24" s="2833"/>
      <c r="H24" s="3308" t="s">
        <v>675</v>
      </c>
      <c r="I24" s="3316"/>
      <c r="J24" s="399"/>
      <c r="K24" s="1037"/>
      <c r="L24" s="851"/>
      <c r="M24" s="851"/>
      <c r="N24" s="851"/>
      <c r="O24" s="851"/>
      <c r="P24" s="851"/>
      <c r="Q24" s="851"/>
      <c r="R24" s="851"/>
      <c r="S24" s="851"/>
      <c r="T24" s="851"/>
      <c r="U24" s="851"/>
      <c r="V24" s="1037"/>
      <c r="W24" s="851"/>
      <c r="X24" s="851"/>
      <c r="Y24" s="851"/>
      <c r="Z24" s="851"/>
      <c r="AA24" s="851"/>
      <c r="AB24" s="1250"/>
      <c r="AC24" s="1037"/>
      <c r="AD24" s="2840"/>
      <c r="AE24" s="397"/>
      <c r="AF24" s="397"/>
      <c r="AG24" s="397"/>
      <c r="AH24" s="398"/>
      <c r="AI24" s="398">
        <f>+AI25+AI28</f>
        <v>1242758.3328</v>
      </c>
      <c r="AJ24" s="680"/>
      <c r="AK24" s="1037"/>
      <c r="AL24" s="398">
        <f>+AI24</f>
        <v>1242758.3328</v>
      </c>
      <c r="AM24" s="398"/>
      <c r="AN24" s="398">
        <f t="shared" si="0"/>
        <v>1242758.3328</v>
      </c>
      <c r="AO24" s="1037"/>
      <c r="AP24" s="992">
        <f t="shared" ref="AP24:AY24" si="42">AP25+AP26+AP27</f>
        <v>0</v>
      </c>
      <c r="AQ24" s="992">
        <f t="shared" si="42"/>
        <v>0</v>
      </c>
      <c r="AR24" s="992">
        <f t="shared" si="42"/>
        <v>0</v>
      </c>
      <c r="AS24" s="992">
        <f t="shared" si="42"/>
        <v>0</v>
      </c>
      <c r="AT24" s="992">
        <f t="shared" si="42"/>
        <v>0</v>
      </c>
      <c r="AU24" s="992">
        <f t="shared" si="42"/>
        <v>0</v>
      </c>
      <c r="AV24" s="992">
        <f t="shared" si="42"/>
        <v>0</v>
      </c>
      <c r="AW24" s="992">
        <f t="shared" si="42"/>
        <v>0</v>
      </c>
      <c r="AX24" s="992">
        <f t="shared" si="42"/>
        <v>0</v>
      </c>
      <c r="AY24" s="992">
        <f t="shared" si="42"/>
        <v>0</v>
      </c>
      <c r="AZ24" s="992"/>
      <c r="BA24" s="2835"/>
      <c r="BB24" s="992">
        <f>+BB25+BB28</f>
        <v>0</v>
      </c>
      <c r="BC24" s="992">
        <f t="shared" ref="BC24:BL24" si="43">+BC25+BC28</f>
        <v>0</v>
      </c>
      <c r="BD24" s="992">
        <f t="shared" si="43"/>
        <v>0</v>
      </c>
      <c r="BE24" s="992">
        <f t="shared" si="43"/>
        <v>0</v>
      </c>
      <c r="BF24" s="992">
        <f t="shared" si="43"/>
        <v>0</v>
      </c>
      <c r="BG24" s="992">
        <f t="shared" si="43"/>
        <v>0</v>
      </c>
      <c r="BH24" s="992">
        <f t="shared" si="43"/>
        <v>0</v>
      </c>
      <c r="BI24" s="992">
        <f t="shared" si="43"/>
        <v>0</v>
      </c>
      <c r="BJ24" s="992">
        <f t="shared" si="43"/>
        <v>0</v>
      </c>
      <c r="BK24" s="992">
        <f t="shared" si="43"/>
        <v>0</v>
      </c>
      <c r="BL24" s="992">
        <f t="shared" si="43"/>
        <v>0</v>
      </c>
      <c r="BM24" s="992">
        <f>+BM25+BM28</f>
        <v>0</v>
      </c>
      <c r="BN24" s="992">
        <f>SUM(BB24:BM24)</f>
        <v>0</v>
      </c>
      <c r="BO24" s="2835"/>
      <c r="BP24" s="992">
        <f t="shared" ref="BP24:CA24" si="44">+BP25+BP28</f>
        <v>0</v>
      </c>
      <c r="BQ24" s="992">
        <f t="shared" si="44"/>
        <v>0</v>
      </c>
      <c r="BR24" s="992">
        <f t="shared" si="44"/>
        <v>0</v>
      </c>
      <c r="BS24" s="992">
        <f t="shared" si="44"/>
        <v>0</v>
      </c>
      <c r="BT24" s="992">
        <f t="shared" si="44"/>
        <v>34146</v>
      </c>
      <c r="BU24" s="992">
        <f t="shared" si="44"/>
        <v>34146</v>
      </c>
      <c r="BV24" s="992">
        <f t="shared" si="44"/>
        <v>34146</v>
      </c>
      <c r="BW24" s="992">
        <f t="shared" si="44"/>
        <v>28146</v>
      </c>
      <c r="BX24" s="992">
        <f t="shared" si="44"/>
        <v>28146</v>
      </c>
      <c r="BY24" s="992">
        <f t="shared" si="44"/>
        <v>28146</v>
      </c>
      <c r="BZ24" s="992">
        <f t="shared" si="44"/>
        <v>22146</v>
      </c>
      <c r="CA24" s="992">
        <f t="shared" si="44"/>
        <v>22146</v>
      </c>
      <c r="CB24" s="992">
        <f t="shared" si="13"/>
        <v>231168</v>
      </c>
      <c r="CC24" s="2835"/>
      <c r="CD24" s="992">
        <f t="shared" ref="CD24:CO24" si="45">+CD25+CD28</f>
        <v>22146</v>
      </c>
      <c r="CE24" s="992">
        <f t="shared" si="45"/>
        <v>97217.694400000008</v>
      </c>
      <c r="CF24" s="992">
        <f t="shared" si="45"/>
        <v>97217.694400000008</v>
      </c>
      <c r="CG24" s="992">
        <f t="shared" si="45"/>
        <v>97217.694400000008</v>
      </c>
      <c r="CH24" s="992">
        <f t="shared" si="45"/>
        <v>97217.694400000008</v>
      </c>
      <c r="CI24" s="992">
        <f t="shared" si="45"/>
        <v>75071.694400000008</v>
      </c>
      <c r="CJ24" s="992">
        <f t="shared" si="45"/>
        <v>75071.694400000008</v>
      </c>
      <c r="CK24" s="992">
        <f t="shared" si="45"/>
        <v>75071.694400000008</v>
      </c>
      <c r="CL24" s="992">
        <f t="shared" si="45"/>
        <v>75071.694400000008</v>
      </c>
      <c r="CM24" s="992">
        <f t="shared" si="45"/>
        <v>75071.694400000008</v>
      </c>
      <c r="CN24" s="992">
        <f t="shared" si="45"/>
        <v>75071.694400000008</v>
      </c>
      <c r="CO24" s="992">
        <f t="shared" si="45"/>
        <v>75071.694400000008</v>
      </c>
      <c r="CP24" s="992">
        <f t="shared" si="23"/>
        <v>936518.63840000029</v>
      </c>
      <c r="CQ24" s="2835"/>
      <c r="CR24" s="992">
        <f t="shared" ref="CR24:DC24" si="46">+CR25+CR28</f>
        <v>75071.694400000008</v>
      </c>
      <c r="CS24" s="992">
        <f t="shared" si="46"/>
        <v>0</v>
      </c>
      <c r="CT24" s="992">
        <f t="shared" si="46"/>
        <v>0</v>
      </c>
      <c r="CU24" s="992">
        <f t="shared" si="46"/>
        <v>0</v>
      </c>
      <c r="CV24" s="992">
        <f t="shared" si="46"/>
        <v>0</v>
      </c>
      <c r="CW24" s="992">
        <f t="shared" si="46"/>
        <v>0</v>
      </c>
      <c r="CX24" s="992">
        <f t="shared" si="46"/>
        <v>0</v>
      </c>
      <c r="CY24" s="992">
        <f t="shared" si="46"/>
        <v>0</v>
      </c>
      <c r="CZ24" s="992">
        <f t="shared" si="46"/>
        <v>0</v>
      </c>
      <c r="DA24" s="992">
        <f t="shared" si="46"/>
        <v>0</v>
      </c>
      <c r="DB24" s="992">
        <f t="shared" si="46"/>
        <v>0</v>
      </c>
      <c r="DC24" s="992">
        <f t="shared" si="46"/>
        <v>0</v>
      </c>
      <c r="DD24" s="992">
        <f t="shared" si="16"/>
        <v>75071.694400000008</v>
      </c>
      <c r="DE24" s="2835"/>
      <c r="DF24" s="992">
        <f>+DF25+DF28</f>
        <v>0</v>
      </c>
      <c r="DG24" s="992">
        <f>+DG25+DG28</f>
        <v>0</v>
      </c>
      <c r="DH24" s="992">
        <f>+DH25+DH28</f>
        <v>0</v>
      </c>
      <c r="DI24" s="3083">
        <f>SUM(DF24:DH24)</f>
        <v>0</v>
      </c>
      <c r="DJ24" s="3117">
        <f t="shared" si="17"/>
        <v>1242758.3328000002</v>
      </c>
      <c r="DL24" s="1027">
        <f>+AN24-DJ24</f>
        <v>0</v>
      </c>
      <c r="DN24" s="2727" t="s">
        <v>1175</v>
      </c>
      <c r="DO24" s="2728" t="s">
        <v>1175</v>
      </c>
      <c r="DP24" s="2728"/>
      <c r="DQ24" s="2728" t="s">
        <v>1175</v>
      </c>
      <c r="DR24" s="2728" t="str">
        <f t="shared" si="4"/>
        <v>1</v>
      </c>
      <c r="DS24" s="1037"/>
      <c r="DT24" s="1037"/>
    </row>
    <row r="25" spans="2:124" s="153" customFormat="1" ht="15" hidden="1" outlineLevel="3" collapsed="1">
      <c r="B25" s="2839"/>
      <c r="C25" s="3306"/>
      <c r="D25" s="2941"/>
      <c r="E25" s="2830"/>
      <c r="F25" s="3307" t="s">
        <v>632</v>
      </c>
      <c r="G25" s="2833"/>
      <c r="H25" s="3308" t="s">
        <v>1216</v>
      </c>
      <c r="I25" s="3316"/>
      <c r="J25" s="399"/>
      <c r="K25" s="1037"/>
      <c r="L25" s="851"/>
      <c r="M25" s="851"/>
      <c r="N25" s="851"/>
      <c r="O25" s="851"/>
      <c r="P25" s="851"/>
      <c r="Q25" s="851"/>
      <c r="R25" s="851"/>
      <c r="S25" s="851"/>
      <c r="T25" s="851"/>
      <c r="U25" s="851"/>
      <c r="V25" s="1037"/>
      <c r="W25" s="851"/>
      <c r="X25" s="851"/>
      <c r="Y25" s="851"/>
      <c r="Z25" s="851"/>
      <c r="AA25" s="851"/>
      <c r="AB25" s="1250"/>
      <c r="AC25" s="1037"/>
      <c r="AD25" s="2840"/>
      <c r="AE25" s="2506"/>
      <c r="AF25" s="397"/>
      <c r="AG25" s="397"/>
      <c r="AH25" s="398"/>
      <c r="AI25" s="1257">
        <f>SUM(AI26:AI27)</f>
        <v>54000</v>
      </c>
      <c r="AJ25" s="680"/>
      <c r="AK25" s="1037"/>
      <c r="AL25" s="398">
        <f>SUM(AL26:AL27)</f>
        <v>54000</v>
      </c>
      <c r="AM25" s="398">
        <v>0</v>
      </c>
      <c r="AN25" s="398">
        <f t="shared" si="0"/>
        <v>54000</v>
      </c>
      <c r="AO25" s="1037"/>
      <c r="AP25" s="992"/>
      <c r="AQ25" s="992"/>
      <c r="AR25" s="992"/>
      <c r="AS25" s="992"/>
      <c r="AT25" s="992"/>
      <c r="AU25" s="992"/>
      <c r="AV25" s="992"/>
      <c r="AW25" s="992"/>
      <c r="AX25" s="992"/>
      <c r="AY25" s="992"/>
      <c r="AZ25" s="992">
        <f t="shared" si="9"/>
        <v>0</v>
      </c>
      <c r="BA25" s="2835"/>
      <c r="BB25" s="992">
        <f>BB26+BB27</f>
        <v>0</v>
      </c>
      <c r="BC25" s="992">
        <f t="shared" ref="BC25:BL25" si="47">BC26+BC27</f>
        <v>0</v>
      </c>
      <c r="BD25" s="992">
        <f t="shared" si="47"/>
        <v>0</v>
      </c>
      <c r="BE25" s="992">
        <f t="shared" si="47"/>
        <v>0</v>
      </c>
      <c r="BF25" s="992">
        <f t="shared" si="47"/>
        <v>0</v>
      </c>
      <c r="BG25" s="992">
        <f t="shared" si="47"/>
        <v>0</v>
      </c>
      <c r="BH25" s="992">
        <f t="shared" si="47"/>
        <v>0</v>
      </c>
      <c r="BI25" s="992">
        <f t="shared" si="47"/>
        <v>0</v>
      </c>
      <c r="BJ25" s="992">
        <f t="shared" si="47"/>
        <v>0</v>
      </c>
      <c r="BK25" s="992">
        <f t="shared" si="47"/>
        <v>0</v>
      </c>
      <c r="BL25" s="992">
        <f t="shared" si="47"/>
        <v>0</v>
      </c>
      <c r="BM25" s="992">
        <f>BM26+BM27</f>
        <v>0</v>
      </c>
      <c r="BN25" s="992">
        <f>SUM(BB25:BM25)</f>
        <v>0</v>
      </c>
      <c r="BO25" s="2835"/>
      <c r="BP25" s="992">
        <f t="shared" ref="BP25:CA25" si="48">BP26+BP27</f>
        <v>0</v>
      </c>
      <c r="BQ25" s="992">
        <f t="shared" si="48"/>
        <v>0</v>
      </c>
      <c r="BR25" s="992">
        <f t="shared" si="48"/>
        <v>0</v>
      </c>
      <c r="BS25" s="992">
        <f t="shared" si="48"/>
        <v>0</v>
      </c>
      <c r="BT25" s="992">
        <f t="shared" si="48"/>
        <v>12000</v>
      </c>
      <c r="BU25" s="992">
        <f t="shared" si="48"/>
        <v>12000</v>
      </c>
      <c r="BV25" s="992">
        <f t="shared" si="48"/>
        <v>12000</v>
      </c>
      <c r="BW25" s="992">
        <f t="shared" si="48"/>
        <v>6000</v>
      </c>
      <c r="BX25" s="992">
        <f t="shared" si="48"/>
        <v>6000</v>
      </c>
      <c r="BY25" s="992">
        <f t="shared" si="48"/>
        <v>6000</v>
      </c>
      <c r="BZ25" s="992">
        <f t="shared" si="48"/>
        <v>0</v>
      </c>
      <c r="CA25" s="992">
        <f t="shared" si="48"/>
        <v>0</v>
      </c>
      <c r="CB25" s="992">
        <f t="shared" si="13"/>
        <v>54000</v>
      </c>
      <c r="CC25" s="2835"/>
      <c r="CD25" s="992">
        <f t="shared" ref="CD25:CO25" si="49">CD26+CD27</f>
        <v>0</v>
      </c>
      <c r="CE25" s="992">
        <f t="shared" si="49"/>
        <v>0</v>
      </c>
      <c r="CF25" s="992">
        <f t="shared" si="49"/>
        <v>0</v>
      </c>
      <c r="CG25" s="992">
        <f t="shared" si="49"/>
        <v>0</v>
      </c>
      <c r="CH25" s="992">
        <f t="shared" si="49"/>
        <v>0</v>
      </c>
      <c r="CI25" s="992">
        <f t="shared" si="49"/>
        <v>0</v>
      </c>
      <c r="CJ25" s="992">
        <f t="shared" si="49"/>
        <v>0</v>
      </c>
      <c r="CK25" s="992">
        <f t="shared" si="49"/>
        <v>0</v>
      </c>
      <c r="CL25" s="992">
        <f t="shared" si="49"/>
        <v>0</v>
      </c>
      <c r="CM25" s="992">
        <f t="shared" si="49"/>
        <v>0</v>
      </c>
      <c r="CN25" s="992">
        <f t="shared" si="49"/>
        <v>0</v>
      </c>
      <c r="CO25" s="992">
        <f t="shared" si="49"/>
        <v>0</v>
      </c>
      <c r="CP25" s="992">
        <f t="shared" si="23"/>
        <v>0</v>
      </c>
      <c r="CQ25" s="2835"/>
      <c r="CR25" s="992">
        <f t="shared" ref="CR25:DC25" si="50">CR26+CR27</f>
        <v>0</v>
      </c>
      <c r="CS25" s="992">
        <f t="shared" si="50"/>
        <v>0</v>
      </c>
      <c r="CT25" s="992">
        <f t="shared" si="50"/>
        <v>0</v>
      </c>
      <c r="CU25" s="992">
        <f t="shared" si="50"/>
        <v>0</v>
      </c>
      <c r="CV25" s="992">
        <f t="shared" si="50"/>
        <v>0</v>
      </c>
      <c r="CW25" s="992">
        <f t="shared" si="50"/>
        <v>0</v>
      </c>
      <c r="CX25" s="992">
        <f t="shared" si="50"/>
        <v>0</v>
      </c>
      <c r="CY25" s="992">
        <f t="shared" si="50"/>
        <v>0</v>
      </c>
      <c r="CZ25" s="992">
        <f t="shared" si="50"/>
        <v>0</v>
      </c>
      <c r="DA25" s="992">
        <f>DA26+DA27</f>
        <v>0</v>
      </c>
      <c r="DB25" s="992">
        <f t="shared" si="50"/>
        <v>0</v>
      </c>
      <c r="DC25" s="992">
        <f t="shared" si="50"/>
        <v>0</v>
      </c>
      <c r="DD25" s="992">
        <f t="shared" si="16"/>
        <v>0</v>
      </c>
      <c r="DE25" s="2835"/>
      <c r="DF25" s="992">
        <f>DF26+DF27</f>
        <v>0</v>
      </c>
      <c r="DG25" s="992">
        <f>DG26+DG27</f>
        <v>0</v>
      </c>
      <c r="DH25" s="992">
        <f>DH26+DH27</f>
        <v>0</v>
      </c>
      <c r="DI25" s="3083">
        <f>SUM(DF25:DH25)</f>
        <v>0</v>
      </c>
      <c r="DJ25" s="3117">
        <f t="shared" si="17"/>
        <v>54000</v>
      </c>
      <c r="DL25" s="1027">
        <f t="shared" si="7"/>
        <v>0</v>
      </c>
      <c r="DN25" s="2727" t="s">
        <v>1180</v>
      </c>
      <c r="DO25" s="2728" t="s">
        <v>1181</v>
      </c>
      <c r="DP25" s="2728" t="s">
        <v>1117</v>
      </c>
      <c r="DQ25" s="2728" t="s">
        <v>4</v>
      </c>
      <c r="DR25" s="2728" t="str">
        <f t="shared" si="4"/>
        <v/>
      </c>
      <c r="DS25" s="1037"/>
      <c r="DT25" s="1037"/>
    </row>
    <row r="26" spans="2:124" ht="45" hidden="1" outlineLevel="4">
      <c r="B26" s="2845"/>
      <c r="C26" s="3309"/>
      <c r="D26" s="3310" t="s">
        <v>1217</v>
      </c>
      <c r="E26" s="2846"/>
      <c r="F26" s="3310" t="s">
        <v>1218</v>
      </c>
      <c r="G26" s="2838"/>
      <c r="H26" s="3318" t="s">
        <v>1219</v>
      </c>
      <c r="I26" s="3319"/>
      <c r="J26" s="103"/>
      <c r="L26" s="364"/>
      <c r="M26" s="364"/>
      <c r="N26" s="364"/>
      <c r="O26" s="364"/>
      <c r="P26" s="364"/>
      <c r="Q26" s="364"/>
      <c r="R26" s="364"/>
      <c r="S26" s="364"/>
      <c r="T26" s="364"/>
      <c r="U26" s="364"/>
      <c r="W26" s="2711" t="s">
        <v>763</v>
      </c>
      <c r="X26" s="2711" t="s">
        <v>1075</v>
      </c>
      <c r="Y26" s="2924" t="s">
        <v>1187</v>
      </c>
      <c r="Z26" s="2988" t="s">
        <v>1220</v>
      </c>
      <c r="AA26" s="529"/>
      <c r="AB26" s="529"/>
      <c r="AD26" s="711"/>
      <c r="AE26" s="2644">
        <v>1</v>
      </c>
      <c r="AF26" s="2644">
        <v>3</v>
      </c>
      <c r="AG26" s="2644"/>
      <c r="AH26" s="2644">
        <v>6000</v>
      </c>
      <c r="AI26" s="1048">
        <f>+AE26*AF26*AH26</f>
        <v>18000</v>
      </c>
      <c r="AJ26" s="530"/>
      <c r="AL26" s="1343">
        <f>+AI26</f>
        <v>18000</v>
      </c>
      <c r="AM26" s="1039"/>
      <c r="AN26" s="1343">
        <f t="shared" si="0"/>
        <v>18000</v>
      </c>
      <c r="AP26" s="990"/>
      <c r="AQ26" s="990"/>
      <c r="AR26" s="990"/>
      <c r="AS26" s="990"/>
      <c r="AT26" s="990"/>
      <c r="AU26" s="990"/>
      <c r="AV26" s="990"/>
      <c r="AW26" s="990"/>
      <c r="AX26" s="990"/>
      <c r="AY26" s="990"/>
      <c r="AZ26" s="2043">
        <f t="shared" si="9"/>
        <v>0</v>
      </c>
      <c r="BA26" s="2835"/>
      <c r="BB26" s="988"/>
      <c r="BC26" s="988"/>
      <c r="BD26" s="988"/>
      <c r="BE26" s="988"/>
      <c r="BF26" s="988"/>
      <c r="BG26" s="988"/>
      <c r="BH26" s="988"/>
      <c r="BI26" s="988"/>
      <c r="BJ26" s="988"/>
      <c r="BK26" s="988"/>
      <c r="BL26" s="988"/>
      <c r="BM26" s="988"/>
      <c r="BN26" s="2043">
        <f t="shared" si="11"/>
        <v>0</v>
      </c>
      <c r="BO26" s="2835"/>
      <c r="BP26" s="988"/>
      <c r="BQ26" s="988"/>
      <c r="BR26" s="988"/>
      <c r="BS26" s="988"/>
      <c r="BT26" s="988">
        <f>+$AH$26</f>
        <v>6000</v>
      </c>
      <c r="BU26" s="988">
        <v>6000</v>
      </c>
      <c r="BV26" s="988">
        <v>6000</v>
      </c>
      <c r="BW26" s="988"/>
      <c r="BX26" s="988"/>
      <c r="BY26" s="988"/>
      <c r="BZ26" s="988"/>
      <c r="CA26" s="988"/>
      <c r="CB26" s="2043">
        <f t="shared" si="13"/>
        <v>18000</v>
      </c>
      <c r="CC26" s="2835"/>
      <c r="CD26" s="1194"/>
      <c r="CE26" s="1194"/>
      <c r="CF26" s="1194"/>
      <c r="CG26" s="1194"/>
      <c r="CH26" s="1194"/>
      <c r="CI26" s="1194"/>
      <c r="CJ26" s="1194"/>
      <c r="CK26" s="1194"/>
      <c r="CL26" s="1194"/>
      <c r="CM26" s="1194"/>
      <c r="CN26" s="1194"/>
      <c r="CO26" s="1194"/>
      <c r="CP26" s="2043">
        <f t="shared" si="23"/>
        <v>0</v>
      </c>
      <c r="CQ26" s="2835"/>
      <c r="CR26" s="1194"/>
      <c r="CS26" s="1194"/>
      <c r="CT26" s="1194"/>
      <c r="CU26" s="1194"/>
      <c r="CV26" s="1194"/>
      <c r="CW26" s="1194"/>
      <c r="CX26" s="1194"/>
      <c r="CY26" s="1194"/>
      <c r="CZ26" s="1194"/>
      <c r="DA26" s="1194"/>
      <c r="DB26" s="1194"/>
      <c r="DC26" s="1194"/>
      <c r="DD26" s="2043">
        <f t="shared" si="16"/>
        <v>0</v>
      </c>
      <c r="DE26" s="2835"/>
      <c r="DF26" s="988"/>
      <c r="DG26" s="988"/>
      <c r="DH26" s="988"/>
      <c r="DI26" s="1914">
        <f>SUM(DF26:DH26)</f>
        <v>0</v>
      </c>
      <c r="DJ26" s="3119">
        <f t="shared" si="17"/>
        <v>18000</v>
      </c>
      <c r="DL26" s="1027">
        <f t="shared" si="7"/>
        <v>0</v>
      </c>
      <c r="DN26" s="2729" t="s">
        <v>1180</v>
      </c>
      <c r="DO26" s="2730" t="s">
        <v>1181</v>
      </c>
      <c r="DP26" s="2730" t="s">
        <v>1117</v>
      </c>
      <c r="DQ26" s="2730" t="s">
        <v>4</v>
      </c>
      <c r="DR26" s="2730" t="str">
        <f t="shared" si="4"/>
        <v>1</v>
      </c>
      <c r="DS26" s="1037"/>
      <c r="DT26" s="1037"/>
    </row>
    <row r="27" spans="2:124" s="153" customFormat="1" ht="45" hidden="1" outlineLevel="4">
      <c r="B27" s="2847"/>
      <c r="C27" s="3309"/>
      <c r="D27" s="3310" t="s">
        <v>1221</v>
      </c>
      <c r="E27" s="2846"/>
      <c r="F27" s="3310" t="s">
        <v>1222</v>
      </c>
      <c r="G27" s="3320"/>
      <c r="H27" s="3318" t="s">
        <v>1223</v>
      </c>
      <c r="I27" s="3321"/>
      <c r="J27" s="1495"/>
      <c r="K27" s="1037"/>
      <c r="L27" s="853"/>
      <c r="M27" s="853"/>
      <c r="N27" s="853"/>
      <c r="O27" s="853"/>
      <c r="P27" s="853"/>
      <c r="Q27" s="853"/>
      <c r="R27" s="853"/>
      <c r="S27" s="853"/>
      <c r="T27" s="853"/>
      <c r="U27" s="853"/>
      <c r="V27" s="1037"/>
      <c r="W27" s="2924" t="s">
        <v>763</v>
      </c>
      <c r="X27" s="2924" t="s">
        <v>1075</v>
      </c>
      <c r="Y27" s="2924" t="s">
        <v>1187</v>
      </c>
      <c r="Z27" s="2988" t="s">
        <v>1224</v>
      </c>
      <c r="AA27" s="2848"/>
      <c r="AB27" s="2848"/>
      <c r="AC27" s="1037"/>
      <c r="AD27" s="711"/>
      <c r="AE27" s="2644">
        <v>1</v>
      </c>
      <c r="AF27" s="2644">
        <v>6</v>
      </c>
      <c r="AG27" s="2644"/>
      <c r="AH27" s="2644">
        <v>6000</v>
      </c>
      <c r="AI27" s="1048">
        <f>+AE27*AF27*AH27</f>
        <v>36000</v>
      </c>
      <c r="AJ27" s="1234"/>
      <c r="AK27" s="1037"/>
      <c r="AL27" s="725">
        <f>+AI27</f>
        <v>36000</v>
      </c>
      <c r="AM27" s="1032"/>
      <c r="AN27" s="1748">
        <f t="shared" si="0"/>
        <v>36000</v>
      </c>
      <c r="AO27" s="1037"/>
      <c r="AP27" s="1913">
        <f t="shared" ref="AP27:AY27" si="51">SUM(AP28:AP33)</f>
        <v>0</v>
      </c>
      <c r="AQ27" s="1913">
        <f t="shared" si="51"/>
        <v>0</v>
      </c>
      <c r="AR27" s="1913">
        <f t="shared" si="51"/>
        <v>0</v>
      </c>
      <c r="AS27" s="1913">
        <f t="shared" si="51"/>
        <v>0</v>
      </c>
      <c r="AT27" s="1913">
        <f t="shared" si="51"/>
        <v>0</v>
      </c>
      <c r="AU27" s="1913">
        <f t="shared" si="51"/>
        <v>0</v>
      </c>
      <c r="AV27" s="1913">
        <f t="shared" si="51"/>
        <v>0</v>
      </c>
      <c r="AW27" s="1913">
        <f t="shared" si="51"/>
        <v>0</v>
      </c>
      <c r="AX27" s="1913">
        <f t="shared" si="51"/>
        <v>0</v>
      </c>
      <c r="AY27" s="1913">
        <f t="shared" si="51"/>
        <v>0</v>
      </c>
      <c r="AZ27" s="2043">
        <f t="shared" si="9"/>
        <v>0</v>
      </c>
      <c r="BA27" s="2835"/>
      <c r="BB27" s="2657">
        <f t="shared" ref="BB27:BL27" si="52">SUM(BB28:BB33)</f>
        <v>0</v>
      </c>
      <c r="BC27" s="2657">
        <f t="shared" si="52"/>
        <v>0</v>
      </c>
      <c r="BD27" s="2657">
        <f t="shared" si="52"/>
        <v>0</v>
      </c>
      <c r="BE27" s="2657">
        <f t="shared" si="52"/>
        <v>0</v>
      </c>
      <c r="BF27" s="2657">
        <f t="shared" si="52"/>
        <v>0</v>
      </c>
      <c r="BG27" s="2657">
        <f t="shared" si="52"/>
        <v>0</v>
      </c>
      <c r="BH27" s="2657">
        <f t="shared" si="52"/>
        <v>0</v>
      </c>
      <c r="BI27" s="2657">
        <f t="shared" si="52"/>
        <v>0</v>
      </c>
      <c r="BJ27" s="2657">
        <f t="shared" si="52"/>
        <v>0</v>
      </c>
      <c r="BK27" s="2657">
        <f t="shared" si="52"/>
        <v>0</v>
      </c>
      <c r="BL27" s="2657">
        <f t="shared" si="52"/>
        <v>0</v>
      </c>
      <c r="BM27" s="988"/>
      <c r="BN27" s="2043">
        <f t="shared" si="11"/>
        <v>0</v>
      </c>
      <c r="BO27" s="2835"/>
      <c r="BP27" s="988"/>
      <c r="BQ27" s="988"/>
      <c r="BR27" s="988"/>
      <c r="BS27" s="988"/>
      <c r="BT27" s="988">
        <f>+$AH$26</f>
        <v>6000</v>
      </c>
      <c r="BU27" s="988">
        <f>+$AH$26</f>
        <v>6000</v>
      </c>
      <c r="BV27" s="988">
        <f>+$AH$26</f>
        <v>6000</v>
      </c>
      <c r="BW27" s="2989">
        <v>6000</v>
      </c>
      <c r="BX27" s="2989">
        <v>6000</v>
      </c>
      <c r="BY27" s="2989">
        <v>6000</v>
      </c>
      <c r="BZ27" s="2657"/>
      <c r="CA27" s="2657"/>
      <c r="CB27" s="2043">
        <f>SUM(BP27:CA27)</f>
        <v>36000</v>
      </c>
      <c r="CC27" s="2835"/>
      <c r="CD27" s="2657"/>
      <c r="CE27" s="2657"/>
      <c r="CF27" s="2657"/>
      <c r="CG27" s="2657"/>
      <c r="CH27" s="2657"/>
      <c r="CI27" s="2657"/>
      <c r="CJ27" s="2657"/>
      <c r="CK27" s="2657"/>
      <c r="CL27" s="2657"/>
      <c r="CM27" s="2657"/>
      <c r="CN27" s="2657"/>
      <c r="CO27" s="2657"/>
      <c r="CP27" s="2043">
        <f t="shared" si="23"/>
        <v>0</v>
      </c>
      <c r="CQ27" s="2835"/>
      <c r="CR27" s="2657"/>
      <c r="CS27" s="2657"/>
      <c r="CT27" s="2657"/>
      <c r="CU27" s="2657"/>
      <c r="CV27" s="2657"/>
      <c r="CW27" s="2657"/>
      <c r="CX27" s="2657"/>
      <c r="CY27" s="2657"/>
      <c r="CZ27" s="2657"/>
      <c r="DA27" s="2657"/>
      <c r="DB27" s="2657"/>
      <c r="DC27" s="2657"/>
      <c r="DD27" s="2043">
        <f t="shared" si="16"/>
        <v>0</v>
      </c>
      <c r="DE27" s="2835"/>
      <c r="DF27" s="2657">
        <f>SUM(DF28:DF33)</f>
        <v>0</v>
      </c>
      <c r="DG27" s="2657">
        <f>SUM(DG28:DG33)</f>
        <v>0</v>
      </c>
      <c r="DH27" s="2657">
        <f>SUM(DH28:DH33)</f>
        <v>0</v>
      </c>
      <c r="DI27" s="1914">
        <f>SUM(DF27:DH27)</f>
        <v>0</v>
      </c>
      <c r="DJ27" s="3119">
        <f t="shared" si="17"/>
        <v>36000</v>
      </c>
      <c r="DL27" s="1027">
        <f t="shared" si="7"/>
        <v>0</v>
      </c>
      <c r="DN27" s="2731" t="s">
        <v>1175</v>
      </c>
      <c r="DO27" s="2730"/>
      <c r="DP27" s="2730"/>
      <c r="DQ27" s="2730" t="s">
        <v>1175</v>
      </c>
      <c r="DR27" s="2730" t="str">
        <f t="shared" si="4"/>
        <v>1</v>
      </c>
      <c r="DS27" s="1037"/>
      <c r="DT27" s="1037"/>
    </row>
    <row r="28" spans="2:124" s="153" customFormat="1" ht="15" hidden="1" outlineLevel="3">
      <c r="B28" s="2839"/>
      <c r="C28" s="3306"/>
      <c r="D28" s="2941"/>
      <c r="E28" s="2830"/>
      <c r="F28" s="3307" t="s">
        <v>635</v>
      </c>
      <c r="G28" s="2833"/>
      <c r="H28" s="3308" t="s">
        <v>1225</v>
      </c>
      <c r="I28" s="3316"/>
      <c r="J28" s="399"/>
      <c r="K28" s="1037"/>
      <c r="L28" s="851"/>
      <c r="M28" s="851"/>
      <c r="N28" s="851"/>
      <c r="O28" s="851"/>
      <c r="P28" s="851"/>
      <c r="Q28" s="851"/>
      <c r="R28" s="851"/>
      <c r="S28" s="851"/>
      <c r="T28" s="851"/>
      <c r="U28" s="851"/>
      <c r="V28" s="1037"/>
      <c r="W28" s="851"/>
      <c r="X28" s="851"/>
      <c r="Y28" s="851"/>
      <c r="Z28" s="851"/>
      <c r="AA28" s="851"/>
      <c r="AB28" s="1250"/>
      <c r="AC28" s="1037"/>
      <c r="AD28" s="2840"/>
      <c r="AE28" s="2506"/>
      <c r="AF28" s="397"/>
      <c r="AG28" s="397"/>
      <c r="AH28" s="398"/>
      <c r="AI28" s="1257">
        <f>SUM(AI29:AI38)</f>
        <v>1188758.3328</v>
      </c>
      <c r="AJ28" s="680"/>
      <c r="AK28" s="1037"/>
      <c r="AL28" s="398">
        <f>SUM(AL29:AL38)</f>
        <v>1188758.3328</v>
      </c>
      <c r="AM28" s="398"/>
      <c r="AN28" s="398">
        <f t="shared" si="0"/>
        <v>1188758.3328</v>
      </c>
      <c r="AO28" s="1037"/>
      <c r="AP28" s="992">
        <f t="shared" ref="AP28:AY28" si="53">+SUM(AP29:AP38)</f>
        <v>0</v>
      </c>
      <c r="AQ28" s="992">
        <f t="shared" si="53"/>
        <v>0</v>
      </c>
      <c r="AR28" s="992">
        <f t="shared" si="53"/>
        <v>0</v>
      </c>
      <c r="AS28" s="992">
        <f t="shared" si="53"/>
        <v>0</v>
      </c>
      <c r="AT28" s="992">
        <f t="shared" si="53"/>
        <v>0</v>
      </c>
      <c r="AU28" s="992">
        <f t="shared" si="53"/>
        <v>0</v>
      </c>
      <c r="AV28" s="992">
        <f t="shared" si="53"/>
        <v>0</v>
      </c>
      <c r="AW28" s="992">
        <f t="shared" si="53"/>
        <v>0</v>
      </c>
      <c r="AX28" s="992">
        <f t="shared" si="53"/>
        <v>0</v>
      </c>
      <c r="AY28" s="992">
        <f t="shared" si="53"/>
        <v>0</v>
      </c>
      <c r="AZ28" s="992">
        <f t="shared" si="9"/>
        <v>0</v>
      </c>
      <c r="BA28" s="2835"/>
      <c r="BB28" s="992">
        <f t="shared" ref="BB28:BM28" si="54">+SUM(BB29:BB38)</f>
        <v>0</v>
      </c>
      <c r="BC28" s="992">
        <f t="shared" si="54"/>
        <v>0</v>
      </c>
      <c r="BD28" s="992">
        <f t="shared" si="54"/>
        <v>0</v>
      </c>
      <c r="BE28" s="992">
        <f t="shared" si="54"/>
        <v>0</v>
      </c>
      <c r="BF28" s="992">
        <f t="shared" si="54"/>
        <v>0</v>
      </c>
      <c r="BG28" s="992">
        <f t="shared" si="54"/>
        <v>0</v>
      </c>
      <c r="BH28" s="992">
        <f t="shared" si="54"/>
        <v>0</v>
      </c>
      <c r="BI28" s="992">
        <f t="shared" si="54"/>
        <v>0</v>
      </c>
      <c r="BJ28" s="992">
        <f t="shared" si="54"/>
        <v>0</v>
      </c>
      <c r="BK28" s="992">
        <f t="shared" si="54"/>
        <v>0</v>
      </c>
      <c r="BL28" s="992">
        <f t="shared" si="54"/>
        <v>0</v>
      </c>
      <c r="BM28" s="992">
        <f t="shared" si="54"/>
        <v>0</v>
      </c>
      <c r="BN28" s="992">
        <f>SUM(BB28:BM28)</f>
        <v>0</v>
      </c>
      <c r="BO28" s="2835"/>
      <c r="BP28" s="992">
        <f>+SUM(BP29:BP38)</f>
        <v>0</v>
      </c>
      <c r="BQ28" s="992">
        <f t="shared" ref="BQ28:CA28" si="55">+SUM(BQ29:BQ38)</f>
        <v>0</v>
      </c>
      <c r="BR28" s="992">
        <f t="shared" si="55"/>
        <v>0</v>
      </c>
      <c r="BS28" s="992">
        <f t="shared" si="55"/>
        <v>0</v>
      </c>
      <c r="BT28" s="992">
        <f t="shared" si="55"/>
        <v>22146</v>
      </c>
      <c r="BU28" s="992">
        <f t="shared" si="55"/>
        <v>22146</v>
      </c>
      <c r="BV28" s="992">
        <f t="shared" si="55"/>
        <v>22146</v>
      </c>
      <c r="BW28" s="992">
        <f t="shared" si="55"/>
        <v>22146</v>
      </c>
      <c r="BX28" s="992">
        <f t="shared" si="55"/>
        <v>22146</v>
      </c>
      <c r="BY28" s="992">
        <f t="shared" si="55"/>
        <v>22146</v>
      </c>
      <c r="BZ28" s="992">
        <f t="shared" si="55"/>
        <v>22146</v>
      </c>
      <c r="CA28" s="992">
        <f t="shared" si="55"/>
        <v>22146</v>
      </c>
      <c r="CB28" s="992">
        <f>SUM(BP28:CA28)</f>
        <v>177168</v>
      </c>
      <c r="CC28" s="2835"/>
      <c r="CD28" s="992">
        <f t="shared" ref="CD28:CO28" si="56">+SUM(CD29:CD38)</f>
        <v>22146</v>
      </c>
      <c r="CE28" s="992">
        <f t="shared" si="56"/>
        <v>97217.694400000008</v>
      </c>
      <c r="CF28" s="992">
        <f t="shared" si="56"/>
        <v>97217.694400000008</v>
      </c>
      <c r="CG28" s="992">
        <f t="shared" si="56"/>
        <v>97217.694400000008</v>
      </c>
      <c r="CH28" s="992">
        <f t="shared" si="56"/>
        <v>97217.694400000008</v>
      </c>
      <c r="CI28" s="992">
        <f t="shared" si="56"/>
        <v>75071.694400000008</v>
      </c>
      <c r="CJ28" s="992">
        <f t="shared" si="56"/>
        <v>75071.694400000008</v>
      </c>
      <c r="CK28" s="992">
        <f t="shared" si="56"/>
        <v>75071.694400000008</v>
      </c>
      <c r="CL28" s="992">
        <f t="shared" si="56"/>
        <v>75071.694400000008</v>
      </c>
      <c r="CM28" s="992">
        <f t="shared" si="56"/>
        <v>75071.694400000008</v>
      </c>
      <c r="CN28" s="992">
        <f t="shared" si="56"/>
        <v>75071.694400000008</v>
      </c>
      <c r="CO28" s="992">
        <f t="shared" si="56"/>
        <v>75071.694400000008</v>
      </c>
      <c r="CP28" s="992">
        <f>SUM(CD28:CO28)</f>
        <v>936518.63840000029</v>
      </c>
      <c r="CQ28" s="2835"/>
      <c r="CR28" s="992">
        <f t="shared" ref="CR28:DC28" si="57">+SUM(CR29:CR38)</f>
        <v>75071.694400000008</v>
      </c>
      <c r="CS28" s="992">
        <f t="shared" si="57"/>
        <v>0</v>
      </c>
      <c r="CT28" s="992">
        <f t="shared" si="57"/>
        <v>0</v>
      </c>
      <c r="CU28" s="992">
        <f t="shared" si="57"/>
        <v>0</v>
      </c>
      <c r="CV28" s="992">
        <f t="shared" si="57"/>
        <v>0</v>
      </c>
      <c r="CW28" s="992">
        <f t="shared" si="57"/>
        <v>0</v>
      </c>
      <c r="CX28" s="992">
        <f t="shared" si="57"/>
        <v>0</v>
      </c>
      <c r="CY28" s="992">
        <f t="shared" si="57"/>
        <v>0</v>
      </c>
      <c r="CZ28" s="992">
        <f t="shared" si="57"/>
        <v>0</v>
      </c>
      <c r="DA28" s="992">
        <f t="shared" si="57"/>
        <v>0</v>
      </c>
      <c r="DB28" s="992">
        <f t="shared" si="57"/>
        <v>0</v>
      </c>
      <c r="DC28" s="992">
        <f t="shared" si="57"/>
        <v>0</v>
      </c>
      <c r="DD28" s="992">
        <f t="shared" si="16"/>
        <v>75071.694400000008</v>
      </c>
      <c r="DE28" s="2835"/>
      <c r="DF28" s="992">
        <f>+SUM(DF29:DF38)</f>
        <v>0</v>
      </c>
      <c r="DG28" s="992">
        <f>+SUM(DG29:DG38)</f>
        <v>0</v>
      </c>
      <c r="DH28" s="992">
        <f>+SUM(DH29:DH38)</f>
        <v>0</v>
      </c>
      <c r="DI28" s="3083">
        <f>SUM(DF28:DH28)</f>
        <v>0</v>
      </c>
      <c r="DJ28" s="3117">
        <f t="shared" si="17"/>
        <v>1188758.3328000002</v>
      </c>
      <c r="DL28" s="1027">
        <f>+AN28-DJ28</f>
        <v>0</v>
      </c>
      <c r="DN28" s="2727" t="s">
        <v>1180</v>
      </c>
      <c r="DO28" s="2728" t="s">
        <v>1181</v>
      </c>
      <c r="DP28" s="2728" t="s">
        <v>1117</v>
      </c>
      <c r="DQ28" s="2728" t="s">
        <v>4</v>
      </c>
      <c r="DR28" s="2728" t="str">
        <f t="shared" si="4"/>
        <v/>
      </c>
      <c r="DS28" s="1037"/>
      <c r="DT28" s="1037"/>
    </row>
    <row r="29" spans="2:124" s="1924" customFormat="1" ht="27.5" hidden="1" customHeight="1" outlineLevel="4">
      <c r="B29" s="2849"/>
      <c r="C29" s="3309"/>
      <c r="D29" s="3310" t="s">
        <v>1226</v>
      </c>
      <c r="E29" s="2846"/>
      <c r="F29" s="3310" t="s">
        <v>1227</v>
      </c>
      <c r="G29" s="2850"/>
      <c r="H29" s="3322" t="s">
        <v>1228</v>
      </c>
      <c r="I29" s="3323"/>
      <c r="J29" s="1920"/>
      <c r="K29" s="1037"/>
      <c r="L29" s="2851"/>
      <c r="M29" s="2851"/>
      <c r="N29" s="2851"/>
      <c r="O29" s="2851"/>
      <c r="P29" s="2851"/>
      <c r="Q29" s="2851"/>
      <c r="R29" s="2851"/>
      <c r="S29" s="2851"/>
      <c r="T29" s="2851"/>
      <c r="U29" s="2851"/>
      <c r="V29" s="1037"/>
      <c r="W29" s="3799" t="s">
        <v>853</v>
      </c>
      <c r="X29" s="3799"/>
      <c r="Y29" s="3853" t="s">
        <v>1193</v>
      </c>
      <c r="Z29" s="3821" t="s">
        <v>1229</v>
      </c>
      <c r="AA29" s="2511"/>
      <c r="AB29" s="2512"/>
      <c r="AC29" s="1037"/>
      <c r="AD29" s="711"/>
      <c r="AE29" s="1317">
        <v>2</v>
      </c>
      <c r="AF29" s="1317">
        <v>12</v>
      </c>
      <c r="AG29" s="2644"/>
      <c r="AH29" s="2644">
        <v>5000</v>
      </c>
      <c r="AI29" s="1048">
        <f t="shared" ref="AI29:AI38" si="58">+AE29*AF29*AH29</f>
        <v>120000</v>
      </c>
      <c r="AJ29" s="1922"/>
      <c r="AK29" s="1037"/>
      <c r="AL29" s="724">
        <f>+AI29</f>
        <v>120000</v>
      </c>
      <c r="AM29" s="1343"/>
      <c r="AN29" s="724">
        <f t="shared" si="0"/>
        <v>120000</v>
      </c>
      <c r="AO29" s="1037"/>
      <c r="AP29" s="1923"/>
      <c r="AQ29" s="1923"/>
      <c r="AR29" s="1923"/>
      <c r="AS29" s="1923"/>
      <c r="AT29" s="1923"/>
      <c r="AU29" s="1923"/>
      <c r="AV29" s="1923"/>
      <c r="AW29" s="1923"/>
      <c r="AX29" s="1923"/>
      <c r="AY29" s="1923"/>
      <c r="AZ29" s="2043">
        <f t="shared" si="9"/>
        <v>0</v>
      </c>
      <c r="BA29" s="2805"/>
      <c r="BB29" s="1194"/>
      <c r="BC29" s="1194"/>
      <c r="BD29" s="1194"/>
      <c r="BE29" s="1194"/>
      <c r="BF29" s="1194"/>
      <c r="BG29" s="1194"/>
      <c r="BH29" s="1194"/>
      <c r="BI29" s="1194"/>
      <c r="BJ29" s="1194"/>
      <c r="BK29" s="1194"/>
      <c r="BL29" s="1194"/>
      <c r="BM29" s="1194"/>
      <c r="BN29" s="2043">
        <f>SUM(BB29:BM29)</f>
        <v>0</v>
      </c>
      <c r="BO29" s="2805"/>
      <c r="BP29" s="1194"/>
      <c r="BQ29" s="1194"/>
      <c r="BR29" s="1194"/>
      <c r="BS29" s="1194"/>
      <c r="BT29" s="1194"/>
      <c r="BU29" s="1194"/>
      <c r="BV29" s="1194"/>
      <c r="BW29" s="1194"/>
      <c r="BX29" s="1194"/>
      <c r="BY29" s="1194"/>
      <c r="BZ29" s="3106"/>
      <c r="CA29" s="1194"/>
      <c r="CB29" s="2043">
        <f t="shared" si="13"/>
        <v>0</v>
      </c>
      <c r="CC29" s="2805"/>
      <c r="CD29" s="1194"/>
      <c r="CE29" s="1194">
        <f t="shared" ref="CE29:CO29" si="59">+$AE$29*$AH$29</f>
        <v>10000</v>
      </c>
      <c r="CF29" s="1194">
        <f t="shared" si="59"/>
        <v>10000</v>
      </c>
      <c r="CG29" s="1194">
        <f t="shared" si="59"/>
        <v>10000</v>
      </c>
      <c r="CH29" s="1194">
        <f t="shared" si="59"/>
        <v>10000</v>
      </c>
      <c r="CI29" s="1194">
        <f t="shared" si="59"/>
        <v>10000</v>
      </c>
      <c r="CJ29" s="1194">
        <f t="shared" si="59"/>
        <v>10000</v>
      </c>
      <c r="CK29" s="1194">
        <f t="shared" si="59"/>
        <v>10000</v>
      </c>
      <c r="CL29" s="1194">
        <f t="shared" si="59"/>
        <v>10000</v>
      </c>
      <c r="CM29" s="1194">
        <f t="shared" si="59"/>
        <v>10000</v>
      </c>
      <c r="CN29" s="1194">
        <f t="shared" si="59"/>
        <v>10000</v>
      </c>
      <c r="CO29" s="1194">
        <f t="shared" si="59"/>
        <v>10000</v>
      </c>
      <c r="CP29" s="2043">
        <f t="shared" si="23"/>
        <v>110000</v>
      </c>
      <c r="CQ29" s="2805"/>
      <c r="CR29" s="1194">
        <f t="shared" ref="CR29" si="60">+$AE$29*$AH$29</f>
        <v>10000</v>
      </c>
      <c r="CS29" s="1194"/>
      <c r="CT29" s="1194"/>
      <c r="CU29" s="988"/>
      <c r="CV29" s="988"/>
      <c r="CW29" s="988"/>
      <c r="CX29" s="988"/>
      <c r="CY29" s="988"/>
      <c r="CZ29" s="988"/>
      <c r="DA29" s="988"/>
      <c r="DB29" s="988"/>
      <c r="DC29" s="988"/>
      <c r="DD29" s="2043">
        <f t="shared" si="16"/>
        <v>10000</v>
      </c>
      <c r="DE29" s="2805"/>
      <c r="DF29" s="988"/>
      <c r="DG29" s="988"/>
      <c r="DH29" s="988"/>
      <c r="DI29" s="1914">
        <f t="shared" ref="DI29:DI38" si="61">+SUM(DF29:DH29)</f>
        <v>0</v>
      </c>
      <c r="DJ29" s="3119">
        <f>+AZ29+BN29+CB29+CP29+DD29+DI29</f>
        <v>120000</v>
      </c>
      <c r="DL29" s="1027">
        <f>+AN29-DJ29</f>
        <v>0</v>
      </c>
      <c r="DN29" s="2729"/>
      <c r="DO29" s="2730"/>
      <c r="DP29" s="2730"/>
      <c r="DQ29" s="2730"/>
      <c r="DR29" s="2730" t="str">
        <f t="shared" si="4"/>
        <v>1</v>
      </c>
      <c r="DS29" s="1037"/>
      <c r="DT29" s="1037"/>
    </row>
    <row r="30" spans="2:124" s="1924" customFormat="1" ht="14.5" hidden="1" customHeight="1" outlineLevel="4">
      <c r="B30" s="2849"/>
      <c r="C30" s="3309"/>
      <c r="D30" s="3310" t="s">
        <v>1230</v>
      </c>
      <c r="E30" s="2846"/>
      <c r="F30" s="3310" t="s">
        <v>1231</v>
      </c>
      <c r="G30" s="2850"/>
      <c r="H30" s="3322" t="s">
        <v>1232</v>
      </c>
      <c r="I30" s="3323"/>
      <c r="J30" s="1920"/>
      <c r="K30" s="1037"/>
      <c r="L30" s="2851"/>
      <c r="M30" s="2851"/>
      <c r="N30" s="2851"/>
      <c r="O30" s="2851"/>
      <c r="P30" s="2851"/>
      <c r="Q30" s="2851"/>
      <c r="R30" s="2851"/>
      <c r="S30" s="2851"/>
      <c r="T30" s="2851"/>
      <c r="U30" s="2851"/>
      <c r="V30" s="1037"/>
      <c r="W30" s="3800"/>
      <c r="X30" s="3800"/>
      <c r="Y30" s="3854"/>
      <c r="Z30" s="3822"/>
      <c r="AA30" s="2511"/>
      <c r="AB30" s="2512"/>
      <c r="AC30" s="1037"/>
      <c r="AD30" s="711"/>
      <c r="AE30" s="1317">
        <v>4</v>
      </c>
      <c r="AF30" s="1317">
        <v>12</v>
      </c>
      <c r="AG30" s="2644"/>
      <c r="AH30" s="2644">
        <v>5000</v>
      </c>
      <c r="AI30" s="1048">
        <f t="shared" si="58"/>
        <v>240000</v>
      </c>
      <c r="AJ30" s="1922"/>
      <c r="AK30" s="1037"/>
      <c r="AL30" s="724">
        <f t="shared" ref="AL30:AL38" si="62">+AI30</f>
        <v>240000</v>
      </c>
      <c r="AM30" s="1343"/>
      <c r="AN30" s="724">
        <f t="shared" si="0"/>
        <v>240000</v>
      </c>
      <c r="AO30" s="1037"/>
      <c r="AP30" s="1923"/>
      <c r="AQ30" s="1923"/>
      <c r="AR30" s="1923"/>
      <c r="AS30" s="1923"/>
      <c r="AT30" s="1923"/>
      <c r="AU30" s="1923"/>
      <c r="AV30" s="1923"/>
      <c r="AW30" s="1923"/>
      <c r="AX30" s="1923"/>
      <c r="AY30" s="1923"/>
      <c r="AZ30" s="2043">
        <f t="shared" si="9"/>
        <v>0</v>
      </c>
      <c r="BA30" s="2805"/>
      <c r="BB30" s="1194"/>
      <c r="BC30" s="1194"/>
      <c r="BD30" s="1194"/>
      <c r="BE30" s="1194"/>
      <c r="BF30" s="1194"/>
      <c r="BG30" s="1194"/>
      <c r="BH30" s="1194"/>
      <c r="BI30" s="1194"/>
      <c r="BJ30" s="1194"/>
      <c r="BK30" s="1194"/>
      <c r="BL30" s="1194"/>
      <c r="BM30" s="1194"/>
      <c r="BN30" s="2043">
        <f t="shared" si="11"/>
        <v>0</v>
      </c>
      <c r="BO30" s="2805"/>
      <c r="BP30" s="1194"/>
      <c r="BQ30" s="1194"/>
      <c r="BR30" s="1194"/>
      <c r="BS30" s="1194"/>
      <c r="BT30" s="1194"/>
      <c r="BU30" s="1194"/>
      <c r="BV30" s="1194"/>
      <c r="BW30" s="1194"/>
      <c r="BX30" s="1194"/>
      <c r="BY30" s="1194"/>
      <c r="BZ30" s="3106"/>
      <c r="CA30" s="1194"/>
      <c r="CB30" s="2043">
        <f t="shared" si="13"/>
        <v>0</v>
      </c>
      <c r="CC30" s="2805"/>
      <c r="CD30" s="1194"/>
      <c r="CE30" s="1194">
        <f t="shared" ref="CE30:CO30" si="63">+$AE$30*$AH$30</f>
        <v>20000</v>
      </c>
      <c r="CF30" s="1194">
        <f t="shared" si="63"/>
        <v>20000</v>
      </c>
      <c r="CG30" s="1194">
        <f t="shared" si="63"/>
        <v>20000</v>
      </c>
      <c r="CH30" s="1194">
        <f t="shared" si="63"/>
        <v>20000</v>
      </c>
      <c r="CI30" s="1194">
        <f t="shared" si="63"/>
        <v>20000</v>
      </c>
      <c r="CJ30" s="1194">
        <f t="shared" si="63"/>
        <v>20000</v>
      </c>
      <c r="CK30" s="1194">
        <f t="shared" si="63"/>
        <v>20000</v>
      </c>
      <c r="CL30" s="1194">
        <f t="shared" si="63"/>
        <v>20000</v>
      </c>
      <c r="CM30" s="1194">
        <f t="shared" si="63"/>
        <v>20000</v>
      </c>
      <c r="CN30" s="1194">
        <f t="shared" si="63"/>
        <v>20000</v>
      </c>
      <c r="CO30" s="1194">
        <f t="shared" si="63"/>
        <v>20000</v>
      </c>
      <c r="CP30" s="2043">
        <f t="shared" si="23"/>
        <v>220000</v>
      </c>
      <c r="CQ30" s="2805"/>
      <c r="CR30" s="1194">
        <f t="shared" ref="CR30" si="64">+$AE$30*$AH$30</f>
        <v>20000</v>
      </c>
      <c r="CS30" s="1194"/>
      <c r="CT30" s="1194"/>
      <c r="CU30" s="988"/>
      <c r="CV30" s="988"/>
      <c r="CW30" s="988"/>
      <c r="CX30" s="988"/>
      <c r="CY30" s="988"/>
      <c r="CZ30" s="988"/>
      <c r="DA30" s="988"/>
      <c r="DB30" s="988"/>
      <c r="DC30" s="988"/>
      <c r="DD30" s="2043">
        <f t="shared" si="16"/>
        <v>20000</v>
      </c>
      <c r="DE30" s="2805"/>
      <c r="DF30" s="988"/>
      <c r="DG30" s="988"/>
      <c r="DH30" s="988"/>
      <c r="DI30" s="1914">
        <f t="shared" si="61"/>
        <v>0</v>
      </c>
      <c r="DJ30" s="3119">
        <f t="shared" si="17"/>
        <v>240000</v>
      </c>
      <c r="DL30" s="1027">
        <f>+AN30-DJ30</f>
        <v>0</v>
      </c>
      <c r="DN30" s="2729"/>
      <c r="DO30" s="2730"/>
      <c r="DP30" s="2730"/>
      <c r="DQ30" s="2730"/>
      <c r="DR30" s="2730"/>
      <c r="DS30" s="1037"/>
      <c r="DT30" s="1037"/>
    </row>
    <row r="31" spans="2:124" s="1924" customFormat="1" ht="14.5" hidden="1" customHeight="1" outlineLevel="4">
      <c r="B31" s="2849"/>
      <c r="C31" s="3309"/>
      <c r="D31" s="3310" t="s">
        <v>1233</v>
      </c>
      <c r="E31" s="2846"/>
      <c r="F31" s="3310" t="s">
        <v>1234</v>
      </c>
      <c r="G31" s="2850"/>
      <c r="H31" s="3322" t="s">
        <v>1235</v>
      </c>
      <c r="I31" s="3323"/>
      <c r="J31" s="1920"/>
      <c r="K31" s="1037"/>
      <c r="L31" s="2851"/>
      <c r="M31" s="2851"/>
      <c r="N31" s="2851"/>
      <c r="O31" s="2851"/>
      <c r="P31" s="2851"/>
      <c r="Q31" s="2851"/>
      <c r="R31" s="2851"/>
      <c r="S31" s="2851"/>
      <c r="T31" s="2851"/>
      <c r="U31" s="2851"/>
      <c r="V31" s="1037"/>
      <c r="W31" s="3800"/>
      <c r="X31" s="3800"/>
      <c r="Y31" s="3854"/>
      <c r="Z31" s="3822"/>
      <c r="AA31" s="2511"/>
      <c r="AB31" s="2512"/>
      <c r="AC31" s="1037"/>
      <c r="AD31" s="711"/>
      <c r="AE31" s="1317">
        <v>4</v>
      </c>
      <c r="AF31" s="1317">
        <v>12</v>
      </c>
      <c r="AG31" s="2644"/>
      <c r="AH31" s="2644">
        <v>5000</v>
      </c>
      <c r="AI31" s="1048">
        <f t="shared" si="58"/>
        <v>240000</v>
      </c>
      <c r="AJ31" s="1922"/>
      <c r="AK31" s="1037"/>
      <c r="AL31" s="724">
        <f t="shared" si="62"/>
        <v>240000</v>
      </c>
      <c r="AM31" s="1343"/>
      <c r="AN31" s="724">
        <f t="shared" si="0"/>
        <v>240000</v>
      </c>
      <c r="AO31" s="1037"/>
      <c r="AP31" s="1923"/>
      <c r="AQ31" s="1923"/>
      <c r="AR31" s="1923"/>
      <c r="AS31" s="1923"/>
      <c r="AT31" s="1923"/>
      <c r="AU31" s="1923"/>
      <c r="AV31" s="1923"/>
      <c r="AW31" s="1923"/>
      <c r="AX31" s="1923"/>
      <c r="AY31" s="1923"/>
      <c r="AZ31" s="2043">
        <f t="shared" si="9"/>
        <v>0</v>
      </c>
      <c r="BA31" s="2805"/>
      <c r="BB31" s="1194"/>
      <c r="BC31" s="1194"/>
      <c r="BD31" s="1194"/>
      <c r="BE31" s="1194"/>
      <c r="BF31" s="1194"/>
      <c r="BG31" s="1194"/>
      <c r="BH31" s="1194"/>
      <c r="BI31" s="1194"/>
      <c r="BJ31" s="1194"/>
      <c r="BK31" s="1194"/>
      <c r="BL31" s="1194"/>
      <c r="BM31" s="1194"/>
      <c r="BN31" s="2043">
        <f t="shared" si="11"/>
        <v>0</v>
      </c>
      <c r="BO31" s="2805"/>
      <c r="BP31" s="1194"/>
      <c r="BQ31" s="1194"/>
      <c r="BR31" s="1194"/>
      <c r="BS31" s="1194"/>
      <c r="BT31" s="1194"/>
      <c r="BU31" s="1194"/>
      <c r="BV31" s="1194"/>
      <c r="BW31" s="1194"/>
      <c r="BX31" s="1194"/>
      <c r="BY31" s="1194"/>
      <c r="BZ31" s="3106"/>
      <c r="CA31" s="1194"/>
      <c r="CB31" s="2043">
        <f t="shared" si="13"/>
        <v>0</v>
      </c>
      <c r="CC31" s="2805"/>
      <c r="CD31" s="1194"/>
      <c r="CE31" s="1194">
        <f t="shared" ref="CE31:CO31" si="65">+$AE$31*$AH$31</f>
        <v>20000</v>
      </c>
      <c r="CF31" s="1194">
        <f t="shared" si="65"/>
        <v>20000</v>
      </c>
      <c r="CG31" s="1194">
        <f t="shared" si="65"/>
        <v>20000</v>
      </c>
      <c r="CH31" s="1194">
        <f t="shared" si="65"/>
        <v>20000</v>
      </c>
      <c r="CI31" s="1194">
        <f t="shared" si="65"/>
        <v>20000</v>
      </c>
      <c r="CJ31" s="1194">
        <f t="shared" si="65"/>
        <v>20000</v>
      </c>
      <c r="CK31" s="1194">
        <f t="shared" si="65"/>
        <v>20000</v>
      </c>
      <c r="CL31" s="1194">
        <f t="shared" si="65"/>
        <v>20000</v>
      </c>
      <c r="CM31" s="1194">
        <f t="shared" si="65"/>
        <v>20000</v>
      </c>
      <c r="CN31" s="1194">
        <f t="shared" si="65"/>
        <v>20000</v>
      </c>
      <c r="CO31" s="1194">
        <f t="shared" si="65"/>
        <v>20000</v>
      </c>
      <c r="CP31" s="2043">
        <f t="shared" si="23"/>
        <v>220000</v>
      </c>
      <c r="CQ31" s="2805"/>
      <c r="CR31" s="1194">
        <f t="shared" ref="CR31" si="66">+$AE$31*$AH$31</f>
        <v>20000</v>
      </c>
      <c r="CS31" s="1194"/>
      <c r="CT31" s="1194"/>
      <c r="CU31" s="988"/>
      <c r="CV31" s="988"/>
      <c r="CW31" s="988"/>
      <c r="CX31" s="988"/>
      <c r="CY31" s="988"/>
      <c r="CZ31" s="988"/>
      <c r="DA31" s="988"/>
      <c r="DB31" s="988"/>
      <c r="DC31" s="988"/>
      <c r="DD31" s="2043">
        <f t="shared" si="16"/>
        <v>20000</v>
      </c>
      <c r="DE31" s="2805"/>
      <c r="DF31" s="988"/>
      <c r="DG31" s="988"/>
      <c r="DH31" s="988"/>
      <c r="DI31" s="1914">
        <f t="shared" si="61"/>
        <v>0</v>
      </c>
      <c r="DJ31" s="3119">
        <f t="shared" si="17"/>
        <v>240000</v>
      </c>
      <c r="DL31" s="1027">
        <f t="shared" si="7"/>
        <v>0</v>
      </c>
      <c r="DN31" s="2729"/>
      <c r="DO31" s="2730"/>
      <c r="DP31" s="2730"/>
      <c r="DQ31" s="2730"/>
      <c r="DR31" s="2730"/>
      <c r="DS31" s="1037"/>
      <c r="DT31" s="1037"/>
    </row>
    <row r="32" spans="2:124" s="1924" customFormat="1" ht="14.5" hidden="1" customHeight="1" outlineLevel="4">
      <c r="B32" s="2849"/>
      <c r="C32" s="3309"/>
      <c r="D32" s="3310" t="s">
        <v>1236</v>
      </c>
      <c r="E32" s="2846"/>
      <c r="F32" s="3310" t="s">
        <v>1237</v>
      </c>
      <c r="G32" s="2850"/>
      <c r="H32" s="3322" t="s">
        <v>1238</v>
      </c>
      <c r="I32" s="3323"/>
      <c r="J32" s="1920"/>
      <c r="K32" s="1037"/>
      <c r="L32" s="2851"/>
      <c r="M32" s="2851"/>
      <c r="N32" s="2851"/>
      <c r="O32" s="2851"/>
      <c r="P32" s="2851"/>
      <c r="Q32" s="2851"/>
      <c r="R32" s="2851"/>
      <c r="S32" s="2851"/>
      <c r="T32" s="2851"/>
      <c r="U32" s="2851"/>
      <c r="V32" s="1037"/>
      <c r="W32" s="3800"/>
      <c r="X32" s="3800"/>
      <c r="Y32" s="3854"/>
      <c r="Z32" s="3822"/>
      <c r="AA32" s="2511"/>
      <c r="AB32" s="2512"/>
      <c r="AC32" s="1037"/>
      <c r="AD32" s="711"/>
      <c r="AE32" s="1317">
        <v>4</v>
      </c>
      <c r="AF32" s="1317">
        <v>12</v>
      </c>
      <c r="AG32" s="2644"/>
      <c r="AH32" s="2644">
        <v>4121.9236000000001</v>
      </c>
      <c r="AI32" s="1048">
        <f t="shared" si="58"/>
        <v>197852.3328</v>
      </c>
      <c r="AJ32" s="1922"/>
      <c r="AK32" s="1037"/>
      <c r="AL32" s="724">
        <f t="shared" si="62"/>
        <v>197852.3328</v>
      </c>
      <c r="AM32" s="1343"/>
      <c r="AN32" s="724">
        <f t="shared" si="0"/>
        <v>197852.3328</v>
      </c>
      <c r="AO32" s="1037"/>
      <c r="AP32" s="1923"/>
      <c r="AQ32" s="1923"/>
      <c r="AR32" s="1923"/>
      <c r="AS32" s="1923"/>
      <c r="AT32" s="1923"/>
      <c r="AU32" s="1923"/>
      <c r="AV32" s="1923"/>
      <c r="AW32" s="1923"/>
      <c r="AX32" s="1923"/>
      <c r="AY32" s="1923"/>
      <c r="AZ32" s="2043">
        <f t="shared" si="9"/>
        <v>0</v>
      </c>
      <c r="BA32" s="2805"/>
      <c r="BB32" s="1194"/>
      <c r="BC32" s="1194"/>
      <c r="BD32" s="1194"/>
      <c r="BE32" s="1194"/>
      <c r="BF32" s="1194"/>
      <c r="BG32" s="1194"/>
      <c r="BH32" s="1194"/>
      <c r="BI32" s="1194"/>
      <c r="BJ32" s="1194"/>
      <c r="BK32" s="1194"/>
      <c r="BL32" s="1194"/>
      <c r="BM32" s="1194"/>
      <c r="BN32" s="2043">
        <f t="shared" si="11"/>
        <v>0</v>
      </c>
      <c r="BO32" s="2805"/>
      <c r="BP32" s="1194"/>
      <c r="BQ32" s="1194"/>
      <c r="BR32" s="1194"/>
      <c r="BS32" s="1194"/>
      <c r="BT32" s="1194"/>
      <c r="BU32" s="1194"/>
      <c r="BV32" s="1194"/>
      <c r="BW32" s="1194"/>
      <c r="BX32" s="1194"/>
      <c r="BY32" s="1194"/>
      <c r="BZ32" s="3106"/>
      <c r="CA32" s="1194"/>
      <c r="CB32" s="2043">
        <f t="shared" si="13"/>
        <v>0</v>
      </c>
      <c r="CC32" s="2805"/>
      <c r="CD32" s="1194"/>
      <c r="CE32" s="1194">
        <f t="shared" ref="CE32:CO32" si="67">+$AE$32*$AH$32</f>
        <v>16487.6944</v>
      </c>
      <c r="CF32" s="1194">
        <f t="shared" si="67"/>
        <v>16487.6944</v>
      </c>
      <c r="CG32" s="1194">
        <f t="shared" si="67"/>
        <v>16487.6944</v>
      </c>
      <c r="CH32" s="1194">
        <f t="shared" si="67"/>
        <v>16487.6944</v>
      </c>
      <c r="CI32" s="1194">
        <f t="shared" si="67"/>
        <v>16487.6944</v>
      </c>
      <c r="CJ32" s="1194">
        <f t="shared" si="67"/>
        <v>16487.6944</v>
      </c>
      <c r="CK32" s="1194">
        <f t="shared" si="67"/>
        <v>16487.6944</v>
      </c>
      <c r="CL32" s="1194">
        <f t="shared" si="67"/>
        <v>16487.6944</v>
      </c>
      <c r="CM32" s="1194">
        <f t="shared" si="67"/>
        <v>16487.6944</v>
      </c>
      <c r="CN32" s="1194">
        <f t="shared" si="67"/>
        <v>16487.6944</v>
      </c>
      <c r="CO32" s="1194">
        <f t="shared" si="67"/>
        <v>16487.6944</v>
      </c>
      <c r="CP32" s="2043">
        <f t="shared" si="23"/>
        <v>181364.63840000005</v>
      </c>
      <c r="CQ32" s="2805"/>
      <c r="CR32" s="1194">
        <f t="shared" ref="CR32" si="68">+$AE$32*$AH$32</f>
        <v>16487.6944</v>
      </c>
      <c r="CS32" s="1194"/>
      <c r="CT32" s="1194"/>
      <c r="CU32" s="988"/>
      <c r="CV32" s="988"/>
      <c r="CW32" s="988"/>
      <c r="CX32" s="988"/>
      <c r="CY32" s="988"/>
      <c r="CZ32" s="988"/>
      <c r="DA32" s="988"/>
      <c r="DB32" s="988"/>
      <c r="DC32" s="988"/>
      <c r="DD32" s="2043">
        <f t="shared" si="16"/>
        <v>16487.6944</v>
      </c>
      <c r="DE32" s="2805"/>
      <c r="DF32" s="988"/>
      <c r="DG32" s="988"/>
      <c r="DH32" s="988"/>
      <c r="DI32" s="1914">
        <f t="shared" si="61"/>
        <v>0</v>
      </c>
      <c r="DJ32" s="3119">
        <f t="shared" si="17"/>
        <v>197852.33280000006</v>
      </c>
      <c r="DL32" s="1027">
        <f t="shared" si="7"/>
        <v>0</v>
      </c>
      <c r="DN32" s="2729"/>
      <c r="DO32" s="2730"/>
      <c r="DP32" s="2730"/>
      <c r="DQ32" s="2730"/>
      <c r="DR32" s="2730"/>
      <c r="DS32" s="1037"/>
      <c r="DT32" s="1037"/>
    </row>
    <row r="33" spans="2:124" s="1924" customFormat="1" ht="30" hidden="1" outlineLevel="4">
      <c r="B33" s="2849"/>
      <c r="C33" s="3309"/>
      <c r="D33" s="3310" t="s">
        <v>1239</v>
      </c>
      <c r="E33" s="2846"/>
      <c r="F33" s="3310" t="s">
        <v>1240</v>
      </c>
      <c r="G33" s="2850"/>
      <c r="H33" s="3322" t="s">
        <v>1241</v>
      </c>
      <c r="I33" s="3323"/>
      <c r="J33" s="1920"/>
      <c r="K33" s="1037"/>
      <c r="L33" s="2851"/>
      <c r="M33" s="2851"/>
      <c r="N33" s="2851"/>
      <c r="O33" s="2851"/>
      <c r="P33" s="2851"/>
      <c r="Q33" s="2851"/>
      <c r="R33" s="2851"/>
      <c r="S33" s="2851"/>
      <c r="T33" s="2851"/>
      <c r="U33" s="2851"/>
      <c r="V33" s="1037"/>
      <c r="W33" s="3800"/>
      <c r="X33" s="3800"/>
      <c r="Y33" s="3854"/>
      <c r="Z33" s="3856"/>
      <c r="AA33" s="2511"/>
      <c r="AB33" s="2512"/>
      <c r="AC33" s="1037"/>
      <c r="AD33" s="711" t="s">
        <v>1189</v>
      </c>
      <c r="AE33" s="2990">
        <v>4</v>
      </c>
      <c r="AF33" s="2990">
        <v>12</v>
      </c>
      <c r="AG33" s="2651"/>
      <c r="AH33" s="1386">
        <v>2146</v>
      </c>
      <c r="AI33" s="1386">
        <f t="shared" si="58"/>
        <v>103008</v>
      </c>
      <c r="AJ33" s="1922"/>
      <c r="AK33" s="1037"/>
      <c r="AL33" s="724">
        <f t="shared" si="62"/>
        <v>103008</v>
      </c>
      <c r="AM33" s="1343"/>
      <c r="AN33" s="724">
        <f t="shared" si="0"/>
        <v>103008</v>
      </c>
      <c r="AO33" s="1037"/>
      <c r="AP33" s="1923"/>
      <c r="AQ33" s="1923"/>
      <c r="AR33" s="1923"/>
      <c r="AS33" s="1923"/>
      <c r="AT33" s="1923"/>
      <c r="AU33" s="1923"/>
      <c r="AV33" s="1923"/>
      <c r="AW33" s="1923"/>
      <c r="AX33" s="1923"/>
      <c r="AY33" s="1923"/>
      <c r="AZ33" s="2043">
        <f t="shared" si="9"/>
        <v>0</v>
      </c>
      <c r="BA33" s="2805"/>
      <c r="BB33" s="1194"/>
      <c r="BC33" s="1194"/>
      <c r="BD33" s="1194"/>
      <c r="BE33" s="1194"/>
      <c r="BF33" s="1194"/>
      <c r="BG33" s="1194"/>
      <c r="BH33" s="1194"/>
      <c r="BI33" s="1194"/>
      <c r="BJ33" s="1194"/>
      <c r="BK33" s="1194"/>
      <c r="BL33" s="1194"/>
      <c r="BM33" s="1194"/>
      <c r="BN33" s="2043">
        <f t="shared" si="11"/>
        <v>0</v>
      </c>
      <c r="BO33" s="2805"/>
      <c r="BP33" s="1194"/>
      <c r="BQ33" s="1194"/>
      <c r="BR33" s="1194"/>
      <c r="BS33" s="1194"/>
      <c r="BT33" s="1194"/>
      <c r="BU33" s="1194"/>
      <c r="BV33" s="1194"/>
      <c r="BW33" s="1194"/>
      <c r="BX33" s="1194"/>
      <c r="BY33" s="1194"/>
      <c r="BZ33" s="3106"/>
      <c r="CA33" s="1194"/>
      <c r="CB33" s="2043">
        <f t="shared" si="13"/>
        <v>0</v>
      </c>
      <c r="CC33" s="2805"/>
      <c r="CD33" s="1194"/>
      <c r="CE33" s="1194">
        <f t="shared" ref="CE33:CO33" si="69">+$AE$33*$AH$33</f>
        <v>8584</v>
      </c>
      <c r="CF33" s="1194">
        <f t="shared" si="69"/>
        <v>8584</v>
      </c>
      <c r="CG33" s="1194">
        <f t="shared" si="69"/>
        <v>8584</v>
      </c>
      <c r="CH33" s="1194">
        <f t="shared" si="69"/>
        <v>8584</v>
      </c>
      <c r="CI33" s="1194">
        <f t="shared" si="69"/>
        <v>8584</v>
      </c>
      <c r="CJ33" s="1194">
        <f t="shared" si="69"/>
        <v>8584</v>
      </c>
      <c r="CK33" s="1194">
        <f t="shared" si="69"/>
        <v>8584</v>
      </c>
      <c r="CL33" s="1194">
        <f t="shared" si="69"/>
        <v>8584</v>
      </c>
      <c r="CM33" s="1194">
        <f t="shared" si="69"/>
        <v>8584</v>
      </c>
      <c r="CN33" s="1194">
        <f t="shared" si="69"/>
        <v>8584</v>
      </c>
      <c r="CO33" s="1194">
        <f t="shared" si="69"/>
        <v>8584</v>
      </c>
      <c r="CP33" s="2043">
        <f t="shared" si="23"/>
        <v>94424</v>
      </c>
      <c r="CQ33" s="2805"/>
      <c r="CR33" s="1194">
        <f t="shared" ref="CR33" si="70">+$AE$33*$AH$33</f>
        <v>8584</v>
      </c>
      <c r="CS33" s="1194"/>
      <c r="CT33" s="1194"/>
      <c r="CU33" s="988"/>
      <c r="CV33" s="988"/>
      <c r="CW33" s="988"/>
      <c r="CX33" s="988"/>
      <c r="CY33" s="988"/>
      <c r="CZ33" s="988"/>
      <c r="DA33" s="988"/>
      <c r="DB33" s="988"/>
      <c r="DC33" s="988"/>
      <c r="DD33" s="2043">
        <f t="shared" si="16"/>
        <v>8584</v>
      </c>
      <c r="DE33" s="2805"/>
      <c r="DF33" s="988"/>
      <c r="DG33" s="988"/>
      <c r="DH33" s="988"/>
      <c r="DI33" s="1914">
        <f t="shared" si="61"/>
        <v>0</v>
      </c>
      <c r="DJ33" s="3119">
        <f t="shared" si="17"/>
        <v>103008</v>
      </c>
      <c r="DL33" s="1027">
        <f t="shared" si="7"/>
        <v>0</v>
      </c>
      <c r="DN33" s="2729"/>
      <c r="DO33" s="2730"/>
      <c r="DP33" s="2730"/>
      <c r="DQ33" s="2730"/>
      <c r="DR33" s="2730"/>
      <c r="DS33" s="1037"/>
      <c r="DT33" s="1037"/>
    </row>
    <row r="34" spans="2:124" s="1924" customFormat="1" ht="45" hidden="1" outlineLevel="4">
      <c r="B34" s="2849"/>
      <c r="C34" s="3309"/>
      <c r="D34" s="3324"/>
      <c r="E34" s="2846"/>
      <c r="F34" s="3310" t="s">
        <v>1242</v>
      </c>
      <c r="G34" s="2850"/>
      <c r="H34" s="3322" t="s">
        <v>1228</v>
      </c>
      <c r="I34" s="3319"/>
      <c r="J34" s="103"/>
      <c r="K34" s="2783"/>
      <c r="L34" s="364"/>
      <c r="M34" s="364"/>
      <c r="N34" s="364"/>
      <c r="O34" s="364"/>
      <c r="P34" s="364"/>
      <c r="Q34" s="364"/>
      <c r="R34" s="364"/>
      <c r="S34" s="364"/>
      <c r="T34" s="364"/>
      <c r="U34" s="364"/>
      <c r="V34" s="2783"/>
      <c r="W34" s="2924" t="s">
        <v>763</v>
      </c>
      <c r="X34" s="2924" t="s">
        <v>1075</v>
      </c>
      <c r="Y34" s="1481" t="s">
        <v>1187</v>
      </c>
      <c r="Z34" s="2924" t="s">
        <v>1243</v>
      </c>
      <c r="AA34" s="2511"/>
      <c r="AB34" s="2512"/>
      <c r="AC34" s="1037"/>
      <c r="AD34" s="711" t="s">
        <v>1189</v>
      </c>
      <c r="AE34" s="2990">
        <v>1</v>
      </c>
      <c r="AF34" s="2990">
        <v>13</v>
      </c>
      <c r="AG34" s="2651"/>
      <c r="AH34" s="1386">
        <v>5000</v>
      </c>
      <c r="AI34" s="1386">
        <f t="shared" si="58"/>
        <v>65000</v>
      </c>
      <c r="AJ34" s="530" t="s">
        <v>1244</v>
      </c>
      <c r="AK34" s="1037"/>
      <c r="AL34" s="724">
        <f t="shared" si="62"/>
        <v>65000</v>
      </c>
      <c r="AM34" s="1343"/>
      <c r="AN34" s="724">
        <f t="shared" si="0"/>
        <v>65000</v>
      </c>
      <c r="AO34" s="1037"/>
      <c r="AP34" s="1923"/>
      <c r="AQ34" s="1923"/>
      <c r="AR34" s="1923"/>
      <c r="AS34" s="1923"/>
      <c r="AT34" s="1923"/>
      <c r="AU34" s="1923"/>
      <c r="AV34" s="1923"/>
      <c r="AW34" s="1923"/>
      <c r="AX34" s="1923"/>
      <c r="AY34" s="1923"/>
      <c r="AZ34" s="2043">
        <f>SUM(AP34:AY34)</f>
        <v>0</v>
      </c>
      <c r="BA34" s="2805"/>
      <c r="BB34" s="1194"/>
      <c r="BC34" s="1194"/>
      <c r="BD34" s="1194"/>
      <c r="BE34" s="1194"/>
      <c r="BF34" s="1194"/>
      <c r="BG34" s="1194"/>
      <c r="BH34" s="1194"/>
      <c r="BI34" s="1194"/>
      <c r="BJ34" s="1194"/>
      <c r="BK34" s="1194"/>
      <c r="BL34" s="1194"/>
      <c r="BM34" s="1194"/>
      <c r="BN34" s="2043">
        <f t="shared" si="11"/>
        <v>0</v>
      </c>
      <c r="BO34" s="2805"/>
      <c r="BP34" s="1194"/>
      <c r="BQ34" s="1194"/>
      <c r="BR34" s="1194"/>
      <c r="BS34" s="1194"/>
      <c r="BT34" s="1194">
        <f t="shared" ref="BT34:CA34" si="71">+$AI$34/$AF$34</f>
        <v>5000</v>
      </c>
      <c r="BU34" s="1194">
        <f t="shared" si="71"/>
        <v>5000</v>
      </c>
      <c r="BV34" s="1194">
        <f t="shared" si="71"/>
        <v>5000</v>
      </c>
      <c r="BW34" s="1194">
        <f t="shared" si="71"/>
        <v>5000</v>
      </c>
      <c r="BX34" s="1194">
        <f t="shared" si="71"/>
        <v>5000</v>
      </c>
      <c r="BY34" s="1194">
        <f t="shared" si="71"/>
        <v>5000</v>
      </c>
      <c r="BZ34" s="1194">
        <f t="shared" si="71"/>
        <v>5000</v>
      </c>
      <c r="CA34" s="1194">
        <f t="shared" si="71"/>
        <v>5000</v>
      </c>
      <c r="CB34" s="2043">
        <f t="shared" si="13"/>
        <v>40000</v>
      </c>
      <c r="CC34" s="2805"/>
      <c r="CD34" s="1194">
        <f>+$AI$34/$AF$34</f>
        <v>5000</v>
      </c>
      <c r="CE34" s="1194">
        <f>+$AI$34/$AF$34</f>
        <v>5000</v>
      </c>
      <c r="CF34" s="1194">
        <f>+$AI$34/$AF$34</f>
        <v>5000</v>
      </c>
      <c r="CG34" s="1194">
        <f>+$AI$34/$AF$34</f>
        <v>5000</v>
      </c>
      <c r="CH34" s="1194">
        <f t="shared" ref="CH34" si="72">+$AI$34/$AF$34</f>
        <v>5000</v>
      </c>
      <c r="CI34" s="1194"/>
      <c r="CJ34" s="1194"/>
      <c r="CK34" s="1194"/>
      <c r="CL34" s="1194"/>
      <c r="CM34" s="1194"/>
      <c r="CN34" s="1194"/>
      <c r="CO34" s="988"/>
      <c r="CP34" s="2043">
        <f t="shared" si="23"/>
        <v>25000</v>
      </c>
      <c r="CQ34" s="2805"/>
      <c r="CR34" s="988"/>
      <c r="CS34" s="988"/>
      <c r="CT34" s="988"/>
      <c r="CU34" s="988"/>
      <c r="CV34" s="988"/>
      <c r="CW34" s="988"/>
      <c r="CX34" s="988"/>
      <c r="CY34" s="988"/>
      <c r="CZ34" s="988"/>
      <c r="DA34" s="988"/>
      <c r="DB34" s="988"/>
      <c r="DC34" s="988"/>
      <c r="DD34" s="2043">
        <f t="shared" si="16"/>
        <v>0</v>
      </c>
      <c r="DE34" s="2805"/>
      <c r="DF34" s="988"/>
      <c r="DG34" s="988"/>
      <c r="DH34" s="988"/>
      <c r="DI34" s="1914">
        <f t="shared" si="61"/>
        <v>0</v>
      </c>
      <c r="DJ34" s="3119">
        <f t="shared" si="17"/>
        <v>65000</v>
      </c>
      <c r="DL34" s="1027">
        <f t="shared" si="7"/>
        <v>0</v>
      </c>
      <c r="DN34" s="2729"/>
      <c r="DO34" s="2730"/>
      <c r="DP34" s="2730"/>
      <c r="DQ34" s="2730"/>
      <c r="DR34" s="2730"/>
      <c r="DS34" s="1037"/>
      <c r="DT34" s="1037"/>
    </row>
    <row r="35" spans="2:124" s="1924" customFormat="1" ht="45" hidden="1" outlineLevel="4">
      <c r="B35" s="2849"/>
      <c r="C35" s="3309"/>
      <c r="D35" s="3324"/>
      <c r="E35" s="2846"/>
      <c r="F35" s="3310" t="s">
        <v>1245</v>
      </c>
      <c r="G35" s="2850"/>
      <c r="H35" s="3322" t="s">
        <v>1232</v>
      </c>
      <c r="I35" s="3319"/>
      <c r="J35" s="103"/>
      <c r="K35" s="2783"/>
      <c r="L35" s="364"/>
      <c r="M35" s="364"/>
      <c r="N35" s="364"/>
      <c r="O35" s="364"/>
      <c r="P35" s="364"/>
      <c r="Q35" s="364"/>
      <c r="R35" s="364"/>
      <c r="S35" s="364"/>
      <c r="T35" s="364"/>
      <c r="U35" s="364"/>
      <c r="V35" s="2783"/>
      <c r="W35" s="2924" t="s">
        <v>763</v>
      </c>
      <c r="X35" s="2924" t="s">
        <v>1075</v>
      </c>
      <c r="Y35" s="1481" t="s">
        <v>1187</v>
      </c>
      <c r="Z35" s="2924" t="s">
        <v>1246</v>
      </c>
      <c r="AA35" s="2511"/>
      <c r="AB35" s="2512"/>
      <c r="AC35" s="1037"/>
      <c r="AD35" s="711" t="s">
        <v>1189</v>
      </c>
      <c r="AE35" s="2990">
        <v>1</v>
      </c>
      <c r="AF35" s="2990">
        <v>13</v>
      </c>
      <c r="AG35" s="2651"/>
      <c r="AH35" s="1386">
        <v>5000</v>
      </c>
      <c r="AI35" s="1386">
        <f t="shared" si="58"/>
        <v>65000</v>
      </c>
      <c r="AJ35" s="530" t="s">
        <v>1244</v>
      </c>
      <c r="AK35" s="1037"/>
      <c r="AL35" s="724">
        <f t="shared" si="62"/>
        <v>65000</v>
      </c>
      <c r="AM35" s="1343"/>
      <c r="AN35" s="724">
        <f t="shared" si="0"/>
        <v>65000</v>
      </c>
      <c r="AO35" s="1037"/>
      <c r="AP35" s="1923"/>
      <c r="AQ35" s="1923"/>
      <c r="AR35" s="1923"/>
      <c r="AS35" s="1923"/>
      <c r="AT35" s="1923"/>
      <c r="AU35" s="1923"/>
      <c r="AV35" s="1923"/>
      <c r="AW35" s="1923"/>
      <c r="AX35" s="1923"/>
      <c r="AY35" s="1923"/>
      <c r="AZ35" s="2043">
        <f t="shared" si="9"/>
        <v>0</v>
      </c>
      <c r="BA35" s="2805"/>
      <c r="BB35" s="1194"/>
      <c r="BC35" s="1194"/>
      <c r="BD35" s="1194"/>
      <c r="BE35" s="1194"/>
      <c r="BF35" s="1194"/>
      <c r="BG35" s="1194"/>
      <c r="BH35" s="1194"/>
      <c r="BI35" s="1194"/>
      <c r="BJ35" s="1194"/>
      <c r="BK35" s="1194"/>
      <c r="BL35" s="1194"/>
      <c r="BM35" s="1194"/>
      <c r="BN35" s="2043">
        <f t="shared" si="11"/>
        <v>0</v>
      </c>
      <c r="BO35" s="2805"/>
      <c r="BP35" s="1194"/>
      <c r="BQ35" s="1194"/>
      <c r="BR35" s="1194"/>
      <c r="BS35" s="1194"/>
      <c r="BT35" s="1194">
        <f t="shared" ref="BT35:CA35" si="73">+$AI$35/$AF$35</f>
        <v>5000</v>
      </c>
      <c r="BU35" s="1194">
        <f t="shared" si="73"/>
        <v>5000</v>
      </c>
      <c r="BV35" s="1194">
        <f t="shared" si="73"/>
        <v>5000</v>
      </c>
      <c r="BW35" s="1194">
        <f t="shared" si="73"/>
        <v>5000</v>
      </c>
      <c r="BX35" s="1194">
        <f t="shared" si="73"/>
        <v>5000</v>
      </c>
      <c r="BY35" s="1194">
        <f t="shared" si="73"/>
        <v>5000</v>
      </c>
      <c r="BZ35" s="1194">
        <f t="shared" si="73"/>
        <v>5000</v>
      </c>
      <c r="CA35" s="1194">
        <f t="shared" si="73"/>
        <v>5000</v>
      </c>
      <c r="CB35" s="2043">
        <f t="shared" si="13"/>
        <v>40000</v>
      </c>
      <c r="CC35" s="2805"/>
      <c r="CD35" s="1194">
        <f>+$AI$35/$AF$35</f>
        <v>5000</v>
      </c>
      <c r="CE35" s="1194">
        <f>+$AI$35/$AF$35</f>
        <v>5000</v>
      </c>
      <c r="CF35" s="1194">
        <f>+$AI$35/$AF$35</f>
        <v>5000</v>
      </c>
      <c r="CG35" s="1194">
        <f>+$AI$35/$AF$35</f>
        <v>5000</v>
      </c>
      <c r="CH35" s="1194">
        <f t="shared" ref="CH35" si="74">+$AI$35/$AF$35</f>
        <v>5000</v>
      </c>
      <c r="CI35" s="1194"/>
      <c r="CJ35" s="1194"/>
      <c r="CK35" s="1194"/>
      <c r="CL35" s="1194"/>
      <c r="CM35" s="1194"/>
      <c r="CN35" s="1194"/>
      <c r="CO35" s="988"/>
      <c r="CP35" s="2043">
        <f>SUM(CD35:CO35)</f>
        <v>25000</v>
      </c>
      <c r="CQ35" s="2805"/>
      <c r="CR35" s="988"/>
      <c r="CS35" s="988"/>
      <c r="CT35" s="988"/>
      <c r="CU35" s="988"/>
      <c r="CV35" s="988"/>
      <c r="CW35" s="988"/>
      <c r="CX35" s="988"/>
      <c r="CY35" s="988"/>
      <c r="CZ35" s="988"/>
      <c r="DA35" s="988"/>
      <c r="DB35" s="988"/>
      <c r="DC35" s="988"/>
      <c r="DD35" s="2043">
        <f t="shared" si="16"/>
        <v>0</v>
      </c>
      <c r="DE35" s="2805"/>
      <c r="DF35" s="988"/>
      <c r="DG35" s="988"/>
      <c r="DH35" s="988"/>
      <c r="DI35" s="1914">
        <f t="shared" si="61"/>
        <v>0</v>
      </c>
      <c r="DJ35" s="3119">
        <f t="shared" si="17"/>
        <v>65000</v>
      </c>
      <c r="DL35" s="1027">
        <f t="shared" si="7"/>
        <v>0</v>
      </c>
      <c r="DN35" s="2729"/>
      <c r="DO35" s="2730"/>
      <c r="DP35" s="2730"/>
      <c r="DQ35" s="2730"/>
      <c r="DR35" s="2730"/>
      <c r="DS35" s="1037"/>
      <c r="DT35" s="1037"/>
    </row>
    <row r="36" spans="2:124" s="1924" customFormat="1" ht="45" hidden="1" outlineLevel="4">
      <c r="B36" s="2849"/>
      <c r="C36" s="3309"/>
      <c r="D36" s="3324"/>
      <c r="E36" s="2846"/>
      <c r="F36" s="3310" t="s">
        <v>1247</v>
      </c>
      <c r="G36" s="2850"/>
      <c r="H36" s="3322" t="s">
        <v>1235</v>
      </c>
      <c r="I36" s="3319"/>
      <c r="J36" s="103"/>
      <c r="K36" s="2783"/>
      <c r="L36" s="364"/>
      <c r="M36" s="364"/>
      <c r="N36" s="364"/>
      <c r="O36" s="364"/>
      <c r="P36" s="364"/>
      <c r="Q36" s="364"/>
      <c r="R36" s="364"/>
      <c r="S36" s="364"/>
      <c r="T36" s="364"/>
      <c r="U36" s="364"/>
      <c r="V36" s="2783"/>
      <c r="W36" s="2924" t="s">
        <v>763</v>
      </c>
      <c r="X36" s="2924" t="s">
        <v>1075</v>
      </c>
      <c r="Y36" s="1481" t="s">
        <v>1187</v>
      </c>
      <c r="Z36" s="2924" t="s">
        <v>1248</v>
      </c>
      <c r="AA36" s="2511"/>
      <c r="AB36" s="2512"/>
      <c r="AC36" s="1037"/>
      <c r="AD36" s="711" t="s">
        <v>1189</v>
      </c>
      <c r="AE36" s="2990">
        <v>1</v>
      </c>
      <c r="AF36" s="2990">
        <v>13</v>
      </c>
      <c r="AG36" s="2651"/>
      <c r="AH36" s="1386">
        <v>5000</v>
      </c>
      <c r="AI36" s="1386">
        <f t="shared" si="58"/>
        <v>65000</v>
      </c>
      <c r="AJ36" s="530" t="s">
        <v>1244</v>
      </c>
      <c r="AK36" s="1037"/>
      <c r="AL36" s="724">
        <f t="shared" si="62"/>
        <v>65000</v>
      </c>
      <c r="AM36" s="1343"/>
      <c r="AN36" s="724">
        <f t="shared" si="0"/>
        <v>65000</v>
      </c>
      <c r="AO36" s="1037"/>
      <c r="AP36" s="1923"/>
      <c r="AQ36" s="1923"/>
      <c r="AR36" s="1923"/>
      <c r="AS36" s="1923"/>
      <c r="AT36" s="1923"/>
      <c r="AU36" s="1923"/>
      <c r="AV36" s="1923"/>
      <c r="AW36" s="1923"/>
      <c r="AX36" s="1923"/>
      <c r="AY36" s="1923"/>
      <c r="AZ36" s="2043">
        <f t="shared" si="9"/>
        <v>0</v>
      </c>
      <c r="BA36" s="2805"/>
      <c r="BB36" s="1194"/>
      <c r="BC36" s="1194"/>
      <c r="BD36" s="1194"/>
      <c r="BE36" s="1194"/>
      <c r="BF36" s="1194"/>
      <c r="BG36" s="1194"/>
      <c r="BH36" s="1194"/>
      <c r="BI36" s="1194"/>
      <c r="BJ36" s="1194"/>
      <c r="BK36" s="1194"/>
      <c r="BL36" s="1194"/>
      <c r="BM36" s="1194"/>
      <c r="BN36" s="2043">
        <f t="shared" si="11"/>
        <v>0</v>
      </c>
      <c r="BO36" s="2805"/>
      <c r="BP36" s="1194"/>
      <c r="BQ36" s="1194"/>
      <c r="BR36" s="1194"/>
      <c r="BS36" s="1194"/>
      <c r="BT36" s="1194">
        <f t="shared" ref="BT36:CA36" si="75">+$AI$36/$AF$36</f>
        <v>5000</v>
      </c>
      <c r="BU36" s="1194">
        <f t="shared" si="75"/>
        <v>5000</v>
      </c>
      <c r="BV36" s="1194">
        <f t="shared" si="75"/>
        <v>5000</v>
      </c>
      <c r="BW36" s="1194">
        <f t="shared" si="75"/>
        <v>5000</v>
      </c>
      <c r="BX36" s="1194">
        <f t="shared" si="75"/>
        <v>5000</v>
      </c>
      <c r="BY36" s="1194">
        <f t="shared" si="75"/>
        <v>5000</v>
      </c>
      <c r="BZ36" s="1194">
        <f t="shared" si="75"/>
        <v>5000</v>
      </c>
      <c r="CA36" s="1194">
        <f t="shared" si="75"/>
        <v>5000</v>
      </c>
      <c r="CB36" s="2043">
        <f t="shared" si="13"/>
        <v>40000</v>
      </c>
      <c r="CC36" s="2805"/>
      <c r="CD36" s="1194">
        <f>+$AI$36/$AF$36</f>
        <v>5000</v>
      </c>
      <c r="CE36" s="1194">
        <f>+$AI$36/$AF$36</f>
        <v>5000</v>
      </c>
      <c r="CF36" s="1194">
        <f>+$AI$36/$AF$36</f>
        <v>5000</v>
      </c>
      <c r="CG36" s="1194">
        <f>+$AI$36/$AF$36</f>
        <v>5000</v>
      </c>
      <c r="CH36" s="1194">
        <f t="shared" ref="CH36" si="76">+$AI$36/$AF$36</f>
        <v>5000</v>
      </c>
      <c r="CI36" s="1194"/>
      <c r="CJ36" s="1194"/>
      <c r="CK36" s="1194"/>
      <c r="CL36" s="1194"/>
      <c r="CM36" s="1194"/>
      <c r="CN36" s="1194"/>
      <c r="CO36" s="988"/>
      <c r="CP36" s="2043">
        <f t="shared" si="23"/>
        <v>25000</v>
      </c>
      <c r="CQ36" s="2805"/>
      <c r="CR36" s="988"/>
      <c r="CS36" s="988"/>
      <c r="CT36" s="988"/>
      <c r="CU36" s="988"/>
      <c r="CV36" s="988"/>
      <c r="CW36" s="988"/>
      <c r="CX36" s="988"/>
      <c r="CY36" s="988"/>
      <c r="CZ36" s="988"/>
      <c r="DA36" s="988"/>
      <c r="DB36" s="988"/>
      <c r="DC36" s="988"/>
      <c r="DD36" s="2043">
        <f t="shared" si="16"/>
        <v>0</v>
      </c>
      <c r="DE36" s="2805"/>
      <c r="DF36" s="988"/>
      <c r="DG36" s="988"/>
      <c r="DH36" s="988"/>
      <c r="DI36" s="1914">
        <f t="shared" si="61"/>
        <v>0</v>
      </c>
      <c r="DJ36" s="3119">
        <f t="shared" si="17"/>
        <v>65000</v>
      </c>
      <c r="DL36" s="1027">
        <f t="shared" si="7"/>
        <v>0</v>
      </c>
      <c r="DN36" s="2729"/>
      <c r="DO36" s="2730"/>
      <c r="DP36" s="2730"/>
      <c r="DQ36" s="2730"/>
      <c r="DR36" s="2730"/>
      <c r="DS36" s="1037"/>
      <c r="DT36" s="1037"/>
    </row>
    <row r="37" spans="2:124" s="1924" customFormat="1" ht="45" hidden="1" outlineLevel="4">
      <c r="B37" s="2849"/>
      <c r="C37" s="3309"/>
      <c r="D37" s="3324"/>
      <c r="E37" s="2846"/>
      <c r="F37" s="3310" t="s">
        <v>1249</v>
      </c>
      <c r="G37" s="2850"/>
      <c r="H37" s="3322" t="s">
        <v>1238</v>
      </c>
      <c r="I37" s="3319"/>
      <c r="J37" s="103"/>
      <c r="K37" s="2783"/>
      <c r="L37" s="364"/>
      <c r="M37" s="364"/>
      <c r="N37" s="364"/>
      <c r="O37" s="364"/>
      <c r="P37" s="364"/>
      <c r="Q37" s="364"/>
      <c r="R37" s="364"/>
      <c r="S37" s="364"/>
      <c r="T37" s="364"/>
      <c r="U37" s="364"/>
      <c r="V37" s="2783"/>
      <c r="W37" s="2924" t="s">
        <v>763</v>
      </c>
      <c r="X37" s="2924" t="s">
        <v>1075</v>
      </c>
      <c r="Y37" s="1481" t="s">
        <v>1187</v>
      </c>
      <c r="Z37" s="2924" t="s">
        <v>1250</v>
      </c>
      <c r="AA37" s="2511"/>
      <c r="AB37" s="2512"/>
      <c r="AC37" s="1037"/>
      <c r="AD37" s="711" t="s">
        <v>1189</v>
      </c>
      <c r="AE37" s="2990">
        <v>1</v>
      </c>
      <c r="AF37" s="2990">
        <v>13</v>
      </c>
      <c r="AG37" s="2651"/>
      <c r="AH37" s="3108">
        <f>65000/13</f>
        <v>5000</v>
      </c>
      <c r="AI37" s="1386">
        <f t="shared" si="58"/>
        <v>65000</v>
      </c>
      <c r="AJ37" s="530" t="s">
        <v>1244</v>
      </c>
      <c r="AK37" s="1037"/>
      <c r="AL37" s="724">
        <f t="shared" si="62"/>
        <v>65000</v>
      </c>
      <c r="AM37" s="1343"/>
      <c r="AN37" s="724">
        <f t="shared" si="0"/>
        <v>65000</v>
      </c>
      <c r="AO37" s="1037"/>
      <c r="AP37" s="1923"/>
      <c r="AQ37" s="1923"/>
      <c r="AR37" s="1923"/>
      <c r="AS37" s="1923"/>
      <c r="AT37" s="1923"/>
      <c r="AU37" s="1923"/>
      <c r="AV37" s="1923"/>
      <c r="AW37" s="1923"/>
      <c r="AX37" s="1923"/>
      <c r="AY37" s="1923"/>
      <c r="AZ37" s="2043">
        <f t="shared" si="9"/>
        <v>0</v>
      </c>
      <c r="BA37" s="2805"/>
      <c r="BB37" s="1194"/>
      <c r="BC37" s="1194"/>
      <c r="BD37" s="1194"/>
      <c r="BE37" s="1194"/>
      <c r="BF37" s="1194"/>
      <c r="BG37" s="1194"/>
      <c r="BH37" s="1194"/>
      <c r="BI37" s="1194"/>
      <c r="BJ37" s="1194"/>
      <c r="BK37" s="1194"/>
      <c r="BL37" s="1194"/>
      <c r="BM37" s="1194"/>
      <c r="BN37" s="2043">
        <f t="shared" si="11"/>
        <v>0</v>
      </c>
      <c r="BO37" s="2805"/>
      <c r="BP37" s="1194"/>
      <c r="BQ37" s="1194"/>
      <c r="BR37" s="1194"/>
      <c r="BS37" s="1194"/>
      <c r="BT37" s="1194">
        <f t="shared" ref="BT37:CA37" si="77">+$AI$37/$AF$37</f>
        <v>5000</v>
      </c>
      <c r="BU37" s="1194">
        <f t="shared" si="77"/>
        <v>5000</v>
      </c>
      <c r="BV37" s="1194">
        <f t="shared" si="77"/>
        <v>5000</v>
      </c>
      <c r="BW37" s="1194">
        <f t="shared" si="77"/>
        <v>5000</v>
      </c>
      <c r="BX37" s="1194">
        <f t="shared" si="77"/>
        <v>5000</v>
      </c>
      <c r="BY37" s="1194">
        <f t="shared" si="77"/>
        <v>5000</v>
      </c>
      <c r="BZ37" s="1194">
        <f t="shared" si="77"/>
        <v>5000</v>
      </c>
      <c r="CA37" s="1194">
        <f t="shared" si="77"/>
        <v>5000</v>
      </c>
      <c r="CB37" s="2043">
        <f t="shared" si="13"/>
        <v>40000</v>
      </c>
      <c r="CC37" s="2805"/>
      <c r="CD37" s="1194">
        <f>+$AI$37/$AF$37</f>
        <v>5000</v>
      </c>
      <c r="CE37" s="1194">
        <f>+$AI$37/$AF$37</f>
        <v>5000</v>
      </c>
      <c r="CF37" s="1194">
        <f>+$AI$37/$AF$37</f>
        <v>5000</v>
      </c>
      <c r="CG37" s="1194">
        <f>+$AI$37/$AF$37</f>
        <v>5000</v>
      </c>
      <c r="CH37" s="1194">
        <f t="shared" ref="CH37" si="78">+$AI$37/$AF$37</f>
        <v>5000</v>
      </c>
      <c r="CI37" s="1194"/>
      <c r="CJ37" s="1194"/>
      <c r="CK37" s="1194"/>
      <c r="CL37" s="1194"/>
      <c r="CM37" s="1194"/>
      <c r="CN37" s="1194"/>
      <c r="CO37" s="988"/>
      <c r="CP37" s="2043">
        <f t="shared" si="23"/>
        <v>25000</v>
      </c>
      <c r="CQ37" s="2805"/>
      <c r="CR37" s="988"/>
      <c r="CS37" s="988"/>
      <c r="CT37" s="988"/>
      <c r="CU37" s="988"/>
      <c r="CV37" s="988"/>
      <c r="CW37" s="988"/>
      <c r="CX37" s="988"/>
      <c r="CY37" s="988"/>
      <c r="CZ37" s="988"/>
      <c r="DA37" s="988"/>
      <c r="DB37" s="988"/>
      <c r="DC37" s="988"/>
      <c r="DD37" s="2043">
        <f t="shared" si="16"/>
        <v>0</v>
      </c>
      <c r="DE37" s="2805"/>
      <c r="DF37" s="988"/>
      <c r="DG37" s="988"/>
      <c r="DH37" s="988"/>
      <c r="DI37" s="1914">
        <f t="shared" si="61"/>
        <v>0</v>
      </c>
      <c r="DJ37" s="3119">
        <f t="shared" si="17"/>
        <v>65000</v>
      </c>
      <c r="DL37" s="1027">
        <f t="shared" si="7"/>
        <v>0</v>
      </c>
      <c r="DN37" s="2729"/>
      <c r="DO37" s="2730"/>
      <c r="DP37" s="2730"/>
      <c r="DQ37" s="2730"/>
      <c r="DR37" s="2730"/>
      <c r="DS37" s="1037"/>
      <c r="DT37" s="1037"/>
    </row>
    <row r="38" spans="2:124" s="1924" customFormat="1" ht="45" hidden="1" outlineLevel="4">
      <c r="B38" s="2849"/>
      <c r="C38" s="3309"/>
      <c r="D38" s="3324"/>
      <c r="E38" s="2846"/>
      <c r="F38" s="3310" t="s">
        <v>1251</v>
      </c>
      <c r="G38" s="2850"/>
      <c r="H38" s="3322" t="s">
        <v>1241</v>
      </c>
      <c r="I38" s="3319"/>
      <c r="J38" s="103"/>
      <c r="K38" s="2783"/>
      <c r="L38" s="364"/>
      <c r="M38" s="364"/>
      <c r="N38" s="364"/>
      <c r="O38" s="364"/>
      <c r="P38" s="364"/>
      <c r="Q38" s="364"/>
      <c r="R38" s="364"/>
      <c r="S38" s="364"/>
      <c r="T38" s="364"/>
      <c r="U38" s="364"/>
      <c r="V38" s="2783"/>
      <c r="W38" s="2924" t="s">
        <v>763</v>
      </c>
      <c r="X38" s="2924" t="s">
        <v>1075</v>
      </c>
      <c r="Y38" s="1481" t="s">
        <v>1187</v>
      </c>
      <c r="Z38" s="2924" t="s">
        <v>1252</v>
      </c>
      <c r="AA38" s="2511"/>
      <c r="AB38" s="2512"/>
      <c r="AC38" s="1037"/>
      <c r="AD38" s="711" t="s">
        <v>1189</v>
      </c>
      <c r="AE38" s="2990">
        <v>1</v>
      </c>
      <c r="AF38" s="2990">
        <v>13</v>
      </c>
      <c r="AG38" s="2651"/>
      <c r="AH38" s="3107">
        <v>2146</v>
      </c>
      <c r="AI38" s="1386">
        <f t="shared" si="58"/>
        <v>27898</v>
      </c>
      <c r="AJ38" s="530" t="s">
        <v>1244</v>
      </c>
      <c r="AK38" s="1037"/>
      <c r="AL38" s="724">
        <f t="shared" si="62"/>
        <v>27898</v>
      </c>
      <c r="AM38" s="1343"/>
      <c r="AN38" s="724">
        <f t="shared" si="0"/>
        <v>27898</v>
      </c>
      <c r="AO38" s="1037"/>
      <c r="AP38" s="1923"/>
      <c r="AQ38" s="1923"/>
      <c r="AR38" s="1923"/>
      <c r="AS38" s="1923"/>
      <c r="AT38" s="1923"/>
      <c r="AU38" s="1923"/>
      <c r="AV38" s="1923"/>
      <c r="AW38" s="1923"/>
      <c r="AX38" s="1923"/>
      <c r="AY38" s="1923"/>
      <c r="AZ38" s="2043">
        <f t="shared" si="9"/>
        <v>0</v>
      </c>
      <c r="BA38" s="2805"/>
      <c r="BB38" s="1194"/>
      <c r="BC38" s="1194"/>
      <c r="BD38" s="1194"/>
      <c r="BE38" s="1194"/>
      <c r="BF38" s="1194"/>
      <c r="BG38" s="1194"/>
      <c r="BH38" s="1194"/>
      <c r="BI38" s="1194"/>
      <c r="BJ38" s="1194"/>
      <c r="BK38" s="1194"/>
      <c r="BL38" s="1194"/>
      <c r="BM38" s="1194"/>
      <c r="BN38" s="2043">
        <f t="shared" si="11"/>
        <v>0</v>
      </c>
      <c r="BO38" s="2805"/>
      <c r="BP38" s="1194"/>
      <c r="BQ38" s="1194"/>
      <c r="BR38" s="1194"/>
      <c r="BS38" s="1194"/>
      <c r="BT38" s="1194">
        <f t="shared" ref="BT38:CA38" si="79">+$AI$38/$AF$38</f>
        <v>2146</v>
      </c>
      <c r="BU38" s="1194">
        <f t="shared" si="79"/>
        <v>2146</v>
      </c>
      <c r="BV38" s="1194">
        <f t="shared" si="79"/>
        <v>2146</v>
      </c>
      <c r="BW38" s="1194">
        <f t="shared" si="79"/>
        <v>2146</v>
      </c>
      <c r="BX38" s="1194">
        <f t="shared" si="79"/>
        <v>2146</v>
      </c>
      <c r="BY38" s="1194">
        <f t="shared" si="79"/>
        <v>2146</v>
      </c>
      <c r="BZ38" s="1194">
        <f t="shared" si="79"/>
        <v>2146</v>
      </c>
      <c r="CA38" s="1194">
        <f t="shared" si="79"/>
        <v>2146</v>
      </c>
      <c r="CB38" s="2043">
        <f t="shared" si="13"/>
        <v>17168</v>
      </c>
      <c r="CC38" s="2805"/>
      <c r="CD38" s="1194">
        <f>+$AI$38/$AF$38</f>
        <v>2146</v>
      </c>
      <c r="CE38" s="1194">
        <f>+$AI$38/$AF$38</f>
        <v>2146</v>
      </c>
      <c r="CF38" s="1194">
        <f>+$AI$38/$AF$38</f>
        <v>2146</v>
      </c>
      <c r="CG38" s="1194">
        <f>+$AI$38/$AF$38</f>
        <v>2146</v>
      </c>
      <c r="CH38" s="1194">
        <f t="shared" ref="CH38" si="80">+$AI$38/$AF$38</f>
        <v>2146</v>
      </c>
      <c r="CI38" s="1194"/>
      <c r="CJ38" s="1194"/>
      <c r="CK38" s="1194"/>
      <c r="CL38" s="1194"/>
      <c r="CM38" s="1194"/>
      <c r="CN38" s="1194"/>
      <c r="CO38" s="988"/>
      <c r="CP38" s="2043">
        <f t="shared" si="23"/>
        <v>10730</v>
      </c>
      <c r="CQ38" s="2805"/>
      <c r="CR38" s="988"/>
      <c r="CS38" s="988"/>
      <c r="CT38" s="988"/>
      <c r="CU38" s="988"/>
      <c r="CV38" s="988"/>
      <c r="CW38" s="988"/>
      <c r="CX38" s="988"/>
      <c r="CY38" s="988"/>
      <c r="CZ38" s="988"/>
      <c r="DA38" s="988"/>
      <c r="DB38" s="988"/>
      <c r="DC38" s="988"/>
      <c r="DD38" s="2043">
        <f t="shared" si="16"/>
        <v>0</v>
      </c>
      <c r="DE38" s="2805"/>
      <c r="DF38" s="988"/>
      <c r="DG38" s="988"/>
      <c r="DH38" s="988"/>
      <c r="DI38" s="1914">
        <f t="shared" si="61"/>
        <v>0</v>
      </c>
      <c r="DJ38" s="3119">
        <f t="shared" si="17"/>
        <v>27898</v>
      </c>
      <c r="DL38" s="1027">
        <f t="shared" si="7"/>
        <v>0</v>
      </c>
      <c r="DN38" s="2729"/>
      <c r="DO38" s="2730"/>
      <c r="DP38" s="2730"/>
      <c r="DQ38" s="2730"/>
      <c r="DR38" s="2730"/>
      <c r="DS38" s="1037"/>
      <c r="DT38" s="1037"/>
    </row>
    <row r="39" spans="2:124" s="153" customFormat="1" ht="16.25" hidden="1" customHeight="1" outlineLevel="3">
      <c r="B39" s="2839"/>
      <c r="C39" s="3306" t="s">
        <v>622</v>
      </c>
      <c r="D39" s="2941" t="s">
        <v>622</v>
      </c>
      <c r="E39" s="2830"/>
      <c r="F39" s="2949" t="s">
        <v>648</v>
      </c>
      <c r="G39" s="2852"/>
      <c r="H39" s="1250" t="s">
        <v>623</v>
      </c>
      <c r="I39" s="399"/>
      <c r="J39" s="399"/>
      <c r="K39" s="1037"/>
      <c r="L39" s="851"/>
      <c r="M39" s="851"/>
      <c r="N39" s="851"/>
      <c r="O39" s="851"/>
      <c r="P39" s="851"/>
      <c r="Q39" s="851"/>
      <c r="R39" s="851"/>
      <c r="S39" s="851"/>
      <c r="T39" s="851"/>
      <c r="U39" s="851"/>
      <c r="V39" s="1037"/>
      <c r="W39" s="851"/>
      <c r="X39" s="851"/>
      <c r="Y39" s="851"/>
      <c r="Z39" s="851"/>
      <c r="AA39" s="851"/>
      <c r="AB39" s="1250"/>
      <c r="AC39" s="1037"/>
      <c r="AD39" s="2840"/>
      <c r="AE39" s="397"/>
      <c r="AF39" s="397"/>
      <c r="AG39" s="397"/>
      <c r="AH39" s="398"/>
      <c r="AI39" s="398">
        <f>+AI40+AI41+AI42+AI43</f>
        <v>190000</v>
      </c>
      <c r="AJ39" s="680"/>
      <c r="AK39" s="1037"/>
      <c r="AL39" s="398">
        <f>SUM(AL40:AL43)</f>
        <v>190000</v>
      </c>
      <c r="AM39" s="398">
        <f>+AM40</f>
        <v>0</v>
      </c>
      <c r="AN39" s="398">
        <f t="shared" si="0"/>
        <v>190000</v>
      </c>
      <c r="AO39" s="1037"/>
      <c r="AP39" s="992">
        <f>+AP40+AP41</f>
        <v>0</v>
      </c>
      <c r="AQ39" s="992">
        <f t="shared" ref="AQ39:AY39" si="81">+AQ40+AQ41</f>
        <v>0</v>
      </c>
      <c r="AR39" s="992">
        <f t="shared" si="81"/>
        <v>0</v>
      </c>
      <c r="AS39" s="992">
        <f t="shared" si="81"/>
        <v>0</v>
      </c>
      <c r="AT39" s="992">
        <f t="shared" si="81"/>
        <v>0</v>
      </c>
      <c r="AU39" s="992">
        <f t="shared" si="81"/>
        <v>0</v>
      </c>
      <c r="AV39" s="992">
        <f t="shared" si="81"/>
        <v>0</v>
      </c>
      <c r="AW39" s="992">
        <f t="shared" si="81"/>
        <v>0</v>
      </c>
      <c r="AX39" s="992">
        <f t="shared" si="81"/>
        <v>0</v>
      </c>
      <c r="AY39" s="992">
        <f t="shared" si="81"/>
        <v>0</v>
      </c>
      <c r="AZ39" s="992">
        <f t="shared" si="9"/>
        <v>0</v>
      </c>
      <c r="BA39" s="2835"/>
      <c r="BB39" s="992">
        <f t="shared" ref="BB39:BM39" si="82">+BB40+BB41</f>
        <v>0</v>
      </c>
      <c r="BC39" s="992">
        <f t="shared" si="82"/>
        <v>0</v>
      </c>
      <c r="BD39" s="992">
        <f t="shared" si="82"/>
        <v>0</v>
      </c>
      <c r="BE39" s="992">
        <f t="shared" si="82"/>
        <v>0</v>
      </c>
      <c r="BF39" s="992">
        <f t="shared" si="82"/>
        <v>0</v>
      </c>
      <c r="BG39" s="992">
        <f t="shared" si="82"/>
        <v>4500</v>
      </c>
      <c r="BH39" s="992">
        <f t="shared" si="82"/>
        <v>3000</v>
      </c>
      <c r="BI39" s="992">
        <f t="shared" si="82"/>
        <v>0</v>
      </c>
      <c r="BJ39" s="992">
        <f t="shared" si="82"/>
        <v>0</v>
      </c>
      <c r="BK39" s="992">
        <f t="shared" si="82"/>
        <v>0</v>
      </c>
      <c r="BL39" s="992">
        <f t="shared" si="82"/>
        <v>0</v>
      </c>
      <c r="BM39" s="992">
        <f t="shared" si="82"/>
        <v>0</v>
      </c>
      <c r="BN39" s="992">
        <f t="shared" si="11"/>
        <v>7500</v>
      </c>
      <c r="BO39" s="2835"/>
      <c r="BP39" s="992">
        <f>+BP40+BP41+BP42+BP43</f>
        <v>15000</v>
      </c>
      <c r="BQ39" s="992">
        <f t="shared" ref="BQ39:CA39" si="83">+BQ40+BQ41+BQ42+BQ43</f>
        <v>0</v>
      </c>
      <c r="BR39" s="992">
        <f t="shared" si="83"/>
        <v>0</v>
      </c>
      <c r="BS39" s="992">
        <f t="shared" si="83"/>
        <v>0</v>
      </c>
      <c r="BT39" s="992">
        <f t="shared" si="83"/>
        <v>10000</v>
      </c>
      <c r="BU39" s="992">
        <f t="shared" si="83"/>
        <v>10000</v>
      </c>
      <c r="BV39" s="992">
        <f t="shared" si="83"/>
        <v>23500</v>
      </c>
      <c r="BW39" s="992">
        <f t="shared" si="83"/>
        <v>16000</v>
      </c>
      <c r="BX39" s="992">
        <f t="shared" si="83"/>
        <v>19000</v>
      </c>
      <c r="BY39" s="992">
        <f t="shared" si="83"/>
        <v>19000</v>
      </c>
      <c r="BZ39" s="992">
        <f t="shared" si="83"/>
        <v>10000</v>
      </c>
      <c r="CA39" s="992">
        <f t="shared" si="83"/>
        <v>10000</v>
      </c>
      <c r="CB39" s="992">
        <f t="shared" ref="CB39:CB49" si="84">SUM(BP39:CA39)</f>
        <v>132500</v>
      </c>
      <c r="CC39" s="2835"/>
      <c r="CD39" s="992">
        <f t="shared" ref="CD39:CO39" si="85">+CD40+CD41+CD42+CD43</f>
        <v>10000</v>
      </c>
      <c r="CE39" s="992">
        <f t="shared" si="85"/>
        <v>10000</v>
      </c>
      <c r="CF39" s="992">
        <f t="shared" si="85"/>
        <v>10000</v>
      </c>
      <c r="CG39" s="992">
        <f t="shared" si="85"/>
        <v>10000</v>
      </c>
      <c r="CH39" s="992">
        <f t="shared" si="85"/>
        <v>10000</v>
      </c>
      <c r="CI39" s="992">
        <f t="shared" si="85"/>
        <v>0</v>
      </c>
      <c r="CJ39" s="992">
        <f t="shared" si="85"/>
        <v>0</v>
      </c>
      <c r="CK39" s="992">
        <f t="shared" si="85"/>
        <v>0</v>
      </c>
      <c r="CL39" s="992">
        <f t="shared" si="85"/>
        <v>0</v>
      </c>
      <c r="CM39" s="992">
        <f t="shared" si="85"/>
        <v>0</v>
      </c>
      <c r="CN39" s="992">
        <f t="shared" si="85"/>
        <v>0</v>
      </c>
      <c r="CO39" s="992">
        <f t="shared" si="85"/>
        <v>0</v>
      </c>
      <c r="CP39" s="992">
        <f t="shared" ref="CP39:CP49" si="86">SUM(CD39:CO39)</f>
        <v>50000</v>
      </c>
      <c r="CQ39" s="2835"/>
      <c r="CR39" s="992">
        <f t="shared" ref="CR39:DC39" si="87">+CR40+CR41+CR42+CR43</f>
        <v>0</v>
      </c>
      <c r="CS39" s="992">
        <f t="shared" si="87"/>
        <v>0</v>
      </c>
      <c r="CT39" s="992">
        <f t="shared" si="87"/>
        <v>0</v>
      </c>
      <c r="CU39" s="992">
        <f t="shared" si="87"/>
        <v>0</v>
      </c>
      <c r="CV39" s="992">
        <f t="shared" si="87"/>
        <v>0</v>
      </c>
      <c r="CW39" s="992">
        <f t="shared" si="87"/>
        <v>0</v>
      </c>
      <c r="CX39" s="992">
        <f t="shared" si="87"/>
        <v>0</v>
      </c>
      <c r="CY39" s="992">
        <f t="shared" si="87"/>
        <v>0</v>
      </c>
      <c r="CZ39" s="992">
        <f t="shared" si="87"/>
        <v>0</v>
      </c>
      <c r="DA39" s="992">
        <f t="shared" si="87"/>
        <v>0</v>
      </c>
      <c r="DB39" s="992">
        <f t="shared" si="87"/>
        <v>0</v>
      </c>
      <c r="DC39" s="992">
        <f t="shared" si="87"/>
        <v>0</v>
      </c>
      <c r="DD39" s="992">
        <f t="shared" si="16"/>
        <v>0</v>
      </c>
      <c r="DE39" s="2835"/>
      <c r="DF39" s="992">
        <f>+DF40+DF41+DF42+DF43</f>
        <v>0</v>
      </c>
      <c r="DG39" s="992">
        <f>+DG40+DG41+DG42+DG43</f>
        <v>0</v>
      </c>
      <c r="DH39" s="992">
        <f>+DH40+DH41+DH42+DH43</f>
        <v>0</v>
      </c>
      <c r="DI39" s="3083">
        <f>SUM(DF39:DH39)</f>
        <v>0</v>
      </c>
      <c r="DJ39" s="3117">
        <f>+AZ39+BN39+CB39+CP39+DD39+DI39</f>
        <v>190000</v>
      </c>
      <c r="DL39" s="1027">
        <f t="shared" si="7"/>
        <v>0</v>
      </c>
      <c r="DN39" s="2727" t="s">
        <v>1175</v>
      </c>
      <c r="DO39" s="2728" t="s">
        <v>1175</v>
      </c>
      <c r="DP39" s="2728"/>
      <c r="DQ39" s="2728" t="s">
        <v>1175</v>
      </c>
      <c r="DR39" s="2728" t="str">
        <f t="shared" si="4"/>
        <v>1</v>
      </c>
      <c r="DS39" s="1037"/>
      <c r="DT39" s="1037"/>
    </row>
    <row r="40" spans="2:124" ht="45" hidden="1" outlineLevel="4">
      <c r="B40" s="3877"/>
      <c r="C40" s="3309" t="s">
        <v>622</v>
      </c>
      <c r="D40" s="3310" t="s">
        <v>1253</v>
      </c>
      <c r="E40" s="2846"/>
      <c r="F40" s="3325" t="s">
        <v>650</v>
      </c>
      <c r="G40" s="2838"/>
      <c r="H40" s="3326" t="s">
        <v>1254</v>
      </c>
      <c r="I40" s="3312"/>
      <c r="J40" s="103"/>
      <c r="L40" s="364"/>
      <c r="M40" s="364"/>
      <c r="N40" s="364"/>
      <c r="O40" s="364"/>
      <c r="P40" s="364"/>
      <c r="Q40" s="364"/>
      <c r="R40" s="364"/>
      <c r="S40" s="364"/>
      <c r="T40" s="364"/>
      <c r="U40" s="364"/>
      <c r="W40" s="1207" t="s">
        <v>763</v>
      </c>
      <c r="X40" s="853" t="s">
        <v>1075</v>
      </c>
      <c r="Y40" s="1207" t="s">
        <v>1187</v>
      </c>
      <c r="Z40" s="1207" t="s">
        <v>1255</v>
      </c>
      <c r="AA40" s="853"/>
      <c r="AB40" s="1234"/>
      <c r="AD40" s="711" t="s">
        <v>1189</v>
      </c>
      <c r="AE40" s="712">
        <v>1</v>
      </c>
      <c r="AF40" s="179">
        <v>6</v>
      </c>
      <c r="AG40" s="179"/>
      <c r="AH40" s="1048">
        <v>5000</v>
      </c>
      <c r="AI40" s="1048">
        <f>+AE40*AF40*AH40</f>
        <v>30000</v>
      </c>
      <c r="AJ40" s="2854"/>
      <c r="AL40" s="1343">
        <f>+AI40</f>
        <v>30000</v>
      </c>
      <c r="AM40" s="3946">
        <v>0</v>
      </c>
      <c r="AN40" s="1343">
        <f t="shared" si="0"/>
        <v>30000</v>
      </c>
      <c r="AP40" s="1039"/>
      <c r="AQ40" s="1039"/>
      <c r="AR40" s="1039"/>
      <c r="AS40" s="1039"/>
      <c r="AT40" s="1039"/>
      <c r="AU40" s="1039"/>
      <c r="AV40" s="1039"/>
      <c r="AW40" s="1039"/>
      <c r="AX40" s="1039"/>
      <c r="AY40" s="1039"/>
      <c r="AZ40" s="2502">
        <f t="shared" si="9"/>
        <v>0</v>
      </c>
      <c r="BA40" s="2835"/>
      <c r="BB40" s="1011"/>
      <c r="BC40" s="1011"/>
      <c r="BD40" s="1011"/>
      <c r="BE40" s="1011"/>
      <c r="BF40" s="1011"/>
      <c r="BG40" s="1011"/>
      <c r="BH40" s="1011">
        <f>+$AI$40*0.1</f>
        <v>3000</v>
      </c>
      <c r="BI40" s="1011"/>
      <c r="BJ40" s="1011"/>
      <c r="BK40" s="1011"/>
      <c r="BL40" s="1011"/>
      <c r="BM40" s="1011"/>
      <c r="BN40" s="2502">
        <f t="shared" si="11"/>
        <v>3000</v>
      </c>
      <c r="BO40" s="2835"/>
      <c r="BP40" s="1194">
        <f>+$AI$40*0.2</f>
        <v>6000</v>
      </c>
      <c r="BQ40" s="1194"/>
      <c r="BR40" s="1194"/>
      <c r="BS40" s="1194"/>
      <c r="BT40" s="1194"/>
      <c r="BU40" s="1194"/>
      <c r="BV40" s="1194">
        <f>+$AI$40*0.2</f>
        <v>6000</v>
      </c>
      <c r="BW40" s="1194">
        <f>+$AI$40*0.2</f>
        <v>6000</v>
      </c>
      <c r="BX40" s="1194"/>
      <c r="BY40" s="1194">
        <f>+$AI$40*0.3</f>
        <v>9000</v>
      </c>
      <c r="BZ40" s="1194"/>
      <c r="CA40" s="1194"/>
      <c r="CB40" s="2502">
        <f t="shared" si="84"/>
        <v>27000</v>
      </c>
      <c r="CC40" s="2835"/>
      <c r="CD40" s="2074"/>
      <c r="CE40" s="2074"/>
      <c r="CF40" s="2074"/>
      <c r="CG40" s="2074"/>
      <c r="CH40" s="2074"/>
      <c r="CI40" s="2074"/>
      <c r="CJ40" s="2074"/>
      <c r="CK40" s="2074"/>
      <c r="CL40" s="2074"/>
      <c r="CM40" s="2074"/>
      <c r="CN40" s="2074"/>
      <c r="CO40" s="2074"/>
      <c r="CP40" s="2502">
        <f t="shared" si="86"/>
        <v>0</v>
      </c>
      <c r="CQ40" s="2835"/>
      <c r="CR40" s="2074"/>
      <c r="CS40" s="2074"/>
      <c r="CT40" s="2074"/>
      <c r="CU40" s="2074"/>
      <c r="CV40" s="2074"/>
      <c r="CW40" s="2074"/>
      <c r="CX40" s="2074"/>
      <c r="CY40" s="2074"/>
      <c r="CZ40" s="2074"/>
      <c r="DA40" s="2074"/>
      <c r="DB40" s="2074"/>
      <c r="DC40" s="2074"/>
      <c r="DD40" s="2502">
        <f t="shared" si="16"/>
        <v>0</v>
      </c>
      <c r="DE40" s="2835"/>
      <c r="DF40" s="2074"/>
      <c r="DG40" s="2074"/>
      <c r="DH40" s="2074"/>
      <c r="DI40" s="1105">
        <f>SUM(DF40:DH40)</f>
        <v>0</v>
      </c>
      <c r="DJ40" s="3120">
        <f>+AZ40+BN40+CB40+CP40+DD40+DI40</f>
        <v>30000</v>
      </c>
      <c r="DL40" s="1027">
        <f t="shared" si="7"/>
        <v>0</v>
      </c>
      <c r="DN40" s="3892" t="s">
        <v>1180</v>
      </c>
      <c r="DO40" s="3892" t="s">
        <v>1181</v>
      </c>
      <c r="DP40" s="3892" t="s">
        <v>1117</v>
      </c>
      <c r="DQ40" s="3892" t="s">
        <v>4</v>
      </c>
      <c r="DR40" s="3892" t="str">
        <f t="shared" si="4"/>
        <v>1</v>
      </c>
      <c r="DS40" s="1037"/>
      <c r="DT40" s="1037"/>
    </row>
    <row r="41" spans="2:124" ht="45" hidden="1" outlineLevel="4">
      <c r="B41" s="3878"/>
      <c r="C41" s="3309" t="s">
        <v>622</v>
      </c>
      <c r="D41" s="3310" t="s">
        <v>1256</v>
      </c>
      <c r="E41" s="2846"/>
      <c r="F41" s="3325" t="s">
        <v>651</v>
      </c>
      <c r="G41" s="2838"/>
      <c r="H41" s="3326" t="s">
        <v>1257</v>
      </c>
      <c r="I41" s="3312"/>
      <c r="J41" s="103"/>
      <c r="L41" s="364"/>
      <c r="M41" s="364"/>
      <c r="N41" s="364"/>
      <c r="O41" s="364"/>
      <c r="P41" s="364"/>
      <c r="Q41" s="364"/>
      <c r="R41" s="364"/>
      <c r="S41" s="364"/>
      <c r="T41" s="364"/>
      <c r="U41" s="364"/>
      <c r="W41" s="1207" t="s">
        <v>763</v>
      </c>
      <c r="X41" s="853" t="s">
        <v>1075</v>
      </c>
      <c r="Y41" s="1207" t="s">
        <v>1187</v>
      </c>
      <c r="Z41" s="1207" t="s">
        <v>1258</v>
      </c>
      <c r="AA41" s="853"/>
      <c r="AB41" s="2647"/>
      <c r="AD41" s="711" t="s">
        <v>1189</v>
      </c>
      <c r="AE41" s="712">
        <v>1</v>
      </c>
      <c r="AF41" s="179">
        <v>6</v>
      </c>
      <c r="AG41" s="179"/>
      <c r="AH41" s="1048">
        <v>5000</v>
      </c>
      <c r="AI41" s="1048">
        <f>+AE41*AF41*AH41</f>
        <v>30000</v>
      </c>
      <c r="AJ41" s="2854"/>
      <c r="AL41" s="1343">
        <f>+AI41</f>
        <v>30000</v>
      </c>
      <c r="AM41" s="3947"/>
      <c r="AN41" s="1343">
        <f t="shared" si="0"/>
        <v>30000</v>
      </c>
      <c r="AP41" s="1313"/>
      <c r="AQ41" s="1313"/>
      <c r="AR41" s="1313"/>
      <c r="AS41" s="1313"/>
      <c r="AT41" s="1313"/>
      <c r="AU41" s="1313"/>
      <c r="AV41" s="1313"/>
      <c r="AW41" s="1313"/>
      <c r="AX41" s="1313"/>
      <c r="AY41" s="1313"/>
      <c r="AZ41" s="2502">
        <f>SUM(AP41:AY41)</f>
        <v>0</v>
      </c>
      <c r="BA41" s="2835"/>
      <c r="BB41" s="1011"/>
      <c r="BC41" s="1011"/>
      <c r="BD41" s="1011"/>
      <c r="BE41" s="1011"/>
      <c r="BF41" s="1011"/>
      <c r="BG41" s="1011">
        <f>+$AI$41*0.15</f>
        <v>4500</v>
      </c>
      <c r="BH41" s="1011"/>
      <c r="BI41" s="1011"/>
      <c r="BJ41" s="1011"/>
      <c r="BK41" s="1011"/>
      <c r="BL41" s="1011"/>
      <c r="BM41" s="1011"/>
      <c r="BN41" s="2502">
        <f t="shared" si="11"/>
        <v>4500</v>
      </c>
      <c r="BO41" s="2835"/>
      <c r="BP41" s="1194">
        <f>+$AI$41*0.3</f>
        <v>9000</v>
      </c>
      <c r="BQ41" s="1194"/>
      <c r="BR41" s="1194"/>
      <c r="BS41" s="1194"/>
      <c r="BT41" s="1194"/>
      <c r="BU41" s="1194"/>
      <c r="BV41" s="1194">
        <f>+$AI$41*0.25</f>
        <v>7500</v>
      </c>
      <c r="BW41" s="1194"/>
      <c r="BX41" s="1194">
        <f>+$AI$41*0.3</f>
        <v>9000</v>
      </c>
      <c r="BY41" s="1194"/>
      <c r="BZ41" s="1194"/>
      <c r="CA41" s="1194"/>
      <c r="CB41" s="2502">
        <f t="shared" si="84"/>
        <v>25500</v>
      </c>
      <c r="CC41" s="2835"/>
      <c r="CD41" s="2075"/>
      <c r="CE41" s="2075"/>
      <c r="CF41" s="2075"/>
      <c r="CG41" s="2075"/>
      <c r="CH41" s="2075"/>
      <c r="CI41" s="2075"/>
      <c r="CJ41" s="2075"/>
      <c r="CK41" s="2075"/>
      <c r="CL41" s="2075"/>
      <c r="CM41" s="2075"/>
      <c r="CN41" s="2075"/>
      <c r="CO41" s="2075"/>
      <c r="CP41" s="2502">
        <f t="shared" si="86"/>
        <v>0</v>
      </c>
      <c r="CQ41" s="2835"/>
      <c r="CR41" s="2075"/>
      <c r="CS41" s="2075"/>
      <c r="CT41" s="2075"/>
      <c r="CU41" s="2075"/>
      <c r="CV41" s="2075"/>
      <c r="CW41" s="2075"/>
      <c r="CX41" s="2075"/>
      <c r="CY41" s="2075"/>
      <c r="CZ41" s="2075"/>
      <c r="DA41" s="2075"/>
      <c r="DB41" s="2075"/>
      <c r="DC41" s="2075"/>
      <c r="DD41" s="2502">
        <f t="shared" si="16"/>
        <v>0</v>
      </c>
      <c r="DE41" s="2835"/>
      <c r="DF41" s="2075"/>
      <c r="DG41" s="2075"/>
      <c r="DH41" s="2075"/>
      <c r="DI41" s="1105">
        <f>SUM(DF41:DH41)</f>
        <v>0</v>
      </c>
      <c r="DJ41" s="3120">
        <f t="shared" si="17"/>
        <v>30000</v>
      </c>
      <c r="DL41" s="1027">
        <f t="shared" si="7"/>
        <v>0</v>
      </c>
      <c r="DN41" s="3892"/>
      <c r="DO41" s="3892"/>
      <c r="DP41" s="3892"/>
      <c r="DQ41" s="3892"/>
      <c r="DR41" s="3892" t="str">
        <f t="shared" si="4"/>
        <v>1</v>
      </c>
      <c r="DS41" s="1037"/>
      <c r="DT41" s="1037"/>
    </row>
    <row r="42" spans="2:124" ht="45" hidden="1" outlineLevel="4">
      <c r="B42" s="2983"/>
      <c r="C42" s="3309"/>
      <c r="D42" s="3324"/>
      <c r="E42" s="2846"/>
      <c r="F42" s="3310" t="s">
        <v>652</v>
      </c>
      <c r="G42" s="2838"/>
      <c r="H42" s="3327" t="s">
        <v>1259</v>
      </c>
      <c r="I42" s="3312"/>
      <c r="J42" s="103"/>
      <c r="L42" s="364"/>
      <c r="M42" s="364"/>
      <c r="N42" s="364"/>
      <c r="O42" s="364"/>
      <c r="P42" s="364"/>
      <c r="Q42" s="364"/>
      <c r="R42" s="364"/>
      <c r="S42" s="364"/>
      <c r="T42" s="364"/>
      <c r="U42" s="364"/>
      <c r="W42" s="1207" t="s">
        <v>763</v>
      </c>
      <c r="X42" s="853" t="s">
        <v>1075</v>
      </c>
      <c r="Y42" s="1207" t="s">
        <v>1187</v>
      </c>
      <c r="Z42" s="1513" t="s">
        <v>1260</v>
      </c>
      <c r="AA42" s="853"/>
      <c r="AB42" s="2647"/>
      <c r="AD42" s="711" t="s">
        <v>1189</v>
      </c>
      <c r="AE42" s="712">
        <v>1</v>
      </c>
      <c r="AF42" s="179">
        <v>13</v>
      </c>
      <c r="AG42" s="179"/>
      <c r="AH42" s="1048">
        <v>5000</v>
      </c>
      <c r="AI42" s="1048">
        <f>+AE42*AF42*AH42</f>
        <v>65000</v>
      </c>
      <c r="AJ42" s="2854"/>
      <c r="AL42" s="1343">
        <f>+AI42</f>
        <v>65000</v>
      </c>
      <c r="AM42" s="2984"/>
      <c r="AN42" s="1343">
        <f t="shared" si="0"/>
        <v>65000</v>
      </c>
      <c r="AP42" s="1313"/>
      <c r="AQ42" s="1313"/>
      <c r="AR42" s="1313"/>
      <c r="AS42" s="1313"/>
      <c r="AT42" s="1313"/>
      <c r="AU42" s="1313"/>
      <c r="AV42" s="1313"/>
      <c r="AW42" s="1313"/>
      <c r="AX42" s="1313"/>
      <c r="AY42" s="1313"/>
      <c r="AZ42" s="2502"/>
      <c r="BA42" s="2835"/>
      <c r="BB42" s="1011"/>
      <c r="BC42" s="1011"/>
      <c r="BD42" s="1011"/>
      <c r="BE42" s="1011"/>
      <c r="BF42" s="1011"/>
      <c r="BG42" s="1011"/>
      <c r="BH42" s="1011"/>
      <c r="BI42" s="1011"/>
      <c r="BJ42" s="1011"/>
      <c r="BK42" s="1011"/>
      <c r="BL42" s="1011"/>
      <c r="BM42" s="1011"/>
      <c r="BN42" s="2502"/>
      <c r="BO42" s="2835"/>
      <c r="BP42" s="1194"/>
      <c r="BQ42" s="1194"/>
      <c r="BR42" s="1194"/>
      <c r="BS42" s="1194"/>
      <c r="BT42" s="1194">
        <f t="shared" ref="BT42:CA42" si="88">+$AH$42</f>
        <v>5000</v>
      </c>
      <c r="BU42" s="1194">
        <f t="shared" si="88"/>
        <v>5000</v>
      </c>
      <c r="BV42" s="1194">
        <f t="shared" si="88"/>
        <v>5000</v>
      </c>
      <c r="BW42" s="1194">
        <f t="shared" si="88"/>
        <v>5000</v>
      </c>
      <c r="BX42" s="1194">
        <f t="shared" si="88"/>
        <v>5000</v>
      </c>
      <c r="BY42" s="1194">
        <f t="shared" si="88"/>
        <v>5000</v>
      </c>
      <c r="BZ42" s="1194">
        <f t="shared" si="88"/>
        <v>5000</v>
      </c>
      <c r="CA42" s="1194">
        <f t="shared" si="88"/>
        <v>5000</v>
      </c>
      <c r="CB42" s="2502">
        <f t="shared" si="84"/>
        <v>40000</v>
      </c>
      <c r="CC42" s="2835"/>
      <c r="CD42" s="1194">
        <f>+$AH$42</f>
        <v>5000</v>
      </c>
      <c r="CE42" s="1194">
        <f>+$AH$42</f>
        <v>5000</v>
      </c>
      <c r="CF42" s="1194">
        <f>+$AH$42</f>
        <v>5000</v>
      </c>
      <c r="CG42" s="1194">
        <f>+$AH$42</f>
        <v>5000</v>
      </c>
      <c r="CH42" s="1194">
        <f t="shared" ref="CH42" si="89">+$AH$42</f>
        <v>5000</v>
      </c>
      <c r="CI42" s="2075"/>
      <c r="CJ42" s="2075"/>
      <c r="CK42" s="2075"/>
      <c r="CL42" s="2075"/>
      <c r="CM42" s="2075"/>
      <c r="CN42" s="2075"/>
      <c r="CO42" s="2075"/>
      <c r="CP42" s="2502">
        <f t="shared" si="86"/>
        <v>25000</v>
      </c>
      <c r="CQ42" s="2835"/>
      <c r="CR42" s="2075"/>
      <c r="CS42" s="2075"/>
      <c r="CT42" s="2075"/>
      <c r="CU42" s="2075"/>
      <c r="CV42" s="2075"/>
      <c r="CW42" s="2075"/>
      <c r="CX42" s="2075"/>
      <c r="CY42" s="2075"/>
      <c r="CZ42" s="2075"/>
      <c r="DA42" s="2075"/>
      <c r="DB42" s="2075"/>
      <c r="DC42" s="2075"/>
      <c r="DD42" s="2502">
        <f t="shared" si="16"/>
        <v>0</v>
      </c>
      <c r="DE42" s="2835"/>
      <c r="DF42" s="2075"/>
      <c r="DG42" s="2075"/>
      <c r="DH42" s="2075"/>
      <c r="DI42" s="1105">
        <f>SUM(DF42:DH42)</f>
        <v>0</v>
      </c>
      <c r="DJ42" s="3120">
        <f t="shared" si="17"/>
        <v>65000</v>
      </c>
      <c r="DL42" s="1027">
        <f t="shared" si="7"/>
        <v>0</v>
      </c>
      <c r="DN42" s="2732"/>
      <c r="DO42" s="2736"/>
      <c r="DP42" s="2736"/>
      <c r="DQ42" s="2736"/>
      <c r="DR42" s="2736"/>
      <c r="DS42" s="1037"/>
      <c r="DT42" s="1037"/>
    </row>
    <row r="43" spans="2:124" ht="45" hidden="1" outlineLevel="4">
      <c r="B43" s="2983"/>
      <c r="C43" s="3309"/>
      <c r="D43" s="3324"/>
      <c r="E43" s="2846"/>
      <c r="F43" s="3310" t="s">
        <v>1261</v>
      </c>
      <c r="G43" s="2838"/>
      <c r="H43" s="3327" t="s">
        <v>1262</v>
      </c>
      <c r="I43" s="3312"/>
      <c r="J43" s="103"/>
      <c r="L43" s="364"/>
      <c r="M43" s="364"/>
      <c r="N43" s="364"/>
      <c r="O43" s="364"/>
      <c r="P43" s="364"/>
      <c r="Q43" s="364"/>
      <c r="R43" s="364"/>
      <c r="S43" s="364"/>
      <c r="T43" s="364"/>
      <c r="U43" s="364"/>
      <c r="W43" s="1207" t="s">
        <v>763</v>
      </c>
      <c r="X43" s="853" t="s">
        <v>1075</v>
      </c>
      <c r="Y43" s="1207" t="s">
        <v>1187</v>
      </c>
      <c r="Z43" s="1513" t="s">
        <v>1263</v>
      </c>
      <c r="AA43" s="853"/>
      <c r="AB43" s="2647"/>
      <c r="AD43" s="711" t="s">
        <v>1189</v>
      </c>
      <c r="AE43" s="712">
        <v>1</v>
      </c>
      <c r="AF43" s="179">
        <v>13</v>
      </c>
      <c r="AG43" s="179"/>
      <c r="AH43" s="1048">
        <v>5000</v>
      </c>
      <c r="AI43" s="1048">
        <f>+AE43*AF43*AH43</f>
        <v>65000</v>
      </c>
      <c r="AJ43" s="2854"/>
      <c r="AL43" s="1343">
        <f>+AI43</f>
        <v>65000</v>
      </c>
      <c r="AM43" s="2984"/>
      <c r="AN43" s="1343">
        <f t="shared" si="0"/>
        <v>65000</v>
      </c>
      <c r="AP43" s="1313"/>
      <c r="AQ43" s="1313"/>
      <c r="AR43" s="1313"/>
      <c r="AS43" s="1313"/>
      <c r="AT43" s="1313"/>
      <c r="AU43" s="1313"/>
      <c r="AV43" s="1313"/>
      <c r="AW43" s="1313"/>
      <c r="AX43" s="1313"/>
      <c r="AY43" s="1313"/>
      <c r="AZ43" s="2502"/>
      <c r="BA43" s="2835"/>
      <c r="BB43" s="1011"/>
      <c r="BC43" s="1011"/>
      <c r="BD43" s="1011"/>
      <c r="BE43" s="1011"/>
      <c r="BF43" s="1011"/>
      <c r="BG43" s="1011"/>
      <c r="BH43" s="1011"/>
      <c r="BI43" s="1011"/>
      <c r="BJ43" s="1011"/>
      <c r="BK43" s="1011"/>
      <c r="BL43" s="1011"/>
      <c r="BM43" s="1011"/>
      <c r="BN43" s="2502"/>
      <c r="BO43" s="2835"/>
      <c r="BP43" s="1194"/>
      <c r="BQ43" s="1194"/>
      <c r="BR43" s="1194"/>
      <c r="BS43" s="1194"/>
      <c r="BT43" s="1194">
        <f t="shared" ref="BT43:CA43" si="90">+$AH$43</f>
        <v>5000</v>
      </c>
      <c r="BU43" s="1194">
        <f t="shared" si="90"/>
        <v>5000</v>
      </c>
      <c r="BV43" s="1194">
        <f t="shared" si="90"/>
        <v>5000</v>
      </c>
      <c r="BW43" s="1194">
        <f t="shared" si="90"/>
        <v>5000</v>
      </c>
      <c r="BX43" s="1194">
        <f t="shared" si="90"/>
        <v>5000</v>
      </c>
      <c r="BY43" s="1194">
        <f t="shared" si="90"/>
        <v>5000</v>
      </c>
      <c r="BZ43" s="1194">
        <f t="shared" si="90"/>
        <v>5000</v>
      </c>
      <c r="CA43" s="1194">
        <f t="shared" si="90"/>
        <v>5000</v>
      </c>
      <c r="CB43" s="2502">
        <f t="shared" si="84"/>
        <v>40000</v>
      </c>
      <c r="CC43" s="2835"/>
      <c r="CD43" s="1194">
        <f>+$AH$43</f>
        <v>5000</v>
      </c>
      <c r="CE43" s="1194">
        <f>+$AH$43</f>
        <v>5000</v>
      </c>
      <c r="CF43" s="1194">
        <f>+$AH$43</f>
        <v>5000</v>
      </c>
      <c r="CG43" s="1194">
        <f>+$AH$43</f>
        <v>5000</v>
      </c>
      <c r="CH43" s="1194">
        <f t="shared" ref="CH43" si="91">+$AH$43</f>
        <v>5000</v>
      </c>
      <c r="CI43" s="2075"/>
      <c r="CJ43" s="2075"/>
      <c r="CK43" s="2075"/>
      <c r="CL43" s="2075"/>
      <c r="CM43" s="2075"/>
      <c r="CN43" s="2075"/>
      <c r="CO43" s="2075"/>
      <c r="CP43" s="2502">
        <f t="shared" si="86"/>
        <v>25000</v>
      </c>
      <c r="CQ43" s="2835"/>
      <c r="CR43" s="2075"/>
      <c r="CS43" s="2075"/>
      <c r="CT43" s="2075"/>
      <c r="CU43" s="2075"/>
      <c r="CV43" s="2075"/>
      <c r="CW43" s="2075"/>
      <c r="CX43" s="2075"/>
      <c r="CY43" s="2075"/>
      <c r="CZ43" s="2075"/>
      <c r="DA43" s="2075"/>
      <c r="DB43" s="2075"/>
      <c r="DC43" s="2075"/>
      <c r="DD43" s="2502">
        <f t="shared" si="16"/>
        <v>0</v>
      </c>
      <c r="DE43" s="2835"/>
      <c r="DF43" s="2075"/>
      <c r="DG43" s="2075"/>
      <c r="DH43" s="2075"/>
      <c r="DI43" s="1105">
        <f>SUM(DF43:DH43)</f>
        <v>0</v>
      </c>
      <c r="DJ43" s="3120">
        <f t="shared" si="17"/>
        <v>65000</v>
      </c>
      <c r="DL43" s="1027">
        <f t="shared" si="7"/>
        <v>0</v>
      </c>
      <c r="DN43" s="2732"/>
      <c r="DO43" s="2736"/>
      <c r="DP43" s="2736"/>
      <c r="DQ43" s="2736"/>
      <c r="DR43" s="2736"/>
      <c r="DS43" s="1037"/>
      <c r="DT43" s="1037"/>
    </row>
    <row r="44" spans="2:124" s="153" customFormat="1" ht="15" hidden="1" outlineLevel="3">
      <c r="B44" s="2839"/>
      <c r="C44" s="3306" t="s">
        <v>637</v>
      </c>
      <c r="D44" s="2941" t="s">
        <v>637</v>
      </c>
      <c r="E44" s="2830"/>
      <c r="F44" s="2949" t="s">
        <v>654</v>
      </c>
      <c r="G44" s="2852"/>
      <c r="H44" s="1250" t="s">
        <v>1264</v>
      </c>
      <c r="I44" s="399" t="s">
        <v>4</v>
      </c>
      <c r="J44" s="399"/>
      <c r="K44" s="1037"/>
      <c r="L44" s="851" t="e">
        <v>#REF!</v>
      </c>
      <c r="M44" s="851" t="e">
        <v>#REF!</v>
      </c>
      <c r="N44" s="851" t="e">
        <v>#REF!</v>
      </c>
      <c r="O44" s="851" t="e">
        <v>#REF!</v>
      </c>
      <c r="P44" s="851" t="e">
        <v>#REF!</v>
      </c>
      <c r="Q44" s="851" t="e">
        <v>#REF!</v>
      </c>
      <c r="R44" s="851" t="e">
        <v>#REF!</v>
      </c>
      <c r="S44" s="851" t="e">
        <v>#REF!</v>
      </c>
      <c r="T44" s="851" t="e">
        <v>#REF!</v>
      </c>
      <c r="U44" s="851" t="e">
        <v>#REF!</v>
      </c>
      <c r="V44" s="1037"/>
      <c r="W44" s="851"/>
      <c r="X44" s="851"/>
      <c r="Y44" s="851"/>
      <c r="Z44" s="851"/>
      <c r="AA44" s="851"/>
      <c r="AB44" s="1250"/>
      <c r="AC44" s="1037"/>
      <c r="AD44" s="2840"/>
      <c r="AE44" s="397"/>
      <c r="AF44" s="397"/>
      <c r="AG44" s="397"/>
      <c r="AH44" s="2497"/>
      <c r="AI44" s="398">
        <f>+SUM(AI45:AI50)</f>
        <v>90000</v>
      </c>
      <c r="AJ44" s="680"/>
      <c r="AK44" s="1037"/>
      <c r="AL44" s="398">
        <f>+SUM(AL45:AL49)</f>
        <v>90000</v>
      </c>
      <c r="AM44" s="398">
        <f>+AM51</f>
        <v>0</v>
      </c>
      <c r="AN44" s="398">
        <f t="shared" si="0"/>
        <v>90000</v>
      </c>
      <c r="AO44" s="1037"/>
      <c r="AP44" s="992">
        <f t="shared" ref="AP44:AY44" si="92">+SUM(AP45:AP49)</f>
        <v>0</v>
      </c>
      <c r="AQ44" s="992">
        <f t="shared" si="92"/>
        <v>0</v>
      </c>
      <c r="AR44" s="992">
        <f t="shared" si="92"/>
        <v>0</v>
      </c>
      <c r="AS44" s="992">
        <f t="shared" si="92"/>
        <v>0</v>
      </c>
      <c r="AT44" s="992">
        <f t="shared" si="92"/>
        <v>0</v>
      </c>
      <c r="AU44" s="992">
        <f t="shared" si="92"/>
        <v>0</v>
      </c>
      <c r="AV44" s="992">
        <f t="shared" si="92"/>
        <v>0</v>
      </c>
      <c r="AW44" s="992">
        <f t="shared" si="92"/>
        <v>0</v>
      </c>
      <c r="AX44" s="992">
        <f t="shared" si="92"/>
        <v>0</v>
      </c>
      <c r="AY44" s="992">
        <f t="shared" si="92"/>
        <v>0</v>
      </c>
      <c r="AZ44" s="992">
        <f>SUM(AP44:AY44)</f>
        <v>0</v>
      </c>
      <c r="BA44" s="2835"/>
      <c r="BB44" s="992">
        <f>+SUM(BB45:BB49)</f>
        <v>0</v>
      </c>
      <c r="BC44" s="992">
        <f t="shared" ref="BC44:BM44" si="93">+SUM(BC45:BC49)</f>
        <v>0</v>
      </c>
      <c r="BD44" s="992">
        <f t="shared" si="93"/>
        <v>0</v>
      </c>
      <c r="BE44" s="992">
        <f t="shared" si="93"/>
        <v>0</v>
      </c>
      <c r="BF44" s="992">
        <f t="shared" si="93"/>
        <v>0</v>
      </c>
      <c r="BG44" s="992">
        <f t="shared" si="93"/>
        <v>0</v>
      </c>
      <c r="BH44" s="992">
        <f t="shared" si="93"/>
        <v>0</v>
      </c>
      <c r="BI44" s="992">
        <f t="shared" si="93"/>
        <v>0</v>
      </c>
      <c r="BJ44" s="992">
        <f t="shared" si="93"/>
        <v>0</v>
      </c>
      <c r="BK44" s="992">
        <f t="shared" si="93"/>
        <v>2400</v>
      </c>
      <c r="BL44" s="992">
        <f t="shared" si="93"/>
        <v>7800</v>
      </c>
      <c r="BM44" s="992">
        <f t="shared" si="93"/>
        <v>9900</v>
      </c>
      <c r="BN44" s="992">
        <f t="shared" ref="BN44:BN49" si="94">SUM(BB44:BM44)</f>
        <v>20100</v>
      </c>
      <c r="BO44" s="2835"/>
      <c r="BP44" s="992">
        <f t="shared" ref="BP44:CA44" si="95">+SUM(BP45:BP49)</f>
        <v>8700</v>
      </c>
      <c r="BQ44" s="992">
        <f t="shared" si="95"/>
        <v>7200</v>
      </c>
      <c r="BR44" s="992">
        <f t="shared" si="95"/>
        <v>18000</v>
      </c>
      <c r="BS44" s="992">
        <f t="shared" si="95"/>
        <v>16800</v>
      </c>
      <c r="BT44" s="992">
        <f t="shared" si="95"/>
        <v>8400</v>
      </c>
      <c r="BU44" s="992">
        <f t="shared" si="95"/>
        <v>3600</v>
      </c>
      <c r="BV44" s="992">
        <f t="shared" si="95"/>
        <v>7200</v>
      </c>
      <c r="BW44" s="992">
        <f t="shared" si="95"/>
        <v>0</v>
      </c>
      <c r="BX44" s="992">
        <f t="shared" si="95"/>
        <v>0</v>
      </c>
      <c r="BY44" s="992">
        <f t="shared" si="95"/>
        <v>0</v>
      </c>
      <c r="BZ44" s="992">
        <f t="shared" si="95"/>
        <v>0</v>
      </c>
      <c r="CA44" s="992">
        <f t="shared" si="95"/>
        <v>0</v>
      </c>
      <c r="CB44" s="992">
        <f t="shared" si="84"/>
        <v>69900</v>
      </c>
      <c r="CC44" s="2835"/>
      <c r="CD44" s="992">
        <f t="shared" ref="CD44:CO44" si="96">+SUM(CD45:CD49)</f>
        <v>0</v>
      </c>
      <c r="CE44" s="992">
        <f t="shared" si="96"/>
        <v>0</v>
      </c>
      <c r="CF44" s="992">
        <f t="shared" si="96"/>
        <v>0</v>
      </c>
      <c r="CG44" s="992">
        <f t="shared" si="96"/>
        <v>0</v>
      </c>
      <c r="CH44" s="992">
        <f t="shared" si="96"/>
        <v>0</v>
      </c>
      <c r="CI44" s="992">
        <f t="shared" si="96"/>
        <v>0</v>
      </c>
      <c r="CJ44" s="992">
        <f t="shared" si="96"/>
        <v>0</v>
      </c>
      <c r="CK44" s="992">
        <f t="shared" si="96"/>
        <v>0</v>
      </c>
      <c r="CL44" s="992">
        <f t="shared" si="96"/>
        <v>0</v>
      </c>
      <c r="CM44" s="992">
        <f t="shared" si="96"/>
        <v>0</v>
      </c>
      <c r="CN44" s="992">
        <f t="shared" si="96"/>
        <v>0</v>
      </c>
      <c r="CO44" s="992">
        <f t="shared" si="96"/>
        <v>0</v>
      </c>
      <c r="CP44" s="992">
        <f t="shared" si="86"/>
        <v>0</v>
      </c>
      <c r="CQ44" s="2835"/>
      <c r="CR44" s="992">
        <f t="shared" ref="CR44:DC44" si="97">+SUM(CR45:CR49)</f>
        <v>0</v>
      </c>
      <c r="CS44" s="992">
        <f t="shared" si="97"/>
        <v>0</v>
      </c>
      <c r="CT44" s="992">
        <f t="shared" si="97"/>
        <v>0</v>
      </c>
      <c r="CU44" s="992">
        <f t="shared" si="97"/>
        <v>0</v>
      </c>
      <c r="CV44" s="992">
        <f t="shared" si="97"/>
        <v>0</v>
      </c>
      <c r="CW44" s="992">
        <f t="shared" si="97"/>
        <v>0</v>
      </c>
      <c r="CX44" s="992">
        <f t="shared" si="97"/>
        <v>0</v>
      </c>
      <c r="CY44" s="992">
        <f t="shared" si="97"/>
        <v>0</v>
      </c>
      <c r="CZ44" s="992">
        <f t="shared" si="97"/>
        <v>0</v>
      </c>
      <c r="DA44" s="992">
        <f t="shared" si="97"/>
        <v>0</v>
      </c>
      <c r="DB44" s="992">
        <f t="shared" si="97"/>
        <v>0</v>
      </c>
      <c r="DC44" s="992">
        <f t="shared" si="97"/>
        <v>0</v>
      </c>
      <c r="DD44" s="992">
        <f t="shared" si="16"/>
        <v>0</v>
      </c>
      <c r="DE44" s="2835"/>
      <c r="DF44" s="992">
        <f>+SUM(DF45:DF49)</f>
        <v>0</v>
      </c>
      <c r="DG44" s="992">
        <f>+SUM(DG45:DG49)</f>
        <v>0</v>
      </c>
      <c r="DH44" s="992">
        <f>+SUM(DH45:DH49)</f>
        <v>0</v>
      </c>
      <c r="DI44" s="3083">
        <f>+DI51+DI45+DI46</f>
        <v>0</v>
      </c>
      <c r="DJ44" s="3117">
        <f t="shared" si="17"/>
        <v>90000</v>
      </c>
      <c r="DL44" s="1027">
        <f t="shared" si="7"/>
        <v>0</v>
      </c>
      <c r="DN44" s="2727" t="s">
        <v>1175</v>
      </c>
      <c r="DO44" s="2728" t="s">
        <v>1175</v>
      </c>
      <c r="DP44" s="2728"/>
      <c r="DQ44" s="2728" t="s">
        <v>1175</v>
      </c>
      <c r="DR44" s="2728" t="str">
        <f>MID(D44,1,1)</f>
        <v>1</v>
      </c>
      <c r="DS44" s="1037"/>
      <c r="DT44" s="1037"/>
    </row>
    <row r="45" spans="2:124" s="153" customFormat="1" ht="45" hidden="1" outlineLevel="4">
      <c r="B45" s="2855"/>
      <c r="C45" s="3309" t="s">
        <v>1265</v>
      </c>
      <c r="D45" s="3310" t="s">
        <v>640</v>
      </c>
      <c r="E45" s="2856"/>
      <c r="F45" s="3310" t="s">
        <v>656</v>
      </c>
      <c r="G45" s="2838"/>
      <c r="H45" s="3327" t="s">
        <v>641</v>
      </c>
      <c r="I45" s="177"/>
      <c r="J45" s="177"/>
      <c r="K45" s="1037"/>
      <c r="L45" s="853"/>
      <c r="M45" s="853"/>
      <c r="N45" s="853"/>
      <c r="O45" s="853"/>
      <c r="P45" s="853"/>
      <c r="Q45" s="853"/>
      <c r="R45" s="853"/>
      <c r="S45" s="853"/>
      <c r="T45" s="853"/>
      <c r="U45" s="853"/>
      <c r="V45" s="1037"/>
      <c r="W45" s="1481" t="s">
        <v>763</v>
      </c>
      <c r="X45" s="1481" t="s">
        <v>1075</v>
      </c>
      <c r="Y45" s="1481" t="s">
        <v>1187</v>
      </c>
      <c r="Z45" s="1481">
        <v>108</v>
      </c>
      <c r="AA45" s="1481" t="s">
        <v>1266</v>
      </c>
      <c r="AB45" s="173"/>
      <c r="AC45" s="1037"/>
      <c r="AD45" s="529" t="s">
        <v>1267</v>
      </c>
      <c r="AE45" s="763">
        <v>1</v>
      </c>
      <c r="AF45" s="763">
        <v>6</v>
      </c>
      <c r="AG45" s="763"/>
      <c r="AH45" s="724">
        <v>4000</v>
      </c>
      <c r="AI45" s="724">
        <f>+AE45*AF45*AH45</f>
        <v>24000</v>
      </c>
      <c r="AJ45" s="693"/>
      <c r="AK45" s="2857"/>
      <c r="AL45" s="1032">
        <f>+AI45</f>
        <v>24000</v>
      </c>
      <c r="AM45" s="440"/>
      <c r="AN45" s="1041">
        <f t="shared" si="0"/>
        <v>24000</v>
      </c>
      <c r="AO45" s="2857"/>
      <c r="AP45" s="1011"/>
      <c r="AQ45" s="1011"/>
      <c r="AR45" s="1011"/>
      <c r="AS45" s="1011"/>
      <c r="AT45" s="1011"/>
      <c r="AU45" s="1011"/>
      <c r="AV45" s="1011"/>
      <c r="AW45" s="1011"/>
      <c r="AX45" s="1011"/>
      <c r="AY45" s="1011"/>
      <c r="AZ45" s="2011">
        <f>SUM(AP45:AY45)</f>
        <v>0</v>
      </c>
      <c r="BA45" s="1037"/>
      <c r="BB45" s="1011"/>
      <c r="BC45" s="1011"/>
      <c r="BD45" s="1011"/>
      <c r="BE45" s="1011"/>
      <c r="BF45" s="1011"/>
      <c r="BG45" s="1011"/>
      <c r="BH45" s="1011"/>
      <c r="BI45" s="1011"/>
      <c r="BJ45" s="1011"/>
      <c r="BK45" s="2652">
        <f>+$AI$45*0.1</f>
        <v>2400</v>
      </c>
      <c r="BL45" s="2652">
        <f>+$AI$45*0.15</f>
        <v>3600</v>
      </c>
      <c r="BM45" s="2652">
        <f>+$AI$45*0.15</f>
        <v>3600</v>
      </c>
      <c r="BN45" s="2011">
        <f t="shared" si="94"/>
        <v>9600</v>
      </c>
      <c r="BO45" s="1037"/>
      <c r="BP45" s="2652">
        <f>+$AI$45*0.15</f>
        <v>3600</v>
      </c>
      <c r="BQ45" s="2652">
        <f>+$AI$45*0.15</f>
        <v>3600</v>
      </c>
      <c r="BR45" s="2652">
        <f>+$AI$45*0.3</f>
        <v>7200</v>
      </c>
      <c r="BS45" s="1011"/>
      <c r="BT45" s="1011"/>
      <c r="BU45" s="1011"/>
      <c r="BV45" s="1011"/>
      <c r="BW45" s="1011"/>
      <c r="BX45" s="1011"/>
      <c r="BY45" s="1011"/>
      <c r="BZ45" s="1011"/>
      <c r="CA45" s="1011"/>
      <c r="CB45" s="2011">
        <f t="shared" si="84"/>
        <v>14400</v>
      </c>
      <c r="CC45" s="1037"/>
      <c r="CD45" s="1011"/>
      <c r="CE45" s="1011"/>
      <c r="CF45" s="1011"/>
      <c r="CG45" s="1011"/>
      <c r="CH45" s="1011"/>
      <c r="CI45" s="1011"/>
      <c r="CJ45" s="1011"/>
      <c r="CK45" s="1011"/>
      <c r="CL45" s="1011"/>
      <c r="CM45" s="1011"/>
      <c r="CN45" s="1011"/>
      <c r="CO45" s="1011"/>
      <c r="CP45" s="2011">
        <f t="shared" si="86"/>
        <v>0</v>
      </c>
      <c r="CQ45" s="1037"/>
      <c r="CR45" s="1011"/>
      <c r="CS45" s="1011"/>
      <c r="CT45" s="1011"/>
      <c r="CU45" s="1011"/>
      <c r="CV45" s="1011"/>
      <c r="CW45" s="1011"/>
      <c r="CX45" s="1011"/>
      <c r="CY45" s="1011"/>
      <c r="CZ45" s="1011"/>
      <c r="DA45" s="1011"/>
      <c r="DB45" s="1011"/>
      <c r="DC45" s="1011"/>
      <c r="DD45" s="2011">
        <f t="shared" si="16"/>
        <v>0</v>
      </c>
      <c r="DE45" s="1037"/>
      <c r="DF45" s="1011"/>
      <c r="DG45" s="1011"/>
      <c r="DH45" s="1011"/>
      <c r="DI45" s="2009">
        <f>SUM(DF45:DH45)</f>
        <v>0</v>
      </c>
      <c r="DJ45" s="3121">
        <f t="shared" si="17"/>
        <v>24000</v>
      </c>
      <c r="DK45" s="883"/>
      <c r="DL45" s="1027">
        <f t="shared" si="7"/>
        <v>0</v>
      </c>
      <c r="DM45" s="883"/>
      <c r="DN45" s="2733"/>
      <c r="DO45" s="2734"/>
      <c r="DP45" s="2735"/>
      <c r="DQ45" s="2734"/>
      <c r="DR45" s="2734"/>
      <c r="DS45" s="2857"/>
      <c r="DT45" s="2857"/>
    </row>
    <row r="46" spans="2:124" s="153" customFormat="1" ht="45" hidden="1" outlineLevel="4">
      <c r="B46" s="2855"/>
      <c r="C46" s="3309" t="s">
        <v>1268</v>
      </c>
      <c r="D46" s="3310" t="s">
        <v>642</v>
      </c>
      <c r="E46" s="1063"/>
      <c r="F46" s="3310" t="s">
        <v>1269</v>
      </c>
      <c r="G46" s="2838"/>
      <c r="H46" s="3327" t="s">
        <v>643</v>
      </c>
      <c r="I46" s="177"/>
      <c r="J46" s="177"/>
      <c r="K46" s="1037"/>
      <c r="L46" s="853"/>
      <c r="M46" s="853"/>
      <c r="N46" s="853"/>
      <c r="O46" s="853"/>
      <c r="P46" s="853"/>
      <c r="Q46" s="853"/>
      <c r="R46" s="853"/>
      <c r="S46" s="853"/>
      <c r="T46" s="853"/>
      <c r="U46" s="853"/>
      <c r="V46" s="1037"/>
      <c r="W46" s="1481" t="s">
        <v>763</v>
      </c>
      <c r="X46" s="1481" t="s">
        <v>1075</v>
      </c>
      <c r="Y46" s="1481" t="s">
        <v>1187</v>
      </c>
      <c r="Z46" s="1481">
        <v>109</v>
      </c>
      <c r="AA46" s="1481" t="s">
        <v>1266</v>
      </c>
      <c r="AB46" s="173"/>
      <c r="AC46" s="1037"/>
      <c r="AD46" s="529" t="s">
        <v>1267</v>
      </c>
      <c r="AE46" s="763">
        <v>1</v>
      </c>
      <c r="AF46" s="763">
        <v>6</v>
      </c>
      <c r="AG46" s="763"/>
      <c r="AH46" s="724">
        <v>3000</v>
      </c>
      <c r="AI46" s="724">
        <f>+AE46*AF46*AH46</f>
        <v>18000</v>
      </c>
      <c r="AJ46" s="693"/>
      <c r="AK46" s="2857"/>
      <c r="AL46" s="1032">
        <f>+AI46</f>
        <v>18000</v>
      </c>
      <c r="AM46" s="440"/>
      <c r="AN46" s="1041">
        <f t="shared" si="0"/>
        <v>18000</v>
      </c>
      <c r="AO46" s="2857"/>
      <c r="AP46" s="1011"/>
      <c r="AQ46" s="1011"/>
      <c r="AR46" s="1011"/>
      <c r="AS46" s="1011"/>
      <c r="AT46" s="1011"/>
      <c r="AU46" s="1011"/>
      <c r="AV46" s="1011"/>
      <c r="AW46" s="1011"/>
      <c r="AX46" s="1011"/>
      <c r="AY46" s="1011"/>
      <c r="AZ46" s="2011"/>
      <c r="BA46" s="1037"/>
      <c r="BB46" s="1124"/>
      <c r="BC46" s="1124"/>
      <c r="BD46" s="1124"/>
      <c r="BE46" s="1124"/>
      <c r="BF46" s="1124"/>
      <c r="BG46" s="1124"/>
      <c r="BH46" s="1124"/>
      <c r="BI46" s="1124"/>
      <c r="BJ46" s="1124"/>
      <c r="BK46" s="2652"/>
      <c r="BL46" s="2652">
        <f>+$AI$46*0.1</f>
        <v>1800</v>
      </c>
      <c r="BM46" s="2652">
        <f>+$AI$46*0.15</f>
        <v>2700</v>
      </c>
      <c r="BN46" s="2011">
        <f t="shared" si="94"/>
        <v>4500</v>
      </c>
      <c r="BO46" s="2858"/>
      <c r="BP46" s="2652">
        <f>+$AI$46*0.15</f>
        <v>2700</v>
      </c>
      <c r="BQ46" s="2652">
        <f>+$AI$46*0.2</f>
        <v>3600</v>
      </c>
      <c r="BR46" s="2652">
        <f>+$AI$46*0.2</f>
        <v>3600</v>
      </c>
      <c r="BS46" s="2652">
        <f>+$AI$46*0.2</f>
        <v>3600</v>
      </c>
      <c r="BT46" s="1124"/>
      <c r="BU46" s="1124"/>
      <c r="BV46" s="1124"/>
      <c r="BW46" s="1124"/>
      <c r="BX46" s="1124"/>
      <c r="BY46" s="1124"/>
      <c r="BZ46" s="1124"/>
      <c r="CA46" s="1124"/>
      <c r="CB46" s="2011">
        <f t="shared" si="84"/>
        <v>13500</v>
      </c>
      <c r="CC46" s="2858"/>
      <c r="CD46" s="1124"/>
      <c r="CE46" s="1124"/>
      <c r="CF46" s="1124"/>
      <c r="CG46" s="1124"/>
      <c r="CH46" s="1124"/>
      <c r="CI46" s="1124"/>
      <c r="CJ46" s="1124"/>
      <c r="CK46" s="1124"/>
      <c r="CL46" s="1124"/>
      <c r="CM46" s="1124"/>
      <c r="CN46" s="1124"/>
      <c r="CO46" s="1124"/>
      <c r="CP46" s="2011">
        <f t="shared" si="86"/>
        <v>0</v>
      </c>
      <c r="CQ46" s="2858"/>
      <c r="CR46" s="1124"/>
      <c r="CS46" s="1124"/>
      <c r="CT46" s="1124"/>
      <c r="CU46" s="1124"/>
      <c r="CV46" s="1124"/>
      <c r="CW46" s="1124"/>
      <c r="CX46" s="1124"/>
      <c r="CY46" s="1124"/>
      <c r="CZ46" s="1124"/>
      <c r="DA46" s="1124"/>
      <c r="DB46" s="1124"/>
      <c r="DC46" s="1124"/>
      <c r="DD46" s="2011">
        <f t="shared" si="16"/>
        <v>0</v>
      </c>
      <c r="DE46" s="2858"/>
      <c r="DF46" s="1124"/>
      <c r="DG46" s="1124"/>
      <c r="DH46" s="1124"/>
      <c r="DI46" s="2009">
        <f>SUM(DF46:DH46)</f>
        <v>0</v>
      </c>
      <c r="DJ46" s="3121">
        <f t="shared" si="17"/>
        <v>18000</v>
      </c>
      <c r="DK46" s="883"/>
      <c r="DL46" s="1027">
        <f t="shared" si="7"/>
        <v>0</v>
      </c>
      <c r="DM46" s="883"/>
      <c r="DN46" s="2733"/>
      <c r="DO46" s="2734"/>
      <c r="DP46" s="2735"/>
      <c r="DQ46" s="2734"/>
      <c r="DR46" s="2734"/>
      <c r="DS46" s="2857"/>
      <c r="DT46" s="2857"/>
    </row>
    <row r="47" spans="2:124" s="153" customFormat="1" ht="45" hidden="1" outlineLevel="4">
      <c r="B47" s="2855"/>
      <c r="C47" s="3309" t="s">
        <v>1270</v>
      </c>
      <c r="D47" s="3310" t="s">
        <v>644</v>
      </c>
      <c r="E47" s="1063"/>
      <c r="F47" s="3310" t="s">
        <v>659</v>
      </c>
      <c r="G47" s="2838"/>
      <c r="H47" s="3327" t="s">
        <v>645</v>
      </c>
      <c r="I47" s="177"/>
      <c r="J47" s="177"/>
      <c r="K47" s="1037"/>
      <c r="L47" s="853"/>
      <c r="M47" s="853"/>
      <c r="N47" s="853"/>
      <c r="O47" s="853"/>
      <c r="P47" s="853"/>
      <c r="Q47" s="853"/>
      <c r="R47" s="853"/>
      <c r="S47" s="853"/>
      <c r="T47" s="853"/>
      <c r="U47" s="853"/>
      <c r="V47" s="1037"/>
      <c r="W47" s="1481" t="s">
        <v>763</v>
      </c>
      <c r="X47" s="1481" t="s">
        <v>1075</v>
      </c>
      <c r="Y47" s="1481" t="s">
        <v>1187</v>
      </c>
      <c r="Z47" s="1481">
        <v>110</v>
      </c>
      <c r="AA47" s="1481" t="s">
        <v>1266</v>
      </c>
      <c r="AB47" s="173"/>
      <c r="AC47" s="1037"/>
      <c r="AD47" s="529" t="s">
        <v>1267</v>
      </c>
      <c r="AE47" s="763">
        <v>1</v>
      </c>
      <c r="AF47" s="763">
        <v>6</v>
      </c>
      <c r="AG47" s="763"/>
      <c r="AH47" s="724">
        <v>4000</v>
      </c>
      <c r="AI47" s="724">
        <f>+AE47*AF47*AH47</f>
        <v>24000</v>
      </c>
      <c r="AJ47" s="693"/>
      <c r="AK47" s="2857"/>
      <c r="AL47" s="1032">
        <f>+AI47</f>
        <v>24000</v>
      </c>
      <c r="AM47" s="440"/>
      <c r="AN47" s="1041">
        <f t="shared" si="0"/>
        <v>24000</v>
      </c>
      <c r="AO47" s="2857"/>
      <c r="AP47" s="1011"/>
      <c r="AQ47" s="1011"/>
      <c r="AR47" s="1011"/>
      <c r="AS47" s="1011"/>
      <c r="AT47" s="1011"/>
      <c r="AU47" s="1011"/>
      <c r="AV47" s="1011"/>
      <c r="AW47" s="1011"/>
      <c r="AX47" s="1011"/>
      <c r="AY47" s="1011"/>
      <c r="AZ47" s="2011"/>
      <c r="BA47" s="1037"/>
      <c r="BB47" s="1011"/>
      <c r="BC47" s="1011"/>
      <c r="BD47" s="1011"/>
      <c r="BE47" s="1011"/>
      <c r="BF47" s="1011"/>
      <c r="BG47" s="1011"/>
      <c r="BH47" s="1011"/>
      <c r="BI47" s="1011"/>
      <c r="BJ47" s="1011"/>
      <c r="BK47" s="2652"/>
      <c r="BL47" s="1033">
        <f>+$AI$47*0.1</f>
        <v>2400</v>
      </c>
      <c r="BM47" s="1033">
        <f>+$AI$47*0.15</f>
        <v>3600</v>
      </c>
      <c r="BN47" s="2011">
        <f t="shared" si="94"/>
        <v>6000</v>
      </c>
      <c r="BO47" s="1037"/>
      <c r="BP47" s="2652"/>
      <c r="BQ47" s="2652"/>
      <c r="BR47" s="2652">
        <f>+$AI$47*0.15</f>
        <v>3600</v>
      </c>
      <c r="BS47" s="2652">
        <f>+$AI$47*0.4</f>
        <v>9600</v>
      </c>
      <c r="BT47" s="2652">
        <f>+$AI$47*0.2</f>
        <v>4800</v>
      </c>
      <c r="BU47" s="2652"/>
      <c r="BV47" s="1124"/>
      <c r="BW47" s="1124"/>
      <c r="BX47" s="1011"/>
      <c r="BY47" s="1011"/>
      <c r="BZ47" s="1011"/>
      <c r="CA47" s="1011"/>
      <c r="CB47" s="2011">
        <f t="shared" si="84"/>
        <v>18000</v>
      </c>
      <c r="CC47" s="1037"/>
      <c r="CD47" s="1011"/>
      <c r="CE47" s="1011"/>
      <c r="CF47" s="1011"/>
      <c r="CG47" s="1011"/>
      <c r="CH47" s="1011"/>
      <c r="CI47" s="1011"/>
      <c r="CJ47" s="1011"/>
      <c r="CK47" s="1011"/>
      <c r="CL47" s="1011"/>
      <c r="CM47" s="1011"/>
      <c r="CN47" s="1011"/>
      <c r="CO47" s="1011"/>
      <c r="CP47" s="2011">
        <f t="shared" si="86"/>
        <v>0</v>
      </c>
      <c r="CQ47" s="1037"/>
      <c r="CR47" s="1011"/>
      <c r="CS47" s="1011"/>
      <c r="CT47" s="1011"/>
      <c r="CU47" s="1011"/>
      <c r="CV47" s="1011"/>
      <c r="CW47" s="1011"/>
      <c r="CX47" s="1011"/>
      <c r="CY47" s="1011"/>
      <c r="CZ47" s="1011"/>
      <c r="DA47" s="1011"/>
      <c r="DB47" s="1011"/>
      <c r="DC47" s="1011"/>
      <c r="DD47" s="2011">
        <f t="shared" si="16"/>
        <v>0</v>
      </c>
      <c r="DE47" s="1037"/>
      <c r="DF47" s="1011"/>
      <c r="DG47" s="1011"/>
      <c r="DH47" s="1011"/>
      <c r="DI47" s="2009">
        <f>SUM(DF47:DH47)</f>
        <v>0</v>
      </c>
      <c r="DJ47" s="3121">
        <f t="shared" si="17"/>
        <v>24000</v>
      </c>
      <c r="DK47" s="883"/>
      <c r="DL47" s="1027">
        <f t="shared" si="7"/>
        <v>0</v>
      </c>
      <c r="DM47" s="883"/>
      <c r="DN47" s="2733"/>
      <c r="DO47" s="2734"/>
      <c r="DP47" s="2735"/>
      <c r="DQ47" s="2734"/>
      <c r="DR47" s="2734"/>
      <c r="DS47" s="2857"/>
      <c r="DT47" s="2857"/>
    </row>
    <row r="48" spans="2:124" s="153" customFormat="1" ht="45" hidden="1" outlineLevel="4">
      <c r="B48" s="2855"/>
      <c r="C48" s="3309" t="s">
        <v>1271</v>
      </c>
      <c r="D48" s="3310" t="s">
        <v>646</v>
      </c>
      <c r="E48" s="1063"/>
      <c r="F48" s="3310" t="s">
        <v>662</v>
      </c>
      <c r="G48" s="2838"/>
      <c r="H48" s="3327" t="s">
        <v>647</v>
      </c>
      <c r="I48" s="177"/>
      <c r="J48" s="177"/>
      <c r="K48" s="1037"/>
      <c r="L48" s="853"/>
      <c r="M48" s="853"/>
      <c r="N48" s="853"/>
      <c r="O48" s="853"/>
      <c r="P48" s="853"/>
      <c r="Q48" s="853"/>
      <c r="R48" s="853"/>
      <c r="S48" s="853"/>
      <c r="T48" s="853"/>
      <c r="U48" s="853"/>
      <c r="V48" s="1037"/>
      <c r="W48" s="1481" t="s">
        <v>763</v>
      </c>
      <c r="X48" s="1481" t="s">
        <v>1075</v>
      </c>
      <c r="Y48" s="1481" t="s">
        <v>1187</v>
      </c>
      <c r="Z48" s="1481">
        <v>111</v>
      </c>
      <c r="AA48" s="1481" t="s">
        <v>1266</v>
      </c>
      <c r="AB48" s="173"/>
      <c r="AC48" s="1037"/>
      <c r="AD48" s="529" t="s">
        <v>1267</v>
      </c>
      <c r="AE48" s="763">
        <v>1</v>
      </c>
      <c r="AF48" s="763">
        <v>6</v>
      </c>
      <c r="AG48" s="763"/>
      <c r="AH48" s="724">
        <v>4000</v>
      </c>
      <c r="AI48" s="724">
        <f>+AE48*AF48*AH48</f>
        <v>24000</v>
      </c>
      <c r="AJ48" s="693"/>
      <c r="AK48" s="2857"/>
      <c r="AL48" s="1032">
        <f>+AI48</f>
        <v>24000</v>
      </c>
      <c r="AM48" s="440"/>
      <c r="AN48" s="1041">
        <f t="shared" si="0"/>
        <v>24000</v>
      </c>
      <c r="AO48" s="2857"/>
      <c r="AP48" s="1011"/>
      <c r="AQ48" s="1011"/>
      <c r="AR48" s="1011"/>
      <c r="AS48" s="1011"/>
      <c r="AT48" s="1011"/>
      <c r="AU48" s="1011"/>
      <c r="AV48" s="1011"/>
      <c r="AW48" s="1011"/>
      <c r="AX48" s="1011"/>
      <c r="AY48" s="1011"/>
      <c r="AZ48" s="2011"/>
      <c r="BA48" s="1037"/>
      <c r="BB48" s="1011"/>
      <c r="BC48" s="1011"/>
      <c r="BD48" s="1011"/>
      <c r="BE48" s="1011"/>
      <c r="BF48" s="1011"/>
      <c r="BG48" s="1011"/>
      <c r="BH48" s="1011"/>
      <c r="BI48" s="1011"/>
      <c r="BJ48" s="1011"/>
      <c r="BK48" s="2652"/>
      <c r="BL48" s="2652"/>
      <c r="BM48" s="2652"/>
      <c r="BN48" s="2011">
        <f t="shared" si="94"/>
        <v>0</v>
      </c>
      <c r="BO48" s="1037"/>
      <c r="BP48" s="2652">
        <f>+$AI$48*0.1</f>
        <v>2400</v>
      </c>
      <c r="BQ48" s="2652"/>
      <c r="BR48" s="2652">
        <f>+$AI$48*0.15</f>
        <v>3600</v>
      </c>
      <c r="BS48" s="2652">
        <f>+$AI$48*0.15</f>
        <v>3600</v>
      </c>
      <c r="BT48" s="2652">
        <f>+$AI$48*0.15</f>
        <v>3600</v>
      </c>
      <c r="BU48" s="2652">
        <f>+$AI$48*0.15</f>
        <v>3600</v>
      </c>
      <c r="BV48" s="2652">
        <f>+$AI$48*0.3</f>
        <v>7200</v>
      </c>
      <c r="BW48" s="2652"/>
      <c r="BX48" s="1011"/>
      <c r="BY48" s="1011"/>
      <c r="BZ48" s="1011"/>
      <c r="CA48" s="1011"/>
      <c r="CB48" s="2011">
        <f t="shared" si="84"/>
        <v>24000</v>
      </c>
      <c r="CC48" s="1037"/>
      <c r="CD48" s="1011"/>
      <c r="CE48" s="1011"/>
      <c r="CF48" s="1011"/>
      <c r="CG48" s="1011"/>
      <c r="CH48" s="1011"/>
      <c r="CI48" s="1011"/>
      <c r="CJ48" s="1011"/>
      <c r="CK48" s="1011"/>
      <c r="CL48" s="1011"/>
      <c r="CM48" s="1011"/>
      <c r="CN48" s="1011"/>
      <c r="CO48" s="1011"/>
      <c r="CP48" s="2011">
        <f t="shared" si="86"/>
        <v>0</v>
      </c>
      <c r="CQ48" s="1037"/>
      <c r="CR48" s="1011"/>
      <c r="CS48" s="1011"/>
      <c r="CT48" s="1011"/>
      <c r="CU48" s="1011"/>
      <c r="CV48" s="1011"/>
      <c r="CW48" s="1011"/>
      <c r="CX48" s="1011"/>
      <c r="CY48" s="1011"/>
      <c r="CZ48" s="1011"/>
      <c r="DA48" s="1011"/>
      <c r="DB48" s="1011"/>
      <c r="DC48" s="1011"/>
      <c r="DD48" s="2011">
        <f t="shared" si="16"/>
        <v>0</v>
      </c>
      <c r="DE48" s="1037"/>
      <c r="DF48" s="1011"/>
      <c r="DG48" s="1011"/>
      <c r="DH48" s="1011"/>
      <c r="DI48" s="2009">
        <f>SUM(DF48:DH48)</f>
        <v>0</v>
      </c>
      <c r="DJ48" s="3121">
        <f t="shared" si="17"/>
        <v>24000</v>
      </c>
      <c r="DK48" s="883"/>
      <c r="DL48" s="1027">
        <f>+AN48-DJ48</f>
        <v>0</v>
      </c>
      <c r="DM48" s="883"/>
      <c r="DN48" s="2733"/>
      <c r="DO48" s="2734"/>
      <c r="DP48" s="2735"/>
      <c r="DQ48" s="2734"/>
      <c r="DR48" s="2734"/>
      <c r="DS48" s="2857"/>
      <c r="DT48" s="2857"/>
    </row>
    <row r="49" spans="1:130" s="153" customFormat="1" ht="45" hidden="1" outlineLevel="4">
      <c r="B49" s="2855"/>
      <c r="C49" s="3309"/>
      <c r="D49" s="3310" t="s">
        <v>1272</v>
      </c>
      <c r="E49" s="1063"/>
      <c r="F49" s="3310" t="s">
        <v>665</v>
      </c>
      <c r="G49" s="2838"/>
      <c r="H49" s="3327" t="s">
        <v>1273</v>
      </c>
      <c r="I49" s="177"/>
      <c r="J49" s="177"/>
      <c r="K49" s="1037"/>
      <c r="L49" s="853"/>
      <c r="M49" s="853"/>
      <c r="N49" s="853"/>
      <c r="O49" s="853"/>
      <c r="P49" s="853"/>
      <c r="Q49" s="853"/>
      <c r="R49" s="853"/>
      <c r="S49" s="853"/>
      <c r="T49" s="853"/>
      <c r="U49" s="853"/>
      <c r="V49" s="1037"/>
      <c r="W49" s="1481" t="s">
        <v>1274</v>
      </c>
      <c r="X49" s="1481" t="s">
        <v>1075</v>
      </c>
      <c r="Y49" s="1481" t="s">
        <v>1187</v>
      </c>
      <c r="Z49" s="2686" t="s">
        <v>1275</v>
      </c>
      <c r="AA49" s="1481">
        <v>8</v>
      </c>
      <c r="AB49" s="173"/>
      <c r="AC49" s="1037"/>
      <c r="AD49" s="529" t="s">
        <v>1267</v>
      </c>
      <c r="AE49" s="763">
        <v>1</v>
      </c>
      <c r="AF49" s="763">
        <v>0</v>
      </c>
      <c r="AG49" s="763"/>
      <c r="AH49" s="724">
        <v>3823.125</v>
      </c>
      <c r="AI49" s="724">
        <f>+AE49*AF49*AH49</f>
        <v>0</v>
      </c>
      <c r="AJ49" s="693"/>
      <c r="AK49" s="2857"/>
      <c r="AL49" s="1032">
        <f>+AI49</f>
        <v>0</v>
      </c>
      <c r="AM49" s="440"/>
      <c r="AN49" s="1041">
        <f t="shared" si="0"/>
        <v>0</v>
      </c>
      <c r="AO49" s="2857"/>
      <c r="AP49" s="1011"/>
      <c r="AQ49" s="1011"/>
      <c r="AR49" s="1011"/>
      <c r="AS49" s="1011"/>
      <c r="AT49" s="1011"/>
      <c r="AU49" s="1011"/>
      <c r="AV49" s="1011"/>
      <c r="AW49" s="1011"/>
      <c r="AX49" s="1011"/>
      <c r="AY49" s="1011"/>
      <c r="AZ49" s="2011"/>
      <c r="BA49" s="1037"/>
      <c r="BB49" s="1011"/>
      <c r="BC49" s="1011"/>
      <c r="BD49" s="1011"/>
      <c r="BE49" s="1011"/>
      <c r="BF49" s="1011"/>
      <c r="BG49" s="1011"/>
      <c r="BH49" s="1011"/>
      <c r="BI49" s="1011"/>
      <c r="BJ49" s="1011"/>
      <c r="BK49" s="2652"/>
      <c r="BL49" s="2652"/>
      <c r="BM49" s="2652"/>
      <c r="BN49" s="2011">
        <f t="shared" si="94"/>
        <v>0</v>
      </c>
      <c r="BO49" s="1037"/>
      <c r="BP49" s="1033"/>
      <c r="BQ49" s="1033"/>
      <c r="BR49" s="1033"/>
      <c r="BS49" s="1033"/>
      <c r="BT49" s="1033"/>
      <c r="BU49" s="1033"/>
      <c r="BV49" s="1033"/>
      <c r="BW49" s="1033"/>
      <c r="BX49" s="1033"/>
      <c r="BY49" s="1033"/>
      <c r="BZ49" s="1033"/>
      <c r="CA49" s="1011"/>
      <c r="CB49" s="2011">
        <f t="shared" si="84"/>
        <v>0</v>
      </c>
      <c r="CC49" s="1037"/>
      <c r="CD49" s="1011"/>
      <c r="CE49" s="1011"/>
      <c r="CF49" s="1011"/>
      <c r="CG49" s="1011"/>
      <c r="CH49" s="1011"/>
      <c r="CI49" s="1011"/>
      <c r="CJ49" s="1011"/>
      <c r="CK49" s="1011"/>
      <c r="CL49" s="1011"/>
      <c r="CM49" s="1011"/>
      <c r="CN49" s="1011"/>
      <c r="CO49" s="1011"/>
      <c r="CP49" s="2011">
        <f t="shared" si="86"/>
        <v>0</v>
      </c>
      <c r="CQ49" s="1037"/>
      <c r="CR49" s="1011"/>
      <c r="CS49" s="1011"/>
      <c r="CT49" s="1011"/>
      <c r="CU49" s="1011"/>
      <c r="CV49" s="1011"/>
      <c r="CW49" s="1011"/>
      <c r="CX49" s="1011"/>
      <c r="CY49" s="1011"/>
      <c r="CZ49" s="1011"/>
      <c r="DA49" s="1011"/>
      <c r="DB49" s="1011"/>
      <c r="DC49" s="1011"/>
      <c r="DD49" s="2011">
        <f t="shared" si="16"/>
        <v>0</v>
      </c>
      <c r="DE49" s="1037"/>
      <c r="DF49" s="1011"/>
      <c r="DG49" s="1011"/>
      <c r="DH49" s="1011"/>
      <c r="DI49" s="2009">
        <f>SUM(DF49:DH49)</f>
        <v>0</v>
      </c>
      <c r="DJ49" s="3121">
        <f t="shared" si="17"/>
        <v>0</v>
      </c>
      <c r="DK49" s="883"/>
      <c r="DL49" s="1027">
        <f>+AN49-DJ49</f>
        <v>0</v>
      </c>
      <c r="DM49" s="883"/>
      <c r="DN49" s="2733"/>
      <c r="DO49" s="2734"/>
      <c r="DP49" s="2735"/>
      <c r="DQ49" s="2734"/>
      <c r="DR49" s="2734"/>
      <c r="DS49" s="2857"/>
      <c r="DT49" s="2857"/>
    </row>
    <row r="50" spans="1:130" s="153" customFormat="1" ht="15" hidden="1" outlineLevel="4" collapsed="1">
      <c r="B50" s="2855"/>
      <c r="C50" s="3309"/>
      <c r="D50" s="3310"/>
      <c r="E50" s="588"/>
      <c r="F50" s="2966"/>
      <c r="G50" s="2838"/>
      <c r="H50" s="3328" t="s">
        <v>1276</v>
      </c>
      <c r="I50" s="177"/>
      <c r="J50" s="177"/>
      <c r="K50" s="1037"/>
      <c r="L50" s="853"/>
      <c r="M50" s="853"/>
      <c r="N50" s="853"/>
      <c r="O50" s="853"/>
      <c r="P50" s="853"/>
      <c r="Q50" s="853"/>
      <c r="R50" s="853"/>
      <c r="S50" s="853"/>
      <c r="T50" s="853"/>
      <c r="U50" s="853"/>
      <c r="V50" s="1037"/>
      <c r="W50" s="2511"/>
      <c r="X50" s="2511"/>
      <c r="Y50" s="2511"/>
      <c r="Z50" s="2511"/>
      <c r="AA50" s="2511"/>
      <c r="AB50" s="173"/>
      <c r="AC50" s="1037"/>
      <c r="AD50" s="2859"/>
      <c r="AE50" s="2499"/>
      <c r="AF50" s="2499"/>
      <c r="AG50" s="2499"/>
      <c r="AH50" s="1921"/>
      <c r="AI50" s="1921"/>
      <c r="AJ50" s="693"/>
      <c r="AK50" s="2857"/>
      <c r="AL50" s="1032"/>
      <c r="AM50" s="440"/>
      <c r="AN50" s="1041"/>
      <c r="AO50" s="2857"/>
      <c r="AP50" s="1011"/>
      <c r="AQ50" s="1011"/>
      <c r="AR50" s="1011"/>
      <c r="AS50" s="1011"/>
      <c r="AT50" s="1011"/>
      <c r="AU50" s="1011"/>
      <c r="AV50" s="1011"/>
      <c r="AW50" s="1011"/>
      <c r="AX50" s="1011"/>
      <c r="AY50" s="1011"/>
      <c r="AZ50" s="2011"/>
      <c r="BA50" s="1037"/>
      <c r="BB50" s="1011"/>
      <c r="BC50" s="1011"/>
      <c r="BD50" s="1011"/>
      <c r="BE50" s="1011"/>
      <c r="BF50" s="1011"/>
      <c r="BG50" s="1011"/>
      <c r="BH50" s="1011"/>
      <c r="BI50" s="1011"/>
      <c r="BJ50" s="1011"/>
      <c r="BK50" s="2652"/>
      <c r="BL50" s="2652"/>
      <c r="BM50" s="2652"/>
      <c r="BN50" s="2011"/>
      <c r="BO50" s="1037"/>
      <c r="BP50" s="2652"/>
      <c r="BQ50" s="2652"/>
      <c r="BR50" s="2652"/>
      <c r="BS50" s="2652"/>
      <c r="BT50" s="1011"/>
      <c r="BU50" s="1011"/>
      <c r="BV50" s="1011"/>
      <c r="BW50" s="1011"/>
      <c r="BX50" s="1011"/>
      <c r="BY50" s="1011"/>
      <c r="BZ50" s="1011"/>
      <c r="CA50" s="1011"/>
      <c r="CB50" s="2011"/>
      <c r="CC50" s="1037"/>
      <c r="CD50" s="1011"/>
      <c r="CE50" s="1011"/>
      <c r="CF50" s="1011"/>
      <c r="CG50" s="1011"/>
      <c r="CH50" s="1011"/>
      <c r="CI50" s="1011"/>
      <c r="CJ50" s="1011"/>
      <c r="CK50" s="1011"/>
      <c r="CL50" s="1011"/>
      <c r="CM50" s="1011"/>
      <c r="CN50" s="1011"/>
      <c r="CO50" s="1011"/>
      <c r="CP50" s="2011"/>
      <c r="CQ50" s="1037"/>
      <c r="CR50" s="1011"/>
      <c r="CS50" s="1011"/>
      <c r="CT50" s="1011"/>
      <c r="CU50" s="1011"/>
      <c r="CV50" s="1011"/>
      <c r="CW50" s="1011"/>
      <c r="CX50" s="1011"/>
      <c r="CY50" s="1011"/>
      <c r="CZ50" s="1011"/>
      <c r="DA50" s="1011"/>
      <c r="DB50" s="1011"/>
      <c r="DC50" s="1011"/>
      <c r="DD50" s="2011"/>
      <c r="DE50" s="1037"/>
      <c r="DF50" s="1011"/>
      <c r="DG50" s="1011"/>
      <c r="DH50" s="1011"/>
      <c r="DI50" s="2009"/>
      <c r="DJ50" s="3121"/>
      <c r="DK50" s="883"/>
      <c r="DL50" s="1027"/>
      <c r="DM50" s="883"/>
      <c r="DN50" s="2733"/>
      <c r="DO50" s="2734"/>
      <c r="DP50" s="2735"/>
      <c r="DQ50" s="2734"/>
      <c r="DR50" s="2734"/>
      <c r="DS50" s="2857"/>
      <c r="DT50" s="2857"/>
    </row>
    <row r="51" spans="1:130" hidden="1" outlineLevel="3">
      <c r="B51" s="2860"/>
      <c r="C51" s="3309"/>
      <c r="D51" s="3310"/>
      <c r="E51" s="588"/>
      <c r="F51" s="2966"/>
      <c r="G51" s="2838"/>
      <c r="H51" s="3318"/>
      <c r="I51" s="3312"/>
      <c r="J51" s="103"/>
      <c r="L51" s="364"/>
      <c r="M51" s="364"/>
      <c r="N51" s="3329"/>
      <c r="O51" s="3329"/>
      <c r="P51" s="3329"/>
      <c r="Q51" s="3329"/>
      <c r="R51" s="3329"/>
      <c r="S51" s="3329"/>
      <c r="T51" s="3329"/>
      <c r="U51" s="3329"/>
      <c r="W51" s="853"/>
      <c r="X51" s="853"/>
      <c r="Y51" s="853"/>
      <c r="Z51" s="853"/>
      <c r="AA51" s="853"/>
      <c r="AB51" s="436"/>
      <c r="AD51" s="711"/>
      <c r="AE51" s="1463"/>
      <c r="AF51" s="1463"/>
      <c r="AG51" s="1463"/>
      <c r="AH51" s="1463"/>
      <c r="AI51" s="1048"/>
      <c r="AJ51" s="3330"/>
      <c r="AL51" s="1032">
        <f>+AI51</f>
        <v>0</v>
      </c>
      <c r="AM51" s="1032"/>
      <c r="AN51" s="1041">
        <f t="shared" ref="AN51:AN64" si="98">+AL51+AM51</f>
        <v>0</v>
      </c>
      <c r="AP51" s="986"/>
      <c r="AQ51" s="986"/>
      <c r="AR51" s="986"/>
      <c r="AS51" s="986"/>
      <c r="AT51" s="986"/>
      <c r="AU51" s="986"/>
      <c r="AV51" s="986"/>
      <c r="AW51" s="986"/>
      <c r="AX51" s="986"/>
      <c r="AY51" s="986"/>
      <c r="AZ51" s="2011">
        <f>SUM(AP51:AY51)</f>
        <v>0</v>
      </c>
      <c r="BB51" s="986"/>
      <c r="BC51" s="986"/>
      <c r="BD51" s="986"/>
      <c r="BE51" s="986"/>
      <c r="BF51" s="986"/>
      <c r="BG51" s="986"/>
      <c r="BH51" s="986"/>
      <c r="BI51" s="986"/>
      <c r="BJ51" s="986"/>
      <c r="BK51" s="986"/>
      <c r="BL51" s="986"/>
      <c r="BM51" s="986"/>
      <c r="BN51" s="2011">
        <f>SUM(BB51:BM51)</f>
        <v>0</v>
      </c>
      <c r="BP51" s="986"/>
      <c r="BQ51" s="986"/>
      <c r="BR51" s="986"/>
      <c r="BS51" s="986"/>
      <c r="BT51" s="986"/>
      <c r="BU51" s="986"/>
      <c r="BV51" s="986"/>
      <c r="BW51" s="986"/>
      <c r="BX51" s="986"/>
      <c r="BY51" s="986"/>
      <c r="BZ51" s="986"/>
      <c r="CA51" s="986"/>
      <c r="CB51" s="2011">
        <f>SUM(BP51:CA51)</f>
        <v>0</v>
      </c>
      <c r="CD51" s="986"/>
      <c r="CE51" s="986"/>
      <c r="CF51" s="986"/>
      <c r="CG51" s="986"/>
      <c r="CH51" s="986"/>
      <c r="CI51" s="986"/>
      <c r="CJ51" s="986"/>
      <c r="CK51" s="986"/>
      <c r="CL51" s="986"/>
      <c r="CM51" s="986"/>
      <c r="CN51" s="986"/>
      <c r="CO51" s="986"/>
      <c r="CP51" s="2011">
        <f>SUM(CD51:CO51)</f>
        <v>0</v>
      </c>
      <c r="CR51" s="986"/>
      <c r="CS51" s="986"/>
      <c r="CT51" s="986"/>
      <c r="CU51" s="986"/>
      <c r="CV51" s="986"/>
      <c r="CW51" s="986"/>
      <c r="CX51" s="986"/>
      <c r="CY51" s="986"/>
      <c r="CZ51" s="986"/>
      <c r="DA51" s="986"/>
      <c r="DB51" s="986"/>
      <c r="DC51" s="986"/>
      <c r="DD51" s="2011">
        <f>SUM(CR51:DC51)</f>
        <v>0</v>
      </c>
      <c r="DF51" s="986"/>
      <c r="DG51" s="986"/>
      <c r="DH51" s="986"/>
      <c r="DI51" s="2009">
        <f>SUM(DF51:DH51)</f>
        <v>0</v>
      </c>
      <c r="DJ51" s="3121">
        <f>+AZ51+BN51+CB51+CP51+DD51+DI51</f>
        <v>0</v>
      </c>
      <c r="DL51" s="1027">
        <f>+AN51-DJ51</f>
        <v>0</v>
      </c>
      <c r="DN51" s="2732" t="s">
        <v>1180</v>
      </c>
      <c r="DO51" s="2736" t="s">
        <v>1181</v>
      </c>
      <c r="DP51" s="2730" t="s">
        <v>1117</v>
      </c>
      <c r="DQ51" s="2736" t="s">
        <v>4</v>
      </c>
      <c r="DR51" s="2736" t="str">
        <f>MID(D51,1,1)</f>
        <v/>
      </c>
      <c r="DS51" s="1037"/>
      <c r="DT51" s="1037"/>
    </row>
    <row r="52" spans="1:130" s="153" customFormat="1" ht="16.25" hidden="1" customHeight="1" outlineLevel="2">
      <c r="B52" s="2829"/>
      <c r="C52" s="3303" t="s">
        <v>501</v>
      </c>
      <c r="D52" s="2940" t="s">
        <v>501</v>
      </c>
      <c r="E52" s="2830"/>
      <c r="F52" s="3304" t="s">
        <v>501</v>
      </c>
      <c r="G52" s="2831"/>
      <c r="H52" s="3305" t="s">
        <v>676</v>
      </c>
      <c r="I52" s="3305" t="s">
        <v>4</v>
      </c>
      <c r="J52" s="106" t="s">
        <v>1277</v>
      </c>
      <c r="K52" s="1037"/>
      <c r="L52" s="358" t="s">
        <v>196</v>
      </c>
      <c r="M52" s="358">
        <v>0</v>
      </c>
      <c r="N52" s="358">
        <v>2022</v>
      </c>
      <c r="O52" s="358" t="s">
        <v>157</v>
      </c>
      <c r="P52" s="358" t="s">
        <v>157</v>
      </c>
      <c r="Q52" s="358" t="s">
        <v>157</v>
      </c>
      <c r="R52" s="358">
        <v>1</v>
      </c>
      <c r="S52" s="358">
        <v>1</v>
      </c>
      <c r="T52" s="358">
        <v>1</v>
      </c>
      <c r="U52" s="358">
        <v>3</v>
      </c>
      <c r="V52" s="1037"/>
      <c r="W52" s="358"/>
      <c r="X52" s="358"/>
      <c r="Y52" s="358"/>
      <c r="Z52" s="358"/>
      <c r="AA52" s="358"/>
      <c r="AB52" s="174"/>
      <c r="AC52" s="1037"/>
      <c r="AD52" s="106"/>
      <c r="AE52" s="172"/>
      <c r="AF52" s="172"/>
      <c r="AG52" s="172"/>
      <c r="AH52" s="176"/>
      <c r="AI52" s="176">
        <f>+AI53+AI61</f>
        <v>1502000</v>
      </c>
      <c r="AJ52" s="686"/>
      <c r="AK52" s="1037"/>
      <c r="AL52" s="176">
        <f>+AL53+AL61</f>
        <v>1502000</v>
      </c>
      <c r="AM52" s="176">
        <f>+AM53+AM61</f>
        <v>0</v>
      </c>
      <c r="AN52" s="176">
        <f t="shared" si="98"/>
        <v>1502000</v>
      </c>
      <c r="AO52" s="1037"/>
      <c r="AP52" s="176">
        <f t="shared" ref="AP52:DA52" si="99">+AP53+AP61</f>
        <v>0</v>
      </c>
      <c r="AQ52" s="176">
        <f t="shared" si="99"/>
        <v>0</v>
      </c>
      <c r="AR52" s="176">
        <f t="shared" si="99"/>
        <v>0</v>
      </c>
      <c r="AS52" s="176">
        <f t="shared" si="99"/>
        <v>0</v>
      </c>
      <c r="AT52" s="176">
        <f t="shared" si="99"/>
        <v>0</v>
      </c>
      <c r="AU52" s="176">
        <f t="shared" si="99"/>
        <v>0</v>
      </c>
      <c r="AV52" s="176">
        <f t="shared" si="99"/>
        <v>0</v>
      </c>
      <c r="AW52" s="176">
        <f t="shared" si="99"/>
        <v>0</v>
      </c>
      <c r="AX52" s="176">
        <f t="shared" si="99"/>
        <v>0</v>
      </c>
      <c r="AY52" s="176">
        <f t="shared" si="99"/>
        <v>0</v>
      </c>
      <c r="AZ52" s="176">
        <f t="shared" si="99"/>
        <v>0</v>
      </c>
      <c r="BA52" s="1037"/>
      <c r="BB52" s="176">
        <f t="shared" si="99"/>
        <v>0</v>
      </c>
      <c r="BC52" s="176">
        <f t="shared" si="99"/>
        <v>0</v>
      </c>
      <c r="BD52" s="176">
        <f t="shared" si="99"/>
        <v>0</v>
      </c>
      <c r="BE52" s="176">
        <f t="shared" si="99"/>
        <v>0</v>
      </c>
      <c r="BF52" s="176">
        <f t="shared" si="99"/>
        <v>0</v>
      </c>
      <c r="BG52" s="176">
        <f t="shared" si="99"/>
        <v>0</v>
      </c>
      <c r="BH52" s="176">
        <f t="shared" si="99"/>
        <v>3000</v>
      </c>
      <c r="BI52" s="176">
        <f t="shared" si="99"/>
        <v>4500</v>
      </c>
      <c r="BJ52" s="176">
        <f t="shared" si="99"/>
        <v>0</v>
      </c>
      <c r="BK52" s="176">
        <f t="shared" si="99"/>
        <v>0</v>
      </c>
      <c r="BL52" s="176">
        <f t="shared" si="99"/>
        <v>0</v>
      </c>
      <c r="BM52" s="176">
        <f t="shared" si="99"/>
        <v>6000</v>
      </c>
      <c r="BN52" s="176">
        <f t="shared" si="99"/>
        <v>13500</v>
      </c>
      <c r="BO52" s="485">
        <f t="shared" si="99"/>
        <v>0</v>
      </c>
      <c r="BP52" s="176">
        <f t="shared" si="99"/>
        <v>0</v>
      </c>
      <c r="BQ52" s="176">
        <f t="shared" si="99"/>
        <v>0</v>
      </c>
      <c r="BR52" s="176">
        <f t="shared" si="99"/>
        <v>6000</v>
      </c>
      <c r="BS52" s="176">
        <f t="shared" si="99"/>
        <v>10500</v>
      </c>
      <c r="BT52" s="176">
        <f t="shared" si="99"/>
        <v>0</v>
      </c>
      <c r="BU52" s="176">
        <f t="shared" si="99"/>
        <v>0</v>
      </c>
      <c r="BV52" s="176">
        <f t="shared" si="99"/>
        <v>0</v>
      </c>
      <c r="BW52" s="176">
        <f t="shared" si="99"/>
        <v>0</v>
      </c>
      <c r="BX52" s="176">
        <f t="shared" si="99"/>
        <v>0</v>
      </c>
      <c r="BY52" s="176">
        <f t="shared" si="99"/>
        <v>0</v>
      </c>
      <c r="BZ52" s="176">
        <f t="shared" si="99"/>
        <v>0</v>
      </c>
      <c r="CA52" s="176">
        <f t="shared" si="99"/>
        <v>0</v>
      </c>
      <c r="CB52" s="176">
        <f t="shared" si="99"/>
        <v>16500</v>
      </c>
      <c r="CC52" s="485">
        <f t="shared" si="99"/>
        <v>0</v>
      </c>
      <c r="CD52" s="176">
        <f t="shared" si="99"/>
        <v>0</v>
      </c>
      <c r="CE52" s="176">
        <f t="shared" si="99"/>
        <v>89600</v>
      </c>
      <c r="CF52" s="176">
        <f t="shared" si="99"/>
        <v>194000</v>
      </c>
      <c r="CG52" s="176">
        <f t="shared" si="99"/>
        <v>0</v>
      </c>
      <c r="CH52" s="176">
        <f t="shared" si="99"/>
        <v>67200</v>
      </c>
      <c r="CI52" s="176">
        <f t="shared" si="99"/>
        <v>200000</v>
      </c>
      <c r="CJ52" s="176">
        <f t="shared" si="99"/>
        <v>6000</v>
      </c>
      <c r="CK52" s="176">
        <f t="shared" si="99"/>
        <v>73200</v>
      </c>
      <c r="CL52" s="176">
        <f t="shared" si="99"/>
        <v>194000</v>
      </c>
      <c r="CM52" s="176">
        <f t="shared" si="99"/>
        <v>0</v>
      </c>
      <c r="CN52" s="176">
        <f t="shared" si="99"/>
        <v>67200</v>
      </c>
      <c r="CO52" s="176">
        <f t="shared" si="99"/>
        <v>0</v>
      </c>
      <c r="CP52" s="176">
        <f t="shared" si="99"/>
        <v>891200</v>
      </c>
      <c r="CQ52" s="485">
        <f t="shared" si="99"/>
        <v>0</v>
      </c>
      <c r="CR52" s="176">
        <f t="shared" si="99"/>
        <v>194000</v>
      </c>
      <c r="CS52" s="176">
        <f t="shared" si="99"/>
        <v>67200</v>
      </c>
      <c r="CT52" s="176">
        <f t="shared" si="99"/>
        <v>201200</v>
      </c>
      <c r="CU52" s="176">
        <f t="shared" si="99"/>
        <v>0</v>
      </c>
      <c r="CV52" s="176">
        <f t="shared" si="99"/>
        <v>89600</v>
      </c>
      <c r="CW52" s="176">
        <f t="shared" si="99"/>
        <v>14400</v>
      </c>
      <c r="CX52" s="176">
        <f t="shared" si="99"/>
        <v>0</v>
      </c>
      <c r="CY52" s="176">
        <f t="shared" si="99"/>
        <v>0</v>
      </c>
      <c r="CZ52" s="176">
        <f t="shared" si="99"/>
        <v>14400</v>
      </c>
      <c r="DA52" s="176">
        <f t="shared" si="99"/>
        <v>0</v>
      </c>
      <c r="DB52" s="176">
        <f t="shared" ref="DB52:DI52" si="100">+DB53+DB61</f>
        <v>0</v>
      </c>
      <c r="DC52" s="176">
        <f t="shared" si="100"/>
        <v>0</v>
      </c>
      <c r="DD52" s="176">
        <f t="shared" si="100"/>
        <v>580800</v>
      </c>
      <c r="DE52" s="485">
        <f t="shared" si="100"/>
        <v>0</v>
      </c>
      <c r="DF52" s="176">
        <f t="shared" si="100"/>
        <v>0</v>
      </c>
      <c r="DG52" s="176">
        <f t="shared" si="100"/>
        <v>0</v>
      </c>
      <c r="DH52" s="176">
        <f t="shared" si="100"/>
        <v>0</v>
      </c>
      <c r="DI52" s="3082">
        <f t="shared" si="100"/>
        <v>0</v>
      </c>
      <c r="DJ52" s="3116">
        <f t="shared" si="17"/>
        <v>1502000</v>
      </c>
      <c r="DL52" s="1027">
        <f t="shared" si="7"/>
        <v>0</v>
      </c>
      <c r="DN52" s="2737" t="s">
        <v>1175</v>
      </c>
      <c r="DO52" s="2738" t="s">
        <v>1175</v>
      </c>
      <c r="DP52" s="2738"/>
      <c r="DQ52" s="2738" t="s">
        <v>1175</v>
      </c>
      <c r="DR52" s="2738" t="str">
        <f t="shared" si="4"/>
        <v>1</v>
      </c>
      <c r="DS52" s="1037"/>
      <c r="DT52" s="1037"/>
    </row>
    <row r="53" spans="1:130" s="153" customFormat="1" ht="19.25" hidden="1" customHeight="1" outlineLevel="3" collapsed="1">
      <c r="B53" s="2839"/>
      <c r="C53" s="3306" t="s">
        <v>677</v>
      </c>
      <c r="D53" s="2941" t="s">
        <v>677</v>
      </c>
      <c r="E53" s="2830"/>
      <c r="F53" s="2949" t="s">
        <v>677</v>
      </c>
      <c r="G53" s="2833"/>
      <c r="H53" s="1250" t="s">
        <v>678</v>
      </c>
      <c r="I53" s="1250" t="s">
        <v>4</v>
      </c>
      <c r="J53" s="1250" t="s">
        <v>1278</v>
      </c>
      <c r="K53" s="2858"/>
      <c r="L53" s="851" t="s">
        <v>196</v>
      </c>
      <c r="M53" s="851">
        <v>0</v>
      </c>
      <c r="N53" s="851">
        <v>2022</v>
      </c>
      <c r="O53" s="851" t="s">
        <v>157</v>
      </c>
      <c r="P53" s="851" t="s">
        <v>157</v>
      </c>
      <c r="Q53" s="851" t="s">
        <v>157</v>
      </c>
      <c r="R53" s="851">
        <v>1</v>
      </c>
      <c r="S53" s="851">
        <v>1</v>
      </c>
      <c r="T53" s="851">
        <v>1</v>
      </c>
      <c r="U53" s="851">
        <v>3</v>
      </c>
      <c r="V53" s="2858"/>
      <c r="W53" s="851"/>
      <c r="X53" s="851"/>
      <c r="Y53" s="851"/>
      <c r="Z53" s="851"/>
      <c r="AA53" s="851"/>
      <c r="AB53" s="1250"/>
      <c r="AC53" s="2858"/>
      <c r="AD53" s="2840"/>
      <c r="AE53" s="397"/>
      <c r="AF53" s="397"/>
      <c r="AG53" s="397"/>
      <c r="AH53" s="398"/>
      <c r="AI53" s="398">
        <f>SUM(AI54:AI60)</f>
        <v>502000</v>
      </c>
      <c r="AJ53" s="691"/>
      <c r="AK53" s="2858"/>
      <c r="AL53" s="398">
        <f>SUM(AL54:AL60)</f>
        <v>502000</v>
      </c>
      <c r="AM53" s="398">
        <f>SUM(AM54:AM60)</f>
        <v>0</v>
      </c>
      <c r="AN53" s="398">
        <f t="shared" si="98"/>
        <v>502000</v>
      </c>
      <c r="AO53" s="2858"/>
      <c r="AP53" s="992">
        <f t="shared" ref="AP53:DA53" si="101">SUM(AP54:AP60)</f>
        <v>0</v>
      </c>
      <c r="AQ53" s="992">
        <f t="shared" si="101"/>
        <v>0</v>
      </c>
      <c r="AR53" s="992">
        <f t="shared" si="101"/>
        <v>0</v>
      </c>
      <c r="AS53" s="992">
        <f t="shared" si="101"/>
        <v>0</v>
      </c>
      <c r="AT53" s="992">
        <f t="shared" si="101"/>
        <v>0</v>
      </c>
      <c r="AU53" s="992">
        <f t="shared" si="101"/>
        <v>0</v>
      </c>
      <c r="AV53" s="992">
        <f t="shared" si="101"/>
        <v>0</v>
      </c>
      <c r="AW53" s="992">
        <f t="shared" si="101"/>
        <v>0</v>
      </c>
      <c r="AX53" s="992">
        <f t="shared" si="101"/>
        <v>0</v>
      </c>
      <c r="AY53" s="992">
        <f t="shared" si="101"/>
        <v>0</v>
      </c>
      <c r="AZ53" s="992">
        <f t="shared" si="101"/>
        <v>0</v>
      </c>
      <c r="BA53" s="1037"/>
      <c r="BB53" s="992">
        <f t="shared" si="101"/>
        <v>0</v>
      </c>
      <c r="BC53" s="992">
        <f t="shared" si="101"/>
        <v>0</v>
      </c>
      <c r="BD53" s="992">
        <f t="shared" si="101"/>
        <v>0</v>
      </c>
      <c r="BE53" s="992">
        <f t="shared" si="101"/>
        <v>0</v>
      </c>
      <c r="BF53" s="992">
        <f t="shared" si="101"/>
        <v>0</v>
      </c>
      <c r="BG53" s="992">
        <f t="shared" si="101"/>
        <v>0</v>
      </c>
      <c r="BH53" s="992">
        <f t="shared" si="101"/>
        <v>0</v>
      </c>
      <c r="BI53" s="992">
        <f t="shared" si="101"/>
        <v>0</v>
      </c>
      <c r="BJ53" s="992">
        <f t="shared" si="101"/>
        <v>0</v>
      </c>
      <c r="BK53" s="992">
        <f t="shared" si="101"/>
        <v>0</v>
      </c>
      <c r="BL53" s="992">
        <f t="shared" si="101"/>
        <v>0</v>
      </c>
      <c r="BM53" s="992">
        <f t="shared" si="101"/>
        <v>0</v>
      </c>
      <c r="BN53" s="992">
        <f t="shared" si="101"/>
        <v>0</v>
      </c>
      <c r="BO53" s="2858">
        <f t="shared" si="101"/>
        <v>0</v>
      </c>
      <c r="BP53" s="992">
        <f t="shared" si="101"/>
        <v>0</v>
      </c>
      <c r="BQ53" s="992">
        <f t="shared" si="101"/>
        <v>0</v>
      </c>
      <c r="BR53" s="992">
        <f t="shared" si="101"/>
        <v>0</v>
      </c>
      <c r="BS53" s="992">
        <f t="shared" si="101"/>
        <v>0</v>
      </c>
      <c r="BT53" s="992">
        <f t="shared" si="101"/>
        <v>0</v>
      </c>
      <c r="BU53" s="992">
        <f t="shared" si="101"/>
        <v>0</v>
      </c>
      <c r="BV53" s="992">
        <f t="shared" si="101"/>
        <v>0</v>
      </c>
      <c r="BW53" s="992">
        <f t="shared" si="101"/>
        <v>0</v>
      </c>
      <c r="BX53" s="992">
        <f t="shared" si="101"/>
        <v>0</v>
      </c>
      <c r="BY53" s="992">
        <f t="shared" si="101"/>
        <v>0</v>
      </c>
      <c r="BZ53" s="992">
        <f t="shared" si="101"/>
        <v>0</v>
      </c>
      <c r="CA53" s="992">
        <f t="shared" si="101"/>
        <v>0</v>
      </c>
      <c r="CB53" s="992">
        <f t="shared" si="101"/>
        <v>0</v>
      </c>
      <c r="CC53" s="2858">
        <f t="shared" si="101"/>
        <v>0</v>
      </c>
      <c r="CD53" s="992">
        <f t="shared" si="101"/>
        <v>0</v>
      </c>
      <c r="CE53" s="992">
        <f t="shared" si="101"/>
        <v>89600</v>
      </c>
      <c r="CF53" s="992">
        <f t="shared" si="101"/>
        <v>0</v>
      </c>
      <c r="CG53" s="992">
        <f t="shared" si="101"/>
        <v>0</v>
      </c>
      <c r="CH53" s="992">
        <f t="shared" si="101"/>
        <v>67200</v>
      </c>
      <c r="CI53" s="992">
        <f t="shared" si="101"/>
        <v>6000</v>
      </c>
      <c r="CJ53" s="992">
        <f t="shared" si="101"/>
        <v>6000</v>
      </c>
      <c r="CK53" s="992">
        <f t="shared" si="101"/>
        <v>73200</v>
      </c>
      <c r="CL53" s="992">
        <f t="shared" si="101"/>
        <v>0</v>
      </c>
      <c r="CM53" s="992">
        <f t="shared" si="101"/>
        <v>0</v>
      </c>
      <c r="CN53" s="992">
        <f t="shared" si="101"/>
        <v>67200</v>
      </c>
      <c r="CO53" s="992">
        <f t="shared" si="101"/>
        <v>0</v>
      </c>
      <c r="CP53" s="993">
        <f t="shared" si="101"/>
        <v>309200</v>
      </c>
      <c r="CQ53" s="2858">
        <f t="shared" si="101"/>
        <v>0</v>
      </c>
      <c r="CR53" s="992">
        <f t="shared" si="101"/>
        <v>0</v>
      </c>
      <c r="CS53" s="992">
        <f t="shared" si="101"/>
        <v>67200</v>
      </c>
      <c r="CT53" s="992">
        <f t="shared" si="101"/>
        <v>7200</v>
      </c>
      <c r="CU53" s="992">
        <f t="shared" si="101"/>
        <v>0</v>
      </c>
      <c r="CV53" s="992">
        <f t="shared" si="101"/>
        <v>89600</v>
      </c>
      <c r="CW53" s="992">
        <f t="shared" si="101"/>
        <v>14400</v>
      </c>
      <c r="CX53" s="992">
        <f t="shared" si="101"/>
        <v>0</v>
      </c>
      <c r="CY53" s="992">
        <f t="shared" si="101"/>
        <v>0</v>
      </c>
      <c r="CZ53" s="992">
        <f t="shared" si="101"/>
        <v>14400</v>
      </c>
      <c r="DA53" s="992">
        <f t="shared" si="101"/>
        <v>0</v>
      </c>
      <c r="DB53" s="992">
        <f t="shared" ref="DB53:DI53" si="102">SUM(DB54:DB60)</f>
        <v>0</v>
      </c>
      <c r="DC53" s="992">
        <f t="shared" si="102"/>
        <v>0</v>
      </c>
      <c r="DD53" s="994">
        <f t="shared" si="102"/>
        <v>192800</v>
      </c>
      <c r="DE53" s="2858">
        <f t="shared" si="102"/>
        <v>0</v>
      </c>
      <c r="DF53" s="992">
        <f t="shared" si="102"/>
        <v>0</v>
      </c>
      <c r="DG53" s="992">
        <f t="shared" si="102"/>
        <v>0</v>
      </c>
      <c r="DH53" s="992">
        <f t="shared" si="102"/>
        <v>0</v>
      </c>
      <c r="DI53" s="3083">
        <f t="shared" si="102"/>
        <v>0</v>
      </c>
      <c r="DJ53" s="3122">
        <f t="shared" si="17"/>
        <v>502000</v>
      </c>
      <c r="DL53" s="1027">
        <f t="shared" si="7"/>
        <v>0</v>
      </c>
      <c r="DN53" s="2725" t="s">
        <v>1175</v>
      </c>
      <c r="DO53" s="2726" t="s">
        <v>1175</v>
      </c>
      <c r="DP53" s="2726"/>
      <c r="DQ53" s="2726" t="s">
        <v>1175</v>
      </c>
      <c r="DR53" s="2726" t="str">
        <f>MID(D53,1,1)</f>
        <v>1</v>
      </c>
      <c r="DS53" s="2858"/>
      <c r="DT53" s="2858"/>
    </row>
    <row r="54" spans="1:130" ht="45" hidden="1" outlineLevel="4">
      <c r="B54" s="2861"/>
      <c r="C54" s="3309"/>
      <c r="D54" s="3310" t="s">
        <v>679</v>
      </c>
      <c r="E54" s="588"/>
      <c r="F54" s="3313" t="s">
        <v>679</v>
      </c>
      <c r="G54" s="2838" t="s">
        <v>1279</v>
      </c>
      <c r="H54" s="3311" t="s">
        <v>680</v>
      </c>
      <c r="I54" s="3312"/>
      <c r="J54" s="103"/>
      <c r="L54" s="364"/>
      <c r="M54" s="364"/>
      <c r="N54" s="364"/>
      <c r="O54" s="364"/>
      <c r="P54" s="364"/>
      <c r="Q54" s="364"/>
      <c r="R54" s="364"/>
      <c r="S54" s="364"/>
      <c r="T54" s="364"/>
      <c r="U54" s="364"/>
      <c r="W54" s="1207"/>
      <c r="X54" s="1207"/>
      <c r="Y54" s="1207"/>
      <c r="Z54" s="1207"/>
      <c r="AA54" s="1207"/>
      <c r="AB54" s="1234"/>
      <c r="AD54" s="711" t="s">
        <v>1280</v>
      </c>
      <c r="AE54" s="182">
        <v>1</v>
      </c>
      <c r="AF54" s="182">
        <v>5</v>
      </c>
      <c r="AG54" s="2500"/>
      <c r="AH54" s="2495"/>
      <c r="AI54" s="2491"/>
      <c r="AJ54" s="2351"/>
      <c r="AL54" s="1041">
        <f t="shared" ref="AL54:AL60" si="103">+AI54</f>
        <v>0</v>
      </c>
      <c r="AM54" s="1032">
        <v>0</v>
      </c>
      <c r="AN54" s="1041">
        <f t="shared" si="98"/>
        <v>0</v>
      </c>
      <c r="AP54" s="1194"/>
      <c r="AQ54" s="1194"/>
      <c r="AR54" s="1194"/>
      <c r="AS54" s="1194"/>
      <c r="AT54" s="1194"/>
      <c r="AU54" s="1194"/>
      <c r="AV54" s="1194"/>
      <c r="AW54" s="1194"/>
      <c r="AX54" s="1194"/>
      <c r="AY54" s="1194"/>
      <c r="AZ54" s="2027">
        <f>SUM(AP54:AY54)</f>
        <v>0</v>
      </c>
      <c r="BB54" s="1194">
        <f>+$AH$54</f>
        <v>0</v>
      </c>
      <c r="BC54" s="1194">
        <f>+$AH$54</f>
        <v>0</v>
      </c>
      <c r="BD54" s="1194">
        <f>+$AH$54</f>
        <v>0</v>
      </c>
      <c r="BE54" s="1194">
        <f>+$AH$54</f>
        <v>0</v>
      </c>
      <c r="BF54" s="1194">
        <f>+$AH$54</f>
        <v>0</v>
      </c>
      <c r="BG54" s="1194"/>
      <c r="BH54" s="1194"/>
      <c r="BI54" s="1194"/>
      <c r="BJ54" s="1194"/>
      <c r="BK54" s="1194"/>
      <c r="BL54" s="1194"/>
      <c r="BM54" s="1194"/>
      <c r="BN54" s="2027">
        <f>SUM(BB54:BM54)</f>
        <v>0</v>
      </c>
      <c r="BP54" s="1194"/>
      <c r="BQ54" s="1194"/>
      <c r="BR54" s="1194"/>
      <c r="BS54" s="1194"/>
      <c r="BT54" s="1194"/>
      <c r="BU54" s="1194"/>
      <c r="BV54" s="1194"/>
      <c r="BW54" s="1194"/>
      <c r="BX54" s="1194"/>
      <c r="BY54" s="1194"/>
      <c r="BZ54" s="1194"/>
      <c r="CA54" s="1194"/>
      <c r="CB54" s="2027">
        <f>SUM(BP54:CA54)</f>
        <v>0</v>
      </c>
      <c r="CD54" s="1194"/>
      <c r="CE54" s="1194"/>
      <c r="CF54" s="1194"/>
      <c r="CG54" s="1194"/>
      <c r="CH54" s="1194"/>
      <c r="CI54" s="1194"/>
      <c r="CJ54" s="1194"/>
      <c r="CK54" s="1194"/>
      <c r="CL54" s="1194"/>
      <c r="CM54" s="1194"/>
      <c r="CN54" s="1194"/>
      <c r="CO54" s="1194"/>
      <c r="CP54" s="2033">
        <f>SUM(CD54:CO54)</f>
        <v>0</v>
      </c>
      <c r="CR54" s="1194"/>
      <c r="CS54" s="1194"/>
      <c r="CT54" s="1194"/>
      <c r="CU54" s="1194"/>
      <c r="CV54" s="1194"/>
      <c r="CW54" s="1194"/>
      <c r="CX54" s="1194"/>
      <c r="CY54" s="1194"/>
      <c r="CZ54" s="1194"/>
      <c r="DA54" s="1194"/>
      <c r="DB54" s="1194"/>
      <c r="DC54" s="1194"/>
      <c r="DD54" s="2010">
        <f t="shared" ref="DD54:DD60" si="104">SUM(CR54:DC54)</f>
        <v>0</v>
      </c>
      <c r="DF54" s="1194"/>
      <c r="DG54" s="1194"/>
      <c r="DH54" s="1194"/>
      <c r="DI54" s="2010">
        <f t="shared" ref="DI54:DI60" si="105">SUM(DF54:DH54)</f>
        <v>0</v>
      </c>
      <c r="DJ54" s="3123">
        <f>+AZ54+BN54+CB54+CP54+DD54+DI54</f>
        <v>0</v>
      </c>
      <c r="DL54" s="1027">
        <f>+AN54-DJ54</f>
        <v>0</v>
      </c>
      <c r="DN54" s="2732" t="s">
        <v>1180</v>
      </c>
      <c r="DO54" s="2736" t="s">
        <v>1181</v>
      </c>
      <c r="DP54" s="2730" t="s">
        <v>1117</v>
      </c>
      <c r="DQ54" s="2736" t="s">
        <v>4</v>
      </c>
      <c r="DR54" s="2736" t="str">
        <f>MID(D54,1,1)</f>
        <v>1</v>
      </c>
      <c r="DS54" s="1037"/>
      <c r="DT54" s="1037"/>
    </row>
    <row r="55" spans="1:130" ht="30" hidden="1" outlineLevel="4">
      <c r="B55" s="2861"/>
      <c r="C55" s="3309"/>
      <c r="D55" s="3310" t="s">
        <v>681</v>
      </c>
      <c r="E55" s="588"/>
      <c r="F55" s="3313" t="s">
        <v>681</v>
      </c>
      <c r="G55" s="2838" t="s">
        <v>1279</v>
      </c>
      <c r="H55" s="3311" t="s">
        <v>682</v>
      </c>
      <c r="I55" s="3312"/>
      <c r="J55" s="103"/>
      <c r="L55" s="364"/>
      <c r="M55" s="364"/>
      <c r="N55" s="364"/>
      <c r="O55" s="364"/>
      <c r="P55" s="364"/>
      <c r="Q55" s="364"/>
      <c r="R55" s="364"/>
      <c r="S55" s="364"/>
      <c r="T55" s="364"/>
      <c r="U55" s="364"/>
      <c r="W55" s="1207"/>
      <c r="X55" s="1207"/>
      <c r="Y55" s="1207"/>
      <c r="Z55" s="1207"/>
      <c r="AA55" s="2496"/>
      <c r="AB55" s="1234"/>
      <c r="AC55" s="2862"/>
      <c r="AD55" s="711" t="s">
        <v>1280</v>
      </c>
      <c r="AE55" s="182">
        <v>1</v>
      </c>
      <c r="AF55" s="182">
        <v>3</v>
      </c>
      <c r="AG55" s="2500"/>
      <c r="AH55" s="2495"/>
      <c r="AI55" s="2491"/>
      <c r="AJ55" s="2351"/>
      <c r="AL55" s="1041">
        <f t="shared" si="103"/>
        <v>0</v>
      </c>
      <c r="AM55" s="1032">
        <v>0</v>
      </c>
      <c r="AN55" s="1041">
        <f t="shared" si="98"/>
        <v>0</v>
      </c>
      <c r="AP55" s="1194"/>
      <c r="AQ55" s="1194"/>
      <c r="AR55" s="1194"/>
      <c r="AS55" s="1194"/>
      <c r="AT55" s="1194"/>
      <c r="AU55" s="1194"/>
      <c r="AV55" s="1194"/>
      <c r="AW55" s="1194"/>
      <c r="AX55" s="1194"/>
      <c r="AY55" s="1194"/>
      <c r="AZ55" s="2027">
        <f t="shared" si="9"/>
        <v>0</v>
      </c>
      <c r="BB55" s="1194"/>
      <c r="BC55" s="1194"/>
      <c r="BD55" s="1194"/>
      <c r="BE55" s="1194"/>
      <c r="BF55" s="1194"/>
      <c r="BG55" s="1194"/>
      <c r="BH55" s="1194"/>
      <c r="BI55" s="1194">
        <f>+$AH55</f>
        <v>0</v>
      </c>
      <c r="BJ55" s="1194">
        <f>+$AH55</f>
        <v>0</v>
      </c>
      <c r="BK55" s="1194">
        <f>+$AH55</f>
        <v>0</v>
      </c>
      <c r="BL55" s="1194"/>
      <c r="BM55" s="1194"/>
      <c r="BN55" s="2027">
        <f t="shared" si="11"/>
        <v>0</v>
      </c>
      <c r="BP55" s="1194"/>
      <c r="BQ55" s="1194"/>
      <c r="BR55" s="1194"/>
      <c r="BS55" s="1194"/>
      <c r="BT55" s="1194"/>
      <c r="BU55" s="1194"/>
      <c r="BV55" s="1194"/>
      <c r="BW55" s="1194"/>
      <c r="BX55" s="1194"/>
      <c r="BY55" s="1194"/>
      <c r="BZ55" s="1194"/>
      <c r="CA55" s="1194"/>
      <c r="CB55" s="2027">
        <f t="shared" si="13"/>
        <v>0</v>
      </c>
      <c r="CD55" s="1194"/>
      <c r="CE55" s="1194"/>
      <c r="CF55" s="1194"/>
      <c r="CG55" s="1194"/>
      <c r="CH55" s="1194"/>
      <c r="CI55" s="1194"/>
      <c r="CJ55" s="1194"/>
      <c r="CK55" s="1194"/>
      <c r="CL55" s="1194"/>
      <c r="CM55" s="1194"/>
      <c r="CN55" s="1194"/>
      <c r="CO55" s="1194"/>
      <c r="CP55" s="2033">
        <f t="shared" si="23"/>
        <v>0</v>
      </c>
      <c r="CR55" s="1194"/>
      <c r="CS55" s="1194"/>
      <c r="CT55" s="1194"/>
      <c r="CU55" s="1194"/>
      <c r="CV55" s="1194"/>
      <c r="CW55" s="1194"/>
      <c r="CX55" s="1194"/>
      <c r="CY55" s="1194"/>
      <c r="CZ55" s="1194"/>
      <c r="DA55" s="1194"/>
      <c r="DB55" s="1194"/>
      <c r="DC55" s="1194"/>
      <c r="DD55" s="2010">
        <f t="shared" si="104"/>
        <v>0</v>
      </c>
      <c r="DF55" s="1194"/>
      <c r="DG55" s="1194"/>
      <c r="DH55" s="1194"/>
      <c r="DI55" s="2010">
        <f t="shared" si="105"/>
        <v>0</v>
      </c>
      <c r="DJ55" s="3123">
        <f t="shared" si="17"/>
        <v>0</v>
      </c>
      <c r="DL55" s="1027">
        <f t="shared" si="7"/>
        <v>0</v>
      </c>
      <c r="DN55" s="2729" t="s">
        <v>1180</v>
      </c>
      <c r="DO55" s="2730" t="s">
        <v>1181</v>
      </c>
      <c r="DP55" s="2730" t="s">
        <v>1117</v>
      </c>
      <c r="DQ55" s="2730" t="s">
        <v>4</v>
      </c>
      <c r="DR55" s="2730" t="str">
        <f t="shared" si="4"/>
        <v>1</v>
      </c>
      <c r="DS55" s="1037"/>
      <c r="DT55" s="1037"/>
    </row>
    <row r="56" spans="1:130" ht="55.25" hidden="1" customHeight="1" outlineLevel="4">
      <c r="B56" s="2860"/>
      <c r="C56" s="3309" t="s">
        <v>683</v>
      </c>
      <c r="D56" s="3310" t="s">
        <v>683</v>
      </c>
      <c r="E56" s="588"/>
      <c r="F56" s="3331" t="s">
        <v>683</v>
      </c>
      <c r="G56" s="2838"/>
      <c r="H56" s="3332" t="s">
        <v>684</v>
      </c>
      <c r="I56" s="3319"/>
      <c r="J56" s="103"/>
      <c r="L56" s="364"/>
      <c r="M56" s="364"/>
      <c r="N56" s="364"/>
      <c r="O56" s="364"/>
      <c r="P56" s="364"/>
      <c r="Q56" s="364"/>
      <c r="R56" s="364"/>
      <c r="S56" s="364"/>
      <c r="T56" s="364"/>
      <c r="U56" s="364"/>
      <c r="W56" s="3333" t="s">
        <v>853</v>
      </c>
      <c r="X56" s="3333" t="s">
        <v>1075</v>
      </c>
      <c r="Y56" s="3333" t="s">
        <v>1198</v>
      </c>
      <c r="Z56" s="3309" t="s">
        <v>685</v>
      </c>
      <c r="AA56" s="2510"/>
      <c r="AB56" s="1234"/>
      <c r="AD56" s="711" t="s">
        <v>1179</v>
      </c>
      <c r="AE56" s="763">
        <v>1</v>
      </c>
      <c r="AF56" s="531"/>
      <c r="AG56" s="531"/>
      <c r="AH56" s="1039">
        <f>550000-30000-18000-36000-18000</f>
        <v>448000</v>
      </c>
      <c r="AI56" s="725">
        <f>+AE56*AH56</f>
        <v>448000</v>
      </c>
      <c r="AJ56" s="3818" t="s">
        <v>1281</v>
      </c>
      <c r="AL56" s="1041">
        <f t="shared" si="103"/>
        <v>448000</v>
      </c>
      <c r="AM56" s="1032">
        <v>0</v>
      </c>
      <c r="AN56" s="1041">
        <f t="shared" si="98"/>
        <v>448000</v>
      </c>
      <c r="AP56" s="988"/>
      <c r="AQ56" s="988"/>
      <c r="AR56" s="988"/>
      <c r="AS56" s="988"/>
      <c r="AT56" s="988"/>
      <c r="AU56" s="988"/>
      <c r="AV56" s="988"/>
      <c r="AW56" s="988"/>
      <c r="AX56" s="988"/>
      <c r="AY56" s="988"/>
      <c r="AZ56" s="2043">
        <f t="shared" si="9"/>
        <v>0</v>
      </c>
      <c r="BB56" s="988"/>
      <c r="BC56" s="988"/>
      <c r="BD56" s="988"/>
      <c r="BE56" s="988"/>
      <c r="BF56" s="988"/>
      <c r="BG56" s="988"/>
      <c r="BH56" s="988"/>
      <c r="BI56" s="988"/>
      <c r="BJ56" s="988"/>
      <c r="BK56" s="988"/>
      <c r="BL56" s="2048"/>
      <c r="BM56" s="2048"/>
      <c r="BN56" s="2043">
        <f t="shared" si="11"/>
        <v>0</v>
      </c>
      <c r="BP56" s="988"/>
      <c r="BQ56" s="988"/>
      <c r="BR56" s="988"/>
      <c r="BS56" s="988"/>
      <c r="BT56" s="988"/>
      <c r="BU56" s="988"/>
      <c r="BV56" s="988"/>
      <c r="BW56" s="988"/>
      <c r="BX56" s="988"/>
      <c r="BY56" s="988"/>
      <c r="BZ56" s="988"/>
      <c r="CA56" s="988"/>
      <c r="CB56" s="2043">
        <f t="shared" si="13"/>
        <v>0</v>
      </c>
      <c r="CD56" s="988"/>
      <c r="CE56" s="988">
        <f>+$AH56*20%</f>
        <v>89600</v>
      </c>
      <c r="CF56" s="988"/>
      <c r="CG56" s="988"/>
      <c r="CH56" s="988">
        <f>+$AH56*15%</f>
        <v>67200</v>
      </c>
      <c r="CI56" s="988"/>
      <c r="CJ56" s="988"/>
      <c r="CK56" s="988">
        <f>+$AH56*15%</f>
        <v>67200</v>
      </c>
      <c r="CL56" s="988"/>
      <c r="CM56" s="988"/>
      <c r="CN56" s="988">
        <f>+$AH56*15%</f>
        <v>67200</v>
      </c>
      <c r="CO56" s="988"/>
      <c r="CP56" s="2032">
        <f t="shared" si="23"/>
        <v>291200</v>
      </c>
      <c r="CR56" s="988"/>
      <c r="CS56" s="988">
        <f>+$AH56*15%</f>
        <v>67200</v>
      </c>
      <c r="CT56" s="988"/>
      <c r="CU56" s="988"/>
      <c r="CV56" s="988">
        <f>+$AH56*20%</f>
        <v>89600</v>
      </c>
      <c r="CW56" s="988"/>
      <c r="CX56" s="988"/>
      <c r="CY56" s="988"/>
      <c r="CZ56" s="988"/>
      <c r="DA56" s="988"/>
      <c r="DB56" s="988"/>
      <c r="DC56" s="988"/>
      <c r="DD56" s="2007">
        <f t="shared" si="104"/>
        <v>156800</v>
      </c>
      <c r="DF56" s="988"/>
      <c r="DG56" s="988"/>
      <c r="DH56" s="988"/>
      <c r="DI56" s="2007">
        <f t="shared" si="105"/>
        <v>0</v>
      </c>
      <c r="DJ56" s="3124">
        <f t="shared" si="17"/>
        <v>448000</v>
      </c>
      <c r="DL56" s="1027">
        <f t="shared" si="7"/>
        <v>0</v>
      </c>
      <c r="DN56" s="2729" t="s">
        <v>1180</v>
      </c>
      <c r="DO56" s="2730" t="s">
        <v>1181</v>
      </c>
      <c r="DP56" s="2730" t="s">
        <v>1117</v>
      </c>
      <c r="DQ56" s="2730" t="s">
        <v>4</v>
      </c>
      <c r="DR56" s="2730" t="str">
        <f t="shared" si="4"/>
        <v>1</v>
      </c>
      <c r="DS56" s="1037"/>
      <c r="DT56" s="1037"/>
    </row>
    <row r="57" spans="1:130" ht="45" hidden="1" outlineLevel="4">
      <c r="B57" s="2860"/>
      <c r="C57" s="3309" t="s">
        <v>686</v>
      </c>
      <c r="D57" s="3310" t="s">
        <v>686</v>
      </c>
      <c r="E57" s="588"/>
      <c r="F57" s="3313" t="s">
        <v>686</v>
      </c>
      <c r="G57" s="2838" t="s">
        <v>1282</v>
      </c>
      <c r="H57" s="3318" t="s">
        <v>687</v>
      </c>
      <c r="I57" s="3319"/>
      <c r="J57" s="103"/>
      <c r="L57" s="364"/>
      <c r="M57" s="364"/>
      <c r="N57" s="364"/>
      <c r="O57" s="364"/>
      <c r="P57" s="364"/>
      <c r="Q57" s="364"/>
      <c r="R57" s="364"/>
      <c r="S57" s="364"/>
      <c r="T57" s="364"/>
      <c r="U57" s="364"/>
      <c r="W57" s="3333" t="s">
        <v>763</v>
      </c>
      <c r="X57" s="3333" t="s">
        <v>1075</v>
      </c>
      <c r="Y57" s="853" t="s">
        <v>1187</v>
      </c>
      <c r="Z57" s="3309" t="s">
        <v>688</v>
      </c>
      <c r="AA57" s="2510"/>
      <c r="AB57" s="1234"/>
      <c r="AD57" s="711" t="s">
        <v>1280</v>
      </c>
      <c r="AE57" s="763">
        <v>1</v>
      </c>
      <c r="AF57" s="531">
        <v>3</v>
      </c>
      <c r="AG57" s="531"/>
      <c r="AH57" s="1039">
        <v>6000</v>
      </c>
      <c r="AI57" s="725">
        <f>+AE57*AF57*AH57</f>
        <v>18000</v>
      </c>
      <c r="AJ57" s="3819"/>
      <c r="AL57" s="1041">
        <f t="shared" si="103"/>
        <v>18000</v>
      </c>
      <c r="AM57" s="1032">
        <v>0</v>
      </c>
      <c r="AN57" s="1041">
        <f t="shared" si="98"/>
        <v>18000</v>
      </c>
      <c r="AP57" s="988"/>
      <c r="AQ57" s="988"/>
      <c r="AR57" s="988"/>
      <c r="AS57" s="988"/>
      <c r="AT57" s="988"/>
      <c r="AU57" s="988"/>
      <c r="AV57" s="988"/>
      <c r="AW57" s="988"/>
      <c r="AX57" s="988"/>
      <c r="AY57" s="988"/>
      <c r="AZ57" s="2043">
        <f t="shared" si="9"/>
        <v>0</v>
      </c>
      <c r="BB57" s="988"/>
      <c r="BC57" s="988"/>
      <c r="BD57" s="988"/>
      <c r="BE57" s="988"/>
      <c r="BF57" s="988"/>
      <c r="BG57" s="988"/>
      <c r="BH57" s="988"/>
      <c r="BI57" s="988"/>
      <c r="BJ57" s="988"/>
      <c r="BK57" s="988"/>
      <c r="BL57" s="988"/>
      <c r="BM57" s="988"/>
      <c r="BN57" s="2043">
        <f t="shared" si="11"/>
        <v>0</v>
      </c>
      <c r="BP57" s="988"/>
      <c r="BQ57" s="988"/>
      <c r="BR57" s="988"/>
      <c r="BS57" s="988"/>
      <c r="BT57" s="988"/>
      <c r="BU57" s="988"/>
      <c r="BV57" s="988"/>
      <c r="BW57" s="988"/>
      <c r="BX57" s="988"/>
      <c r="BY57" s="988"/>
      <c r="BZ57" s="988"/>
      <c r="CA57" s="988"/>
      <c r="CB57" s="2043">
        <f>SUM(BP57:CA57)</f>
        <v>0</v>
      </c>
      <c r="CD57" s="1194"/>
      <c r="CE57" s="1194"/>
      <c r="CF57" s="1194"/>
      <c r="CG57" s="988"/>
      <c r="CH57" s="1194"/>
      <c r="CI57" s="1194">
        <f>+$AH$57</f>
        <v>6000</v>
      </c>
      <c r="CJ57" s="1194">
        <f>+$AH$57</f>
        <v>6000</v>
      </c>
      <c r="CK57" s="1194">
        <f>+$AH$57</f>
        <v>6000</v>
      </c>
      <c r="CL57" s="988"/>
      <c r="CM57" s="988"/>
      <c r="CN57" s="988"/>
      <c r="CO57" s="988"/>
      <c r="CP57" s="2032">
        <f>SUM(CD57:CO57)</f>
        <v>18000</v>
      </c>
      <c r="CR57" s="988"/>
      <c r="CS57" s="988"/>
      <c r="CT57" s="988"/>
      <c r="CU57" s="988"/>
      <c r="CV57" s="988"/>
      <c r="CW57" s="988"/>
      <c r="CX57" s="988"/>
      <c r="CY57" s="988"/>
      <c r="CZ57" s="988"/>
      <c r="DA57" s="988"/>
      <c r="DB57" s="988"/>
      <c r="DC57" s="988"/>
      <c r="DD57" s="2007">
        <f t="shared" si="104"/>
        <v>0</v>
      </c>
      <c r="DF57" s="988"/>
      <c r="DG57" s="988"/>
      <c r="DH57" s="988"/>
      <c r="DI57" s="2007">
        <f t="shared" si="105"/>
        <v>0</v>
      </c>
      <c r="DJ57" s="3124">
        <f t="shared" si="17"/>
        <v>18000</v>
      </c>
      <c r="DL57" s="1027">
        <f t="shared" si="7"/>
        <v>0</v>
      </c>
      <c r="DN57" s="2729" t="s">
        <v>1180</v>
      </c>
      <c r="DO57" s="2730" t="s">
        <v>1181</v>
      </c>
      <c r="DP57" s="2730" t="s">
        <v>1117</v>
      </c>
      <c r="DQ57" s="2730" t="s">
        <v>4</v>
      </c>
      <c r="DR57" s="2730" t="str">
        <f t="shared" si="4"/>
        <v>1</v>
      </c>
      <c r="DS57" s="1037"/>
      <c r="DT57" s="1037"/>
    </row>
    <row r="58" spans="1:130" ht="13.25" hidden="1" customHeight="1" outlineLevel="4">
      <c r="B58" s="2860"/>
      <c r="C58" s="3309" t="s">
        <v>689</v>
      </c>
      <c r="D58" s="3310" t="s">
        <v>689</v>
      </c>
      <c r="E58" s="588"/>
      <c r="F58" s="3331" t="s">
        <v>689</v>
      </c>
      <c r="G58" s="2838"/>
      <c r="H58" s="3332" t="s">
        <v>690</v>
      </c>
      <c r="I58" s="3319"/>
      <c r="J58" s="103"/>
      <c r="L58" s="364"/>
      <c r="M58" s="364"/>
      <c r="N58" s="364"/>
      <c r="O58" s="364"/>
      <c r="P58" s="364"/>
      <c r="Q58" s="364"/>
      <c r="R58" s="364"/>
      <c r="S58" s="364"/>
      <c r="T58" s="364"/>
      <c r="U58" s="364"/>
      <c r="W58" s="3333" t="s">
        <v>853</v>
      </c>
      <c r="X58" s="3333" t="s">
        <v>1075</v>
      </c>
      <c r="Y58" s="853" t="s">
        <v>1198</v>
      </c>
      <c r="Z58" s="3309" t="s">
        <v>691</v>
      </c>
      <c r="AA58" s="2510"/>
      <c r="AB58" s="1234"/>
      <c r="AD58" s="711" t="s">
        <v>1280</v>
      </c>
      <c r="AE58" s="763">
        <v>1</v>
      </c>
      <c r="AF58" s="531">
        <v>6</v>
      </c>
      <c r="AG58" s="531"/>
      <c r="AH58" s="1343">
        <v>6000</v>
      </c>
      <c r="AI58" s="725">
        <f>+AE58*AF58*AH58</f>
        <v>36000</v>
      </c>
      <c r="AJ58" s="3819"/>
      <c r="AL58" s="1041">
        <f t="shared" si="103"/>
        <v>36000</v>
      </c>
      <c r="AM58" s="1032">
        <v>0</v>
      </c>
      <c r="AN58" s="1041">
        <f t="shared" si="98"/>
        <v>36000</v>
      </c>
      <c r="AP58" s="988"/>
      <c r="AQ58" s="988"/>
      <c r="AR58" s="988"/>
      <c r="AS58" s="988"/>
      <c r="AT58" s="988"/>
      <c r="AU58" s="988"/>
      <c r="AV58" s="988"/>
      <c r="AW58" s="988"/>
      <c r="AX58" s="988"/>
      <c r="AY58" s="988"/>
      <c r="AZ58" s="2043">
        <f t="shared" si="9"/>
        <v>0</v>
      </c>
      <c r="BB58" s="988"/>
      <c r="BC58" s="988"/>
      <c r="BD58" s="988"/>
      <c r="BE58" s="988"/>
      <c r="BF58" s="988"/>
      <c r="BG58" s="988"/>
      <c r="BH58" s="988"/>
      <c r="BI58" s="988"/>
      <c r="BJ58" s="988"/>
      <c r="BK58" s="988"/>
      <c r="BL58" s="988"/>
      <c r="BM58" s="988"/>
      <c r="BN58" s="2043">
        <f t="shared" si="11"/>
        <v>0</v>
      </c>
      <c r="BP58" s="988"/>
      <c r="BQ58" s="988"/>
      <c r="BR58" s="988"/>
      <c r="BS58" s="988"/>
      <c r="BT58" s="988"/>
      <c r="BU58" s="988"/>
      <c r="BV58" s="988"/>
      <c r="BW58" s="988"/>
      <c r="BX58" s="988"/>
      <c r="BY58" s="988"/>
      <c r="BZ58" s="988"/>
      <c r="CA58" s="988"/>
      <c r="CB58" s="2043">
        <f>SUM(BP58:CA58)</f>
        <v>0</v>
      </c>
      <c r="CD58" s="988"/>
      <c r="CE58" s="988"/>
      <c r="CF58" s="988"/>
      <c r="CG58" s="988"/>
      <c r="CH58" s="988"/>
      <c r="CI58" s="988"/>
      <c r="CJ58" s="1194"/>
      <c r="CK58" s="1194"/>
      <c r="CL58" s="1194"/>
      <c r="CM58" s="1194"/>
      <c r="CN58" s="1194"/>
      <c r="CO58" s="1194"/>
      <c r="CP58" s="2032">
        <f>SUM(CD58:CO58)</f>
        <v>0</v>
      </c>
      <c r="CR58" s="1194"/>
      <c r="CS58" s="1194"/>
      <c r="CT58" s="1194">
        <f>+$AI58*0.2</f>
        <v>7200</v>
      </c>
      <c r="CU58" s="1194"/>
      <c r="CV58" s="1194"/>
      <c r="CW58" s="1194">
        <f>+$AI58*0.4</f>
        <v>14400</v>
      </c>
      <c r="CX58" s="1194"/>
      <c r="CY58" s="1194"/>
      <c r="CZ58" s="1194">
        <f>+$AI58*0.4</f>
        <v>14400</v>
      </c>
      <c r="DA58" s="988"/>
      <c r="DB58" s="988"/>
      <c r="DC58" s="988"/>
      <c r="DD58" s="2007">
        <f t="shared" si="104"/>
        <v>36000</v>
      </c>
      <c r="DF58" s="988"/>
      <c r="DG58" s="988"/>
      <c r="DH58" s="988"/>
      <c r="DI58" s="2007">
        <f t="shared" si="105"/>
        <v>0</v>
      </c>
      <c r="DJ58" s="3124">
        <f t="shared" si="17"/>
        <v>36000</v>
      </c>
      <c r="DL58" s="1027">
        <f t="shared" si="7"/>
        <v>0</v>
      </c>
      <c r="DN58" s="2729" t="s">
        <v>1283</v>
      </c>
      <c r="DO58" s="2730" t="s">
        <v>1284</v>
      </c>
      <c r="DP58" s="2730" t="s">
        <v>1117</v>
      </c>
      <c r="DQ58" s="2730" t="s">
        <v>4</v>
      </c>
      <c r="DR58" s="2730" t="str">
        <f t="shared" si="4"/>
        <v>1</v>
      </c>
      <c r="DS58" s="1037"/>
      <c r="DT58" s="1037"/>
    </row>
    <row r="59" spans="1:130" s="880" customFormat="1" ht="13.25" hidden="1" customHeight="1" outlineLevel="4">
      <c r="A59" s="3334"/>
      <c r="B59" s="2860"/>
      <c r="C59" s="3309"/>
      <c r="D59" s="3310" t="s">
        <v>692</v>
      </c>
      <c r="E59" s="588"/>
      <c r="F59" s="3313" t="s">
        <v>692</v>
      </c>
      <c r="G59" s="3335"/>
      <c r="H59" s="3318" t="s">
        <v>693</v>
      </c>
      <c r="I59" s="3312"/>
      <c r="J59" s="3312"/>
      <c r="K59" s="1037"/>
      <c r="L59" s="3312"/>
      <c r="M59" s="3312"/>
      <c r="N59" s="3312"/>
      <c r="O59" s="3312"/>
      <c r="P59" s="3312"/>
      <c r="Q59" s="3312"/>
      <c r="R59" s="3312"/>
      <c r="S59" s="3312"/>
      <c r="T59" s="3312"/>
      <c r="U59" s="3312"/>
      <c r="V59" s="1037"/>
      <c r="W59" s="2925"/>
      <c r="X59" s="2925"/>
      <c r="Y59" s="2925"/>
      <c r="Z59" s="2925"/>
      <c r="AA59" s="2510"/>
      <c r="AB59" s="2510"/>
      <c r="AC59" s="1037"/>
      <c r="AD59" s="711"/>
      <c r="AE59" s="763"/>
      <c r="AF59" s="531"/>
      <c r="AG59" s="531"/>
      <c r="AH59" s="1039"/>
      <c r="AI59" s="725">
        <f>+AE59*AH59</f>
        <v>0</v>
      </c>
      <c r="AJ59" s="3819"/>
      <c r="AK59" s="1037"/>
      <c r="AL59" s="1041">
        <f t="shared" si="103"/>
        <v>0</v>
      </c>
      <c r="AM59" s="1032">
        <v>0</v>
      </c>
      <c r="AN59" s="1041">
        <f t="shared" si="98"/>
        <v>0</v>
      </c>
      <c r="AO59" s="1037"/>
      <c r="AP59" s="988"/>
      <c r="AQ59" s="988"/>
      <c r="AR59" s="988"/>
      <c r="AS59" s="988"/>
      <c r="AT59" s="988"/>
      <c r="AU59" s="988"/>
      <c r="AV59" s="988"/>
      <c r="AW59" s="988"/>
      <c r="AX59" s="988"/>
      <c r="AY59" s="988"/>
      <c r="AZ59" s="2043">
        <f t="shared" si="9"/>
        <v>0</v>
      </c>
      <c r="BA59" s="1037"/>
      <c r="BB59" s="988"/>
      <c r="BC59" s="988"/>
      <c r="BD59" s="988"/>
      <c r="BE59" s="988"/>
      <c r="BF59" s="988"/>
      <c r="BG59" s="988"/>
      <c r="BH59" s="988"/>
      <c r="BI59" s="988"/>
      <c r="BJ59" s="988"/>
      <c r="BK59" s="988"/>
      <c r="BL59" s="988"/>
      <c r="BM59" s="988"/>
      <c r="BN59" s="995">
        <f t="shared" si="11"/>
        <v>0</v>
      </c>
      <c r="BO59" s="1037"/>
      <c r="BP59" s="988"/>
      <c r="BQ59" s="988"/>
      <c r="BR59" s="988"/>
      <c r="BS59" s="988"/>
      <c r="BT59" s="988"/>
      <c r="BU59" s="988"/>
      <c r="BV59" s="988"/>
      <c r="BW59" s="988"/>
      <c r="BX59" s="988">
        <f>+$AH59*20%</f>
        <v>0</v>
      </c>
      <c r="BY59" s="988"/>
      <c r="BZ59" s="988"/>
      <c r="CA59" s="988">
        <f>+$AH59*15%</f>
        <v>0</v>
      </c>
      <c r="CB59" s="2043">
        <f>SUM(BP59:CA59)</f>
        <v>0</v>
      </c>
      <c r="CC59" s="1037"/>
      <c r="CD59" s="988"/>
      <c r="CE59" s="988"/>
      <c r="CF59" s="988">
        <f>+$AH59*15%</f>
        <v>0</v>
      </c>
      <c r="CG59" s="988"/>
      <c r="CH59" s="988"/>
      <c r="CI59" s="988">
        <f>+$AH59*15%</f>
        <v>0</v>
      </c>
      <c r="CJ59" s="988"/>
      <c r="CK59" s="988"/>
      <c r="CL59" s="988">
        <f>+$AH59*15%</f>
        <v>0</v>
      </c>
      <c r="CM59" s="988"/>
      <c r="CN59" s="988"/>
      <c r="CO59" s="988">
        <f>+$AH59*20%</f>
        <v>0</v>
      </c>
      <c r="CP59" s="2032">
        <f>SUM(CD59:CO59)</f>
        <v>0</v>
      </c>
      <c r="CQ59" s="1037"/>
      <c r="CR59" s="988"/>
      <c r="CS59" s="988"/>
      <c r="CT59" s="988"/>
      <c r="CU59" s="988"/>
      <c r="CV59" s="988"/>
      <c r="CW59" s="988"/>
      <c r="CX59" s="988"/>
      <c r="CY59" s="988"/>
      <c r="CZ59" s="988"/>
      <c r="DA59" s="988"/>
      <c r="DB59" s="988"/>
      <c r="DC59" s="988"/>
      <c r="DD59" s="995">
        <f t="shared" si="104"/>
        <v>0</v>
      </c>
      <c r="DE59" s="1037"/>
      <c r="DF59" s="988"/>
      <c r="DG59" s="988"/>
      <c r="DH59" s="988"/>
      <c r="DI59" s="3085">
        <f t="shared" si="105"/>
        <v>0</v>
      </c>
      <c r="DJ59" s="3125">
        <f t="shared" si="17"/>
        <v>0</v>
      </c>
      <c r="DK59" s="3336"/>
      <c r="DL59" s="1027">
        <f t="shared" si="7"/>
        <v>0</v>
      </c>
      <c r="DM59" s="3334"/>
      <c r="DN59" s="2709" t="s">
        <v>1175</v>
      </c>
      <c r="DO59" s="2739" t="s">
        <v>1175</v>
      </c>
      <c r="DP59" s="2739"/>
      <c r="DQ59" s="2739" t="s">
        <v>1175</v>
      </c>
      <c r="DR59" s="2739" t="str">
        <f t="shared" si="4"/>
        <v>1</v>
      </c>
      <c r="DS59" s="1037"/>
      <c r="DT59" s="1037"/>
      <c r="DU59" s="3334"/>
      <c r="DV59" s="3334"/>
      <c r="DW59" s="3334"/>
      <c r="DX59" s="3334"/>
      <c r="DY59" s="3334"/>
      <c r="DZ59" s="3334"/>
    </row>
    <row r="60" spans="1:130" s="880" customFormat="1" ht="13.25" hidden="1" customHeight="1" outlineLevel="4">
      <c r="A60" s="3334"/>
      <c r="B60" s="2860"/>
      <c r="C60" s="3309"/>
      <c r="D60" s="3310" t="s">
        <v>694</v>
      </c>
      <c r="E60" s="588"/>
      <c r="F60" s="3313" t="s">
        <v>694</v>
      </c>
      <c r="G60" s="3335"/>
      <c r="H60" s="3318" t="s">
        <v>695</v>
      </c>
      <c r="I60" s="3312"/>
      <c r="J60" s="3312"/>
      <c r="K60" s="1037"/>
      <c r="L60" s="3312"/>
      <c r="M60" s="3312"/>
      <c r="N60" s="3312"/>
      <c r="O60" s="3312"/>
      <c r="P60" s="3312"/>
      <c r="Q60" s="3312"/>
      <c r="R60" s="3312"/>
      <c r="S60" s="3312"/>
      <c r="T60" s="3312"/>
      <c r="U60" s="3312"/>
      <c r="V60" s="1037"/>
      <c r="W60" s="2925"/>
      <c r="X60" s="2925"/>
      <c r="Y60" s="2925"/>
      <c r="Z60" s="2925"/>
      <c r="AA60" s="2510"/>
      <c r="AB60" s="2510"/>
      <c r="AC60" s="1037"/>
      <c r="AD60" s="711"/>
      <c r="AE60" s="763"/>
      <c r="AF60" s="531"/>
      <c r="AG60" s="531"/>
      <c r="AH60" s="1039"/>
      <c r="AI60" s="725">
        <f>+AE60*AH60</f>
        <v>0</v>
      </c>
      <c r="AJ60" s="3820"/>
      <c r="AK60" s="1037"/>
      <c r="AL60" s="1041">
        <f t="shared" si="103"/>
        <v>0</v>
      </c>
      <c r="AM60" s="1032">
        <v>0</v>
      </c>
      <c r="AN60" s="1041">
        <f t="shared" si="98"/>
        <v>0</v>
      </c>
      <c r="AO60" s="1037"/>
      <c r="AP60" s="988"/>
      <c r="AQ60" s="988"/>
      <c r="AR60" s="988"/>
      <c r="AS60" s="988"/>
      <c r="AT60" s="988"/>
      <c r="AU60" s="988"/>
      <c r="AV60" s="988"/>
      <c r="AW60" s="988"/>
      <c r="AX60" s="988"/>
      <c r="AY60" s="988"/>
      <c r="AZ60" s="2043">
        <f t="shared" si="9"/>
        <v>0</v>
      </c>
      <c r="BA60" s="1037"/>
      <c r="BB60" s="988"/>
      <c r="BC60" s="988"/>
      <c r="BD60" s="988"/>
      <c r="BE60" s="988"/>
      <c r="BF60" s="988"/>
      <c r="BG60" s="988"/>
      <c r="BH60" s="988"/>
      <c r="BI60" s="988"/>
      <c r="BJ60" s="988"/>
      <c r="BK60" s="988"/>
      <c r="BL60" s="988"/>
      <c r="BM60" s="988"/>
      <c r="BN60" s="995">
        <f t="shared" si="11"/>
        <v>0</v>
      </c>
      <c r="BO60" s="1037"/>
      <c r="BP60" s="988"/>
      <c r="BQ60" s="988"/>
      <c r="BR60" s="988"/>
      <c r="BS60" s="988"/>
      <c r="BT60" s="988"/>
      <c r="BU60" s="988"/>
      <c r="BV60" s="988"/>
      <c r="BW60" s="988"/>
      <c r="BX60" s="988">
        <f>+$AH60*20%</f>
        <v>0</v>
      </c>
      <c r="BY60" s="988"/>
      <c r="BZ60" s="988"/>
      <c r="CA60" s="988">
        <f>+$AH60*15%</f>
        <v>0</v>
      </c>
      <c r="CB60" s="2043">
        <f>SUM(BP60:CA60)</f>
        <v>0</v>
      </c>
      <c r="CC60" s="1037"/>
      <c r="CD60" s="988"/>
      <c r="CE60" s="988"/>
      <c r="CF60" s="988">
        <f>+$AH60*15%</f>
        <v>0</v>
      </c>
      <c r="CG60" s="988"/>
      <c r="CH60" s="988"/>
      <c r="CI60" s="988">
        <f>+$AH60*15%</f>
        <v>0</v>
      </c>
      <c r="CJ60" s="988"/>
      <c r="CK60" s="988"/>
      <c r="CL60" s="988">
        <f>+$AH60*15%</f>
        <v>0</v>
      </c>
      <c r="CM60" s="988"/>
      <c r="CN60" s="988"/>
      <c r="CO60" s="988">
        <f>+$AH60*20%</f>
        <v>0</v>
      </c>
      <c r="CP60" s="2032">
        <f>SUM(CD60:CO60)</f>
        <v>0</v>
      </c>
      <c r="CQ60" s="1037"/>
      <c r="CR60" s="988"/>
      <c r="CS60" s="988"/>
      <c r="CT60" s="988"/>
      <c r="CU60" s="988"/>
      <c r="CV60" s="988"/>
      <c r="CW60" s="988"/>
      <c r="CX60" s="988"/>
      <c r="CY60" s="988"/>
      <c r="CZ60" s="988"/>
      <c r="DA60" s="988"/>
      <c r="DB60" s="988"/>
      <c r="DC60" s="988"/>
      <c r="DD60" s="995">
        <f t="shared" si="104"/>
        <v>0</v>
      </c>
      <c r="DE60" s="1037"/>
      <c r="DF60" s="988"/>
      <c r="DG60" s="988"/>
      <c r="DH60" s="988"/>
      <c r="DI60" s="3085">
        <f t="shared" si="105"/>
        <v>0</v>
      </c>
      <c r="DJ60" s="3125">
        <f t="shared" si="17"/>
        <v>0</v>
      </c>
      <c r="DK60" s="3336"/>
      <c r="DL60" s="1027">
        <f t="shared" si="7"/>
        <v>0</v>
      </c>
      <c r="DM60" s="3334"/>
      <c r="DN60" s="2716" t="s">
        <v>1175</v>
      </c>
      <c r="DO60" s="2740" t="s">
        <v>1175</v>
      </c>
      <c r="DP60" s="2740"/>
      <c r="DQ60" s="2740" t="s">
        <v>1175</v>
      </c>
      <c r="DR60" s="2740" t="str">
        <f t="shared" si="4"/>
        <v>1</v>
      </c>
      <c r="DS60" s="1037"/>
      <c r="DT60" s="1037"/>
      <c r="DU60" s="3334"/>
      <c r="DV60" s="3334"/>
      <c r="DW60" s="3334"/>
      <c r="DX60" s="3334"/>
      <c r="DY60" s="3334"/>
      <c r="DZ60" s="3334"/>
    </row>
    <row r="61" spans="1:130" s="153" customFormat="1" ht="30" hidden="1" outlineLevel="3">
      <c r="B61" s="2839"/>
      <c r="C61" s="3306" t="s">
        <v>696</v>
      </c>
      <c r="D61" s="2941" t="s">
        <v>696</v>
      </c>
      <c r="E61" s="2830"/>
      <c r="F61" s="2949" t="s">
        <v>696</v>
      </c>
      <c r="G61" s="2833"/>
      <c r="H61" s="1250" t="s">
        <v>697</v>
      </c>
      <c r="I61" s="1250" t="s">
        <v>4</v>
      </c>
      <c r="J61" s="1250" t="s">
        <v>1278</v>
      </c>
      <c r="K61" s="2858"/>
      <c r="L61" s="851" t="e">
        <v>#REF!</v>
      </c>
      <c r="M61" s="851" t="e">
        <v>#REF!</v>
      </c>
      <c r="N61" s="851" t="e">
        <v>#REF!</v>
      </c>
      <c r="O61" s="851" t="e">
        <v>#REF!</v>
      </c>
      <c r="P61" s="851" t="e">
        <v>#REF!</v>
      </c>
      <c r="Q61" s="851" t="e">
        <v>#REF!</v>
      </c>
      <c r="R61" s="851" t="e">
        <v>#REF!</v>
      </c>
      <c r="S61" s="851" t="e">
        <v>#REF!</v>
      </c>
      <c r="T61" s="851" t="e">
        <v>#REF!</v>
      </c>
      <c r="U61" s="851" t="e">
        <v>#REF!</v>
      </c>
      <c r="V61" s="2858"/>
      <c r="W61" s="851"/>
      <c r="X61" s="851"/>
      <c r="Y61" s="851"/>
      <c r="Z61" s="851"/>
      <c r="AA61" s="851"/>
      <c r="AB61" s="1250"/>
      <c r="AC61" s="2858"/>
      <c r="AD61" s="2840"/>
      <c r="AE61" s="397"/>
      <c r="AF61" s="397"/>
      <c r="AG61" s="397"/>
      <c r="AH61" s="398"/>
      <c r="AI61" s="398">
        <f>+AI62</f>
        <v>1000000</v>
      </c>
      <c r="AJ61" s="691"/>
      <c r="AK61" s="2858"/>
      <c r="AL61" s="398">
        <f>+AL62</f>
        <v>1000000</v>
      </c>
      <c r="AM61" s="398">
        <f>+AM62</f>
        <v>0</v>
      </c>
      <c r="AN61" s="398">
        <f t="shared" si="98"/>
        <v>1000000</v>
      </c>
      <c r="AO61" s="2858"/>
      <c r="AP61" s="992">
        <f t="shared" ref="AP61:DA61" si="106">+AP62</f>
        <v>0</v>
      </c>
      <c r="AQ61" s="992">
        <f t="shared" si="106"/>
        <v>0</v>
      </c>
      <c r="AR61" s="992">
        <f t="shared" si="106"/>
        <v>0</v>
      </c>
      <c r="AS61" s="992">
        <f t="shared" si="106"/>
        <v>0</v>
      </c>
      <c r="AT61" s="992">
        <f t="shared" si="106"/>
        <v>0</v>
      </c>
      <c r="AU61" s="992">
        <f t="shared" si="106"/>
        <v>0</v>
      </c>
      <c r="AV61" s="992">
        <f t="shared" si="106"/>
        <v>0</v>
      </c>
      <c r="AW61" s="992">
        <f t="shared" si="106"/>
        <v>0</v>
      </c>
      <c r="AX61" s="992">
        <f t="shared" si="106"/>
        <v>0</v>
      </c>
      <c r="AY61" s="992">
        <f t="shared" si="106"/>
        <v>0</v>
      </c>
      <c r="AZ61" s="992">
        <f t="shared" si="106"/>
        <v>0</v>
      </c>
      <c r="BA61" s="1037"/>
      <c r="BB61" s="992">
        <f t="shared" si="106"/>
        <v>0</v>
      </c>
      <c r="BC61" s="992">
        <f t="shared" si="106"/>
        <v>0</v>
      </c>
      <c r="BD61" s="992">
        <f t="shared" si="106"/>
        <v>0</v>
      </c>
      <c r="BE61" s="992">
        <f t="shared" si="106"/>
        <v>0</v>
      </c>
      <c r="BF61" s="992">
        <f t="shared" si="106"/>
        <v>0</v>
      </c>
      <c r="BG61" s="992">
        <f t="shared" si="106"/>
        <v>0</v>
      </c>
      <c r="BH61" s="992">
        <f t="shared" si="106"/>
        <v>3000</v>
      </c>
      <c r="BI61" s="992">
        <f t="shared" si="106"/>
        <v>4500</v>
      </c>
      <c r="BJ61" s="992">
        <f t="shared" si="106"/>
        <v>0</v>
      </c>
      <c r="BK61" s="992">
        <f t="shared" si="106"/>
        <v>0</v>
      </c>
      <c r="BL61" s="992">
        <f t="shared" si="106"/>
        <v>0</v>
      </c>
      <c r="BM61" s="992">
        <f t="shared" si="106"/>
        <v>6000</v>
      </c>
      <c r="BN61" s="992">
        <f t="shared" si="106"/>
        <v>13500</v>
      </c>
      <c r="BO61" s="2858">
        <f t="shared" si="106"/>
        <v>0</v>
      </c>
      <c r="BP61" s="992">
        <f t="shared" si="106"/>
        <v>0</v>
      </c>
      <c r="BQ61" s="992">
        <f t="shared" si="106"/>
        <v>0</v>
      </c>
      <c r="BR61" s="992">
        <f t="shared" si="106"/>
        <v>6000</v>
      </c>
      <c r="BS61" s="992">
        <f t="shared" si="106"/>
        <v>10500</v>
      </c>
      <c r="BT61" s="992">
        <f t="shared" si="106"/>
        <v>0</v>
      </c>
      <c r="BU61" s="992">
        <f t="shared" si="106"/>
        <v>0</v>
      </c>
      <c r="BV61" s="992">
        <f t="shared" si="106"/>
        <v>0</v>
      </c>
      <c r="BW61" s="992">
        <f t="shared" si="106"/>
        <v>0</v>
      </c>
      <c r="BX61" s="992">
        <f t="shared" si="106"/>
        <v>0</v>
      </c>
      <c r="BY61" s="992">
        <f t="shared" si="106"/>
        <v>0</v>
      </c>
      <c r="BZ61" s="992">
        <f t="shared" si="106"/>
        <v>0</v>
      </c>
      <c r="CA61" s="992">
        <f t="shared" si="106"/>
        <v>0</v>
      </c>
      <c r="CB61" s="992">
        <f t="shared" si="106"/>
        <v>16500</v>
      </c>
      <c r="CC61" s="2858">
        <f t="shared" si="106"/>
        <v>0</v>
      </c>
      <c r="CD61" s="992">
        <f t="shared" si="106"/>
        <v>0</v>
      </c>
      <c r="CE61" s="992">
        <f t="shared" si="106"/>
        <v>0</v>
      </c>
      <c r="CF61" s="992">
        <f t="shared" si="106"/>
        <v>194000</v>
      </c>
      <c r="CG61" s="992">
        <f t="shared" si="106"/>
        <v>0</v>
      </c>
      <c r="CH61" s="992">
        <f t="shared" si="106"/>
        <v>0</v>
      </c>
      <c r="CI61" s="992">
        <f t="shared" si="106"/>
        <v>194000</v>
      </c>
      <c r="CJ61" s="992">
        <f t="shared" si="106"/>
        <v>0</v>
      </c>
      <c r="CK61" s="992">
        <f t="shared" si="106"/>
        <v>0</v>
      </c>
      <c r="CL61" s="992">
        <f t="shared" si="106"/>
        <v>194000</v>
      </c>
      <c r="CM61" s="992">
        <f t="shared" si="106"/>
        <v>0</v>
      </c>
      <c r="CN61" s="992">
        <f t="shared" si="106"/>
        <v>0</v>
      </c>
      <c r="CO61" s="992">
        <f t="shared" si="106"/>
        <v>0</v>
      </c>
      <c r="CP61" s="993">
        <f t="shared" si="106"/>
        <v>582000</v>
      </c>
      <c r="CQ61" s="2858">
        <f t="shared" si="106"/>
        <v>0</v>
      </c>
      <c r="CR61" s="992">
        <f t="shared" si="106"/>
        <v>194000</v>
      </c>
      <c r="CS61" s="992">
        <f t="shared" si="106"/>
        <v>0</v>
      </c>
      <c r="CT61" s="992">
        <f t="shared" si="106"/>
        <v>194000</v>
      </c>
      <c r="CU61" s="992">
        <f t="shared" si="106"/>
        <v>0</v>
      </c>
      <c r="CV61" s="992">
        <f t="shared" si="106"/>
        <v>0</v>
      </c>
      <c r="CW61" s="992">
        <f t="shared" si="106"/>
        <v>0</v>
      </c>
      <c r="CX61" s="992">
        <f t="shared" si="106"/>
        <v>0</v>
      </c>
      <c r="CY61" s="992">
        <f t="shared" si="106"/>
        <v>0</v>
      </c>
      <c r="CZ61" s="992">
        <f t="shared" si="106"/>
        <v>0</v>
      </c>
      <c r="DA61" s="992">
        <f t="shared" si="106"/>
        <v>0</v>
      </c>
      <c r="DB61" s="992">
        <f t="shared" ref="DB61:DI61" si="107">+DB62</f>
        <v>0</v>
      </c>
      <c r="DC61" s="992">
        <f t="shared" si="107"/>
        <v>0</v>
      </c>
      <c r="DD61" s="994">
        <f t="shared" si="107"/>
        <v>388000</v>
      </c>
      <c r="DE61" s="2858">
        <f t="shared" si="107"/>
        <v>0</v>
      </c>
      <c r="DF61" s="992">
        <f t="shared" si="107"/>
        <v>0</v>
      </c>
      <c r="DG61" s="992">
        <f t="shared" si="107"/>
        <v>0</v>
      </c>
      <c r="DH61" s="992">
        <f t="shared" si="107"/>
        <v>0</v>
      </c>
      <c r="DI61" s="3083">
        <f t="shared" si="107"/>
        <v>0</v>
      </c>
      <c r="DJ61" s="3122">
        <f t="shared" si="17"/>
        <v>1000000</v>
      </c>
      <c r="DL61" s="1027">
        <f t="shared" si="7"/>
        <v>0</v>
      </c>
      <c r="DN61" s="2725" t="s">
        <v>1175</v>
      </c>
      <c r="DO61" s="2726" t="s">
        <v>1175</v>
      </c>
      <c r="DP61" s="2726"/>
      <c r="DQ61" s="2726" t="s">
        <v>1175</v>
      </c>
      <c r="DR61" s="2726" t="str">
        <f t="shared" si="4"/>
        <v>1</v>
      </c>
      <c r="DS61" s="2858"/>
      <c r="DT61" s="2858"/>
    </row>
    <row r="62" spans="1:130" s="153" customFormat="1" ht="31.25" hidden="1" customHeight="1" outlineLevel="4" collapsed="1">
      <c r="B62" s="2855"/>
      <c r="C62" s="3309"/>
      <c r="D62" s="3310" t="s">
        <v>1285</v>
      </c>
      <c r="E62" s="2830"/>
      <c r="F62" s="435" t="s">
        <v>1285</v>
      </c>
      <c r="G62" s="2863"/>
      <c r="H62" s="2425" t="s">
        <v>1286</v>
      </c>
      <c r="I62" s="173"/>
      <c r="J62" s="173"/>
      <c r="K62" s="2858"/>
      <c r="L62" s="853"/>
      <c r="M62" s="853"/>
      <c r="N62" s="853"/>
      <c r="O62" s="853"/>
      <c r="P62" s="853"/>
      <c r="Q62" s="853"/>
      <c r="R62" s="853"/>
      <c r="S62" s="853"/>
      <c r="T62" s="853"/>
      <c r="U62" s="853"/>
      <c r="V62" s="2858"/>
      <c r="W62" s="853"/>
      <c r="X62" s="853"/>
      <c r="Y62" s="853"/>
      <c r="Z62" s="853"/>
      <c r="AA62" s="853"/>
      <c r="AB62" s="173"/>
      <c r="AC62" s="2858"/>
      <c r="AD62" s="2844"/>
      <c r="AE62" s="704"/>
      <c r="AF62" s="704"/>
      <c r="AG62" s="704"/>
      <c r="AH62" s="485"/>
      <c r="AI62" s="485">
        <f>SUM(AI63:AI66)</f>
        <v>1000000</v>
      </c>
      <c r="AJ62" s="2314" t="s">
        <v>1287</v>
      </c>
      <c r="AK62" s="2858"/>
      <c r="AL62" s="485">
        <f>SUM(AL63:AL66)</f>
        <v>1000000</v>
      </c>
      <c r="AM62" s="485">
        <f>SUM(AM63:AM66)</f>
        <v>0</v>
      </c>
      <c r="AN62" s="485">
        <f t="shared" si="98"/>
        <v>1000000</v>
      </c>
      <c r="AO62" s="2858"/>
      <c r="AP62" s="1294">
        <f t="shared" ref="AP62:AY62" si="108">SUM(AP63:AP66)</f>
        <v>0</v>
      </c>
      <c r="AQ62" s="1294">
        <f t="shared" si="108"/>
        <v>0</v>
      </c>
      <c r="AR62" s="1294">
        <f t="shared" si="108"/>
        <v>0</v>
      </c>
      <c r="AS62" s="1294">
        <f t="shared" si="108"/>
        <v>0</v>
      </c>
      <c r="AT62" s="1294">
        <f t="shared" si="108"/>
        <v>0</v>
      </c>
      <c r="AU62" s="1294">
        <f t="shared" si="108"/>
        <v>0</v>
      </c>
      <c r="AV62" s="1294">
        <f t="shared" si="108"/>
        <v>0</v>
      </c>
      <c r="AW62" s="1294">
        <f t="shared" si="108"/>
        <v>0</v>
      </c>
      <c r="AX62" s="1294">
        <f t="shared" si="108"/>
        <v>0</v>
      </c>
      <c r="AY62" s="1294">
        <f t="shared" si="108"/>
        <v>0</v>
      </c>
      <c r="AZ62" s="1294">
        <f t="shared" si="9"/>
        <v>0</v>
      </c>
      <c r="BA62" s="1037"/>
      <c r="BB62" s="1294">
        <f t="shared" ref="BB62:BM62" si="109">SUM(BB63:BB66)</f>
        <v>0</v>
      </c>
      <c r="BC62" s="1294">
        <f t="shared" si="109"/>
        <v>0</v>
      </c>
      <c r="BD62" s="1294">
        <f t="shared" si="109"/>
        <v>0</v>
      </c>
      <c r="BE62" s="1294">
        <f t="shared" si="109"/>
        <v>0</v>
      </c>
      <c r="BF62" s="1294">
        <f t="shared" si="109"/>
        <v>0</v>
      </c>
      <c r="BG62" s="1294">
        <f t="shared" si="109"/>
        <v>0</v>
      </c>
      <c r="BH62" s="1294">
        <f t="shared" si="109"/>
        <v>3000</v>
      </c>
      <c r="BI62" s="1294">
        <f t="shared" si="109"/>
        <v>4500</v>
      </c>
      <c r="BJ62" s="1294">
        <f t="shared" si="109"/>
        <v>0</v>
      </c>
      <c r="BK62" s="1294">
        <f t="shared" si="109"/>
        <v>0</v>
      </c>
      <c r="BL62" s="1294">
        <f t="shared" si="109"/>
        <v>0</v>
      </c>
      <c r="BM62" s="1294">
        <f t="shared" si="109"/>
        <v>6000</v>
      </c>
      <c r="BN62" s="1294">
        <f t="shared" si="11"/>
        <v>13500</v>
      </c>
      <c r="BO62" s="2858"/>
      <c r="BP62" s="1294">
        <f t="shared" ref="BP62:CA62" si="110">SUM(BP63:BP66)</f>
        <v>0</v>
      </c>
      <c r="BQ62" s="1294">
        <f t="shared" si="110"/>
        <v>0</v>
      </c>
      <c r="BR62" s="1294">
        <f t="shared" si="110"/>
        <v>6000</v>
      </c>
      <c r="BS62" s="1294">
        <f t="shared" si="110"/>
        <v>10500</v>
      </c>
      <c r="BT62" s="1294">
        <f t="shared" si="110"/>
        <v>0</v>
      </c>
      <c r="BU62" s="1294">
        <f t="shared" si="110"/>
        <v>0</v>
      </c>
      <c r="BV62" s="1294">
        <f t="shared" si="110"/>
        <v>0</v>
      </c>
      <c r="BW62" s="1294">
        <f t="shared" si="110"/>
        <v>0</v>
      </c>
      <c r="BX62" s="1294">
        <f t="shared" si="110"/>
        <v>0</v>
      </c>
      <c r="BY62" s="1294">
        <f t="shared" si="110"/>
        <v>0</v>
      </c>
      <c r="BZ62" s="1294">
        <f t="shared" si="110"/>
        <v>0</v>
      </c>
      <c r="CA62" s="1294">
        <f t="shared" si="110"/>
        <v>0</v>
      </c>
      <c r="CB62" s="1294">
        <f t="shared" si="13"/>
        <v>16500</v>
      </c>
      <c r="CC62" s="2858"/>
      <c r="CD62" s="1294">
        <f t="shared" ref="CD62:CO62" si="111">SUM(CD63:CD66)</f>
        <v>0</v>
      </c>
      <c r="CE62" s="1294">
        <f t="shared" si="111"/>
        <v>0</v>
      </c>
      <c r="CF62" s="1294">
        <f t="shared" si="111"/>
        <v>194000</v>
      </c>
      <c r="CG62" s="1294">
        <f t="shared" si="111"/>
        <v>0</v>
      </c>
      <c r="CH62" s="1294">
        <f t="shared" si="111"/>
        <v>0</v>
      </c>
      <c r="CI62" s="1294">
        <f t="shared" si="111"/>
        <v>194000</v>
      </c>
      <c r="CJ62" s="1294">
        <f t="shared" si="111"/>
        <v>0</v>
      </c>
      <c r="CK62" s="1294">
        <f t="shared" si="111"/>
        <v>0</v>
      </c>
      <c r="CL62" s="1294">
        <f t="shared" si="111"/>
        <v>194000</v>
      </c>
      <c r="CM62" s="1294">
        <f t="shared" si="111"/>
        <v>0</v>
      </c>
      <c r="CN62" s="1294">
        <f t="shared" si="111"/>
        <v>0</v>
      </c>
      <c r="CO62" s="1294">
        <f t="shared" si="111"/>
        <v>0</v>
      </c>
      <c r="CP62" s="1744">
        <f t="shared" si="23"/>
        <v>582000</v>
      </c>
      <c r="CQ62" s="2858"/>
      <c r="CR62" s="1294">
        <f t="shared" ref="CR62:DC62" si="112">SUM(CR63:CR66)</f>
        <v>194000</v>
      </c>
      <c r="CS62" s="1294">
        <f t="shared" si="112"/>
        <v>0</v>
      </c>
      <c r="CT62" s="1294">
        <f t="shared" si="112"/>
        <v>194000</v>
      </c>
      <c r="CU62" s="1294">
        <f t="shared" si="112"/>
        <v>0</v>
      </c>
      <c r="CV62" s="1294">
        <f t="shared" si="112"/>
        <v>0</v>
      </c>
      <c r="CW62" s="1294">
        <f t="shared" si="112"/>
        <v>0</v>
      </c>
      <c r="CX62" s="1294">
        <f t="shared" si="112"/>
        <v>0</v>
      </c>
      <c r="CY62" s="1294">
        <f t="shared" si="112"/>
        <v>0</v>
      </c>
      <c r="CZ62" s="1294">
        <f t="shared" si="112"/>
        <v>0</v>
      </c>
      <c r="DA62" s="1294">
        <f t="shared" si="112"/>
        <v>0</v>
      </c>
      <c r="DB62" s="1294">
        <f t="shared" si="112"/>
        <v>0</v>
      </c>
      <c r="DC62" s="1294">
        <f t="shared" si="112"/>
        <v>0</v>
      </c>
      <c r="DD62" s="1468">
        <f>SUM(CR62:DC62)</f>
        <v>388000</v>
      </c>
      <c r="DE62" s="2858"/>
      <c r="DF62" s="1294">
        <f>SUM(DF63:DF66)</f>
        <v>0</v>
      </c>
      <c r="DG62" s="1294">
        <f>SUM(DG63:DG66)</f>
        <v>0</v>
      </c>
      <c r="DH62" s="1294">
        <f>SUM(DH63:DH66)</f>
        <v>0</v>
      </c>
      <c r="DI62" s="3086">
        <f>SUM(DF62:DH62)</f>
        <v>0</v>
      </c>
      <c r="DJ62" s="3126">
        <f t="shared" si="17"/>
        <v>1000000</v>
      </c>
      <c r="DL62" s="1027">
        <f t="shared" si="7"/>
        <v>0</v>
      </c>
      <c r="DN62" s="2716" t="s">
        <v>1175</v>
      </c>
      <c r="DO62" s="2740" t="s">
        <v>1175</v>
      </c>
      <c r="DP62" s="2740"/>
      <c r="DQ62" s="2740" t="s">
        <v>1175</v>
      </c>
      <c r="DR62" s="2740" t="str">
        <f t="shared" si="4"/>
        <v>1</v>
      </c>
      <c r="DS62" s="2858"/>
      <c r="DT62" s="2858"/>
    </row>
    <row r="63" spans="1:130" s="880" customFormat="1" ht="30" hidden="1" outlineLevel="4">
      <c r="A63" s="3334"/>
      <c r="B63" s="3337"/>
      <c r="C63" s="3309" t="s">
        <v>1285</v>
      </c>
      <c r="D63" s="3310" t="s">
        <v>698</v>
      </c>
      <c r="E63" s="3338"/>
      <c r="F63" s="3310" t="s">
        <v>698</v>
      </c>
      <c r="G63" s="3335" t="s">
        <v>1279</v>
      </c>
      <c r="H63" s="3327" t="s">
        <v>1288</v>
      </c>
      <c r="I63" s="3312"/>
      <c r="J63" s="3312"/>
      <c r="K63" s="1037"/>
      <c r="L63" s="3312"/>
      <c r="M63" s="3312"/>
      <c r="N63" s="3312"/>
      <c r="O63" s="3312"/>
      <c r="P63" s="3312"/>
      <c r="Q63" s="3312"/>
      <c r="R63" s="3312"/>
      <c r="S63" s="3312"/>
      <c r="T63" s="3312"/>
      <c r="U63" s="3312"/>
      <c r="V63" s="1037"/>
      <c r="W63" s="3339" t="s">
        <v>763</v>
      </c>
      <c r="X63" s="3339" t="s">
        <v>1075</v>
      </c>
      <c r="Y63" s="3339" t="s">
        <v>1289</v>
      </c>
      <c r="Z63" s="3339" t="s">
        <v>1290</v>
      </c>
      <c r="AA63" s="3339"/>
      <c r="AB63" s="173"/>
      <c r="AC63" s="1037"/>
      <c r="AD63" s="3312" t="s">
        <v>1179</v>
      </c>
      <c r="AE63" s="712">
        <v>1</v>
      </c>
      <c r="AF63" s="3340" t="s">
        <v>1291</v>
      </c>
      <c r="AG63" s="3340"/>
      <c r="AH63" s="1048">
        <v>30000</v>
      </c>
      <c r="AI63" s="1317">
        <f>AE63*AH63</f>
        <v>30000</v>
      </c>
      <c r="AJ63" s="3341"/>
      <c r="AK63" s="1037"/>
      <c r="AL63" s="728">
        <f>+AI63</f>
        <v>30000</v>
      </c>
      <c r="AM63" s="728">
        <v>0</v>
      </c>
      <c r="AN63" s="728">
        <f t="shared" si="98"/>
        <v>30000</v>
      </c>
      <c r="AO63" s="1037"/>
      <c r="AP63" s="986"/>
      <c r="AQ63" s="986"/>
      <c r="AR63" s="986"/>
      <c r="AS63" s="986"/>
      <c r="AT63" s="986"/>
      <c r="AU63" s="986"/>
      <c r="AV63" s="986"/>
      <c r="AW63" s="986"/>
      <c r="AX63" s="986"/>
      <c r="AY63" s="986"/>
      <c r="AZ63" s="2011">
        <f t="shared" si="9"/>
        <v>0</v>
      </c>
      <c r="BA63" s="1037"/>
      <c r="BB63" s="986"/>
      <c r="BC63" s="986"/>
      <c r="BD63" s="986"/>
      <c r="BE63" s="986"/>
      <c r="BF63" s="986"/>
      <c r="BG63" s="1015"/>
      <c r="BH63" s="1015">
        <f>+$AH$63*0.1</f>
        <v>3000</v>
      </c>
      <c r="BI63" s="1015">
        <f>+$AH$63*0.15</f>
        <v>4500</v>
      </c>
      <c r="BJ63" s="1015"/>
      <c r="BK63" s="1015"/>
      <c r="BL63" s="986"/>
      <c r="BM63" s="1015">
        <f>+$AH$63*0.2</f>
        <v>6000</v>
      </c>
      <c r="BN63" s="2011">
        <f t="shared" si="11"/>
        <v>13500</v>
      </c>
      <c r="BO63" s="1037"/>
      <c r="BP63" s="986"/>
      <c r="BQ63" s="1015"/>
      <c r="BR63" s="1015">
        <f>+$AH$63*0.2</f>
        <v>6000</v>
      </c>
      <c r="BS63" s="1015">
        <f>+$AH$63*0.35</f>
        <v>10500</v>
      </c>
      <c r="BT63" s="1015"/>
      <c r="BU63" s="1015"/>
      <c r="BV63" s="1015"/>
      <c r="BW63" s="1015"/>
      <c r="BX63" s="1015"/>
      <c r="BY63" s="1015"/>
      <c r="BZ63" s="1015"/>
      <c r="CA63" s="1015"/>
      <c r="CB63" s="995">
        <f t="shared" si="13"/>
        <v>16500</v>
      </c>
      <c r="CC63" s="1037"/>
      <c r="CD63" s="986"/>
      <c r="CE63" s="986"/>
      <c r="CF63" s="986"/>
      <c r="CG63" s="986"/>
      <c r="CH63" s="986"/>
      <c r="CI63" s="986"/>
      <c r="CJ63" s="986"/>
      <c r="CK63" s="986"/>
      <c r="CL63" s="986"/>
      <c r="CM63" s="986"/>
      <c r="CN63" s="986"/>
      <c r="CO63" s="986"/>
      <c r="CP63" s="995">
        <f t="shared" si="23"/>
        <v>0</v>
      </c>
      <c r="CQ63" s="1037"/>
      <c r="CR63" s="986"/>
      <c r="CS63" s="986"/>
      <c r="CT63" s="986"/>
      <c r="CU63" s="986"/>
      <c r="CV63" s="986"/>
      <c r="CW63" s="986"/>
      <c r="CX63" s="986"/>
      <c r="CY63" s="986"/>
      <c r="CZ63" s="986"/>
      <c r="DA63" s="986"/>
      <c r="DB63" s="986"/>
      <c r="DC63" s="986"/>
      <c r="DD63" s="1498">
        <f>SUM(CR63:DC63)</f>
        <v>0</v>
      </c>
      <c r="DE63" s="1037"/>
      <c r="DF63" s="986"/>
      <c r="DG63" s="986"/>
      <c r="DH63" s="986"/>
      <c r="DI63" s="1498">
        <f>SUM(DF63:DH63)</f>
        <v>0</v>
      </c>
      <c r="DJ63" s="3127">
        <f t="shared" si="17"/>
        <v>30000</v>
      </c>
      <c r="DK63" s="3336"/>
      <c r="DL63" s="1027">
        <f t="shared" si="7"/>
        <v>0</v>
      </c>
      <c r="DM63" s="3334"/>
      <c r="DN63" s="2732" t="s">
        <v>1180</v>
      </c>
      <c r="DO63" s="2736" t="s">
        <v>1181</v>
      </c>
      <c r="DP63" s="2730" t="s">
        <v>1117</v>
      </c>
      <c r="DQ63" s="2736" t="s">
        <v>4</v>
      </c>
      <c r="DR63" s="2736" t="str">
        <f t="shared" si="4"/>
        <v>1</v>
      </c>
      <c r="DS63" s="1037"/>
      <c r="DT63" s="1037"/>
      <c r="DU63" s="3334"/>
      <c r="DV63" s="3334"/>
      <c r="DW63" s="3334"/>
      <c r="DX63" s="3334"/>
      <c r="DY63" s="3334"/>
      <c r="DZ63" s="3334"/>
    </row>
    <row r="64" spans="1:130" s="880" customFormat="1" ht="14" hidden="1" customHeight="1" outlineLevel="4">
      <c r="A64" s="3334"/>
      <c r="B64" s="3976"/>
      <c r="C64" s="3309" t="s">
        <v>1292</v>
      </c>
      <c r="D64" s="3310" t="s">
        <v>700</v>
      </c>
      <c r="E64" s="3338"/>
      <c r="F64" s="3310" t="s">
        <v>700</v>
      </c>
      <c r="G64" s="3335" t="s">
        <v>1279</v>
      </c>
      <c r="H64" s="3327" t="s">
        <v>701</v>
      </c>
      <c r="I64" s="3312"/>
      <c r="J64" s="3312"/>
      <c r="K64" s="1037"/>
      <c r="L64" s="3312"/>
      <c r="M64" s="3312"/>
      <c r="N64" s="3312"/>
      <c r="O64" s="3312"/>
      <c r="P64" s="3312"/>
      <c r="Q64" s="3312"/>
      <c r="R64" s="3312"/>
      <c r="S64" s="3312"/>
      <c r="T64" s="3312"/>
      <c r="U64" s="3312"/>
      <c r="V64" s="1037"/>
      <c r="W64" s="3945" t="s">
        <v>1293</v>
      </c>
      <c r="X64" s="3979" t="s">
        <v>1075</v>
      </c>
      <c r="Y64" s="3853" t="s">
        <v>1193</v>
      </c>
      <c r="Z64" s="3944" t="s">
        <v>1294</v>
      </c>
      <c r="AA64" s="3945"/>
      <c r="AB64" s="173"/>
      <c r="AC64" s="1037"/>
      <c r="AD64" s="3935" t="s">
        <v>1179</v>
      </c>
      <c r="AE64" s="3841" t="s">
        <v>494</v>
      </c>
      <c r="AF64" s="3935"/>
      <c r="AG64" s="3935"/>
      <c r="AH64" s="3793">
        <f>1000000-AI63</f>
        <v>970000</v>
      </c>
      <c r="AI64" s="3793">
        <f>AE64*AH64</f>
        <v>970000</v>
      </c>
      <c r="AJ64" s="3341"/>
      <c r="AK64" s="1037"/>
      <c r="AL64" s="3874">
        <f>+AI64</f>
        <v>970000</v>
      </c>
      <c r="AM64" s="3874">
        <v>0</v>
      </c>
      <c r="AN64" s="3874">
        <f t="shared" si="98"/>
        <v>970000</v>
      </c>
      <c r="AO64" s="1037"/>
      <c r="AP64" s="986"/>
      <c r="AQ64" s="986"/>
      <c r="AR64" s="986"/>
      <c r="AS64" s="986"/>
      <c r="AT64" s="986"/>
      <c r="AU64" s="986"/>
      <c r="AV64" s="986"/>
      <c r="AW64" s="986"/>
      <c r="AX64" s="986"/>
      <c r="AY64" s="986"/>
      <c r="AZ64" s="2011">
        <f t="shared" si="9"/>
        <v>0</v>
      </c>
      <c r="BA64" s="1037"/>
      <c r="BB64" s="986"/>
      <c r="BC64" s="986"/>
      <c r="BD64" s="986"/>
      <c r="BE64" s="986"/>
      <c r="BF64" s="986"/>
      <c r="BG64" s="986"/>
      <c r="BH64" s="986"/>
      <c r="BI64" s="986"/>
      <c r="BJ64" s="986"/>
      <c r="BK64" s="986"/>
      <c r="BL64" s="986"/>
      <c r="BM64" s="986"/>
      <c r="BN64" s="2011">
        <f t="shared" si="11"/>
        <v>0</v>
      </c>
      <c r="BO64" s="1037"/>
      <c r="BP64" s="986"/>
      <c r="BQ64" s="1015"/>
      <c r="BR64" s="1015"/>
      <c r="BS64" s="1015"/>
      <c r="BT64" s="1015"/>
      <c r="BU64" s="1015"/>
      <c r="BV64" s="1015"/>
      <c r="BW64" s="1015"/>
      <c r="BX64" s="1015"/>
      <c r="BY64" s="1015"/>
      <c r="BZ64" s="1015"/>
      <c r="CA64" s="1015"/>
      <c r="CB64" s="995">
        <f t="shared" si="13"/>
        <v>0</v>
      </c>
      <c r="CC64" s="1037"/>
      <c r="CD64" s="986"/>
      <c r="CE64" s="986"/>
      <c r="CF64" s="1015">
        <f>+$AH$64*0.2</f>
        <v>194000</v>
      </c>
      <c r="CG64" s="1015"/>
      <c r="CH64" s="1015"/>
      <c r="CI64" s="1015">
        <f>+$AH$64*0.2</f>
        <v>194000</v>
      </c>
      <c r="CJ64" s="1015"/>
      <c r="CK64" s="986"/>
      <c r="CL64" s="1015">
        <f>+$AH$64*0.2</f>
        <v>194000</v>
      </c>
      <c r="CM64" s="986"/>
      <c r="CN64" s="986"/>
      <c r="CO64" s="1015"/>
      <c r="CP64" s="995">
        <f t="shared" si="23"/>
        <v>582000</v>
      </c>
      <c r="CQ64" s="1037"/>
      <c r="CR64" s="1015">
        <f>+$AH$64*0.2</f>
        <v>194000</v>
      </c>
      <c r="CS64" s="1015"/>
      <c r="CT64" s="1015">
        <f>+$AH$64*0.2</f>
        <v>194000</v>
      </c>
      <c r="CU64" s="1015"/>
      <c r="CV64" s="986"/>
      <c r="CW64" s="986"/>
      <c r="CX64" s="986"/>
      <c r="CY64" s="986"/>
      <c r="CZ64" s="986"/>
      <c r="DA64" s="986"/>
      <c r="DB64" s="986"/>
      <c r="DC64" s="986"/>
      <c r="DD64" s="1498">
        <f>SUM(CR64:DC64)</f>
        <v>388000</v>
      </c>
      <c r="DE64" s="1037"/>
      <c r="DF64" s="986"/>
      <c r="DG64" s="986"/>
      <c r="DH64" s="986"/>
      <c r="DI64" s="1498">
        <f>SUM(DF64:DH64)</f>
        <v>0</v>
      </c>
      <c r="DJ64" s="3127">
        <f t="shared" si="17"/>
        <v>970000</v>
      </c>
      <c r="DK64" s="3336"/>
      <c r="DL64" s="1027">
        <f t="shared" si="7"/>
        <v>0</v>
      </c>
      <c r="DM64" s="3334"/>
      <c r="DN64" s="2729" t="s">
        <v>1180</v>
      </c>
      <c r="DO64" s="2730" t="s">
        <v>1181</v>
      </c>
      <c r="DP64" s="2730" t="s">
        <v>1117</v>
      </c>
      <c r="DQ64" s="2730" t="s">
        <v>4</v>
      </c>
      <c r="DR64" s="2730" t="str">
        <f t="shared" si="4"/>
        <v>1</v>
      </c>
      <c r="DS64" s="1037"/>
      <c r="DT64" s="1037"/>
      <c r="DU64" s="3334"/>
      <c r="DV64" s="3334"/>
      <c r="DW64" s="3334"/>
      <c r="DX64" s="3334"/>
      <c r="DY64" s="3334"/>
      <c r="DZ64" s="3334"/>
    </row>
    <row r="65" spans="1:130" s="880" customFormat="1" ht="14.5" hidden="1" customHeight="1" outlineLevel="4">
      <c r="A65" s="3334"/>
      <c r="B65" s="3977"/>
      <c r="C65" s="3309"/>
      <c r="D65" s="3310" t="s">
        <v>702</v>
      </c>
      <c r="E65" s="3338"/>
      <c r="F65" s="3310" t="s">
        <v>702</v>
      </c>
      <c r="G65" s="3335" t="s">
        <v>1279</v>
      </c>
      <c r="H65" s="3327" t="s">
        <v>703</v>
      </c>
      <c r="I65" s="3312"/>
      <c r="J65" s="3312"/>
      <c r="K65" s="1037"/>
      <c r="L65" s="3312"/>
      <c r="M65" s="3312"/>
      <c r="N65" s="3312"/>
      <c r="O65" s="3312"/>
      <c r="P65" s="3312"/>
      <c r="Q65" s="3312"/>
      <c r="R65" s="3312"/>
      <c r="S65" s="3312"/>
      <c r="T65" s="3312"/>
      <c r="U65" s="3312"/>
      <c r="V65" s="1037"/>
      <c r="W65" s="3945"/>
      <c r="X65" s="3980"/>
      <c r="Y65" s="3854"/>
      <c r="Z65" s="3944"/>
      <c r="AA65" s="3945"/>
      <c r="AB65" s="173"/>
      <c r="AC65" s="1037"/>
      <c r="AD65" s="3936"/>
      <c r="AE65" s="3842"/>
      <c r="AF65" s="3936"/>
      <c r="AG65" s="3936"/>
      <c r="AH65" s="3794"/>
      <c r="AI65" s="3794"/>
      <c r="AJ65" s="3341"/>
      <c r="AK65" s="1037"/>
      <c r="AL65" s="3875"/>
      <c r="AM65" s="3875"/>
      <c r="AN65" s="3875"/>
      <c r="AO65" s="1037"/>
      <c r="AP65" s="986"/>
      <c r="AQ65" s="986"/>
      <c r="AR65" s="986"/>
      <c r="AS65" s="986"/>
      <c r="AT65" s="986"/>
      <c r="AU65" s="986"/>
      <c r="AV65" s="986"/>
      <c r="AW65" s="986"/>
      <c r="AX65" s="986"/>
      <c r="AY65" s="986"/>
      <c r="AZ65" s="2011">
        <f t="shared" si="9"/>
        <v>0</v>
      </c>
      <c r="BA65" s="1037"/>
      <c r="BB65" s="986"/>
      <c r="BC65" s="986"/>
      <c r="BD65" s="986"/>
      <c r="BE65" s="986"/>
      <c r="BF65" s="986"/>
      <c r="BG65" s="986"/>
      <c r="BH65" s="986"/>
      <c r="BI65" s="986"/>
      <c r="BJ65" s="986"/>
      <c r="BK65" s="986"/>
      <c r="BL65" s="986"/>
      <c r="BM65" s="986"/>
      <c r="BN65" s="2011">
        <f t="shared" si="11"/>
        <v>0</v>
      </c>
      <c r="BO65" s="1037"/>
      <c r="BP65" s="986"/>
      <c r="BQ65" s="986"/>
      <c r="BR65" s="986"/>
      <c r="BS65" s="986"/>
      <c r="BT65" s="986"/>
      <c r="BU65" s="986"/>
      <c r="BV65" s="986"/>
      <c r="BW65" s="986"/>
      <c r="BX65" s="986"/>
      <c r="BY65" s="986"/>
      <c r="BZ65" s="986"/>
      <c r="CA65" s="986"/>
      <c r="CB65" s="995">
        <f t="shared" si="13"/>
        <v>0</v>
      </c>
      <c r="CC65" s="1037"/>
      <c r="CD65" s="986"/>
      <c r="CE65" s="986"/>
      <c r="CF65" s="986"/>
      <c r="CG65" s="986"/>
      <c r="CH65" s="986"/>
      <c r="CI65" s="986"/>
      <c r="CJ65" s="986"/>
      <c r="CK65" s="986"/>
      <c r="CL65" s="986"/>
      <c r="CM65" s="986"/>
      <c r="CN65" s="986"/>
      <c r="CO65" s="986"/>
      <c r="CP65" s="2011">
        <f t="shared" si="23"/>
        <v>0</v>
      </c>
      <c r="CQ65" s="1037"/>
      <c r="CR65" s="986"/>
      <c r="CS65" s="986"/>
      <c r="CT65" s="986"/>
      <c r="CU65" s="986"/>
      <c r="CV65" s="986"/>
      <c r="CW65" s="986"/>
      <c r="CX65" s="986"/>
      <c r="CY65" s="986"/>
      <c r="CZ65" s="986"/>
      <c r="DA65" s="986"/>
      <c r="DB65" s="986"/>
      <c r="DC65" s="986"/>
      <c r="DD65" s="1498">
        <f>SUM(CR65:DC65)</f>
        <v>0</v>
      </c>
      <c r="DE65" s="1037"/>
      <c r="DF65" s="986"/>
      <c r="DG65" s="986"/>
      <c r="DH65" s="986"/>
      <c r="DI65" s="1498">
        <f>SUM(DF65:DH65)</f>
        <v>0</v>
      </c>
      <c r="DJ65" s="3127">
        <f t="shared" si="17"/>
        <v>0</v>
      </c>
      <c r="DK65" s="3336"/>
      <c r="DL65" s="1027">
        <f t="shared" si="7"/>
        <v>0</v>
      </c>
      <c r="DM65" s="3334"/>
      <c r="DN65" s="2741" t="s">
        <v>1175</v>
      </c>
      <c r="DO65" s="2742" t="s">
        <v>1175</v>
      </c>
      <c r="DP65" s="2742"/>
      <c r="DQ65" s="2742" t="s">
        <v>1175</v>
      </c>
      <c r="DR65" s="2742" t="str">
        <f t="shared" si="4"/>
        <v>1</v>
      </c>
      <c r="DS65" s="1037"/>
      <c r="DT65" s="1037"/>
      <c r="DU65" s="3334"/>
      <c r="DV65" s="3334"/>
      <c r="DW65" s="3334"/>
      <c r="DX65" s="3334"/>
      <c r="DY65" s="3334"/>
      <c r="DZ65" s="3334"/>
    </row>
    <row r="66" spans="1:130" s="880" customFormat="1" ht="14.5" hidden="1" customHeight="1" outlineLevel="4">
      <c r="A66" s="3334"/>
      <c r="B66" s="3978"/>
      <c r="C66" s="3309"/>
      <c r="D66" s="3310" t="s">
        <v>704</v>
      </c>
      <c r="E66" s="3338"/>
      <c r="F66" s="3310" t="s">
        <v>704</v>
      </c>
      <c r="G66" s="3335" t="s">
        <v>1279</v>
      </c>
      <c r="H66" s="3327" t="s">
        <v>693</v>
      </c>
      <c r="I66" s="3312"/>
      <c r="J66" s="3312"/>
      <c r="K66" s="1037"/>
      <c r="L66" s="3312"/>
      <c r="M66" s="3312"/>
      <c r="N66" s="3312"/>
      <c r="O66" s="3312"/>
      <c r="P66" s="3312"/>
      <c r="Q66" s="3312"/>
      <c r="R66" s="3312"/>
      <c r="S66" s="3312"/>
      <c r="T66" s="3312"/>
      <c r="U66" s="3312"/>
      <c r="V66" s="1037"/>
      <c r="W66" s="3945"/>
      <c r="X66" s="3981"/>
      <c r="Y66" s="3855"/>
      <c r="Z66" s="3944"/>
      <c r="AA66" s="3945"/>
      <c r="AB66" s="173"/>
      <c r="AC66" s="1037"/>
      <c r="AD66" s="3937"/>
      <c r="AE66" s="3843"/>
      <c r="AF66" s="3937"/>
      <c r="AG66" s="3937"/>
      <c r="AH66" s="3795"/>
      <c r="AI66" s="3795"/>
      <c r="AJ66" s="3344"/>
      <c r="AK66" s="1037"/>
      <c r="AL66" s="3876"/>
      <c r="AM66" s="3876"/>
      <c r="AN66" s="3876"/>
      <c r="AO66" s="1037"/>
      <c r="AP66" s="728">
        <f t="shared" ref="AP66:AY66" si="113">+$AL$66*25%</f>
        <v>0</v>
      </c>
      <c r="AQ66" s="728">
        <f t="shared" si="113"/>
        <v>0</v>
      </c>
      <c r="AR66" s="728">
        <f t="shared" si="113"/>
        <v>0</v>
      </c>
      <c r="AS66" s="728">
        <f t="shared" si="113"/>
        <v>0</v>
      </c>
      <c r="AT66" s="728">
        <f t="shared" si="113"/>
        <v>0</v>
      </c>
      <c r="AU66" s="728">
        <f t="shared" si="113"/>
        <v>0</v>
      </c>
      <c r="AV66" s="728">
        <f t="shared" si="113"/>
        <v>0</v>
      </c>
      <c r="AW66" s="728">
        <f t="shared" si="113"/>
        <v>0</v>
      </c>
      <c r="AX66" s="728">
        <f t="shared" si="113"/>
        <v>0</v>
      </c>
      <c r="AY66" s="728">
        <f t="shared" si="113"/>
        <v>0</v>
      </c>
      <c r="AZ66" s="995">
        <f t="shared" si="9"/>
        <v>0</v>
      </c>
      <c r="BA66" s="1037"/>
      <c r="BB66" s="728">
        <f t="shared" ref="BB66:BM66" si="114">+$AL$66*25%</f>
        <v>0</v>
      </c>
      <c r="BC66" s="728">
        <f t="shared" si="114"/>
        <v>0</v>
      </c>
      <c r="BD66" s="728">
        <f t="shared" si="114"/>
        <v>0</v>
      </c>
      <c r="BE66" s="728">
        <f t="shared" si="114"/>
        <v>0</v>
      </c>
      <c r="BF66" s="728">
        <f t="shared" si="114"/>
        <v>0</v>
      </c>
      <c r="BG66" s="728">
        <f t="shared" si="114"/>
        <v>0</v>
      </c>
      <c r="BH66" s="728">
        <f t="shared" si="114"/>
        <v>0</v>
      </c>
      <c r="BI66" s="728">
        <f t="shared" si="114"/>
        <v>0</v>
      </c>
      <c r="BJ66" s="728">
        <f t="shared" si="114"/>
        <v>0</v>
      </c>
      <c r="BK66" s="728">
        <f t="shared" si="114"/>
        <v>0</v>
      </c>
      <c r="BL66" s="728">
        <f t="shared" si="114"/>
        <v>0</v>
      </c>
      <c r="BM66" s="728">
        <f t="shared" si="114"/>
        <v>0</v>
      </c>
      <c r="BN66" s="995">
        <f t="shared" si="11"/>
        <v>0</v>
      </c>
      <c r="BO66" s="1037"/>
      <c r="BP66" s="728">
        <f t="shared" ref="BP66:CA66" si="115">+$AL$66*25%</f>
        <v>0</v>
      </c>
      <c r="BQ66" s="728">
        <f t="shared" si="115"/>
        <v>0</v>
      </c>
      <c r="BR66" s="728">
        <f t="shared" si="115"/>
        <v>0</v>
      </c>
      <c r="BS66" s="728">
        <f t="shared" si="115"/>
        <v>0</v>
      </c>
      <c r="BT66" s="728">
        <f t="shared" si="115"/>
        <v>0</v>
      </c>
      <c r="BU66" s="728">
        <f t="shared" si="115"/>
        <v>0</v>
      </c>
      <c r="BV66" s="728">
        <f t="shared" si="115"/>
        <v>0</v>
      </c>
      <c r="BW66" s="728">
        <f t="shared" si="115"/>
        <v>0</v>
      </c>
      <c r="BX66" s="728">
        <f t="shared" si="115"/>
        <v>0</v>
      </c>
      <c r="BY66" s="728">
        <f t="shared" si="115"/>
        <v>0</v>
      </c>
      <c r="BZ66" s="728">
        <f t="shared" si="115"/>
        <v>0</v>
      </c>
      <c r="CA66" s="728">
        <f t="shared" si="115"/>
        <v>0</v>
      </c>
      <c r="CB66" s="995">
        <f t="shared" si="13"/>
        <v>0</v>
      </c>
      <c r="CC66" s="1037"/>
      <c r="CD66" s="728">
        <f t="shared" ref="CD66:CO66" si="116">+$AL$66*25%</f>
        <v>0</v>
      </c>
      <c r="CE66" s="728">
        <f t="shared" si="116"/>
        <v>0</v>
      </c>
      <c r="CF66" s="728">
        <f t="shared" si="116"/>
        <v>0</v>
      </c>
      <c r="CG66" s="728">
        <f t="shared" si="116"/>
        <v>0</v>
      </c>
      <c r="CH66" s="728">
        <f t="shared" si="116"/>
        <v>0</v>
      </c>
      <c r="CI66" s="728">
        <f t="shared" si="116"/>
        <v>0</v>
      </c>
      <c r="CJ66" s="728">
        <f t="shared" si="116"/>
        <v>0</v>
      </c>
      <c r="CK66" s="728">
        <f t="shared" si="116"/>
        <v>0</v>
      </c>
      <c r="CL66" s="728">
        <f t="shared" si="116"/>
        <v>0</v>
      </c>
      <c r="CM66" s="728">
        <f t="shared" si="116"/>
        <v>0</v>
      </c>
      <c r="CN66" s="728">
        <f t="shared" si="116"/>
        <v>0</v>
      </c>
      <c r="CO66" s="728">
        <f t="shared" si="116"/>
        <v>0</v>
      </c>
      <c r="CP66" s="995">
        <f t="shared" si="23"/>
        <v>0</v>
      </c>
      <c r="CQ66" s="1037"/>
      <c r="CR66" s="728">
        <f t="shared" ref="CR66:DC66" si="117">+$AL$66*25%</f>
        <v>0</v>
      </c>
      <c r="CS66" s="728">
        <f t="shared" si="117"/>
        <v>0</v>
      </c>
      <c r="CT66" s="728">
        <f t="shared" si="117"/>
        <v>0</v>
      </c>
      <c r="CU66" s="728">
        <f t="shared" si="117"/>
        <v>0</v>
      </c>
      <c r="CV66" s="728">
        <f t="shared" si="117"/>
        <v>0</v>
      </c>
      <c r="CW66" s="728">
        <f t="shared" si="117"/>
        <v>0</v>
      </c>
      <c r="CX66" s="728">
        <f t="shared" si="117"/>
        <v>0</v>
      </c>
      <c r="CY66" s="728">
        <f t="shared" si="117"/>
        <v>0</v>
      </c>
      <c r="CZ66" s="728">
        <f t="shared" si="117"/>
        <v>0</v>
      </c>
      <c r="DA66" s="728">
        <f t="shared" si="117"/>
        <v>0</v>
      </c>
      <c r="DB66" s="728">
        <f t="shared" si="117"/>
        <v>0</v>
      </c>
      <c r="DC66" s="728">
        <f t="shared" si="117"/>
        <v>0</v>
      </c>
      <c r="DD66" s="995">
        <f>SUM(CR66:DC66)</f>
        <v>0</v>
      </c>
      <c r="DE66" s="1037"/>
      <c r="DF66" s="728">
        <f>+$AL$66*25%</f>
        <v>0</v>
      </c>
      <c r="DG66" s="728">
        <f>+$AL$66*25%</f>
        <v>0</v>
      </c>
      <c r="DH66" s="728">
        <f>+$AL$66*25%</f>
        <v>0</v>
      </c>
      <c r="DI66" s="3085">
        <f>SUM(DF66:DH66)</f>
        <v>0</v>
      </c>
      <c r="DJ66" s="3125">
        <f t="shared" si="17"/>
        <v>0</v>
      </c>
      <c r="DK66" s="3336"/>
      <c r="DL66" s="1027">
        <f t="shared" si="7"/>
        <v>0</v>
      </c>
      <c r="DM66" s="3334"/>
      <c r="DN66" s="2716" t="s">
        <v>1175</v>
      </c>
      <c r="DO66" s="2740" t="s">
        <v>1175</v>
      </c>
      <c r="DP66" s="2740"/>
      <c r="DQ66" s="2740" t="s">
        <v>1175</v>
      </c>
      <c r="DR66" s="2740" t="str">
        <f t="shared" si="4"/>
        <v>1</v>
      </c>
      <c r="DS66" s="1037"/>
      <c r="DT66" s="1037"/>
      <c r="DU66" s="3334"/>
      <c r="DV66" s="3334"/>
      <c r="DW66" s="3334"/>
      <c r="DX66" s="3334"/>
      <c r="DY66" s="3334"/>
      <c r="DZ66" s="3334"/>
    </row>
    <row r="67" spans="1:130" hidden="1" outlineLevel="3">
      <c r="B67" s="2860"/>
      <c r="C67" s="3309"/>
      <c r="D67" s="3310"/>
      <c r="E67" s="588"/>
      <c r="F67" s="3325"/>
      <c r="G67" s="2838"/>
      <c r="H67" s="3321"/>
      <c r="I67" s="3319"/>
      <c r="J67" s="103"/>
      <c r="L67" s="364"/>
      <c r="M67" s="364"/>
      <c r="N67" s="3345"/>
      <c r="O67" s="3345"/>
      <c r="P67" s="3345"/>
      <c r="Q67" s="3345"/>
      <c r="R67" s="3345"/>
      <c r="S67" s="3345"/>
      <c r="T67" s="3345"/>
      <c r="U67" s="3345"/>
      <c r="W67" s="853"/>
      <c r="X67" s="853"/>
      <c r="Y67" s="853"/>
      <c r="Z67" s="853"/>
      <c r="AA67" s="853"/>
      <c r="AB67" s="436"/>
      <c r="AD67" s="711"/>
      <c r="AE67" s="712"/>
      <c r="AF67" s="179"/>
      <c r="AG67" s="179"/>
      <c r="AH67" s="1048"/>
      <c r="AI67" s="1048"/>
      <c r="AJ67" s="1530"/>
      <c r="AL67" s="1032"/>
      <c r="AM67" s="1032"/>
      <c r="AN67" s="1041"/>
      <c r="AP67" s="986"/>
      <c r="AQ67" s="986"/>
      <c r="AR67" s="986"/>
      <c r="AS67" s="986"/>
      <c r="AT67" s="986"/>
      <c r="AU67" s="986"/>
      <c r="AV67" s="986"/>
      <c r="AW67" s="986"/>
      <c r="AX67" s="986"/>
      <c r="AY67" s="986"/>
      <c r="AZ67" s="2011"/>
      <c r="BB67" s="986"/>
      <c r="BC67" s="986"/>
      <c r="BD67" s="986"/>
      <c r="BE67" s="986"/>
      <c r="BF67" s="986"/>
      <c r="BG67" s="986"/>
      <c r="BH67" s="986"/>
      <c r="BI67" s="986"/>
      <c r="BJ67" s="986"/>
      <c r="BK67" s="986"/>
      <c r="BL67" s="986"/>
      <c r="BM67" s="986"/>
      <c r="BN67" s="2011"/>
      <c r="BP67" s="986"/>
      <c r="BQ67" s="986"/>
      <c r="BR67" s="986"/>
      <c r="BS67" s="986"/>
      <c r="BT67" s="986"/>
      <c r="BU67" s="986"/>
      <c r="BV67" s="986"/>
      <c r="BW67" s="986"/>
      <c r="BX67" s="986"/>
      <c r="BY67" s="986"/>
      <c r="BZ67" s="986"/>
      <c r="CA67" s="986"/>
      <c r="CB67" s="2011"/>
      <c r="CD67" s="986"/>
      <c r="CE67" s="986"/>
      <c r="CF67" s="986"/>
      <c r="CG67" s="986"/>
      <c r="CH67" s="986"/>
      <c r="CI67" s="986"/>
      <c r="CJ67" s="986"/>
      <c r="CK67" s="986"/>
      <c r="CL67" s="986"/>
      <c r="CM67" s="986"/>
      <c r="CN67" s="986"/>
      <c r="CO67" s="986"/>
      <c r="CP67" s="2011"/>
      <c r="CR67" s="986"/>
      <c r="CS67" s="986"/>
      <c r="CT67" s="986"/>
      <c r="CU67" s="986"/>
      <c r="CV67" s="986"/>
      <c r="CW67" s="986"/>
      <c r="CX67" s="986"/>
      <c r="CY67" s="986"/>
      <c r="CZ67" s="986"/>
      <c r="DA67" s="986"/>
      <c r="DB67" s="986"/>
      <c r="DC67" s="986"/>
      <c r="DD67" s="2011"/>
      <c r="DF67" s="986"/>
      <c r="DG67" s="986"/>
      <c r="DH67" s="986"/>
      <c r="DI67" s="2008"/>
      <c r="DJ67" s="3121"/>
      <c r="DL67" s="1027"/>
      <c r="DN67" s="2729"/>
      <c r="DO67" s="2730"/>
      <c r="DP67" s="2730"/>
      <c r="DQ67" s="2730"/>
      <c r="DR67" s="2730"/>
      <c r="DS67" s="1037"/>
      <c r="DT67" s="1037"/>
    </row>
    <row r="68" spans="1:130" s="153" customFormat="1" ht="17.5" hidden="1" customHeight="1" outlineLevel="2">
      <c r="B68" s="2829"/>
      <c r="C68" s="3303" t="s">
        <v>502</v>
      </c>
      <c r="D68" s="2940" t="s">
        <v>502</v>
      </c>
      <c r="E68" s="2830"/>
      <c r="F68" s="3304" t="s">
        <v>502</v>
      </c>
      <c r="G68" s="2831"/>
      <c r="H68" s="3305" t="s">
        <v>363</v>
      </c>
      <c r="I68" s="3305" t="s">
        <v>4</v>
      </c>
      <c r="J68" s="106" t="s">
        <v>1295</v>
      </c>
      <c r="K68" s="1037"/>
      <c r="L68" s="358">
        <v>0</v>
      </c>
      <c r="M68" s="358" t="s">
        <v>156</v>
      </c>
      <c r="N68" s="358">
        <v>0</v>
      </c>
      <c r="O68" s="358">
        <v>0</v>
      </c>
      <c r="P68" s="358">
        <v>2023</v>
      </c>
      <c r="Q68" s="358" t="s">
        <v>157</v>
      </c>
      <c r="R68" s="358" t="s">
        <v>157</v>
      </c>
      <c r="S68" s="358">
        <v>30</v>
      </c>
      <c r="T68" s="358">
        <v>2028</v>
      </c>
      <c r="U68" s="358" t="s">
        <v>171</v>
      </c>
      <c r="V68" s="1037"/>
      <c r="W68" s="358"/>
      <c r="X68" s="358"/>
      <c r="Y68" s="358"/>
      <c r="Z68" s="358"/>
      <c r="AA68" s="358"/>
      <c r="AB68" s="174"/>
      <c r="AC68" s="1037"/>
      <c r="AD68" s="106"/>
      <c r="AE68" s="172"/>
      <c r="AF68" s="172"/>
      <c r="AG68" s="172"/>
      <c r="AH68" s="176"/>
      <c r="AI68" s="176">
        <f>SUM(AI69:AI70)</f>
        <v>497000</v>
      </c>
      <c r="AJ68" s="686"/>
      <c r="AK68" s="1037"/>
      <c r="AL68" s="176">
        <f>SUM(AL69:AL70)</f>
        <v>497000</v>
      </c>
      <c r="AM68" s="176">
        <f>SUM(AM69:AM70)</f>
        <v>0</v>
      </c>
      <c r="AN68" s="176">
        <f>+AL68+AM68</f>
        <v>497000</v>
      </c>
      <c r="AO68" s="1037"/>
      <c r="AP68" s="176">
        <f t="shared" ref="AP68:AY68" si="118">+AP69+AP70</f>
        <v>0</v>
      </c>
      <c r="AQ68" s="176">
        <f t="shared" si="118"/>
        <v>0</v>
      </c>
      <c r="AR68" s="176">
        <f t="shared" si="118"/>
        <v>0</v>
      </c>
      <c r="AS68" s="176">
        <f t="shared" si="118"/>
        <v>0</v>
      </c>
      <c r="AT68" s="176">
        <f t="shared" si="118"/>
        <v>0</v>
      </c>
      <c r="AU68" s="176">
        <f t="shared" si="118"/>
        <v>0</v>
      </c>
      <c r="AV68" s="176">
        <f t="shared" si="118"/>
        <v>0</v>
      </c>
      <c r="AW68" s="176">
        <f t="shared" si="118"/>
        <v>0</v>
      </c>
      <c r="AX68" s="176">
        <f t="shared" si="118"/>
        <v>0</v>
      </c>
      <c r="AY68" s="176">
        <f t="shared" si="118"/>
        <v>0</v>
      </c>
      <c r="AZ68" s="176">
        <f>SUM(AP68:AY68)</f>
        <v>0</v>
      </c>
      <c r="BA68" s="1037"/>
      <c r="BB68" s="176">
        <f t="shared" ref="BB68:BM68" si="119">+BB69+BB70</f>
        <v>0</v>
      </c>
      <c r="BC68" s="176">
        <f t="shared" si="119"/>
        <v>0</v>
      </c>
      <c r="BD68" s="176">
        <f t="shared" si="119"/>
        <v>0</v>
      </c>
      <c r="BE68" s="176">
        <f t="shared" si="119"/>
        <v>0</v>
      </c>
      <c r="BF68" s="176">
        <f t="shared" si="119"/>
        <v>0</v>
      </c>
      <c r="BG68" s="176">
        <f t="shared" si="119"/>
        <v>0</v>
      </c>
      <c r="BH68" s="176">
        <f t="shared" si="119"/>
        <v>0</v>
      </c>
      <c r="BI68" s="176">
        <f t="shared" si="119"/>
        <v>0</v>
      </c>
      <c r="BJ68" s="176">
        <f t="shared" si="119"/>
        <v>0</v>
      </c>
      <c r="BK68" s="176">
        <f t="shared" si="119"/>
        <v>0</v>
      </c>
      <c r="BL68" s="176">
        <f t="shared" si="119"/>
        <v>0</v>
      </c>
      <c r="BM68" s="176">
        <f t="shared" si="119"/>
        <v>0</v>
      </c>
      <c r="BN68" s="176">
        <f>SUM(BB68:BM68)</f>
        <v>0</v>
      </c>
      <c r="BO68" s="485"/>
      <c r="BP68" s="176">
        <f>+BP69+BP70</f>
        <v>0</v>
      </c>
      <c r="BQ68" s="176">
        <f t="shared" ref="BQ68:CA68" si="120">+BQ69+BQ70</f>
        <v>0</v>
      </c>
      <c r="BR68" s="176">
        <f t="shared" si="120"/>
        <v>0</v>
      </c>
      <c r="BS68" s="176">
        <f t="shared" si="120"/>
        <v>0</v>
      </c>
      <c r="BT68" s="176">
        <f t="shared" si="120"/>
        <v>0</v>
      </c>
      <c r="BU68" s="176">
        <f t="shared" si="120"/>
        <v>0</v>
      </c>
      <c r="BV68" s="176">
        <f t="shared" si="120"/>
        <v>0</v>
      </c>
      <c r="BW68" s="176">
        <f t="shared" si="120"/>
        <v>0</v>
      </c>
      <c r="BX68" s="176">
        <f t="shared" si="120"/>
        <v>6000</v>
      </c>
      <c r="BY68" s="176">
        <f t="shared" si="120"/>
        <v>6000</v>
      </c>
      <c r="BZ68" s="176">
        <f t="shared" si="120"/>
        <v>6000</v>
      </c>
      <c r="CA68" s="176">
        <f t="shared" si="120"/>
        <v>0</v>
      </c>
      <c r="CB68" s="176">
        <f>SUM(BP68:CA68)</f>
        <v>18000</v>
      </c>
      <c r="CC68" s="485"/>
      <c r="CD68" s="176">
        <f t="shared" ref="CD68:CO68" si="121">+CD69+CD70</f>
        <v>0</v>
      </c>
      <c r="CE68" s="176">
        <f t="shared" si="121"/>
        <v>0</v>
      </c>
      <c r="CF68" s="176">
        <f t="shared" si="121"/>
        <v>0</v>
      </c>
      <c r="CG68" s="176">
        <f t="shared" si="121"/>
        <v>0</v>
      </c>
      <c r="CH68" s="176">
        <f t="shared" si="121"/>
        <v>0</v>
      </c>
      <c r="CI68" s="176">
        <f t="shared" si="121"/>
        <v>0</v>
      </c>
      <c r="CJ68" s="176">
        <f t="shared" si="121"/>
        <v>95800</v>
      </c>
      <c r="CK68" s="176">
        <f t="shared" si="121"/>
        <v>0</v>
      </c>
      <c r="CL68" s="176">
        <f t="shared" si="121"/>
        <v>0</v>
      </c>
      <c r="CM68" s="176">
        <f t="shared" si="121"/>
        <v>0</v>
      </c>
      <c r="CN68" s="176">
        <f t="shared" si="121"/>
        <v>143700</v>
      </c>
      <c r="CO68" s="176">
        <f t="shared" si="121"/>
        <v>0</v>
      </c>
      <c r="CP68" s="176">
        <f>SUM(CD68:CO68)</f>
        <v>239500</v>
      </c>
      <c r="CQ68" s="485"/>
      <c r="CR68" s="176">
        <f t="shared" ref="CR68:DC68" si="122">+CR69+CR70</f>
        <v>0</v>
      </c>
      <c r="CS68" s="176">
        <f t="shared" si="122"/>
        <v>0</v>
      </c>
      <c r="CT68" s="176">
        <f t="shared" si="122"/>
        <v>143700</v>
      </c>
      <c r="CU68" s="176">
        <f t="shared" si="122"/>
        <v>0</v>
      </c>
      <c r="CV68" s="176">
        <f t="shared" si="122"/>
        <v>0</v>
      </c>
      <c r="CW68" s="176">
        <f t="shared" si="122"/>
        <v>0</v>
      </c>
      <c r="CX68" s="176">
        <f t="shared" si="122"/>
        <v>95800</v>
      </c>
      <c r="CY68" s="176">
        <f t="shared" si="122"/>
        <v>0</v>
      </c>
      <c r="CZ68" s="176">
        <f t="shared" si="122"/>
        <v>0</v>
      </c>
      <c r="DA68" s="176">
        <f t="shared" si="122"/>
        <v>0</v>
      </c>
      <c r="DB68" s="176">
        <f t="shared" si="122"/>
        <v>0</v>
      </c>
      <c r="DC68" s="176">
        <f t="shared" si="122"/>
        <v>0</v>
      </c>
      <c r="DD68" s="176">
        <f>SUM(CR68:DC68)</f>
        <v>239500</v>
      </c>
      <c r="DE68" s="485"/>
      <c r="DF68" s="176">
        <f>+DF69+DF70</f>
        <v>0</v>
      </c>
      <c r="DG68" s="176">
        <f>+DG69+DG70</f>
        <v>0</v>
      </c>
      <c r="DH68" s="176">
        <f>+DH69+DH70</f>
        <v>0</v>
      </c>
      <c r="DI68" s="3082">
        <f>SUM(DF68:DH68)</f>
        <v>0</v>
      </c>
      <c r="DJ68" s="3116">
        <f>+AZ68+BN68+CB68+CP68+DD68+DI68</f>
        <v>497000</v>
      </c>
      <c r="DL68" s="1027">
        <f>+AN68-DJ68</f>
        <v>0</v>
      </c>
      <c r="DN68" s="2737" t="s">
        <v>1175</v>
      </c>
      <c r="DO68" s="2738" t="s">
        <v>1175</v>
      </c>
      <c r="DP68" s="2738"/>
      <c r="DQ68" s="2738" t="s">
        <v>1175</v>
      </c>
      <c r="DR68" s="2738" t="str">
        <f>MID(D68,1,1)</f>
        <v>1</v>
      </c>
      <c r="DS68" s="1037"/>
      <c r="DT68" s="1037"/>
    </row>
    <row r="69" spans="1:130" ht="45" hidden="1" outlineLevel="3">
      <c r="B69" s="2860"/>
      <c r="C69" s="3309" t="s">
        <v>705</v>
      </c>
      <c r="D69" s="3310" t="s">
        <v>705</v>
      </c>
      <c r="E69" s="588"/>
      <c r="F69" s="3310" t="s">
        <v>705</v>
      </c>
      <c r="G69" s="2838" t="s">
        <v>1279</v>
      </c>
      <c r="H69" s="3311" t="s">
        <v>706</v>
      </c>
      <c r="I69" s="3319"/>
      <c r="J69" s="103"/>
      <c r="L69" s="364"/>
      <c r="M69" s="364"/>
      <c r="N69" s="3345"/>
      <c r="O69" s="3345"/>
      <c r="P69" s="3345"/>
      <c r="Q69" s="3345"/>
      <c r="R69" s="3345"/>
      <c r="S69" s="3345"/>
      <c r="T69" s="3345"/>
      <c r="U69" s="3345"/>
      <c r="W69" s="853" t="s">
        <v>763</v>
      </c>
      <c r="X69" s="853" t="s">
        <v>1075</v>
      </c>
      <c r="Y69" s="853" t="s">
        <v>1187</v>
      </c>
      <c r="Z69" s="853">
        <v>12</v>
      </c>
      <c r="AA69" s="853"/>
      <c r="AB69" s="436"/>
      <c r="AD69" s="711" t="s">
        <v>1280</v>
      </c>
      <c r="AE69" s="763">
        <v>1</v>
      </c>
      <c r="AF69" s="531">
        <v>3</v>
      </c>
      <c r="AG69" s="179"/>
      <c r="AH69" s="1746">
        <v>6000</v>
      </c>
      <c r="AI69" s="1746">
        <f>AE69*AH69*AF69</f>
        <v>18000</v>
      </c>
      <c r="AJ69" s="1928"/>
      <c r="AL69" s="725">
        <f>+AI69</f>
        <v>18000</v>
      </c>
      <c r="AM69" s="725"/>
      <c r="AN69" s="1748">
        <f>+AL69+AM69</f>
        <v>18000</v>
      </c>
      <c r="AP69" s="986"/>
      <c r="AQ69" s="986"/>
      <c r="AR69" s="986"/>
      <c r="AS69" s="986"/>
      <c r="AT69" s="986"/>
      <c r="AU69" s="986"/>
      <c r="AV69" s="986"/>
      <c r="AW69" s="986"/>
      <c r="AX69" s="986"/>
      <c r="AY69" s="986"/>
      <c r="AZ69" s="2011">
        <f>SUM(AP69:AY69)</f>
        <v>0</v>
      </c>
      <c r="BB69" s="986"/>
      <c r="BC69" s="986"/>
      <c r="BD69" s="986"/>
      <c r="BE69" s="986"/>
      <c r="BF69" s="986"/>
      <c r="BG69" s="986"/>
      <c r="BH69" s="1015"/>
      <c r="BI69" s="1015"/>
      <c r="BJ69" s="1015"/>
      <c r="BK69" s="1015"/>
      <c r="BL69" s="986"/>
      <c r="BM69" s="1015"/>
      <c r="BN69" s="2011">
        <f>SUM(BB69:BM69)</f>
        <v>0</v>
      </c>
      <c r="BQ69" s="1015"/>
      <c r="BR69" s="1015"/>
      <c r="BS69" s="1015"/>
      <c r="BT69" s="986"/>
      <c r="BU69" s="1015"/>
      <c r="BV69" s="1015"/>
      <c r="BW69" s="1015"/>
      <c r="BX69" s="1015">
        <f>+$AH$69</f>
        <v>6000</v>
      </c>
      <c r="BY69" s="1015">
        <f t="shared" ref="BY69:BZ69" si="123">+$AH$69</f>
        <v>6000</v>
      </c>
      <c r="BZ69" s="1015">
        <f t="shared" si="123"/>
        <v>6000</v>
      </c>
      <c r="CA69" s="986"/>
      <c r="CB69" s="2011">
        <f>SUM(BQ69:CA69)</f>
        <v>18000</v>
      </c>
      <c r="CD69" s="986"/>
      <c r="CE69" s="986"/>
      <c r="CF69" s="986"/>
      <c r="CG69" s="986"/>
      <c r="CH69" s="986"/>
      <c r="CI69" s="986"/>
      <c r="CJ69" s="986"/>
      <c r="CK69" s="986"/>
      <c r="CL69" s="986"/>
      <c r="CM69" s="986"/>
      <c r="CN69" s="986"/>
      <c r="CO69" s="986"/>
      <c r="CP69" s="2014">
        <f>SUM(CD69:CO69)</f>
        <v>0</v>
      </c>
      <c r="CR69" s="986"/>
      <c r="CS69" s="986"/>
      <c r="CT69" s="986"/>
      <c r="CU69" s="986"/>
      <c r="CV69" s="986"/>
      <c r="CW69" s="986"/>
      <c r="CX69" s="986"/>
      <c r="CY69" s="986"/>
      <c r="CZ69" s="986"/>
      <c r="DA69" s="986"/>
      <c r="DB69" s="986"/>
      <c r="DC69" s="986"/>
      <c r="DD69" s="2008">
        <f>SUM(CR69:DC69)</f>
        <v>0</v>
      </c>
      <c r="DF69" s="986"/>
      <c r="DG69" s="986"/>
      <c r="DH69" s="986"/>
      <c r="DI69" s="2008">
        <f>SUM(DF69:DH69)</f>
        <v>0</v>
      </c>
      <c r="DJ69" s="3121">
        <f>+AZ69+BN69+CB69+CP69+DD69+DI69</f>
        <v>18000</v>
      </c>
      <c r="DL69" s="1027">
        <f>+AN69-DJ69</f>
        <v>0</v>
      </c>
      <c r="DN69" s="2732" t="s">
        <v>1180</v>
      </c>
      <c r="DO69" s="2736" t="s">
        <v>1181</v>
      </c>
      <c r="DP69" s="2730" t="s">
        <v>1117</v>
      </c>
      <c r="DQ69" s="2736" t="s">
        <v>4</v>
      </c>
      <c r="DR69" s="2736" t="str">
        <f>MID(D69,1,1)</f>
        <v>1</v>
      </c>
      <c r="DS69" s="1037"/>
      <c r="DT69" s="1037"/>
    </row>
    <row r="70" spans="1:130" ht="30" hidden="1" outlineLevel="3">
      <c r="B70" s="2860"/>
      <c r="C70" s="3309" t="s">
        <v>707</v>
      </c>
      <c r="D70" s="3310" t="s">
        <v>707</v>
      </c>
      <c r="E70" s="588"/>
      <c r="F70" s="3325" t="s">
        <v>707</v>
      </c>
      <c r="G70" s="2838"/>
      <c r="H70" s="3321" t="s">
        <v>708</v>
      </c>
      <c r="I70" s="3319"/>
      <c r="J70" s="103"/>
      <c r="L70" s="364"/>
      <c r="M70" s="364"/>
      <c r="N70" s="3345"/>
      <c r="O70" s="3345"/>
      <c r="P70" s="3345"/>
      <c r="Q70" s="3345"/>
      <c r="R70" s="3345"/>
      <c r="S70" s="3345"/>
      <c r="T70" s="3345"/>
      <c r="U70" s="3345"/>
      <c r="W70" s="853" t="s">
        <v>853</v>
      </c>
      <c r="X70" s="853" t="s">
        <v>1075</v>
      </c>
      <c r="Y70" s="853" t="s">
        <v>1198</v>
      </c>
      <c r="Z70" s="853">
        <v>70</v>
      </c>
      <c r="AA70" s="853"/>
      <c r="AB70" s="436"/>
      <c r="AD70" s="711" t="s">
        <v>1179</v>
      </c>
      <c r="AE70" s="712">
        <v>1</v>
      </c>
      <c r="AF70" s="179"/>
      <c r="AG70" s="179"/>
      <c r="AH70" s="1048">
        <v>479000</v>
      </c>
      <c r="AI70" s="1048">
        <f>AE70*AH70</f>
        <v>479000</v>
      </c>
      <c r="AJ70" s="1530"/>
      <c r="AL70" s="1032">
        <f>+AI70</f>
        <v>479000</v>
      </c>
      <c r="AM70" s="1032"/>
      <c r="AN70" s="1041">
        <f>+AL70+AM70</f>
        <v>479000</v>
      </c>
      <c r="AP70" s="986"/>
      <c r="AQ70" s="986"/>
      <c r="AR70" s="986"/>
      <c r="AS70" s="986"/>
      <c r="AT70" s="986"/>
      <c r="AU70" s="986"/>
      <c r="AV70" s="986"/>
      <c r="AW70" s="986"/>
      <c r="AX70" s="986"/>
      <c r="AY70" s="986"/>
      <c r="AZ70" s="2011">
        <f>SUM(AP70:AY70)</f>
        <v>0</v>
      </c>
      <c r="BB70" s="986"/>
      <c r="BC70" s="986"/>
      <c r="BD70" s="986"/>
      <c r="BE70" s="986"/>
      <c r="BF70" s="986"/>
      <c r="BG70" s="986"/>
      <c r="BH70" s="986"/>
      <c r="BI70" s="986"/>
      <c r="BJ70" s="986"/>
      <c r="BK70" s="986"/>
      <c r="BL70" s="986"/>
      <c r="BM70" s="986"/>
      <c r="BN70" s="2011">
        <f>SUM(BB70:BM70)</f>
        <v>0</v>
      </c>
      <c r="BP70" s="986"/>
      <c r="BQ70" s="986"/>
      <c r="BR70" s="986"/>
      <c r="BS70" s="986"/>
      <c r="BT70" s="986"/>
      <c r="BU70" s="986"/>
      <c r="BV70" s="1015"/>
      <c r="BW70" s="1015"/>
      <c r="BX70" s="1015"/>
      <c r="BY70" s="1015"/>
      <c r="BZ70" s="1015"/>
      <c r="CA70" s="986"/>
      <c r="CB70" s="2011">
        <f>SUM(BP70:CA70)</f>
        <v>0</v>
      </c>
      <c r="CD70" s="1015"/>
      <c r="CE70" s="1015"/>
      <c r="CF70" s="1015"/>
      <c r="CG70" s="1015"/>
      <c r="CH70" s="1015"/>
      <c r="CI70" s="1015"/>
      <c r="CJ70" s="1015">
        <f>+$AI$70*0.2</f>
        <v>95800</v>
      </c>
      <c r="CK70" s="1015"/>
      <c r="CL70" s="1015"/>
      <c r="CM70" s="1015"/>
      <c r="CN70" s="1015">
        <f>+$AI$70*0.3</f>
        <v>143700</v>
      </c>
      <c r="CO70" s="1015"/>
      <c r="CP70" s="2011">
        <f>SUM(CD70:CO70)</f>
        <v>239500</v>
      </c>
      <c r="CR70" s="1015"/>
      <c r="CS70" s="1015"/>
      <c r="CT70" s="1015">
        <f>+$AI$70*0.3</f>
        <v>143700</v>
      </c>
      <c r="CU70" s="1015"/>
      <c r="CV70" s="1015"/>
      <c r="CW70" s="1015"/>
      <c r="CX70" s="1015">
        <f>+$AI$70*0.2</f>
        <v>95800</v>
      </c>
      <c r="CY70" s="1015"/>
      <c r="CZ70" s="1015"/>
      <c r="DA70" s="1015"/>
      <c r="DB70" s="1015"/>
      <c r="DC70" s="986"/>
      <c r="DD70" s="2011">
        <f>SUM(CR70:DC70)</f>
        <v>239500</v>
      </c>
      <c r="DF70" s="1015"/>
      <c r="DG70" s="986"/>
      <c r="DH70" s="986"/>
      <c r="DI70" s="2008">
        <f>SUM(DF70:DH70)</f>
        <v>0</v>
      </c>
      <c r="DJ70" s="3121">
        <f>+AZ70+BN70+CB70+CP70+DD70+DI70</f>
        <v>479000</v>
      </c>
      <c r="DL70" s="1027">
        <f>+AN70-DJ70</f>
        <v>0</v>
      </c>
      <c r="DN70" s="2729" t="s">
        <v>1180</v>
      </c>
      <c r="DO70" s="2730" t="s">
        <v>1181</v>
      </c>
      <c r="DP70" s="2730" t="s">
        <v>1117</v>
      </c>
      <c r="DQ70" s="2730" t="s">
        <v>4</v>
      </c>
      <c r="DR70" s="2730" t="str">
        <f>MID(D70,1,1)</f>
        <v>1</v>
      </c>
      <c r="DS70" s="1037"/>
      <c r="DT70" s="1037"/>
    </row>
    <row r="71" spans="1:130" hidden="1" outlineLevel="3">
      <c r="B71" s="2860"/>
      <c r="C71" s="3309"/>
      <c r="D71" s="3310"/>
      <c r="E71" s="588"/>
      <c r="F71" s="2966"/>
      <c r="G71" s="2838"/>
      <c r="H71" s="3321"/>
      <c r="I71" s="3319"/>
      <c r="J71" s="103"/>
      <c r="L71" s="364"/>
      <c r="M71" s="364"/>
      <c r="N71" s="3345"/>
      <c r="O71" s="3345"/>
      <c r="P71" s="3345"/>
      <c r="Q71" s="3345"/>
      <c r="R71" s="3345"/>
      <c r="S71" s="3345"/>
      <c r="T71" s="3345"/>
      <c r="U71" s="3345"/>
      <c r="W71" s="364"/>
      <c r="X71" s="853"/>
      <c r="Y71" s="853"/>
      <c r="Z71" s="853"/>
      <c r="AA71" s="853"/>
      <c r="AB71" s="436"/>
      <c r="AD71" s="711"/>
      <c r="AE71" s="712"/>
      <c r="AF71" s="179"/>
      <c r="AG71" s="179"/>
      <c r="AH71" s="1048"/>
      <c r="AI71" s="1048"/>
      <c r="AJ71" s="1530"/>
      <c r="AL71" s="1032"/>
      <c r="AM71" s="1032"/>
      <c r="AN71" s="1041"/>
      <c r="AP71" s="986"/>
      <c r="AQ71" s="986"/>
      <c r="AR71" s="986"/>
      <c r="AS71" s="986"/>
      <c r="AT71" s="986"/>
      <c r="AU71" s="986"/>
      <c r="AV71" s="986"/>
      <c r="AW71" s="986"/>
      <c r="AX71" s="986"/>
      <c r="AY71" s="986"/>
      <c r="AZ71" s="2011"/>
      <c r="BB71" s="986"/>
      <c r="BC71" s="986"/>
      <c r="BD71" s="986"/>
      <c r="BE71" s="986"/>
      <c r="BF71" s="986"/>
      <c r="BG71" s="986"/>
      <c r="BH71" s="986"/>
      <c r="BI71" s="986"/>
      <c r="BJ71" s="986"/>
      <c r="BK71" s="986"/>
      <c r="BL71" s="986"/>
      <c r="BM71" s="986"/>
      <c r="BN71" s="2011"/>
      <c r="BP71" s="986"/>
      <c r="BQ71" s="986"/>
      <c r="BR71" s="986"/>
      <c r="BS71" s="986"/>
      <c r="BT71" s="986"/>
      <c r="BU71" s="986"/>
      <c r="BV71" s="986"/>
      <c r="BW71" s="986"/>
      <c r="BX71" s="986"/>
      <c r="BY71" s="986"/>
      <c r="BZ71" s="986"/>
      <c r="CA71" s="986"/>
      <c r="CB71" s="2011"/>
      <c r="CD71" s="986"/>
      <c r="CE71" s="986"/>
      <c r="CF71" s="986"/>
      <c r="CG71" s="986"/>
      <c r="CH71" s="986"/>
      <c r="CI71" s="986"/>
      <c r="CJ71" s="986"/>
      <c r="CK71" s="986"/>
      <c r="CL71" s="986"/>
      <c r="CM71" s="986"/>
      <c r="CN71" s="986"/>
      <c r="CO71" s="986"/>
      <c r="CP71" s="2011"/>
      <c r="CR71" s="986"/>
      <c r="CS71" s="986"/>
      <c r="CT71" s="986"/>
      <c r="CU71" s="986"/>
      <c r="CV71" s="986"/>
      <c r="CW71" s="986"/>
      <c r="CX71" s="986"/>
      <c r="CY71" s="986"/>
      <c r="CZ71" s="986"/>
      <c r="DA71" s="986"/>
      <c r="DB71" s="986"/>
      <c r="DC71" s="986"/>
      <c r="DD71" s="2011"/>
      <c r="DF71" s="986"/>
      <c r="DG71" s="986"/>
      <c r="DH71" s="986"/>
      <c r="DI71" s="3085">
        <f>SUM(DF71:DH71)</f>
        <v>0</v>
      </c>
      <c r="DJ71" s="3125">
        <f t="shared" si="17"/>
        <v>0</v>
      </c>
      <c r="DL71" s="1027"/>
      <c r="DN71" s="2729"/>
      <c r="DO71" s="2730"/>
      <c r="DP71" s="2730"/>
      <c r="DQ71" s="2730"/>
      <c r="DR71" s="2730"/>
      <c r="DS71" s="1037"/>
      <c r="DT71" s="1037"/>
    </row>
    <row r="72" spans="1:130" s="153" customFormat="1" ht="15" hidden="1" outlineLevel="2">
      <c r="B72" s="872"/>
      <c r="C72" s="3309"/>
      <c r="D72" s="3310"/>
      <c r="E72" s="2827"/>
      <c r="F72" s="2966"/>
      <c r="G72" s="2864"/>
      <c r="H72" s="3321"/>
      <c r="I72" s="3321"/>
      <c r="J72" s="177"/>
      <c r="K72" s="1037"/>
      <c r="L72" s="704"/>
      <c r="M72" s="704"/>
      <c r="N72" s="3292"/>
      <c r="O72" s="3292"/>
      <c r="P72" s="3292"/>
      <c r="Q72" s="3292"/>
      <c r="R72" s="3292"/>
      <c r="S72" s="3292"/>
      <c r="T72" s="3292"/>
      <c r="U72" s="3292"/>
      <c r="V72" s="1037"/>
      <c r="W72" s="853"/>
      <c r="X72" s="853"/>
      <c r="Y72" s="853"/>
      <c r="Z72" s="853"/>
      <c r="AA72" s="853"/>
      <c r="AB72" s="436"/>
      <c r="AC72" s="1037"/>
      <c r="AD72" s="173"/>
      <c r="AE72" s="704"/>
      <c r="AF72" s="704"/>
      <c r="AG72" s="704"/>
      <c r="AH72" s="439"/>
      <c r="AI72" s="439"/>
      <c r="AJ72" s="688"/>
      <c r="AK72" s="1037"/>
      <c r="AL72" s="439">
        <f>+AI72</f>
        <v>0</v>
      </c>
      <c r="AM72" s="439"/>
      <c r="AN72" s="439">
        <f t="shared" ref="AN72:AN133" si="124">+AL72+AM72</f>
        <v>0</v>
      </c>
      <c r="AO72" s="1037"/>
      <c r="AP72" s="996"/>
      <c r="AQ72" s="996"/>
      <c r="AR72" s="996"/>
      <c r="AS72" s="996"/>
      <c r="AT72" s="996"/>
      <c r="AU72" s="996"/>
      <c r="AV72" s="996"/>
      <c r="AW72" s="996"/>
      <c r="AX72" s="996"/>
      <c r="AY72" s="996"/>
      <c r="AZ72" s="996">
        <f t="shared" si="9"/>
        <v>0</v>
      </c>
      <c r="BA72" s="1037"/>
      <c r="BB72" s="996"/>
      <c r="BC72" s="996"/>
      <c r="BD72" s="996"/>
      <c r="BE72" s="996"/>
      <c r="BF72" s="996"/>
      <c r="BG72" s="996"/>
      <c r="BH72" s="996"/>
      <c r="BI72" s="996"/>
      <c r="BJ72" s="996"/>
      <c r="BK72" s="996"/>
      <c r="BL72" s="996"/>
      <c r="BM72" s="996"/>
      <c r="BN72" s="996">
        <f t="shared" si="11"/>
        <v>0</v>
      </c>
      <c r="BO72" s="1037"/>
      <c r="BP72" s="996"/>
      <c r="BQ72" s="996"/>
      <c r="BR72" s="996"/>
      <c r="BS72" s="996"/>
      <c r="BT72" s="996"/>
      <c r="BU72" s="996"/>
      <c r="BV72" s="996"/>
      <c r="BW72" s="996"/>
      <c r="BX72" s="996"/>
      <c r="BY72" s="996"/>
      <c r="BZ72" s="996"/>
      <c r="CA72" s="996"/>
      <c r="CB72" s="996">
        <f t="shared" si="13"/>
        <v>0</v>
      </c>
      <c r="CC72" s="1037"/>
      <c r="CD72" s="996"/>
      <c r="CE72" s="996"/>
      <c r="CF72" s="996"/>
      <c r="CG72" s="996"/>
      <c r="CH72" s="996"/>
      <c r="CI72" s="996"/>
      <c r="CJ72" s="996"/>
      <c r="CK72" s="996"/>
      <c r="CL72" s="996"/>
      <c r="CM72" s="996"/>
      <c r="CN72" s="996"/>
      <c r="CO72" s="996"/>
      <c r="CP72" s="997">
        <f t="shared" si="23"/>
        <v>0</v>
      </c>
      <c r="CQ72" s="1037"/>
      <c r="CR72" s="996"/>
      <c r="CS72" s="996"/>
      <c r="CT72" s="996"/>
      <c r="CU72" s="996"/>
      <c r="CV72" s="996"/>
      <c r="CW72" s="996"/>
      <c r="CX72" s="996"/>
      <c r="CY72" s="996"/>
      <c r="CZ72" s="996"/>
      <c r="DA72" s="996"/>
      <c r="DB72" s="996"/>
      <c r="DC72" s="996"/>
      <c r="DD72" s="995">
        <f>SUM(CR72:DC72)</f>
        <v>0</v>
      </c>
      <c r="DE72" s="1037"/>
      <c r="DF72" s="996"/>
      <c r="DG72" s="996"/>
      <c r="DH72" s="996"/>
      <c r="DI72" s="3085">
        <f>SUM(DF72:DH72)</f>
        <v>0</v>
      </c>
      <c r="DJ72" s="3125">
        <f t="shared" si="17"/>
        <v>0</v>
      </c>
      <c r="DL72" s="1027">
        <f t="shared" si="7"/>
        <v>0</v>
      </c>
      <c r="DN72" s="2709" t="s">
        <v>1175</v>
      </c>
      <c r="DO72" s="2739" t="s">
        <v>1175</v>
      </c>
      <c r="DP72" s="2739"/>
      <c r="DQ72" s="2739" t="s">
        <v>1175</v>
      </c>
      <c r="DR72" s="2739" t="str">
        <f t="shared" si="4"/>
        <v/>
      </c>
      <c r="DS72" s="1037"/>
      <c r="DT72" s="1037"/>
    </row>
    <row r="73" spans="1:130" s="153" customFormat="1" ht="15" hidden="1" outlineLevel="1">
      <c r="B73" s="2826"/>
      <c r="C73" s="3298"/>
      <c r="D73" s="2939" t="s">
        <v>505</v>
      </c>
      <c r="E73" s="2827"/>
      <c r="F73" s="3299" t="s">
        <v>505</v>
      </c>
      <c r="G73" s="2828"/>
      <c r="H73" s="3300" t="s">
        <v>19</v>
      </c>
      <c r="I73" s="3300" t="s">
        <v>4</v>
      </c>
      <c r="J73" s="427"/>
      <c r="K73" s="1037"/>
      <c r="L73" s="425"/>
      <c r="M73" s="425"/>
      <c r="N73" s="3301"/>
      <c r="O73" s="3301"/>
      <c r="P73" s="3301"/>
      <c r="Q73" s="3301"/>
      <c r="R73" s="3301"/>
      <c r="S73" s="3301"/>
      <c r="T73" s="3301"/>
      <c r="U73" s="3301"/>
      <c r="V73" s="1037"/>
      <c r="W73" s="850"/>
      <c r="X73" s="850"/>
      <c r="Y73" s="850"/>
      <c r="Z73" s="850"/>
      <c r="AA73" s="850"/>
      <c r="AB73" s="431"/>
      <c r="AC73" s="1037"/>
      <c r="AD73" s="426"/>
      <c r="AE73" s="425"/>
      <c r="AF73" s="425"/>
      <c r="AG73" s="425"/>
      <c r="AH73" s="433"/>
      <c r="AI73" s="433">
        <f>+AI74+AI121+AI135</f>
        <v>15749999.9</v>
      </c>
      <c r="AJ73" s="685"/>
      <c r="AK73" s="1037"/>
      <c r="AL73" s="433">
        <f>+AL74+AL121+AL135</f>
        <v>15749999.9</v>
      </c>
      <c r="AM73" s="433">
        <f>+AM74+AM121+AM135</f>
        <v>0</v>
      </c>
      <c r="AN73" s="3517">
        <f t="shared" si="124"/>
        <v>15749999.9</v>
      </c>
      <c r="AO73" s="1037"/>
      <c r="AP73" s="433">
        <f t="shared" ref="AP73:DA73" si="125">+AP74+AP121+AP135</f>
        <v>0</v>
      </c>
      <c r="AQ73" s="433">
        <f t="shared" si="125"/>
        <v>0</v>
      </c>
      <c r="AR73" s="433">
        <f t="shared" si="125"/>
        <v>0</v>
      </c>
      <c r="AS73" s="433">
        <f t="shared" si="125"/>
        <v>0</v>
      </c>
      <c r="AT73" s="433">
        <f t="shared" si="125"/>
        <v>0</v>
      </c>
      <c r="AU73" s="433">
        <f t="shared" si="125"/>
        <v>0</v>
      </c>
      <c r="AV73" s="433">
        <f t="shared" si="125"/>
        <v>0</v>
      </c>
      <c r="AW73" s="433">
        <f t="shared" si="125"/>
        <v>0</v>
      </c>
      <c r="AX73" s="433">
        <f t="shared" si="125"/>
        <v>0</v>
      </c>
      <c r="AY73" s="433">
        <f t="shared" si="125"/>
        <v>0</v>
      </c>
      <c r="AZ73" s="433">
        <f t="shared" si="125"/>
        <v>0</v>
      </c>
      <c r="BA73" s="1037">
        <f t="shared" si="125"/>
        <v>0</v>
      </c>
      <c r="BB73" s="433">
        <f t="shared" si="125"/>
        <v>0</v>
      </c>
      <c r="BC73" s="433">
        <f t="shared" si="125"/>
        <v>0</v>
      </c>
      <c r="BD73" s="433">
        <f t="shared" si="125"/>
        <v>0</v>
      </c>
      <c r="BE73" s="433">
        <f t="shared" si="125"/>
        <v>0</v>
      </c>
      <c r="BF73" s="433">
        <f t="shared" si="125"/>
        <v>0</v>
      </c>
      <c r="BG73" s="433">
        <f t="shared" si="125"/>
        <v>0</v>
      </c>
      <c r="BH73" s="433">
        <f t="shared" si="125"/>
        <v>17564</v>
      </c>
      <c r="BI73" s="433">
        <f t="shared" si="125"/>
        <v>20564</v>
      </c>
      <c r="BJ73" s="433">
        <f t="shared" si="125"/>
        <v>32734</v>
      </c>
      <c r="BK73" s="433">
        <f t="shared" si="125"/>
        <v>73893.51999999999</v>
      </c>
      <c r="BL73" s="433">
        <f t="shared" si="125"/>
        <v>47834</v>
      </c>
      <c r="BM73" s="433">
        <f t="shared" si="125"/>
        <v>317874.99</v>
      </c>
      <c r="BN73" s="433">
        <f>+BN74+BN121+BN135</f>
        <v>510464.51</v>
      </c>
      <c r="BO73" s="485">
        <f t="shared" si="125"/>
        <v>0</v>
      </c>
      <c r="BP73" s="433">
        <f t="shared" si="125"/>
        <v>30534</v>
      </c>
      <c r="BQ73" s="433">
        <f t="shared" si="125"/>
        <v>586512.90999999992</v>
      </c>
      <c r="BR73" s="433">
        <f t="shared" si="125"/>
        <v>30534</v>
      </c>
      <c r="BS73" s="433">
        <f t="shared" si="125"/>
        <v>30534</v>
      </c>
      <c r="BT73" s="433">
        <f t="shared" si="125"/>
        <v>620520.10999999987</v>
      </c>
      <c r="BU73" s="433">
        <f t="shared" si="125"/>
        <v>39726</v>
      </c>
      <c r="BV73" s="433">
        <f t="shared" si="125"/>
        <v>57628</v>
      </c>
      <c r="BW73" s="433">
        <f t="shared" si="125"/>
        <v>85984.200000000012</v>
      </c>
      <c r="BX73" s="433">
        <f t="shared" si="125"/>
        <v>82628</v>
      </c>
      <c r="BY73" s="433">
        <f t="shared" si="125"/>
        <v>99162.299999999988</v>
      </c>
      <c r="BZ73" s="433">
        <f t="shared" si="125"/>
        <v>66628</v>
      </c>
      <c r="CA73" s="433">
        <f t="shared" si="125"/>
        <v>41628</v>
      </c>
      <c r="CB73" s="433">
        <f t="shared" si="125"/>
        <v>1772019.5199999998</v>
      </c>
      <c r="CC73" s="485">
        <f t="shared" si="125"/>
        <v>0</v>
      </c>
      <c r="CD73" s="433">
        <f t="shared" si="125"/>
        <v>41628</v>
      </c>
      <c r="CE73" s="433">
        <f t="shared" si="125"/>
        <v>352628</v>
      </c>
      <c r="CF73" s="433">
        <f t="shared" si="125"/>
        <v>225828</v>
      </c>
      <c r="CG73" s="433">
        <f t="shared" si="125"/>
        <v>1055662.3</v>
      </c>
      <c r="CH73" s="433">
        <f t="shared" si="125"/>
        <v>61628</v>
      </c>
      <c r="CI73" s="433">
        <f t="shared" si="125"/>
        <v>1351934.4</v>
      </c>
      <c r="CJ73" s="433">
        <f t="shared" si="125"/>
        <v>346548</v>
      </c>
      <c r="CK73" s="433">
        <f t="shared" si="125"/>
        <v>1117528</v>
      </c>
      <c r="CL73" s="433">
        <f t="shared" si="125"/>
        <v>455178</v>
      </c>
      <c r="CM73" s="433">
        <f t="shared" si="125"/>
        <v>1136640.8</v>
      </c>
      <c r="CN73" s="433">
        <f t="shared" si="125"/>
        <v>168953</v>
      </c>
      <c r="CO73" s="433">
        <f t="shared" si="125"/>
        <v>2144278</v>
      </c>
      <c r="CP73" s="433">
        <f t="shared" si="125"/>
        <v>8458434.5</v>
      </c>
      <c r="CQ73" s="485">
        <f t="shared" si="125"/>
        <v>0</v>
      </c>
      <c r="CR73" s="433">
        <f t="shared" si="125"/>
        <v>74278</v>
      </c>
      <c r="CS73" s="433">
        <f t="shared" si="125"/>
        <v>1166515.8</v>
      </c>
      <c r="CT73" s="433">
        <f t="shared" si="125"/>
        <v>2144278</v>
      </c>
      <c r="CU73" s="433">
        <f t="shared" si="125"/>
        <v>74278</v>
      </c>
      <c r="CV73" s="433">
        <f t="shared" si="125"/>
        <v>247178</v>
      </c>
      <c r="CW73" s="433">
        <f t="shared" si="125"/>
        <v>250786</v>
      </c>
      <c r="CX73" s="433">
        <f t="shared" si="125"/>
        <v>65400</v>
      </c>
      <c r="CY73" s="433">
        <f t="shared" si="125"/>
        <v>165400</v>
      </c>
      <c r="CZ73" s="433">
        <f t="shared" si="125"/>
        <v>126400</v>
      </c>
      <c r="DA73" s="433">
        <f t="shared" si="125"/>
        <v>11400</v>
      </c>
      <c r="DB73" s="433">
        <f t="shared" ref="DB73:DI73" si="126">+DB74+DB121+DB135</f>
        <v>276400</v>
      </c>
      <c r="DC73" s="433">
        <f t="shared" si="126"/>
        <v>11400</v>
      </c>
      <c r="DD73" s="433">
        <f t="shared" si="126"/>
        <v>4613713.8</v>
      </c>
      <c r="DE73" s="485">
        <f t="shared" si="126"/>
        <v>0</v>
      </c>
      <c r="DF73" s="433">
        <f t="shared" si="126"/>
        <v>395367.9</v>
      </c>
      <c r="DG73" s="433">
        <f t="shared" si="126"/>
        <v>0</v>
      </c>
      <c r="DH73" s="433">
        <f t="shared" si="126"/>
        <v>0</v>
      </c>
      <c r="DI73" s="3081">
        <f t="shared" si="126"/>
        <v>395367.9</v>
      </c>
      <c r="DJ73" s="978">
        <f>+AZ73+BN73+CB73+CP73+DD73+DI73</f>
        <v>15750000.229999999</v>
      </c>
      <c r="DL73" s="1027">
        <f>+AN73-DJ73</f>
        <v>-0.32999999821186066</v>
      </c>
      <c r="DN73" s="2721" t="s">
        <v>1175</v>
      </c>
      <c r="DO73" s="2722" t="s">
        <v>1175</v>
      </c>
      <c r="DP73" s="2722"/>
      <c r="DQ73" s="2722" t="s">
        <v>1175</v>
      </c>
      <c r="DR73" s="2722" t="str">
        <f t="shared" si="4"/>
        <v>1</v>
      </c>
      <c r="DS73" s="1037"/>
      <c r="DT73" s="1037"/>
    </row>
    <row r="74" spans="1:130" s="153" customFormat="1" ht="33.5" hidden="1" customHeight="1" outlineLevel="2">
      <c r="B74" s="2829"/>
      <c r="C74" s="3303"/>
      <c r="D74" s="2940" t="s">
        <v>506</v>
      </c>
      <c r="E74" s="2830"/>
      <c r="F74" s="3304" t="s">
        <v>506</v>
      </c>
      <c r="G74" s="2831"/>
      <c r="H74" s="3305" t="s">
        <v>710</v>
      </c>
      <c r="I74" s="3305" t="s">
        <v>4</v>
      </c>
      <c r="J74" s="106" t="s">
        <v>1296</v>
      </c>
      <c r="K74" s="1037"/>
      <c r="L74" s="358" t="s">
        <v>364</v>
      </c>
      <c r="M74" s="358">
        <v>0</v>
      </c>
      <c r="N74" s="358">
        <v>2022</v>
      </c>
      <c r="O74" s="358" t="s">
        <v>157</v>
      </c>
      <c r="P74" s="358" t="s">
        <v>157</v>
      </c>
      <c r="Q74" s="358" t="s">
        <v>157</v>
      </c>
      <c r="R74" s="358">
        <v>2</v>
      </c>
      <c r="S74" s="358">
        <v>1</v>
      </c>
      <c r="T74" s="358">
        <v>1</v>
      </c>
      <c r="U74" s="358">
        <v>4</v>
      </c>
      <c r="V74" s="1037"/>
      <c r="W74" s="358"/>
      <c r="X74" s="358"/>
      <c r="Y74" s="358"/>
      <c r="Z74" s="358"/>
      <c r="AA74" s="358"/>
      <c r="AB74" s="3346"/>
      <c r="AC74" s="1037"/>
      <c r="AD74" s="106"/>
      <c r="AE74" s="172"/>
      <c r="AF74" s="172"/>
      <c r="AG74" s="172"/>
      <c r="AH74" s="176"/>
      <c r="AI74" s="176">
        <f>+AI75+AI78+AI81+AI86+AI91+AI94+AI97+AI108</f>
        <v>14803968.9</v>
      </c>
      <c r="AJ74" s="686"/>
      <c r="AK74" s="1037"/>
      <c r="AL74" s="176">
        <f>+AL75+AL78+AL81+AL86+AL91+AL94+AL97+AL108</f>
        <v>14803968.9</v>
      </c>
      <c r="AM74" s="176">
        <f>+AM75+AM78+AM81+AM86+AM91+AM94+AM97+AM108</f>
        <v>0</v>
      </c>
      <c r="AN74" s="176">
        <f t="shared" si="124"/>
        <v>14803968.9</v>
      </c>
      <c r="AO74" s="1037"/>
      <c r="AP74" s="176">
        <f t="shared" ref="AP74:DA74" si="127">+AP75+AP78+AP81+AP86+AP91+AP94+AP97+AP108</f>
        <v>0</v>
      </c>
      <c r="AQ74" s="176">
        <f t="shared" si="127"/>
        <v>0</v>
      </c>
      <c r="AR74" s="176">
        <f t="shared" si="127"/>
        <v>0</v>
      </c>
      <c r="AS74" s="176">
        <f t="shared" si="127"/>
        <v>0</v>
      </c>
      <c r="AT74" s="176">
        <f t="shared" si="127"/>
        <v>0</v>
      </c>
      <c r="AU74" s="176">
        <f t="shared" si="127"/>
        <v>0</v>
      </c>
      <c r="AV74" s="176">
        <f t="shared" si="127"/>
        <v>0</v>
      </c>
      <c r="AW74" s="176">
        <f t="shared" si="127"/>
        <v>0</v>
      </c>
      <c r="AX74" s="176">
        <f t="shared" si="127"/>
        <v>0</v>
      </c>
      <c r="AY74" s="176">
        <f t="shared" si="127"/>
        <v>0</v>
      </c>
      <c r="AZ74" s="176">
        <f t="shared" si="127"/>
        <v>0</v>
      </c>
      <c r="BA74" s="1037">
        <f t="shared" si="127"/>
        <v>0</v>
      </c>
      <c r="BB74" s="176">
        <f t="shared" si="127"/>
        <v>0</v>
      </c>
      <c r="BC74" s="176">
        <f t="shared" si="127"/>
        <v>0</v>
      </c>
      <c r="BD74" s="176">
        <f t="shared" si="127"/>
        <v>0</v>
      </c>
      <c r="BE74" s="176">
        <f t="shared" si="127"/>
        <v>0</v>
      </c>
      <c r="BF74" s="176">
        <f t="shared" si="127"/>
        <v>0</v>
      </c>
      <c r="BG74" s="176">
        <f t="shared" si="127"/>
        <v>0</v>
      </c>
      <c r="BH74" s="176">
        <f t="shared" si="127"/>
        <v>17564</v>
      </c>
      <c r="BI74" s="176">
        <f t="shared" si="127"/>
        <v>20564</v>
      </c>
      <c r="BJ74" s="176">
        <f t="shared" si="127"/>
        <v>32734</v>
      </c>
      <c r="BK74" s="176">
        <f t="shared" si="127"/>
        <v>73893.51999999999</v>
      </c>
      <c r="BL74" s="176">
        <f t="shared" si="127"/>
        <v>31834</v>
      </c>
      <c r="BM74" s="176">
        <f t="shared" si="127"/>
        <v>317874.99</v>
      </c>
      <c r="BN74" s="176">
        <f t="shared" si="127"/>
        <v>494464.51</v>
      </c>
      <c r="BO74" s="485">
        <f t="shared" si="127"/>
        <v>0</v>
      </c>
      <c r="BP74" s="176">
        <f t="shared" si="127"/>
        <v>30534</v>
      </c>
      <c r="BQ74" s="176">
        <f t="shared" si="127"/>
        <v>562512.90999999992</v>
      </c>
      <c r="BR74" s="176">
        <f t="shared" si="127"/>
        <v>30534</v>
      </c>
      <c r="BS74" s="176">
        <f t="shared" si="127"/>
        <v>30534</v>
      </c>
      <c r="BT74" s="176">
        <f t="shared" si="127"/>
        <v>552163.90999999992</v>
      </c>
      <c r="BU74" s="176">
        <f t="shared" si="127"/>
        <v>39726</v>
      </c>
      <c r="BV74" s="176">
        <f t="shared" si="127"/>
        <v>41628</v>
      </c>
      <c r="BW74" s="176">
        <f t="shared" si="127"/>
        <v>41628</v>
      </c>
      <c r="BX74" s="176">
        <f t="shared" si="127"/>
        <v>49628</v>
      </c>
      <c r="BY74" s="176">
        <f t="shared" si="127"/>
        <v>41628</v>
      </c>
      <c r="BZ74" s="176">
        <f t="shared" si="127"/>
        <v>57628</v>
      </c>
      <c r="CA74" s="176">
        <f t="shared" si="127"/>
        <v>41628</v>
      </c>
      <c r="CB74" s="176">
        <f t="shared" si="127"/>
        <v>1519772.8199999998</v>
      </c>
      <c r="CC74" s="485">
        <f t="shared" si="127"/>
        <v>0</v>
      </c>
      <c r="CD74" s="176">
        <f t="shared" si="127"/>
        <v>41628</v>
      </c>
      <c r="CE74" s="176">
        <f t="shared" si="127"/>
        <v>337628</v>
      </c>
      <c r="CF74" s="176">
        <f t="shared" si="127"/>
        <v>181628</v>
      </c>
      <c r="CG74" s="176">
        <f t="shared" si="127"/>
        <v>976628</v>
      </c>
      <c r="CH74" s="176">
        <f t="shared" si="127"/>
        <v>61628</v>
      </c>
      <c r="CI74" s="176">
        <f t="shared" si="127"/>
        <v>1272134.3999999999</v>
      </c>
      <c r="CJ74" s="176">
        <f t="shared" si="127"/>
        <v>334548</v>
      </c>
      <c r="CK74" s="176">
        <f t="shared" si="127"/>
        <v>1046878</v>
      </c>
      <c r="CL74" s="176">
        <f t="shared" si="127"/>
        <v>376878</v>
      </c>
      <c r="CM74" s="176">
        <f t="shared" si="127"/>
        <v>1136640.8</v>
      </c>
      <c r="CN74" s="176">
        <f t="shared" si="127"/>
        <v>24278</v>
      </c>
      <c r="CO74" s="176">
        <f t="shared" si="127"/>
        <v>2144278</v>
      </c>
      <c r="CP74" s="176">
        <f t="shared" si="127"/>
        <v>7934775.2000000002</v>
      </c>
      <c r="CQ74" s="485">
        <f t="shared" si="127"/>
        <v>0</v>
      </c>
      <c r="CR74" s="176">
        <f t="shared" si="127"/>
        <v>74278</v>
      </c>
      <c r="CS74" s="176">
        <f t="shared" si="127"/>
        <v>1074040.8</v>
      </c>
      <c r="CT74" s="176">
        <f t="shared" si="127"/>
        <v>2144278</v>
      </c>
      <c r="CU74" s="176">
        <f t="shared" si="127"/>
        <v>74278</v>
      </c>
      <c r="CV74" s="176">
        <f t="shared" si="127"/>
        <v>185528</v>
      </c>
      <c r="CW74" s="176">
        <f t="shared" si="127"/>
        <v>250786</v>
      </c>
      <c r="CX74" s="176">
        <f t="shared" si="127"/>
        <v>65400</v>
      </c>
      <c r="CY74" s="176">
        <f t="shared" si="127"/>
        <v>165400</v>
      </c>
      <c r="CZ74" s="176">
        <f t="shared" si="127"/>
        <v>126400</v>
      </c>
      <c r="DA74" s="176">
        <f t="shared" si="127"/>
        <v>11400</v>
      </c>
      <c r="DB74" s="176">
        <f t="shared" ref="DB74:DI74" si="128">+DB75+DB78+DB81+DB86+DB91+DB94+DB97+DB108</f>
        <v>276400</v>
      </c>
      <c r="DC74" s="176">
        <f t="shared" si="128"/>
        <v>11400</v>
      </c>
      <c r="DD74" s="176">
        <f t="shared" si="128"/>
        <v>4459588.8</v>
      </c>
      <c r="DE74" s="485">
        <f t="shared" si="128"/>
        <v>0</v>
      </c>
      <c r="DF74" s="176">
        <f t="shared" si="128"/>
        <v>395367.9</v>
      </c>
      <c r="DG74" s="176">
        <f t="shared" si="128"/>
        <v>0</v>
      </c>
      <c r="DH74" s="176">
        <f t="shared" si="128"/>
        <v>0</v>
      </c>
      <c r="DI74" s="3082">
        <f t="shared" si="128"/>
        <v>395367.9</v>
      </c>
      <c r="DJ74" s="3519">
        <f>+AZ74+BN74+CB74+CP74+DD74+DI74</f>
        <v>14803969.229999999</v>
      </c>
      <c r="DL74" s="1027">
        <f t="shared" ref="DL74:DL137" si="129">+AN74-DJ74</f>
        <v>-0.32999999821186066</v>
      </c>
      <c r="DN74" s="2737" t="s">
        <v>1175</v>
      </c>
      <c r="DO74" s="2738" t="s">
        <v>1175</v>
      </c>
      <c r="DP74" s="2738"/>
      <c r="DQ74" s="2738" t="s">
        <v>1175</v>
      </c>
      <c r="DR74" s="2738" t="str">
        <f t="shared" si="4"/>
        <v>1</v>
      </c>
      <c r="DS74" s="1037"/>
      <c r="DT74" s="1037"/>
    </row>
    <row r="75" spans="1:130" s="153" customFormat="1" ht="15" hidden="1" outlineLevel="3">
      <c r="B75" s="2839"/>
      <c r="C75" s="3306" t="s">
        <v>711</v>
      </c>
      <c r="D75" s="2941" t="s">
        <v>711</v>
      </c>
      <c r="E75" s="2830"/>
      <c r="F75" s="3307" t="s">
        <v>711</v>
      </c>
      <c r="G75" s="2833"/>
      <c r="H75" s="3308" t="s">
        <v>712</v>
      </c>
      <c r="I75" s="3308"/>
      <c r="J75" s="1250"/>
      <c r="K75" s="2858"/>
      <c r="L75" s="851"/>
      <c r="M75" s="851"/>
      <c r="N75" s="3347"/>
      <c r="O75" s="3347"/>
      <c r="P75" s="3347"/>
      <c r="Q75" s="3347"/>
      <c r="R75" s="3347"/>
      <c r="S75" s="3347"/>
      <c r="T75" s="3347"/>
      <c r="U75" s="3347"/>
      <c r="V75" s="2858"/>
      <c r="W75" s="851"/>
      <c r="X75" s="851"/>
      <c r="Y75" s="851"/>
      <c r="Z75" s="851"/>
      <c r="AA75" s="851"/>
      <c r="AB75" s="1250"/>
      <c r="AC75" s="2858"/>
      <c r="AD75" s="2840"/>
      <c r="AE75" s="397"/>
      <c r="AF75" s="397"/>
      <c r="AG75" s="397"/>
      <c r="AH75" s="398"/>
      <c r="AI75" s="398">
        <f>SUM(AI76:AI77)</f>
        <v>535000</v>
      </c>
      <c r="AJ75" s="691"/>
      <c r="AK75" s="2858"/>
      <c r="AL75" s="1257">
        <f>SUM(AL76:AL77)</f>
        <v>535000</v>
      </c>
      <c r="AM75" s="1257">
        <f>SUM(AM76:AM77)</f>
        <v>0</v>
      </c>
      <c r="AN75" s="1257">
        <f t="shared" si="124"/>
        <v>535000</v>
      </c>
      <c r="AO75" s="2858"/>
      <c r="AP75" s="398">
        <f t="shared" ref="AP75:AY75" si="130">SUM(AP76:AP77)</f>
        <v>0</v>
      </c>
      <c r="AQ75" s="398">
        <f t="shared" si="130"/>
        <v>0</v>
      </c>
      <c r="AR75" s="398">
        <f t="shared" si="130"/>
        <v>0</v>
      </c>
      <c r="AS75" s="398">
        <f t="shared" si="130"/>
        <v>0</v>
      </c>
      <c r="AT75" s="398">
        <f t="shared" si="130"/>
        <v>0</v>
      </c>
      <c r="AU75" s="398">
        <f t="shared" si="130"/>
        <v>0</v>
      </c>
      <c r="AV75" s="398">
        <f t="shared" si="130"/>
        <v>0</v>
      </c>
      <c r="AW75" s="398">
        <f t="shared" si="130"/>
        <v>0</v>
      </c>
      <c r="AX75" s="398">
        <f t="shared" si="130"/>
        <v>0</v>
      </c>
      <c r="AY75" s="398">
        <f t="shared" si="130"/>
        <v>0</v>
      </c>
      <c r="AZ75" s="398">
        <f t="shared" si="9"/>
        <v>0</v>
      </c>
      <c r="BA75" s="1037"/>
      <c r="BB75" s="398">
        <f t="shared" ref="BB75:BM75" si="131">SUM(BB76:BB77)</f>
        <v>0</v>
      </c>
      <c r="BC75" s="398">
        <f t="shared" si="131"/>
        <v>0</v>
      </c>
      <c r="BD75" s="398">
        <f t="shared" si="131"/>
        <v>0</v>
      </c>
      <c r="BE75" s="398">
        <f t="shared" si="131"/>
        <v>0</v>
      </c>
      <c r="BF75" s="398">
        <f t="shared" si="131"/>
        <v>0</v>
      </c>
      <c r="BG75" s="398">
        <f t="shared" si="131"/>
        <v>0</v>
      </c>
      <c r="BH75" s="398">
        <f t="shared" si="131"/>
        <v>7000</v>
      </c>
      <c r="BI75" s="398">
        <f t="shared" si="131"/>
        <v>0</v>
      </c>
      <c r="BJ75" s="398">
        <f t="shared" si="131"/>
        <v>10500</v>
      </c>
      <c r="BK75" s="398">
        <f t="shared" si="131"/>
        <v>10500</v>
      </c>
      <c r="BL75" s="398">
        <f t="shared" si="131"/>
        <v>7000</v>
      </c>
      <c r="BM75" s="398">
        <f t="shared" si="131"/>
        <v>0</v>
      </c>
      <c r="BN75" s="398">
        <f t="shared" si="11"/>
        <v>35000</v>
      </c>
      <c r="BO75" s="2858"/>
      <c r="BP75" s="398">
        <f t="shared" ref="BP75:CA75" si="132">SUM(BP76:BP77)</f>
        <v>0</v>
      </c>
      <c r="BQ75" s="398">
        <f t="shared" si="132"/>
        <v>0</v>
      </c>
      <c r="BR75" s="398">
        <f t="shared" si="132"/>
        <v>0</v>
      </c>
      <c r="BS75" s="398">
        <f t="shared" si="132"/>
        <v>0</v>
      </c>
      <c r="BT75" s="398">
        <f t="shared" si="132"/>
        <v>0</v>
      </c>
      <c r="BU75" s="398">
        <f t="shared" si="132"/>
        <v>0</v>
      </c>
      <c r="BV75" s="398">
        <f t="shared" si="132"/>
        <v>0</v>
      </c>
      <c r="BW75" s="398">
        <f t="shared" si="132"/>
        <v>0</v>
      </c>
      <c r="BX75" s="398">
        <f t="shared" si="132"/>
        <v>0</v>
      </c>
      <c r="BY75" s="398">
        <f t="shared" si="132"/>
        <v>0</v>
      </c>
      <c r="BZ75" s="398">
        <f t="shared" si="132"/>
        <v>0</v>
      </c>
      <c r="CA75" s="398">
        <f t="shared" si="132"/>
        <v>0</v>
      </c>
      <c r="CB75" s="398">
        <f t="shared" si="13"/>
        <v>0</v>
      </c>
      <c r="CC75" s="2858"/>
      <c r="CD75" s="398">
        <f t="shared" ref="CD75:CO75" si="133">SUM(CD76:CD77)</f>
        <v>0</v>
      </c>
      <c r="CE75" s="398">
        <f t="shared" si="133"/>
        <v>0</v>
      </c>
      <c r="CF75" s="398">
        <f t="shared" si="133"/>
        <v>100000</v>
      </c>
      <c r="CG75" s="398">
        <f t="shared" si="133"/>
        <v>0</v>
      </c>
      <c r="CH75" s="398">
        <f t="shared" si="133"/>
        <v>0</v>
      </c>
      <c r="CI75" s="398">
        <f>SUM(CI76:CI77)</f>
        <v>200000</v>
      </c>
      <c r="CJ75" s="398">
        <f t="shared" si="133"/>
        <v>0</v>
      </c>
      <c r="CK75" s="398">
        <f t="shared" si="133"/>
        <v>0</v>
      </c>
      <c r="CL75" s="398">
        <f t="shared" si="133"/>
        <v>200000</v>
      </c>
      <c r="CM75" s="398">
        <f t="shared" si="133"/>
        <v>0</v>
      </c>
      <c r="CN75" s="398">
        <f t="shared" si="133"/>
        <v>0</v>
      </c>
      <c r="CO75" s="398">
        <f t="shared" si="133"/>
        <v>0</v>
      </c>
      <c r="CP75" s="398">
        <f t="shared" si="23"/>
        <v>500000</v>
      </c>
      <c r="CQ75" s="2858"/>
      <c r="CR75" s="398">
        <f t="shared" ref="CR75:DC75" si="134">SUM(CR76:CR77)</f>
        <v>0</v>
      </c>
      <c r="CS75" s="398">
        <f t="shared" si="134"/>
        <v>0</v>
      </c>
      <c r="CT75" s="398">
        <f t="shared" si="134"/>
        <v>0</v>
      </c>
      <c r="CU75" s="398">
        <f t="shared" si="134"/>
        <v>0</v>
      </c>
      <c r="CV75" s="398">
        <f t="shared" si="134"/>
        <v>0</v>
      </c>
      <c r="CW75" s="398">
        <f t="shared" si="134"/>
        <v>0</v>
      </c>
      <c r="CX75" s="398">
        <f t="shared" si="134"/>
        <v>0</v>
      </c>
      <c r="CY75" s="398">
        <f t="shared" si="134"/>
        <v>0</v>
      </c>
      <c r="CZ75" s="398">
        <f t="shared" si="134"/>
        <v>0</v>
      </c>
      <c r="DA75" s="398">
        <f t="shared" si="134"/>
        <v>0</v>
      </c>
      <c r="DB75" s="398">
        <f t="shared" si="134"/>
        <v>0</v>
      </c>
      <c r="DC75" s="398">
        <f t="shared" si="134"/>
        <v>0</v>
      </c>
      <c r="DD75" s="398">
        <f>SUM(CR75:DC75)</f>
        <v>0</v>
      </c>
      <c r="DE75" s="2858"/>
      <c r="DF75" s="398">
        <f>SUM(DF76:DF77)</f>
        <v>0</v>
      </c>
      <c r="DG75" s="398">
        <f>SUM(DG76:DG77)</f>
        <v>0</v>
      </c>
      <c r="DH75" s="398">
        <f>SUM(DH76:DH77)</f>
        <v>0</v>
      </c>
      <c r="DI75" s="3087">
        <f>SUM(DF75:DH75)</f>
        <v>0</v>
      </c>
      <c r="DJ75" s="3129">
        <f t="shared" ref="DJ75:DJ138" si="135">+AZ75+BN75+CB75+CP75+DD75+DI75</f>
        <v>535000</v>
      </c>
      <c r="DL75" s="3348">
        <f t="shared" si="129"/>
        <v>0</v>
      </c>
      <c r="DN75" s="2725" t="s">
        <v>1175</v>
      </c>
      <c r="DO75" s="2726" t="s">
        <v>1175</v>
      </c>
      <c r="DP75" s="2726"/>
      <c r="DQ75" s="2726" t="s">
        <v>1175</v>
      </c>
      <c r="DR75" s="2726" t="str">
        <f t="shared" si="4"/>
        <v>1</v>
      </c>
      <c r="DS75" s="2858"/>
      <c r="DT75" s="2858"/>
    </row>
    <row r="76" spans="1:130" s="881" customFormat="1" ht="36" hidden="1" customHeight="1" outlineLevel="4">
      <c r="B76" s="2865"/>
      <c r="C76" s="3309" t="s">
        <v>713</v>
      </c>
      <c r="D76" s="3310" t="s">
        <v>713</v>
      </c>
      <c r="E76" s="588"/>
      <c r="F76" s="3331" t="s">
        <v>713</v>
      </c>
      <c r="G76" s="2838" t="s">
        <v>1279</v>
      </c>
      <c r="H76" s="3349" t="s">
        <v>714</v>
      </c>
      <c r="I76" s="3350"/>
      <c r="J76" s="103" t="s">
        <v>1297</v>
      </c>
      <c r="K76" s="1037"/>
      <c r="L76" s="3974" t="s">
        <v>1298</v>
      </c>
      <c r="M76" s="3972"/>
      <c r="N76" s="3972"/>
      <c r="O76" s="3972"/>
      <c r="P76" s="3972"/>
      <c r="Q76" s="3972"/>
      <c r="R76" s="3972"/>
      <c r="S76" s="3972"/>
      <c r="T76" s="2234"/>
      <c r="U76" s="3972"/>
      <c r="V76" s="1037"/>
      <c r="W76" s="3351" t="s">
        <v>715</v>
      </c>
      <c r="X76" s="3351" t="s">
        <v>1075</v>
      </c>
      <c r="Y76" s="3351" t="s">
        <v>1289</v>
      </c>
      <c r="Z76" s="3342">
        <v>13</v>
      </c>
      <c r="AA76" s="3351"/>
      <c r="AB76" s="3352"/>
      <c r="AC76" s="1037"/>
      <c r="AD76" s="620" t="s">
        <v>1179</v>
      </c>
      <c r="AE76" s="3353">
        <v>1</v>
      </c>
      <c r="AF76" s="3353">
        <v>4</v>
      </c>
      <c r="AG76" s="3353"/>
      <c r="AH76" s="3354">
        <v>35000</v>
      </c>
      <c r="AI76" s="485">
        <f>+AH76*AE76</f>
        <v>35000</v>
      </c>
      <c r="AJ76" s="620" t="s">
        <v>1299</v>
      </c>
      <c r="AK76" s="1037"/>
      <c r="AL76" s="3354">
        <f>+AI76</f>
        <v>35000</v>
      </c>
      <c r="AM76" s="3354"/>
      <c r="AN76" s="3354">
        <f t="shared" si="124"/>
        <v>35000</v>
      </c>
      <c r="AO76" s="1037"/>
      <c r="AP76" s="3355"/>
      <c r="AQ76" s="3355"/>
      <c r="AR76" s="3355"/>
      <c r="AS76" s="3355"/>
      <c r="AT76" s="3355"/>
      <c r="AU76" s="3355"/>
      <c r="AV76" s="3355"/>
      <c r="AW76" s="3355"/>
      <c r="AX76" s="3355"/>
      <c r="AY76" s="3355"/>
      <c r="AZ76" s="3356">
        <f t="shared" si="9"/>
        <v>0</v>
      </c>
      <c r="BA76" s="1037"/>
      <c r="BB76" s="3355"/>
      <c r="BC76" s="3355"/>
      <c r="BD76" s="3355"/>
      <c r="BE76" s="3355"/>
      <c r="BF76" s="3355"/>
      <c r="BG76" s="3355"/>
      <c r="BH76" s="3355">
        <v>7000</v>
      </c>
      <c r="BI76" s="3355"/>
      <c r="BJ76" s="3355">
        <v>10500</v>
      </c>
      <c r="BK76" s="3355">
        <v>10500</v>
      </c>
      <c r="BL76" s="3355">
        <v>7000</v>
      </c>
      <c r="BM76" s="3355"/>
      <c r="BN76" s="2026">
        <f t="shared" si="11"/>
        <v>35000</v>
      </c>
      <c r="BO76" s="1037"/>
      <c r="BP76" s="3355"/>
      <c r="BQ76" s="3355"/>
      <c r="BR76" s="3355"/>
      <c r="BS76" s="3355"/>
      <c r="BT76" s="3355"/>
      <c r="BU76" s="3355"/>
      <c r="BV76" s="3355"/>
      <c r="BW76" s="3355"/>
      <c r="BX76" s="3355"/>
      <c r="BY76" s="3355"/>
      <c r="BZ76" s="3355"/>
      <c r="CA76" s="3355"/>
      <c r="CB76" s="2011">
        <f t="shared" si="13"/>
        <v>0</v>
      </c>
      <c r="CC76" s="1037"/>
      <c r="CD76" s="3355"/>
      <c r="CE76" s="3355"/>
      <c r="CF76" s="3355"/>
      <c r="CG76" s="3355"/>
      <c r="CH76" s="3355"/>
      <c r="CI76" s="3355"/>
      <c r="CJ76" s="3355"/>
      <c r="CK76" s="3355"/>
      <c r="CL76" s="3355"/>
      <c r="CM76" s="3355"/>
      <c r="CN76" s="3355"/>
      <c r="CO76" s="3355"/>
      <c r="CP76" s="2014">
        <f t="shared" si="23"/>
        <v>0</v>
      </c>
      <c r="CQ76" s="1037"/>
      <c r="CR76" s="3355"/>
      <c r="CS76" s="3355"/>
      <c r="CT76" s="3355"/>
      <c r="CU76" s="3355"/>
      <c r="CV76" s="3355"/>
      <c r="CW76" s="3355"/>
      <c r="CX76" s="3355"/>
      <c r="CY76" s="3355"/>
      <c r="CZ76" s="3355"/>
      <c r="DA76" s="3355"/>
      <c r="DB76" s="3355"/>
      <c r="DC76" s="3355"/>
      <c r="DD76" s="2008">
        <f>SUM(CR76:DC76)</f>
        <v>0</v>
      </c>
      <c r="DE76" s="1037"/>
      <c r="DF76" s="3355"/>
      <c r="DG76" s="3355"/>
      <c r="DH76" s="3355"/>
      <c r="DI76" s="2008">
        <f>SUM(DF76:DH76)</f>
        <v>0</v>
      </c>
      <c r="DJ76" s="3121">
        <f t="shared" si="135"/>
        <v>35000</v>
      </c>
      <c r="DK76" s="108"/>
      <c r="DL76" s="3317">
        <f t="shared" si="129"/>
        <v>0</v>
      </c>
      <c r="DN76" s="2732" t="s">
        <v>1180</v>
      </c>
      <c r="DO76" s="2736" t="s">
        <v>1181</v>
      </c>
      <c r="DP76" s="2730" t="s">
        <v>1117</v>
      </c>
      <c r="DQ76" s="2736" t="s">
        <v>4</v>
      </c>
      <c r="DR76" s="2736" t="str">
        <f t="shared" si="4"/>
        <v>1</v>
      </c>
      <c r="DS76" s="1037"/>
      <c r="DT76" s="1037"/>
    </row>
    <row r="77" spans="1:130" s="881" customFormat="1" ht="53" hidden="1" customHeight="1" outlineLevel="4">
      <c r="B77" s="2865"/>
      <c r="C77" s="3309" t="s">
        <v>716</v>
      </c>
      <c r="D77" s="3310" t="s">
        <v>716</v>
      </c>
      <c r="E77" s="588"/>
      <c r="F77" s="3331" t="s">
        <v>716</v>
      </c>
      <c r="G77" s="2838" t="s">
        <v>1279</v>
      </c>
      <c r="H77" s="3349" t="s">
        <v>717</v>
      </c>
      <c r="I77" s="3350"/>
      <c r="J77" s="103" t="s">
        <v>1300</v>
      </c>
      <c r="K77" s="1037"/>
      <c r="L77" s="3975"/>
      <c r="M77" s="3973"/>
      <c r="N77" s="3973"/>
      <c r="O77" s="3973"/>
      <c r="P77" s="3973"/>
      <c r="Q77" s="3973"/>
      <c r="R77" s="3973"/>
      <c r="S77" s="3973"/>
      <c r="T77" s="2235"/>
      <c r="U77" s="3973"/>
      <c r="V77" s="1037"/>
      <c r="W77" s="3351" t="s">
        <v>718</v>
      </c>
      <c r="X77" s="3351" t="s">
        <v>1075</v>
      </c>
      <c r="Y77" s="2987" t="s">
        <v>1193</v>
      </c>
      <c r="Z77" s="3357" t="s">
        <v>1301</v>
      </c>
      <c r="AA77" s="3351"/>
      <c r="AB77" s="3352"/>
      <c r="AC77" s="1037"/>
      <c r="AD77" s="620" t="s">
        <v>1179</v>
      </c>
      <c r="AE77" s="3353">
        <v>1</v>
      </c>
      <c r="AF77" s="3353"/>
      <c r="AG77" s="3353"/>
      <c r="AH77" s="3354">
        <v>500000</v>
      </c>
      <c r="AI77" s="485">
        <f>+AH77*AE77</f>
        <v>500000</v>
      </c>
      <c r="AJ77" s="620" t="s">
        <v>1302</v>
      </c>
      <c r="AK77" s="1037"/>
      <c r="AL77" s="3354">
        <f>+AI77</f>
        <v>500000</v>
      </c>
      <c r="AM77" s="3354"/>
      <c r="AN77" s="3354">
        <f t="shared" si="124"/>
        <v>500000</v>
      </c>
      <c r="AO77" s="1037"/>
      <c r="AP77" s="1293"/>
      <c r="AQ77" s="1293"/>
      <c r="AR77" s="1293"/>
      <c r="AS77" s="1293"/>
      <c r="AT77" s="1293"/>
      <c r="AU77" s="1293"/>
      <c r="AV77" s="1293"/>
      <c r="AW77" s="1293"/>
      <c r="AX77" s="1293"/>
      <c r="AY77" s="1293"/>
      <c r="AZ77" s="2013">
        <f t="shared" si="9"/>
        <v>0</v>
      </c>
      <c r="BA77" s="1037"/>
      <c r="BB77" s="1293"/>
      <c r="BC77" s="1293"/>
      <c r="BD77" s="1293"/>
      <c r="BE77" s="1293"/>
      <c r="BF77" s="1293"/>
      <c r="BG77" s="1293"/>
      <c r="BH77" s="1293"/>
      <c r="BI77" s="1293"/>
      <c r="BJ77" s="1293"/>
      <c r="BK77" s="1293"/>
      <c r="BL77" s="1293"/>
      <c r="BM77" s="1293"/>
      <c r="BN77" s="2498">
        <f t="shared" si="11"/>
        <v>0</v>
      </c>
      <c r="BO77" s="1037"/>
      <c r="BP77" s="2489"/>
      <c r="BQ77" s="1293"/>
      <c r="BR77" s="1293"/>
      <c r="BS77" s="2489"/>
      <c r="BT77" s="1293"/>
      <c r="BU77" s="2489"/>
      <c r="BV77" s="2489"/>
      <c r="BW77" s="2489"/>
      <c r="BX77" s="2489"/>
      <c r="BY77" s="2489"/>
      <c r="BZ77" s="2489"/>
      <c r="CA77" s="2489"/>
      <c r="CB77" s="2498">
        <f t="shared" si="13"/>
        <v>0</v>
      </c>
      <c r="CC77" s="1037"/>
      <c r="CD77" s="2489"/>
      <c r="CE77" s="2489"/>
      <c r="CF77" s="2489">
        <f>+$AH$77*0.2</f>
        <v>100000</v>
      </c>
      <c r="CG77" s="2489"/>
      <c r="CH77" s="3355"/>
      <c r="CI77" s="2489">
        <f>+$AH$77*0.4</f>
        <v>200000</v>
      </c>
      <c r="CJ77" s="1293"/>
      <c r="CK77" s="1293"/>
      <c r="CL77" s="1293">
        <f>+$AH$77*0.4</f>
        <v>200000</v>
      </c>
      <c r="CM77" s="1293"/>
      <c r="CN77" s="1293"/>
      <c r="CO77" s="1293"/>
      <c r="CP77" s="2013">
        <f t="shared" si="23"/>
        <v>500000</v>
      </c>
      <c r="CQ77" s="1037"/>
      <c r="CR77" s="1293"/>
      <c r="CS77" s="1293"/>
      <c r="CT77" s="1293"/>
      <c r="CU77" s="1293"/>
      <c r="CV77" s="1293"/>
      <c r="CW77" s="1293"/>
      <c r="CX77" s="1293"/>
      <c r="CY77" s="1293"/>
      <c r="CZ77" s="1293"/>
      <c r="DA77" s="1293"/>
      <c r="DB77" s="1293"/>
      <c r="DC77" s="1293"/>
      <c r="DD77" s="2013">
        <f>SUM(CR77:DC77)</f>
        <v>0</v>
      </c>
      <c r="DE77" s="1037"/>
      <c r="DF77" s="1293"/>
      <c r="DG77" s="1293"/>
      <c r="DH77" s="1293"/>
      <c r="DI77" s="2013">
        <f>SUM(DF77:DH77)</f>
        <v>0</v>
      </c>
      <c r="DJ77" s="3130">
        <f t="shared" si="135"/>
        <v>500000</v>
      </c>
      <c r="DK77" s="108"/>
      <c r="DL77" s="3317">
        <f t="shared" si="129"/>
        <v>0</v>
      </c>
      <c r="DN77" s="2729" t="s">
        <v>1180</v>
      </c>
      <c r="DO77" s="2730" t="s">
        <v>1181</v>
      </c>
      <c r="DP77" s="2730" t="s">
        <v>1117</v>
      </c>
      <c r="DQ77" s="2730" t="s">
        <v>4</v>
      </c>
      <c r="DR77" s="2730" t="str">
        <f t="shared" si="4"/>
        <v>1</v>
      </c>
      <c r="DS77" s="1037"/>
      <c r="DT77" s="1037"/>
    </row>
    <row r="78" spans="1:130" s="153" customFormat="1" ht="27" hidden="1" customHeight="1" outlineLevel="3">
      <c r="B78" s="2839"/>
      <c r="C78" s="3306" t="s">
        <v>719</v>
      </c>
      <c r="D78" s="2941" t="s">
        <v>719</v>
      </c>
      <c r="E78" s="2830"/>
      <c r="F78" s="3307" t="s">
        <v>719</v>
      </c>
      <c r="G78" s="2833"/>
      <c r="H78" s="3308" t="s">
        <v>720</v>
      </c>
      <c r="I78" s="3308"/>
      <c r="J78" s="1250" t="s">
        <v>1297</v>
      </c>
      <c r="K78" s="2858"/>
      <c r="L78" s="851"/>
      <c r="M78" s="851"/>
      <c r="N78" s="3347"/>
      <c r="O78" s="3347"/>
      <c r="P78" s="3347"/>
      <c r="Q78" s="3347"/>
      <c r="R78" s="3347"/>
      <c r="S78" s="3347"/>
      <c r="T78" s="3347"/>
      <c r="U78" s="3347"/>
      <c r="V78" s="2858"/>
      <c r="W78" s="851"/>
      <c r="X78" s="851"/>
      <c r="Y78" s="851"/>
      <c r="Z78" s="851"/>
      <c r="AA78" s="851"/>
      <c r="AB78" s="1250"/>
      <c r="AC78" s="2858"/>
      <c r="AD78" s="2840"/>
      <c r="AE78" s="397"/>
      <c r="AF78" s="397"/>
      <c r="AG78" s="397"/>
      <c r="AH78" s="398"/>
      <c r="AI78" s="398">
        <f>SUM(AI79:AI80)</f>
        <v>425000</v>
      </c>
      <c r="AJ78" s="691"/>
      <c r="AK78" s="2858"/>
      <c r="AL78" s="1263">
        <f>SUM(AL79:AL80)</f>
        <v>425000</v>
      </c>
      <c r="AM78" s="1263">
        <f>SUM(AM79:AM80)</f>
        <v>0</v>
      </c>
      <c r="AN78" s="1263">
        <f t="shared" si="124"/>
        <v>425000</v>
      </c>
      <c r="AO78" s="2858"/>
      <c r="AP78" s="992">
        <f t="shared" ref="AP78:AY78" si="136">SUM(AP79:AP80)</f>
        <v>0</v>
      </c>
      <c r="AQ78" s="992">
        <f t="shared" si="136"/>
        <v>0</v>
      </c>
      <c r="AR78" s="992">
        <f t="shared" si="136"/>
        <v>0</v>
      </c>
      <c r="AS78" s="992">
        <f t="shared" si="136"/>
        <v>0</v>
      </c>
      <c r="AT78" s="992">
        <f t="shared" si="136"/>
        <v>0</v>
      </c>
      <c r="AU78" s="992">
        <f t="shared" si="136"/>
        <v>0</v>
      </c>
      <c r="AV78" s="992">
        <f t="shared" si="136"/>
        <v>0</v>
      </c>
      <c r="AW78" s="992">
        <f t="shared" si="136"/>
        <v>0</v>
      </c>
      <c r="AX78" s="992">
        <f t="shared" si="136"/>
        <v>0</v>
      </c>
      <c r="AY78" s="992">
        <f t="shared" si="136"/>
        <v>0</v>
      </c>
      <c r="AZ78" s="992">
        <f t="shared" si="9"/>
        <v>0</v>
      </c>
      <c r="BA78" s="1037"/>
      <c r="BB78" s="992">
        <f t="shared" ref="BB78:BM78" si="137">SUM(BB79:BB80)</f>
        <v>0</v>
      </c>
      <c r="BC78" s="992">
        <f t="shared" si="137"/>
        <v>0</v>
      </c>
      <c r="BD78" s="992">
        <f t="shared" si="137"/>
        <v>0</v>
      </c>
      <c r="BE78" s="992">
        <f t="shared" si="137"/>
        <v>0</v>
      </c>
      <c r="BF78" s="992">
        <f t="shared" si="137"/>
        <v>0</v>
      </c>
      <c r="BG78" s="992">
        <f t="shared" si="137"/>
        <v>0</v>
      </c>
      <c r="BH78" s="992">
        <f t="shared" si="137"/>
        <v>0</v>
      </c>
      <c r="BI78" s="992">
        <f t="shared" si="137"/>
        <v>0</v>
      </c>
      <c r="BJ78" s="992">
        <f t="shared" si="137"/>
        <v>0</v>
      </c>
      <c r="BK78" s="992">
        <f t="shared" si="137"/>
        <v>0</v>
      </c>
      <c r="BL78" s="992">
        <f t="shared" si="137"/>
        <v>0</v>
      </c>
      <c r="BM78" s="992">
        <f t="shared" si="137"/>
        <v>0</v>
      </c>
      <c r="BN78" s="992">
        <f t="shared" si="11"/>
        <v>0</v>
      </c>
      <c r="BO78" s="2858"/>
      <c r="BP78" s="992">
        <f t="shared" ref="BP78:CA78" si="138">SUM(BP79:BP80)</f>
        <v>0</v>
      </c>
      <c r="BQ78" s="992">
        <f t="shared" si="138"/>
        <v>0</v>
      </c>
      <c r="BR78" s="992">
        <f t="shared" si="138"/>
        <v>0</v>
      </c>
      <c r="BS78" s="992">
        <f t="shared" si="138"/>
        <v>0</v>
      </c>
      <c r="BT78" s="992">
        <f t="shared" si="138"/>
        <v>0</v>
      </c>
      <c r="BU78" s="992">
        <f t="shared" si="138"/>
        <v>0</v>
      </c>
      <c r="BV78" s="992">
        <f t="shared" si="138"/>
        <v>0</v>
      </c>
      <c r="BW78" s="992">
        <f t="shared" si="138"/>
        <v>0</v>
      </c>
      <c r="BX78" s="992">
        <f t="shared" si="138"/>
        <v>0</v>
      </c>
      <c r="BY78" s="992">
        <f t="shared" si="138"/>
        <v>0</v>
      </c>
      <c r="BZ78" s="992">
        <f t="shared" si="138"/>
        <v>0</v>
      </c>
      <c r="CA78" s="992">
        <f t="shared" si="138"/>
        <v>0</v>
      </c>
      <c r="CB78" s="992">
        <f t="shared" si="13"/>
        <v>0</v>
      </c>
      <c r="CC78" s="2858"/>
      <c r="CD78" s="992">
        <f t="shared" ref="CD78:CO78" si="139">SUM(CD79:CD80)</f>
        <v>0</v>
      </c>
      <c r="CE78" s="992">
        <f>SUM(CE79:CE80)</f>
        <v>0</v>
      </c>
      <c r="CF78" s="992">
        <f t="shared" si="139"/>
        <v>25000</v>
      </c>
      <c r="CG78" s="992">
        <f t="shared" si="139"/>
        <v>0</v>
      </c>
      <c r="CH78" s="992">
        <f>SUM(CH79:CH80)</f>
        <v>0</v>
      </c>
      <c r="CI78" s="992">
        <f t="shared" si="139"/>
        <v>60000</v>
      </c>
      <c r="CJ78" s="992">
        <f t="shared" si="139"/>
        <v>0</v>
      </c>
      <c r="CK78" s="992">
        <f t="shared" si="139"/>
        <v>0</v>
      </c>
      <c r="CL78" s="992">
        <f t="shared" si="139"/>
        <v>50000</v>
      </c>
      <c r="CM78" s="992">
        <f t="shared" si="139"/>
        <v>0</v>
      </c>
      <c r="CN78" s="992">
        <f t="shared" si="139"/>
        <v>0</v>
      </c>
      <c r="CO78" s="992">
        <f t="shared" si="139"/>
        <v>0</v>
      </c>
      <c r="CP78" s="993">
        <f t="shared" si="23"/>
        <v>135000</v>
      </c>
      <c r="CQ78" s="2858"/>
      <c r="CR78" s="992">
        <f t="shared" ref="CR78:DC78" si="140">SUM(CR79:CR80)</f>
        <v>50000</v>
      </c>
      <c r="CS78" s="992">
        <f t="shared" si="140"/>
        <v>50000</v>
      </c>
      <c r="CT78" s="992">
        <f>SUM(CT79:CT80)</f>
        <v>0</v>
      </c>
      <c r="CU78" s="992">
        <f t="shared" si="140"/>
        <v>50000</v>
      </c>
      <c r="CV78" s="992">
        <f t="shared" si="140"/>
        <v>0</v>
      </c>
      <c r="CW78" s="992">
        <f>SUM(CW79:CW80)</f>
        <v>0</v>
      </c>
      <c r="CX78" s="992">
        <f t="shared" si="140"/>
        <v>50000</v>
      </c>
      <c r="CY78" s="992">
        <f t="shared" si="140"/>
        <v>0</v>
      </c>
      <c r="CZ78" s="992">
        <f t="shared" si="140"/>
        <v>0</v>
      </c>
      <c r="DA78" s="992">
        <f>SUM(DA79:DA80)</f>
        <v>0</v>
      </c>
      <c r="DB78" s="992">
        <f t="shared" si="140"/>
        <v>90000</v>
      </c>
      <c r="DC78" s="992">
        <f t="shared" si="140"/>
        <v>0</v>
      </c>
      <c r="DD78" s="994">
        <f>SUM(CR78:DC78)</f>
        <v>290000</v>
      </c>
      <c r="DE78" s="2858"/>
      <c r="DF78" s="992">
        <f>SUM(DF79:DF80)</f>
        <v>0</v>
      </c>
      <c r="DG78" s="992">
        <f>SUM(DG79:DG80)</f>
        <v>0</v>
      </c>
      <c r="DH78" s="992">
        <f>SUM(DH79:DH80)</f>
        <v>0</v>
      </c>
      <c r="DI78" s="3083">
        <f>SUM(DF78:DH78)</f>
        <v>0</v>
      </c>
      <c r="DJ78" s="3122">
        <f t="shared" si="135"/>
        <v>425000</v>
      </c>
      <c r="DL78" s="3348">
        <f t="shared" si="129"/>
        <v>0</v>
      </c>
      <c r="DN78" s="2727" t="s">
        <v>1175</v>
      </c>
      <c r="DO78" s="2728" t="s">
        <v>1175</v>
      </c>
      <c r="DP78" s="2728"/>
      <c r="DQ78" s="2728" t="s">
        <v>1175</v>
      </c>
      <c r="DR78" s="2728" t="str">
        <f t="shared" si="4"/>
        <v>1</v>
      </c>
      <c r="DS78" s="2858"/>
      <c r="DT78" s="2858"/>
    </row>
    <row r="79" spans="1:130" s="881" customFormat="1" ht="42.5" hidden="1" customHeight="1" outlineLevel="4">
      <c r="B79" s="2860"/>
      <c r="C79" s="3309" t="s">
        <v>721</v>
      </c>
      <c r="D79" s="3310" t="s">
        <v>721</v>
      </c>
      <c r="E79" s="588"/>
      <c r="F79" s="3331" t="s">
        <v>721</v>
      </c>
      <c r="G79" s="2838"/>
      <c r="H79" s="3349" t="s">
        <v>722</v>
      </c>
      <c r="I79" s="3350"/>
      <c r="J79" s="103" t="s">
        <v>1300</v>
      </c>
      <c r="K79" s="1037"/>
      <c r="L79" s="611" t="s">
        <v>247</v>
      </c>
      <c r="M79" s="3358"/>
      <c r="N79" s="3358"/>
      <c r="O79" s="3358"/>
      <c r="P79" s="3358"/>
      <c r="Q79" s="3358"/>
      <c r="R79" s="3358"/>
      <c r="S79" s="3358"/>
      <c r="T79" s="3358"/>
      <c r="U79" s="3358"/>
      <c r="V79" s="1037"/>
      <c r="W79" s="858" t="s">
        <v>802</v>
      </c>
      <c r="X79" s="858"/>
      <c r="Y79" s="2513"/>
      <c r="Z79" s="853">
        <v>71</v>
      </c>
      <c r="AA79" s="858"/>
      <c r="AB79" s="3352"/>
      <c r="AC79" s="1037"/>
      <c r="AD79" s="711" t="s">
        <v>1179</v>
      </c>
      <c r="AE79" s="712">
        <v>1</v>
      </c>
      <c r="AF79" s="179"/>
      <c r="AG79" s="179"/>
      <c r="AH79" s="3359">
        <v>25000</v>
      </c>
      <c r="AI79" s="485">
        <f>+AH79*AE79</f>
        <v>25000</v>
      </c>
      <c r="AJ79" s="1267"/>
      <c r="AK79" s="1037"/>
      <c r="AL79" s="1032">
        <f>+AI79</f>
        <v>25000</v>
      </c>
      <c r="AM79" s="1032"/>
      <c r="AN79" s="1041">
        <f t="shared" si="124"/>
        <v>25000</v>
      </c>
      <c r="AO79" s="1037"/>
      <c r="AP79" s="986"/>
      <c r="AQ79" s="986"/>
      <c r="AR79" s="986"/>
      <c r="AS79" s="986"/>
      <c r="AT79" s="986"/>
      <c r="AU79" s="986"/>
      <c r="AV79" s="986"/>
      <c r="AW79" s="986"/>
      <c r="AX79" s="986"/>
      <c r="AY79" s="986"/>
      <c r="AZ79" s="2011">
        <f t="shared" si="9"/>
        <v>0</v>
      </c>
      <c r="BA79" s="1037"/>
      <c r="BB79" s="986"/>
      <c r="BC79" s="986"/>
      <c r="BD79" s="986"/>
      <c r="BE79" s="986"/>
      <c r="BF79" s="986"/>
      <c r="BG79" s="986"/>
      <c r="BH79" s="986"/>
      <c r="BI79" s="986"/>
      <c r="BJ79" s="986"/>
      <c r="BK79" s="986"/>
      <c r="BL79" s="986"/>
      <c r="BM79" s="986"/>
      <c r="BN79" s="2011">
        <f t="shared" si="11"/>
        <v>0</v>
      </c>
      <c r="BO79" s="1037"/>
      <c r="BP79" s="986"/>
      <c r="BQ79" s="986"/>
      <c r="BR79" s="986"/>
      <c r="BS79" s="986"/>
      <c r="BT79" s="986"/>
      <c r="BU79" s="986"/>
      <c r="BV79" s="1015"/>
      <c r="BW79" s="1015"/>
      <c r="BX79" s="1015"/>
      <c r="BY79" s="1015"/>
      <c r="BZ79" s="1015"/>
      <c r="CA79" s="1015"/>
      <c r="CB79" s="2026">
        <f t="shared" si="13"/>
        <v>0</v>
      </c>
      <c r="CC79" s="1037"/>
      <c r="CD79" s="1015"/>
      <c r="CE79" s="1015"/>
      <c r="CF79" s="1015">
        <f>+$AL$79</f>
        <v>25000</v>
      </c>
      <c r="CG79" s="1015"/>
      <c r="CH79" s="1015"/>
      <c r="CI79" s="1015"/>
      <c r="CJ79" s="1015"/>
      <c r="CK79" s="1015"/>
      <c r="CL79" s="1015"/>
      <c r="CM79" s="1015"/>
      <c r="CN79" s="1015"/>
      <c r="CO79" s="1015"/>
      <c r="CP79" s="2035">
        <f t="shared" si="23"/>
        <v>25000</v>
      </c>
      <c r="CQ79" s="1037"/>
      <c r="CR79" s="1015"/>
      <c r="CS79" s="1015"/>
      <c r="CT79" s="1015"/>
      <c r="CU79" s="1015"/>
      <c r="CV79" s="986"/>
      <c r="CW79" s="986"/>
      <c r="CX79" s="986"/>
      <c r="CY79" s="986"/>
      <c r="CZ79" s="986"/>
      <c r="DA79" s="986"/>
      <c r="DB79" s="986"/>
      <c r="DC79" s="986"/>
      <c r="DD79" s="995">
        <f>SUM(CR79:DC79)</f>
        <v>0</v>
      </c>
      <c r="DE79" s="1037"/>
      <c r="DF79" s="986"/>
      <c r="DG79" s="986"/>
      <c r="DH79" s="986"/>
      <c r="DI79" s="3085">
        <f>SUM(DF79:DH79)</f>
        <v>0</v>
      </c>
      <c r="DJ79" s="3125">
        <f t="shared" si="135"/>
        <v>25000</v>
      </c>
      <c r="DK79" s="108"/>
      <c r="DL79" s="3317">
        <f t="shared" si="129"/>
        <v>0</v>
      </c>
      <c r="DN79" s="2716" t="s">
        <v>1303</v>
      </c>
      <c r="DO79" s="2740" t="s">
        <v>1304</v>
      </c>
      <c r="DP79" s="2740" t="s">
        <v>1160</v>
      </c>
      <c r="DQ79" s="2740" t="s">
        <v>4</v>
      </c>
      <c r="DR79" s="2740" t="str">
        <f t="shared" si="4"/>
        <v>1</v>
      </c>
      <c r="DS79" s="1037"/>
      <c r="DT79" s="1037"/>
    </row>
    <row r="80" spans="1:130" s="881" customFormat="1" ht="41.5" hidden="1" customHeight="1" outlineLevel="4">
      <c r="B80" s="2860"/>
      <c r="C80" s="3309" t="s">
        <v>724</v>
      </c>
      <c r="D80" s="3310" t="s">
        <v>724</v>
      </c>
      <c r="E80" s="588"/>
      <c r="F80" s="3331" t="s">
        <v>724</v>
      </c>
      <c r="G80" s="2838" t="s">
        <v>1279</v>
      </c>
      <c r="H80" s="3349" t="s">
        <v>725</v>
      </c>
      <c r="I80" s="3350"/>
      <c r="J80" s="103" t="s">
        <v>1300</v>
      </c>
      <c r="K80" s="1037"/>
      <c r="L80" s="611" t="s">
        <v>1305</v>
      </c>
      <c r="M80" s="3358"/>
      <c r="N80" s="3358"/>
      <c r="O80" s="3358"/>
      <c r="P80" s="3358"/>
      <c r="Q80" s="3358"/>
      <c r="R80" s="3358"/>
      <c r="S80" s="3358"/>
      <c r="T80" s="3358"/>
      <c r="U80" s="3358"/>
      <c r="V80" s="1037"/>
      <c r="W80" s="3351" t="s">
        <v>718</v>
      </c>
      <c r="X80" s="3351" t="s">
        <v>1075</v>
      </c>
      <c r="Y80" s="2987" t="s">
        <v>1193</v>
      </c>
      <c r="Z80" s="3357" t="s">
        <v>1306</v>
      </c>
      <c r="AA80" s="3351"/>
      <c r="AB80" s="3352"/>
      <c r="AC80" s="1037"/>
      <c r="AD80" s="711" t="s">
        <v>1179</v>
      </c>
      <c r="AE80" s="712">
        <v>1</v>
      </c>
      <c r="AF80" s="179"/>
      <c r="AG80" s="179"/>
      <c r="AH80" s="3359">
        <v>400000</v>
      </c>
      <c r="AI80" s="485">
        <f>+AH80*AE80</f>
        <v>400000</v>
      </c>
      <c r="AJ80" s="1267"/>
      <c r="AK80" s="1037"/>
      <c r="AL80" s="1032">
        <f>+AI80</f>
        <v>400000</v>
      </c>
      <c r="AM80" s="1032"/>
      <c r="AN80" s="1041">
        <f t="shared" si="124"/>
        <v>400000</v>
      </c>
      <c r="AO80" s="1037"/>
      <c r="AP80" s="986"/>
      <c r="AQ80" s="986"/>
      <c r="AR80" s="986"/>
      <c r="AS80" s="986"/>
      <c r="AT80" s="986"/>
      <c r="AU80" s="986"/>
      <c r="AV80" s="986"/>
      <c r="AW80" s="986"/>
      <c r="AX80" s="986"/>
      <c r="AY80" s="986"/>
      <c r="AZ80" s="2011">
        <f t="shared" si="9"/>
        <v>0</v>
      </c>
      <c r="BA80" s="1037"/>
      <c r="BB80" s="986"/>
      <c r="BC80" s="986"/>
      <c r="BD80" s="986"/>
      <c r="BE80" s="986"/>
      <c r="BF80" s="986"/>
      <c r="BG80" s="986"/>
      <c r="BH80" s="986"/>
      <c r="BI80" s="986"/>
      <c r="BJ80" s="986"/>
      <c r="BK80" s="986"/>
      <c r="BL80" s="986"/>
      <c r="BM80" s="986"/>
      <c r="BN80" s="2011">
        <f t="shared" si="11"/>
        <v>0</v>
      </c>
      <c r="BO80" s="1037"/>
      <c r="BP80" s="1293"/>
      <c r="BQ80" s="1293"/>
      <c r="BR80" s="1293"/>
      <c r="BS80" s="1293"/>
      <c r="BT80" s="1293"/>
      <c r="BU80" s="1293"/>
      <c r="BV80" s="2489"/>
      <c r="BW80" s="1015"/>
      <c r="BX80" s="1015"/>
      <c r="BY80" s="1015"/>
      <c r="BZ80" s="2489"/>
      <c r="CA80" s="108"/>
      <c r="CB80" s="2026">
        <f>SUM(BP80:CA80)</f>
        <v>0</v>
      </c>
      <c r="CC80" s="1037"/>
      <c r="CD80" s="1015"/>
      <c r="CE80" s="1015"/>
      <c r="CF80" s="1015"/>
      <c r="CG80" s="108"/>
      <c r="CH80" s="1015"/>
      <c r="CI80" s="1015">
        <f>+$AH$80*0.15</f>
        <v>60000</v>
      </c>
      <c r="CJ80" s="2489"/>
      <c r="CK80" s="1015"/>
      <c r="CL80" s="1015">
        <f>+$AH$80*0.125</f>
        <v>50000</v>
      </c>
      <c r="CM80" s="1015"/>
      <c r="CN80" s="2489"/>
      <c r="CO80" s="1015"/>
      <c r="CP80" s="2026">
        <f t="shared" si="23"/>
        <v>110000</v>
      </c>
      <c r="CQ80" s="1037"/>
      <c r="CR80" s="1015">
        <f>+$AH$80*0.125</f>
        <v>50000</v>
      </c>
      <c r="CS80" s="1015">
        <f>+$AH$80*0.125</f>
        <v>50000</v>
      </c>
      <c r="CT80" s="1015"/>
      <c r="CU80" s="1015">
        <f>+$AH$80*0.125</f>
        <v>50000</v>
      </c>
      <c r="CV80" s="1015"/>
      <c r="CW80" s="1015"/>
      <c r="CX80" s="1015">
        <f>+$AH$80*0.125</f>
        <v>50000</v>
      </c>
      <c r="CY80" s="108"/>
      <c r="CZ80" s="1015"/>
      <c r="DA80" s="1015"/>
      <c r="DB80" s="1015">
        <f>+$AH$80*0.225</f>
        <v>90000</v>
      </c>
      <c r="DC80" s="108"/>
      <c r="DD80" s="2026">
        <f>SUM(CR80:DB80)</f>
        <v>290000</v>
      </c>
      <c r="DE80" s="1037"/>
      <c r="DF80" s="1015"/>
      <c r="DG80" s="1015"/>
      <c r="DH80" s="108"/>
      <c r="DI80" s="2008">
        <f>SUM(DF80:DG80)</f>
        <v>0</v>
      </c>
      <c r="DJ80" s="3121">
        <f t="shared" si="135"/>
        <v>400000</v>
      </c>
      <c r="DK80" s="108"/>
      <c r="DL80" s="3317">
        <f t="shared" si="129"/>
        <v>0</v>
      </c>
      <c r="DN80" s="2743" t="s">
        <v>1180</v>
      </c>
      <c r="DO80" s="2736" t="s">
        <v>1181</v>
      </c>
      <c r="DP80" s="2736" t="s">
        <v>1117</v>
      </c>
      <c r="DQ80" s="2736" t="s">
        <v>4</v>
      </c>
      <c r="DR80" s="2736" t="str">
        <f t="shared" si="4"/>
        <v>1</v>
      </c>
      <c r="DS80" s="1037"/>
      <c r="DT80" s="1037"/>
    </row>
    <row r="81" spans="2:124" s="153" customFormat="1" ht="25.25" hidden="1" customHeight="1" outlineLevel="3">
      <c r="B81" s="2839"/>
      <c r="C81" s="3306" t="s">
        <v>727</v>
      </c>
      <c r="D81" s="2941" t="s">
        <v>727</v>
      </c>
      <c r="E81" s="2830"/>
      <c r="F81" s="3307" t="s">
        <v>727</v>
      </c>
      <c r="G81" s="2833"/>
      <c r="H81" s="3308" t="s">
        <v>728</v>
      </c>
      <c r="I81" s="3308"/>
      <c r="J81" s="1250" t="s">
        <v>1297</v>
      </c>
      <c r="K81" s="2858"/>
      <c r="L81" s="851"/>
      <c r="M81" s="851"/>
      <c r="N81" s="3347"/>
      <c r="O81" s="3347"/>
      <c r="P81" s="3347"/>
      <c r="Q81" s="3347"/>
      <c r="R81" s="3347"/>
      <c r="S81" s="3347"/>
      <c r="T81" s="3347"/>
      <c r="U81" s="3347"/>
      <c r="V81" s="2858"/>
      <c r="W81" s="851"/>
      <c r="X81" s="851"/>
      <c r="Y81" s="851"/>
      <c r="Z81" s="851"/>
      <c r="AA81" s="851"/>
      <c r="AB81" s="1250"/>
      <c r="AC81" s="2858"/>
      <c r="AD81" s="2840"/>
      <c r="AE81" s="397"/>
      <c r="AF81" s="397"/>
      <c r="AG81" s="397"/>
      <c r="AH81" s="398"/>
      <c r="AI81" s="398">
        <f>SUM(AI82:AI85)</f>
        <v>5100000</v>
      </c>
      <c r="AJ81" s="691"/>
      <c r="AK81" s="2858"/>
      <c r="AL81" s="398">
        <f>SUM(AL82:AL85)</f>
        <v>5100000</v>
      </c>
      <c r="AM81" s="398">
        <f>SUM(AM82:AM85)</f>
        <v>0</v>
      </c>
      <c r="AN81" s="398">
        <f t="shared" si="124"/>
        <v>5100000</v>
      </c>
      <c r="AO81" s="2858"/>
      <c r="AP81" s="992">
        <f t="shared" ref="AP81:AY81" si="141">SUM(AP82:AP85)</f>
        <v>0</v>
      </c>
      <c r="AQ81" s="992">
        <f t="shared" si="141"/>
        <v>0</v>
      </c>
      <c r="AR81" s="992">
        <f t="shared" si="141"/>
        <v>0</v>
      </c>
      <c r="AS81" s="992">
        <f t="shared" si="141"/>
        <v>0</v>
      </c>
      <c r="AT81" s="992">
        <f t="shared" si="141"/>
        <v>0</v>
      </c>
      <c r="AU81" s="992">
        <f t="shared" si="141"/>
        <v>0</v>
      </c>
      <c r="AV81" s="992">
        <f t="shared" si="141"/>
        <v>0</v>
      </c>
      <c r="AW81" s="992">
        <f t="shared" si="141"/>
        <v>0</v>
      </c>
      <c r="AX81" s="992">
        <f t="shared" si="141"/>
        <v>0</v>
      </c>
      <c r="AY81" s="992">
        <f t="shared" si="141"/>
        <v>0</v>
      </c>
      <c r="AZ81" s="992">
        <f t="shared" si="9"/>
        <v>0</v>
      </c>
      <c r="BA81" s="1037"/>
      <c r="BB81" s="992">
        <f t="shared" ref="BB81:BM81" si="142">SUM(BB82:BB85)</f>
        <v>0</v>
      </c>
      <c r="BC81" s="992">
        <f t="shared" si="142"/>
        <v>0</v>
      </c>
      <c r="BD81" s="992">
        <f t="shared" si="142"/>
        <v>0</v>
      </c>
      <c r="BE81" s="992">
        <f t="shared" si="142"/>
        <v>0</v>
      </c>
      <c r="BF81" s="992">
        <f t="shared" si="142"/>
        <v>0</v>
      </c>
      <c r="BG81" s="992">
        <f t="shared" si="142"/>
        <v>0</v>
      </c>
      <c r="BH81" s="992">
        <f t="shared" si="142"/>
        <v>0</v>
      </c>
      <c r="BI81" s="992">
        <f t="shared" si="142"/>
        <v>0</v>
      </c>
      <c r="BJ81" s="992">
        <f t="shared" si="142"/>
        <v>0</v>
      </c>
      <c r="BK81" s="992">
        <f t="shared" si="142"/>
        <v>0</v>
      </c>
      <c r="BL81" s="992">
        <f t="shared" si="142"/>
        <v>0</v>
      </c>
      <c r="BM81" s="992">
        <f t="shared" si="142"/>
        <v>0</v>
      </c>
      <c r="BN81" s="992">
        <f t="shared" si="11"/>
        <v>0</v>
      </c>
      <c r="BO81" s="2858"/>
      <c r="BP81" s="992">
        <f t="shared" ref="BP81:CA81" si="143">SUM(BP82:BP85)</f>
        <v>0</v>
      </c>
      <c r="BQ81" s="992">
        <f t="shared" si="143"/>
        <v>0</v>
      </c>
      <c r="BR81" s="992">
        <f t="shared" si="143"/>
        <v>0</v>
      </c>
      <c r="BS81" s="992">
        <f t="shared" si="143"/>
        <v>0</v>
      </c>
      <c r="BT81" s="992">
        <f t="shared" si="143"/>
        <v>0</v>
      </c>
      <c r="BU81" s="992">
        <f t="shared" si="143"/>
        <v>0</v>
      </c>
      <c r="BV81" s="992">
        <f t="shared" si="143"/>
        <v>0</v>
      </c>
      <c r="BW81" s="992">
        <f t="shared" si="143"/>
        <v>0</v>
      </c>
      <c r="BX81" s="992">
        <f t="shared" si="143"/>
        <v>0</v>
      </c>
      <c r="BY81" s="992">
        <f t="shared" si="143"/>
        <v>0</v>
      </c>
      <c r="BZ81" s="992">
        <f t="shared" si="143"/>
        <v>0</v>
      </c>
      <c r="CA81" s="992">
        <f t="shared" si="143"/>
        <v>0</v>
      </c>
      <c r="CB81" s="992">
        <f t="shared" si="13"/>
        <v>0</v>
      </c>
      <c r="CC81" s="2858"/>
      <c r="CD81" s="992">
        <f t="shared" ref="CD81:CM81" si="144">SUM(CD82:CD85)</f>
        <v>0</v>
      </c>
      <c r="CE81" s="992">
        <f t="shared" si="144"/>
        <v>0</v>
      </c>
      <c r="CF81" s="992">
        <f t="shared" si="144"/>
        <v>0</v>
      </c>
      <c r="CG81" s="992">
        <f t="shared" si="144"/>
        <v>0</v>
      </c>
      <c r="CH81" s="992">
        <f t="shared" si="144"/>
        <v>0</v>
      </c>
      <c r="CI81" s="992">
        <f t="shared" si="144"/>
        <v>0</v>
      </c>
      <c r="CJ81" s="992">
        <f t="shared" si="144"/>
        <v>0</v>
      </c>
      <c r="CK81" s="992">
        <f>SUM(CK82:CK85)</f>
        <v>1020000</v>
      </c>
      <c r="CL81" s="992">
        <f t="shared" si="144"/>
        <v>0</v>
      </c>
      <c r="CM81" s="992">
        <f t="shared" si="144"/>
        <v>0</v>
      </c>
      <c r="CN81" s="992">
        <f>SUM(CN82:CN85)</f>
        <v>0</v>
      </c>
      <c r="CO81" s="992">
        <f>SUM(CO82:CO85)</f>
        <v>2040000</v>
      </c>
      <c r="CP81" s="992">
        <f t="shared" si="23"/>
        <v>3060000</v>
      </c>
      <c r="CQ81" s="2858"/>
      <c r="CR81" s="992">
        <f t="shared" ref="CR81:DC81" si="145">SUM(CR82:CR85)</f>
        <v>0</v>
      </c>
      <c r="CS81" s="992">
        <f>SUM(CS82:CS85)</f>
        <v>0</v>
      </c>
      <c r="CT81" s="992">
        <f t="shared" si="145"/>
        <v>2040000</v>
      </c>
      <c r="CU81" s="992">
        <f t="shared" si="145"/>
        <v>0</v>
      </c>
      <c r="CV81" s="992">
        <f t="shared" si="145"/>
        <v>0</v>
      </c>
      <c r="CW81" s="992">
        <f t="shared" si="145"/>
        <v>0</v>
      </c>
      <c r="CX81" s="992">
        <f t="shared" si="145"/>
        <v>0</v>
      </c>
      <c r="CY81" s="992">
        <f t="shared" si="145"/>
        <v>0</v>
      </c>
      <c r="CZ81" s="992">
        <f t="shared" si="145"/>
        <v>0</v>
      </c>
      <c r="DA81" s="992">
        <f t="shared" si="145"/>
        <v>0</v>
      </c>
      <c r="DB81" s="992">
        <f t="shared" si="145"/>
        <v>0</v>
      </c>
      <c r="DC81" s="992">
        <f t="shared" si="145"/>
        <v>0</v>
      </c>
      <c r="DD81" s="992">
        <f t="shared" ref="DD81:DD92" si="146">SUM(CR81:DC81)</f>
        <v>2040000</v>
      </c>
      <c r="DE81" s="2858"/>
      <c r="DF81" s="992">
        <f>SUM(DF82:DF85)</f>
        <v>0</v>
      </c>
      <c r="DG81" s="992">
        <f>SUM(DG82:DG85)</f>
        <v>0</v>
      </c>
      <c r="DH81" s="992">
        <f>SUM(DH82:DH85)</f>
        <v>0</v>
      </c>
      <c r="DI81" s="3083">
        <f t="shared" ref="DI81:DI91" si="147">SUM(DF81:DH81)</f>
        <v>0</v>
      </c>
      <c r="DJ81" s="3122">
        <f t="shared" si="135"/>
        <v>5100000</v>
      </c>
      <c r="DL81" s="3348">
        <f t="shared" si="129"/>
        <v>0</v>
      </c>
      <c r="DN81" s="2725" t="s">
        <v>1175</v>
      </c>
      <c r="DO81" s="2728" t="s">
        <v>1175</v>
      </c>
      <c r="DP81" s="2728"/>
      <c r="DQ81" s="2728" t="s">
        <v>1175</v>
      </c>
      <c r="DR81" s="2728" t="str">
        <f t="shared" si="4"/>
        <v>1</v>
      </c>
      <c r="DS81" s="2858"/>
      <c r="DT81" s="2858"/>
    </row>
    <row r="82" spans="2:124" s="881" customFormat="1" ht="35.5" hidden="1" customHeight="1" outlineLevel="4">
      <c r="B82" s="2860"/>
      <c r="C82" s="3309" t="s">
        <v>729</v>
      </c>
      <c r="D82" s="3310" t="s">
        <v>729</v>
      </c>
      <c r="E82" s="588"/>
      <c r="F82" s="3331" t="s">
        <v>729</v>
      </c>
      <c r="G82" s="2838"/>
      <c r="H82" s="3349" t="s">
        <v>730</v>
      </c>
      <c r="I82" s="3350"/>
      <c r="J82" s="103" t="s">
        <v>1300</v>
      </c>
      <c r="K82" s="1037"/>
      <c r="L82" s="611" t="s">
        <v>1298</v>
      </c>
      <c r="M82" s="3358"/>
      <c r="N82" s="3358"/>
      <c r="O82" s="3358"/>
      <c r="P82" s="3358"/>
      <c r="Q82" s="3358"/>
      <c r="R82" s="3358"/>
      <c r="S82" s="3358"/>
      <c r="T82" s="3358"/>
      <c r="U82" s="3358"/>
      <c r="V82" s="1037"/>
      <c r="W82" s="858" t="s">
        <v>774</v>
      </c>
      <c r="X82" s="858"/>
      <c r="Y82" s="2513" t="s">
        <v>1307</v>
      </c>
      <c r="Z82" s="853" t="s">
        <v>1308</v>
      </c>
      <c r="AA82" s="858"/>
      <c r="AB82" s="3352"/>
      <c r="AC82" s="1037"/>
      <c r="AD82" s="711" t="s">
        <v>1179</v>
      </c>
      <c r="AE82" s="712">
        <v>1</v>
      </c>
      <c r="AF82" s="179"/>
      <c r="AG82" s="179"/>
      <c r="AH82" s="3359">
        <v>3800000</v>
      </c>
      <c r="AI82" s="485">
        <f t="shared" ref="AI82:AI96" si="148">+AH82*AE82</f>
        <v>3800000</v>
      </c>
      <c r="AJ82" s="1267"/>
      <c r="AK82" s="1037"/>
      <c r="AL82" s="1032">
        <f>+AI82</f>
        <v>3800000</v>
      </c>
      <c r="AM82" s="1032"/>
      <c r="AN82" s="1041">
        <f t="shared" si="124"/>
        <v>3800000</v>
      </c>
      <c r="AO82" s="1037"/>
      <c r="AP82" s="1294"/>
      <c r="AQ82" s="1294"/>
      <c r="AR82" s="1294"/>
      <c r="AS82" s="1294"/>
      <c r="AT82" s="1294"/>
      <c r="AU82" s="1294"/>
      <c r="AV82" s="1294"/>
      <c r="AW82" s="1294"/>
      <c r="AX82" s="1294"/>
      <c r="AY82" s="1294"/>
      <c r="AZ82" s="1294">
        <f t="shared" si="9"/>
        <v>0</v>
      </c>
      <c r="BA82" s="1037"/>
      <c r="BB82" s="1294"/>
      <c r="BC82" s="1294"/>
      <c r="BD82" s="1294"/>
      <c r="BE82" s="1294"/>
      <c r="BF82" s="1294"/>
      <c r="BG82" s="1294"/>
      <c r="BH82" s="1294"/>
      <c r="BI82" s="1294"/>
      <c r="BJ82" s="1294"/>
      <c r="BK82" s="1294"/>
      <c r="BL82" s="1294"/>
      <c r="BM82" s="1294"/>
      <c r="BN82" s="1294">
        <f t="shared" si="11"/>
        <v>0</v>
      </c>
      <c r="BO82" s="1037"/>
      <c r="BP82" s="1033"/>
      <c r="BQ82" s="1033"/>
      <c r="BR82" s="1033"/>
      <c r="BS82" s="1033"/>
      <c r="BT82" s="1033"/>
      <c r="BU82" s="1033"/>
      <c r="BV82" s="1033"/>
      <c r="BW82" s="1033"/>
      <c r="BX82" s="1033"/>
      <c r="BY82" s="1033"/>
      <c r="BZ82" s="1033"/>
      <c r="CA82" s="1033"/>
      <c r="CB82" s="1294">
        <f t="shared" si="13"/>
        <v>0</v>
      </c>
      <c r="CC82" s="1037"/>
      <c r="CD82" s="1033"/>
      <c r="CE82" s="1033"/>
      <c r="CF82" s="1033"/>
      <c r="CG82" s="1033"/>
      <c r="CH82" s="1033"/>
      <c r="CI82" s="1033"/>
      <c r="CJ82" s="1033"/>
      <c r="CK82" s="1033">
        <f>+$AL82*20%</f>
        <v>760000</v>
      </c>
      <c r="CL82" s="1033"/>
      <c r="CM82" s="1033"/>
      <c r="CN82" s="1033"/>
      <c r="CO82" s="1033">
        <f>+$AL82*40%</f>
        <v>1520000</v>
      </c>
      <c r="CP82" s="1294">
        <f>SUM(CD82:CO82)</f>
        <v>2280000</v>
      </c>
      <c r="CQ82" s="1037"/>
      <c r="CR82" s="1033"/>
      <c r="CS82" s="1033"/>
      <c r="CT82" s="1033">
        <f>+$AL82*40%</f>
        <v>1520000</v>
      </c>
      <c r="CU82" s="1033"/>
      <c r="CV82" s="1033"/>
      <c r="CW82" s="1033"/>
      <c r="CX82" s="1033"/>
      <c r="CY82" s="1033"/>
      <c r="CZ82" s="1033"/>
      <c r="DA82" s="1033"/>
      <c r="DB82" s="1033"/>
      <c r="DC82" s="1033"/>
      <c r="DD82" s="1294">
        <f t="shared" si="146"/>
        <v>1520000</v>
      </c>
      <c r="DE82" s="1037"/>
      <c r="DF82" s="1033"/>
      <c r="DG82" s="1033"/>
      <c r="DH82" s="1033"/>
      <c r="DI82" s="3086">
        <f t="shared" si="147"/>
        <v>0</v>
      </c>
      <c r="DJ82" s="3126">
        <f t="shared" si="135"/>
        <v>3800000</v>
      </c>
      <c r="DK82" s="108"/>
      <c r="DL82" s="3317">
        <f t="shared" si="129"/>
        <v>0</v>
      </c>
      <c r="DN82" s="2716" t="s">
        <v>1303</v>
      </c>
      <c r="DO82" s="2740" t="s">
        <v>1304</v>
      </c>
      <c r="DP82" s="2740" t="s">
        <v>1160</v>
      </c>
      <c r="DQ82" s="2740" t="s">
        <v>4</v>
      </c>
      <c r="DR82" s="2740" t="str">
        <f t="shared" si="4"/>
        <v>1</v>
      </c>
      <c r="DS82" s="1037"/>
      <c r="DT82" s="1037"/>
    </row>
    <row r="83" spans="2:124" s="881" customFormat="1" ht="30" hidden="1" outlineLevel="4">
      <c r="B83" s="2860"/>
      <c r="C83" s="3309" t="s">
        <v>731</v>
      </c>
      <c r="D83" s="3310" t="s">
        <v>731</v>
      </c>
      <c r="E83" s="588"/>
      <c r="F83" s="3331" t="s">
        <v>731</v>
      </c>
      <c r="G83" s="2838"/>
      <c r="H83" s="3349" t="s">
        <v>732</v>
      </c>
      <c r="I83" s="3350"/>
      <c r="J83" s="103"/>
      <c r="K83" s="1037"/>
      <c r="L83" s="611" t="s">
        <v>247</v>
      </c>
      <c r="M83" s="3358"/>
      <c r="N83" s="3358"/>
      <c r="O83" s="3358"/>
      <c r="P83" s="3358"/>
      <c r="Q83" s="3358"/>
      <c r="R83" s="3358"/>
      <c r="S83" s="3358"/>
      <c r="T83" s="3358"/>
      <c r="U83" s="3358"/>
      <c r="V83" s="1037"/>
      <c r="W83" s="858" t="s">
        <v>774</v>
      </c>
      <c r="X83" s="858"/>
      <c r="Y83" s="2513" t="s">
        <v>1307</v>
      </c>
      <c r="Z83" s="853" t="s">
        <v>1309</v>
      </c>
      <c r="AA83" s="858"/>
      <c r="AB83" s="3352"/>
      <c r="AC83" s="1037"/>
      <c r="AD83" s="711" t="s">
        <v>1179</v>
      </c>
      <c r="AE83" s="712">
        <v>1</v>
      </c>
      <c r="AF83" s="179"/>
      <c r="AG83" s="179"/>
      <c r="AH83" s="3359">
        <v>200000</v>
      </c>
      <c r="AI83" s="485">
        <f t="shared" si="148"/>
        <v>200000</v>
      </c>
      <c r="AJ83" s="1267"/>
      <c r="AK83" s="1037"/>
      <c r="AL83" s="1032">
        <f>+AI83</f>
        <v>200000</v>
      </c>
      <c r="AM83" s="1032"/>
      <c r="AN83" s="1041">
        <f t="shared" si="124"/>
        <v>200000</v>
      </c>
      <c r="AO83" s="1037"/>
      <c r="AP83" s="1294"/>
      <c r="AQ83" s="1294"/>
      <c r="AR83" s="1294"/>
      <c r="AS83" s="1294"/>
      <c r="AT83" s="1294"/>
      <c r="AU83" s="1294"/>
      <c r="AV83" s="1294"/>
      <c r="AW83" s="1294"/>
      <c r="AX83" s="1294"/>
      <c r="AY83" s="1294"/>
      <c r="AZ83" s="1294">
        <f>SUM(AP83:AY83)</f>
        <v>0</v>
      </c>
      <c r="BA83" s="1037"/>
      <c r="BB83" s="1294"/>
      <c r="BC83" s="1294"/>
      <c r="BD83" s="1294"/>
      <c r="BE83" s="1294"/>
      <c r="BF83" s="1294"/>
      <c r="BG83" s="1294"/>
      <c r="BH83" s="1294"/>
      <c r="BI83" s="1294"/>
      <c r="BJ83" s="1294"/>
      <c r="BK83" s="1294"/>
      <c r="BL83" s="1294"/>
      <c r="BM83" s="1294"/>
      <c r="BN83" s="1294">
        <f>SUM(BB83:BM83)</f>
        <v>0</v>
      </c>
      <c r="BO83" s="1037"/>
      <c r="BP83" s="1033"/>
      <c r="BQ83" s="1033"/>
      <c r="BR83" s="1033"/>
      <c r="BS83" s="1033"/>
      <c r="BT83" s="1033"/>
      <c r="BU83" s="1033"/>
      <c r="BV83" s="1033"/>
      <c r="BW83" s="1033"/>
      <c r="BX83" s="1033"/>
      <c r="BY83" s="1033"/>
      <c r="BZ83" s="1033"/>
      <c r="CA83" s="1033"/>
      <c r="CB83" s="1294">
        <f>SUM(BP83:CA83)</f>
        <v>0</v>
      </c>
      <c r="CC83" s="1037"/>
      <c r="CD83" s="1033"/>
      <c r="CE83" s="1033"/>
      <c r="CF83" s="1033"/>
      <c r="CG83" s="1033"/>
      <c r="CH83" s="1033"/>
      <c r="CI83" s="1033"/>
      <c r="CJ83" s="1033"/>
      <c r="CK83" s="1033">
        <f>+$AL83*20%</f>
        <v>40000</v>
      </c>
      <c r="CL83" s="1033"/>
      <c r="CM83" s="1033"/>
      <c r="CN83" s="1033"/>
      <c r="CO83" s="1033">
        <f>+$AL83*40%</f>
        <v>80000</v>
      </c>
      <c r="CP83" s="1294">
        <f>SUM(CD83:CO83)</f>
        <v>120000</v>
      </c>
      <c r="CQ83" s="1037"/>
      <c r="CR83" s="1033"/>
      <c r="CS83" s="1033"/>
      <c r="CT83" s="1033">
        <f>+$AL83*40%</f>
        <v>80000</v>
      </c>
      <c r="CU83" s="1033"/>
      <c r="CV83" s="1033"/>
      <c r="CW83" s="1033"/>
      <c r="CX83" s="1033"/>
      <c r="CY83" s="1033"/>
      <c r="CZ83" s="1033"/>
      <c r="DA83" s="1033"/>
      <c r="DB83" s="1033"/>
      <c r="DC83" s="1033"/>
      <c r="DD83" s="1294">
        <f t="shared" si="146"/>
        <v>80000</v>
      </c>
      <c r="DE83" s="1037"/>
      <c r="DF83" s="1033"/>
      <c r="DG83" s="1033"/>
      <c r="DH83" s="1033"/>
      <c r="DI83" s="3086">
        <f t="shared" si="147"/>
        <v>0</v>
      </c>
      <c r="DJ83" s="3126">
        <f t="shared" si="135"/>
        <v>200000</v>
      </c>
      <c r="DK83" s="108"/>
      <c r="DL83" s="3317">
        <f t="shared" si="129"/>
        <v>0</v>
      </c>
      <c r="DN83" s="2716" t="s">
        <v>1303</v>
      </c>
      <c r="DO83" s="2740" t="s">
        <v>1304</v>
      </c>
      <c r="DP83" s="2740" t="s">
        <v>1160</v>
      </c>
      <c r="DQ83" s="2740" t="s">
        <v>4</v>
      </c>
      <c r="DR83" s="2740" t="str">
        <f t="shared" si="4"/>
        <v>1</v>
      </c>
      <c r="DS83" s="1037"/>
      <c r="DT83" s="1037"/>
    </row>
    <row r="84" spans="2:124" s="881" customFormat="1" ht="45" hidden="1" outlineLevel="4">
      <c r="B84" s="2860"/>
      <c r="C84" s="3309" t="s">
        <v>733</v>
      </c>
      <c r="D84" s="3310" t="s">
        <v>733</v>
      </c>
      <c r="E84" s="588"/>
      <c r="F84" s="3331" t="s">
        <v>733</v>
      </c>
      <c r="G84" s="2838"/>
      <c r="H84" s="3349" t="s">
        <v>734</v>
      </c>
      <c r="I84" s="3350"/>
      <c r="J84" s="103"/>
      <c r="K84" s="1037"/>
      <c r="L84" s="620" t="s">
        <v>247</v>
      </c>
      <c r="M84" s="3358"/>
      <c r="N84" s="3358"/>
      <c r="O84" s="3358"/>
      <c r="P84" s="3358"/>
      <c r="Q84" s="3358"/>
      <c r="R84" s="3358"/>
      <c r="S84" s="3358"/>
      <c r="T84" s="3358"/>
      <c r="U84" s="3358"/>
      <c r="V84" s="1037"/>
      <c r="W84" s="858" t="s">
        <v>774</v>
      </c>
      <c r="X84" s="858"/>
      <c r="Y84" s="2513" t="s">
        <v>1310</v>
      </c>
      <c r="Z84" s="853" t="s">
        <v>1311</v>
      </c>
      <c r="AA84" s="858"/>
      <c r="AB84" s="3352"/>
      <c r="AC84" s="1037"/>
      <c r="AD84" s="711" t="s">
        <v>1179</v>
      </c>
      <c r="AE84" s="712">
        <v>1</v>
      </c>
      <c r="AF84" s="179"/>
      <c r="AG84" s="179"/>
      <c r="AH84" s="3354">
        <v>100000</v>
      </c>
      <c r="AI84" s="485">
        <f t="shared" si="148"/>
        <v>100000</v>
      </c>
      <c r="AJ84" s="1267"/>
      <c r="AK84" s="1037"/>
      <c r="AL84" s="1032">
        <f>+AI84</f>
        <v>100000</v>
      </c>
      <c r="AM84" s="1032"/>
      <c r="AN84" s="1041">
        <f t="shared" si="124"/>
        <v>100000</v>
      </c>
      <c r="AO84" s="1037"/>
      <c r="AP84" s="1294"/>
      <c r="AQ84" s="1294"/>
      <c r="AR84" s="1294"/>
      <c r="AS84" s="1294"/>
      <c r="AT84" s="1294"/>
      <c r="AU84" s="1294"/>
      <c r="AV84" s="1294"/>
      <c r="AW84" s="1294"/>
      <c r="AX84" s="1294"/>
      <c r="AY84" s="1294"/>
      <c r="AZ84" s="1294">
        <f>SUM(AP84:AY84)</f>
        <v>0</v>
      </c>
      <c r="BA84" s="1037"/>
      <c r="BB84" s="1294"/>
      <c r="BC84" s="1294"/>
      <c r="BD84" s="1294"/>
      <c r="BE84" s="1294"/>
      <c r="BF84" s="1294"/>
      <c r="BG84" s="1294"/>
      <c r="BH84" s="1294"/>
      <c r="BI84" s="1294"/>
      <c r="BJ84" s="1294"/>
      <c r="BK84" s="1294"/>
      <c r="BL84" s="1294"/>
      <c r="BM84" s="1294"/>
      <c r="BN84" s="1294">
        <f>SUM(BB84:BM84)</f>
        <v>0</v>
      </c>
      <c r="BO84" s="1037"/>
      <c r="BP84" s="1033"/>
      <c r="BQ84" s="1033"/>
      <c r="BR84" s="1033"/>
      <c r="BS84" s="1033"/>
      <c r="BT84" s="1033"/>
      <c r="BU84" s="1033"/>
      <c r="BV84" s="1033"/>
      <c r="BW84" s="1033"/>
      <c r="BX84" s="1033"/>
      <c r="BY84" s="1033"/>
      <c r="BZ84" s="1033"/>
      <c r="CA84" s="1033"/>
      <c r="CB84" s="1294">
        <f>SUM(BP84:CA84)</f>
        <v>0</v>
      </c>
      <c r="CC84" s="1037"/>
      <c r="CD84" s="1033"/>
      <c r="CE84" s="1033"/>
      <c r="CF84" s="1033"/>
      <c r="CG84" s="1033"/>
      <c r="CH84" s="1033"/>
      <c r="CI84" s="1033"/>
      <c r="CJ84" s="1033"/>
      <c r="CK84" s="1033">
        <f>+$AL84*20%</f>
        <v>20000</v>
      </c>
      <c r="CL84" s="1033"/>
      <c r="CM84" s="1033"/>
      <c r="CN84" s="1033"/>
      <c r="CO84" s="1033">
        <f>+$AL84*40%</f>
        <v>40000</v>
      </c>
      <c r="CP84" s="1294">
        <f>SUM(CD84:CO84)</f>
        <v>60000</v>
      </c>
      <c r="CQ84" s="1037"/>
      <c r="CR84" s="1033"/>
      <c r="CS84" s="1033"/>
      <c r="CT84" s="1033">
        <f>+$AL84*40%</f>
        <v>40000</v>
      </c>
      <c r="CU84" s="1033"/>
      <c r="CV84" s="1033"/>
      <c r="CW84" s="1033"/>
      <c r="CX84" s="1033"/>
      <c r="CY84" s="1033"/>
      <c r="CZ84" s="1033"/>
      <c r="DA84" s="1033"/>
      <c r="DB84" s="1033"/>
      <c r="DC84" s="1033"/>
      <c r="DD84" s="1294">
        <f t="shared" si="146"/>
        <v>40000</v>
      </c>
      <c r="DE84" s="1037"/>
      <c r="DF84" s="1033"/>
      <c r="DG84" s="1033"/>
      <c r="DH84" s="1033"/>
      <c r="DI84" s="3086">
        <f t="shared" si="147"/>
        <v>0</v>
      </c>
      <c r="DJ84" s="3126">
        <f t="shared" si="135"/>
        <v>100000</v>
      </c>
      <c r="DK84" s="108"/>
      <c r="DL84" s="3317">
        <f t="shared" si="129"/>
        <v>0</v>
      </c>
      <c r="DN84" s="2716" t="s">
        <v>1303</v>
      </c>
      <c r="DO84" s="2740" t="s">
        <v>1304</v>
      </c>
      <c r="DP84" s="2740" t="s">
        <v>1160</v>
      </c>
      <c r="DQ84" s="2740" t="s">
        <v>4</v>
      </c>
      <c r="DR84" s="2740" t="str">
        <f t="shared" si="4"/>
        <v>1</v>
      </c>
      <c r="DS84" s="1037"/>
      <c r="DT84" s="1037"/>
    </row>
    <row r="85" spans="2:124" s="881" customFormat="1" ht="45" hidden="1" outlineLevel="4">
      <c r="B85" s="2860"/>
      <c r="C85" s="3309" t="s">
        <v>735</v>
      </c>
      <c r="D85" s="3310" t="s">
        <v>735</v>
      </c>
      <c r="E85" s="588"/>
      <c r="F85" s="3331" t="s">
        <v>735</v>
      </c>
      <c r="G85" s="2838"/>
      <c r="H85" s="3349" t="s">
        <v>736</v>
      </c>
      <c r="I85" s="3350"/>
      <c r="J85" s="103"/>
      <c r="K85" s="1037"/>
      <c r="L85" s="611" t="s">
        <v>247</v>
      </c>
      <c r="M85" s="3358"/>
      <c r="N85" s="3358"/>
      <c r="O85" s="3358"/>
      <c r="P85" s="3358"/>
      <c r="Q85" s="3358"/>
      <c r="R85" s="3358"/>
      <c r="S85" s="3358"/>
      <c r="T85" s="3358"/>
      <c r="U85" s="3358"/>
      <c r="V85" s="1037"/>
      <c r="W85" s="858" t="s">
        <v>853</v>
      </c>
      <c r="X85" s="858"/>
      <c r="Y85" s="2513" t="s">
        <v>1310</v>
      </c>
      <c r="Z85" s="853" t="s">
        <v>1312</v>
      </c>
      <c r="AA85" s="858"/>
      <c r="AB85" s="3352"/>
      <c r="AC85" s="1037"/>
      <c r="AD85" s="711" t="s">
        <v>1179</v>
      </c>
      <c r="AE85" s="712">
        <v>1</v>
      </c>
      <c r="AF85" s="179"/>
      <c r="AG85" s="179"/>
      <c r="AH85" s="3359">
        <v>1000000</v>
      </c>
      <c r="AI85" s="485">
        <f t="shared" si="148"/>
        <v>1000000</v>
      </c>
      <c r="AJ85" s="1267"/>
      <c r="AK85" s="1037"/>
      <c r="AL85" s="1032">
        <f>+AI85</f>
        <v>1000000</v>
      </c>
      <c r="AM85" s="1032"/>
      <c r="AN85" s="1041">
        <f t="shared" si="124"/>
        <v>1000000</v>
      </c>
      <c r="AO85" s="1037"/>
      <c r="AP85" s="1294"/>
      <c r="AQ85" s="1294"/>
      <c r="AR85" s="1294"/>
      <c r="AS85" s="1294"/>
      <c r="AT85" s="1294"/>
      <c r="AU85" s="1294"/>
      <c r="AV85" s="1294"/>
      <c r="AW85" s="1294"/>
      <c r="AX85" s="1294"/>
      <c r="AY85" s="1294"/>
      <c r="AZ85" s="1294">
        <f>SUM(AP85:AY85)</f>
        <v>0</v>
      </c>
      <c r="BA85" s="1037"/>
      <c r="BB85" s="1294"/>
      <c r="BC85" s="1294"/>
      <c r="BD85" s="1294"/>
      <c r="BE85" s="1294"/>
      <c r="BF85" s="1294"/>
      <c r="BG85" s="1294"/>
      <c r="BH85" s="1294"/>
      <c r="BI85" s="1294"/>
      <c r="BJ85" s="1294"/>
      <c r="BK85" s="1294"/>
      <c r="BL85" s="1294"/>
      <c r="BM85" s="1294"/>
      <c r="BN85" s="1294">
        <f>SUM(BB85:BM85)</f>
        <v>0</v>
      </c>
      <c r="BO85" s="1037"/>
      <c r="BP85" s="1033"/>
      <c r="BQ85" s="1033"/>
      <c r="BR85" s="1033"/>
      <c r="BS85" s="1033"/>
      <c r="BT85" s="1033"/>
      <c r="BU85" s="1033"/>
      <c r="BV85" s="1033"/>
      <c r="BW85" s="1033"/>
      <c r="BX85" s="1033"/>
      <c r="BY85" s="1033"/>
      <c r="BZ85" s="1033"/>
      <c r="CA85" s="1033"/>
      <c r="CB85" s="1294">
        <f>SUM(BP85:CA85)</f>
        <v>0</v>
      </c>
      <c r="CC85" s="1037"/>
      <c r="CD85" s="1033"/>
      <c r="CE85" s="1033"/>
      <c r="CF85" s="1033"/>
      <c r="CG85" s="1033"/>
      <c r="CH85" s="1033"/>
      <c r="CI85" s="1033"/>
      <c r="CJ85" s="1033"/>
      <c r="CK85" s="1033">
        <f>+$AL85*20%</f>
        <v>200000</v>
      </c>
      <c r="CL85" s="1033"/>
      <c r="CM85" s="1033"/>
      <c r="CN85" s="1033"/>
      <c r="CO85" s="1033">
        <f>+$AL85*40%</f>
        <v>400000</v>
      </c>
      <c r="CP85" s="1294">
        <f>SUM(CD85:CO85)</f>
        <v>600000</v>
      </c>
      <c r="CQ85" s="1037"/>
      <c r="CR85" s="1033"/>
      <c r="CS85" s="1033"/>
      <c r="CT85" s="1033">
        <f>+$AL85*40%</f>
        <v>400000</v>
      </c>
      <c r="CU85" s="1033"/>
      <c r="CV85" s="1033"/>
      <c r="CW85" s="1033"/>
      <c r="CX85" s="1033"/>
      <c r="CY85" s="1033"/>
      <c r="CZ85" s="1033"/>
      <c r="DA85" s="1033"/>
      <c r="DB85" s="1033"/>
      <c r="DC85" s="1033"/>
      <c r="DD85" s="1294">
        <f t="shared" si="146"/>
        <v>400000</v>
      </c>
      <c r="DE85" s="1037"/>
      <c r="DF85" s="1033"/>
      <c r="DG85" s="1033"/>
      <c r="DH85" s="1033"/>
      <c r="DI85" s="3086">
        <f t="shared" si="147"/>
        <v>0</v>
      </c>
      <c r="DJ85" s="3126">
        <f t="shared" si="135"/>
        <v>1000000</v>
      </c>
      <c r="DK85" s="108"/>
      <c r="DL85" s="3317">
        <f t="shared" si="129"/>
        <v>0</v>
      </c>
      <c r="DN85" s="2716" t="s">
        <v>1180</v>
      </c>
      <c r="DO85" s="2736" t="s">
        <v>1181</v>
      </c>
      <c r="DP85" s="2736" t="s">
        <v>1117</v>
      </c>
      <c r="DQ85" s="2736" t="s">
        <v>4</v>
      </c>
      <c r="DR85" s="2736" t="str">
        <f t="shared" si="4"/>
        <v>1</v>
      </c>
      <c r="DS85" s="1037"/>
      <c r="DT85" s="1037"/>
    </row>
    <row r="86" spans="2:124" s="153" customFormat="1" ht="26.5" hidden="1" customHeight="1" outlineLevel="3">
      <c r="B86" s="2839"/>
      <c r="C86" s="3306" t="s">
        <v>737</v>
      </c>
      <c r="D86" s="2941" t="s">
        <v>737</v>
      </c>
      <c r="E86" s="2830"/>
      <c r="F86" s="401" t="s">
        <v>737</v>
      </c>
      <c r="G86" s="2833"/>
      <c r="H86" s="2477" t="s">
        <v>738</v>
      </c>
      <c r="I86" s="3308"/>
      <c r="J86" s="1250" t="s">
        <v>1297</v>
      </c>
      <c r="K86" s="2858"/>
      <c r="L86" s="851"/>
      <c r="M86" s="851"/>
      <c r="N86" s="3347"/>
      <c r="O86" s="3347"/>
      <c r="P86" s="3347"/>
      <c r="Q86" s="3347"/>
      <c r="R86" s="3347"/>
      <c r="S86" s="3347"/>
      <c r="T86" s="3347"/>
      <c r="U86" s="3347"/>
      <c r="V86" s="2858"/>
      <c r="W86" s="851"/>
      <c r="X86" s="851"/>
      <c r="Y86" s="851"/>
      <c r="Z86" s="851"/>
      <c r="AA86" s="851"/>
      <c r="AB86" s="1250"/>
      <c r="AC86" s="2858"/>
      <c r="AD86" s="2840"/>
      <c r="AE86" s="397"/>
      <c r="AF86" s="397"/>
      <c r="AG86" s="397"/>
      <c r="AH86" s="398"/>
      <c r="AI86" s="398">
        <f>SUM(AI87:AI90)</f>
        <v>2400000</v>
      </c>
      <c r="AJ86" s="691"/>
      <c r="AK86" s="2858"/>
      <c r="AL86" s="398">
        <f>SUM(AL87:AL90)</f>
        <v>2400000</v>
      </c>
      <c r="AM86" s="398">
        <f>SUM(AM87:AM90)</f>
        <v>0</v>
      </c>
      <c r="AN86" s="398">
        <f t="shared" si="124"/>
        <v>2400000</v>
      </c>
      <c r="AO86" s="2858"/>
      <c r="AP86" s="992">
        <f t="shared" ref="AP86:AY86" si="149">SUM(AP87:AP90)</f>
        <v>0</v>
      </c>
      <c r="AQ86" s="992">
        <f t="shared" si="149"/>
        <v>0</v>
      </c>
      <c r="AR86" s="992">
        <f t="shared" si="149"/>
        <v>0</v>
      </c>
      <c r="AS86" s="992">
        <f t="shared" si="149"/>
        <v>0</v>
      </c>
      <c r="AT86" s="992">
        <f t="shared" si="149"/>
        <v>0</v>
      </c>
      <c r="AU86" s="992">
        <f t="shared" si="149"/>
        <v>0</v>
      </c>
      <c r="AV86" s="992">
        <f t="shared" si="149"/>
        <v>0</v>
      </c>
      <c r="AW86" s="992">
        <f t="shared" si="149"/>
        <v>0</v>
      </c>
      <c r="AX86" s="992">
        <f t="shared" si="149"/>
        <v>0</v>
      </c>
      <c r="AY86" s="992">
        <f t="shared" si="149"/>
        <v>0</v>
      </c>
      <c r="AZ86" s="992">
        <f t="shared" si="9"/>
        <v>0</v>
      </c>
      <c r="BA86" s="1037"/>
      <c r="BB86" s="992">
        <f t="shared" ref="BB86:BM86" si="150">SUM(BB87:BB90)</f>
        <v>0</v>
      </c>
      <c r="BC86" s="992">
        <f t="shared" si="150"/>
        <v>0</v>
      </c>
      <c r="BD86" s="992">
        <f t="shared" si="150"/>
        <v>0</v>
      </c>
      <c r="BE86" s="992">
        <f t="shared" si="150"/>
        <v>0</v>
      </c>
      <c r="BF86" s="992">
        <f t="shared" si="150"/>
        <v>0</v>
      </c>
      <c r="BG86" s="992">
        <f t="shared" si="150"/>
        <v>0</v>
      </c>
      <c r="BH86" s="992">
        <f t="shared" si="150"/>
        <v>0</v>
      </c>
      <c r="BI86" s="992">
        <f t="shared" si="150"/>
        <v>0</v>
      </c>
      <c r="BJ86" s="992">
        <f t="shared" si="150"/>
        <v>0</v>
      </c>
      <c r="BK86" s="992">
        <f t="shared" si="150"/>
        <v>0</v>
      </c>
      <c r="BL86" s="992">
        <f t="shared" si="150"/>
        <v>0</v>
      </c>
      <c r="BM86" s="992">
        <f t="shared" si="150"/>
        <v>0</v>
      </c>
      <c r="BN86" s="992">
        <f t="shared" si="11"/>
        <v>0</v>
      </c>
      <c r="BO86" s="2858"/>
      <c r="BP86" s="992">
        <f t="shared" ref="BP86:BZ86" si="151">SUM(BP87:BP90)</f>
        <v>0</v>
      </c>
      <c r="BQ86" s="992">
        <f t="shared" si="151"/>
        <v>0</v>
      </c>
      <c r="BR86" s="992">
        <f t="shared" si="151"/>
        <v>0</v>
      </c>
      <c r="BS86" s="992">
        <f t="shared" si="151"/>
        <v>0</v>
      </c>
      <c r="BT86" s="992">
        <f t="shared" si="151"/>
        <v>0</v>
      </c>
      <c r="BU86" s="992">
        <f t="shared" si="151"/>
        <v>0</v>
      </c>
      <c r="BV86" s="992">
        <f t="shared" si="151"/>
        <v>0</v>
      </c>
      <c r="BW86" s="992">
        <f t="shared" si="151"/>
        <v>0</v>
      </c>
      <c r="BX86" s="992">
        <f t="shared" si="151"/>
        <v>0</v>
      </c>
      <c r="BY86" s="992">
        <f t="shared" si="151"/>
        <v>0</v>
      </c>
      <c r="BZ86" s="992">
        <f t="shared" si="151"/>
        <v>0</v>
      </c>
      <c r="CA86" s="992">
        <f>SUM(CA87:CA90)</f>
        <v>0</v>
      </c>
      <c r="CB86" s="992">
        <f t="shared" si="13"/>
        <v>0</v>
      </c>
      <c r="CC86" s="2858"/>
      <c r="CD86" s="992">
        <f t="shared" ref="CD86:CO86" si="152">SUM(CD87:CD90)</f>
        <v>0</v>
      </c>
      <c r="CE86" s="992">
        <f>SUM(CE87:CE90)</f>
        <v>280000</v>
      </c>
      <c r="CF86" s="992">
        <f t="shared" si="152"/>
        <v>0</v>
      </c>
      <c r="CG86" s="992">
        <f t="shared" si="152"/>
        <v>785000</v>
      </c>
      <c r="CH86" s="992">
        <f>SUM(CH87:CH90)</f>
        <v>0</v>
      </c>
      <c r="CI86" s="992">
        <f t="shared" si="152"/>
        <v>560000</v>
      </c>
      <c r="CJ86" s="992">
        <f t="shared" si="152"/>
        <v>150000</v>
      </c>
      <c r="CK86" s="992">
        <f t="shared" si="152"/>
        <v>0</v>
      </c>
      <c r="CL86" s="992">
        <f t="shared" si="152"/>
        <v>0</v>
      </c>
      <c r="CM86" s="992">
        <f t="shared" si="152"/>
        <v>150000</v>
      </c>
      <c r="CN86" s="992">
        <f t="shared" si="152"/>
        <v>0</v>
      </c>
      <c r="CO86" s="992">
        <f t="shared" si="152"/>
        <v>0</v>
      </c>
      <c r="CP86" s="993">
        <f t="shared" si="23"/>
        <v>1925000</v>
      </c>
      <c r="CQ86" s="2858"/>
      <c r="CR86" s="992">
        <f t="shared" ref="CR86:DC86" si="153">SUM(CR87:CR90)</f>
        <v>0</v>
      </c>
      <c r="CS86" s="992">
        <f t="shared" si="153"/>
        <v>0</v>
      </c>
      <c r="CT86" s="992">
        <f t="shared" si="153"/>
        <v>0</v>
      </c>
      <c r="CU86" s="992">
        <f t="shared" si="153"/>
        <v>0</v>
      </c>
      <c r="CV86" s="992">
        <f t="shared" si="153"/>
        <v>0</v>
      </c>
      <c r="CW86" s="992">
        <f t="shared" si="153"/>
        <v>150000</v>
      </c>
      <c r="CX86" s="992">
        <f t="shared" si="153"/>
        <v>0</v>
      </c>
      <c r="CY86" s="992">
        <f t="shared" si="153"/>
        <v>150000</v>
      </c>
      <c r="CZ86" s="992">
        <f t="shared" si="153"/>
        <v>0</v>
      </c>
      <c r="DA86" s="992">
        <f t="shared" si="153"/>
        <v>0</v>
      </c>
      <c r="DB86" s="992">
        <f t="shared" si="153"/>
        <v>175000</v>
      </c>
      <c r="DC86" s="992">
        <f t="shared" si="153"/>
        <v>0</v>
      </c>
      <c r="DD86" s="994">
        <f t="shared" si="146"/>
        <v>475000</v>
      </c>
      <c r="DE86" s="2858"/>
      <c r="DF86" s="992">
        <f>SUM(DF87:DF90)</f>
        <v>0</v>
      </c>
      <c r="DG86" s="992">
        <f>SUM(DG87:DG90)</f>
        <v>0</v>
      </c>
      <c r="DH86" s="992">
        <f>SUM(DH87:DH90)</f>
        <v>0</v>
      </c>
      <c r="DI86" s="3083">
        <f t="shared" si="147"/>
        <v>0</v>
      </c>
      <c r="DJ86" s="3122">
        <f t="shared" si="135"/>
        <v>2400000</v>
      </c>
      <c r="DL86" s="3348">
        <f t="shared" si="129"/>
        <v>0</v>
      </c>
      <c r="DN86" s="2725" t="s">
        <v>1175</v>
      </c>
      <c r="DO86" s="2728" t="s">
        <v>1175</v>
      </c>
      <c r="DP86" s="2728"/>
      <c r="DQ86" s="2728" t="s">
        <v>1175</v>
      </c>
      <c r="DR86" s="2728" t="str">
        <f t="shared" si="4"/>
        <v>1</v>
      </c>
      <c r="DS86" s="2858"/>
      <c r="DT86" s="2858"/>
    </row>
    <row r="87" spans="2:124" s="881" customFormat="1" ht="152" hidden="1" customHeight="1" outlineLevel="4">
      <c r="B87" s="2860"/>
      <c r="C87" s="3309" t="s">
        <v>739</v>
      </c>
      <c r="D87" s="3310" t="s">
        <v>739</v>
      </c>
      <c r="E87" s="588"/>
      <c r="F87" s="2967" t="s">
        <v>739</v>
      </c>
      <c r="G87" s="2838"/>
      <c r="H87" s="2697" t="s">
        <v>740</v>
      </c>
      <c r="I87" s="611"/>
      <c r="J87" s="103" t="s">
        <v>1300</v>
      </c>
      <c r="K87" s="1037"/>
      <c r="L87" s="611" t="s">
        <v>247</v>
      </c>
      <c r="M87" s="3358"/>
      <c r="N87" s="3358"/>
      <c r="O87" s="3358"/>
      <c r="P87" s="3358"/>
      <c r="Q87" s="3358"/>
      <c r="R87" s="3358"/>
      <c r="S87" s="3358"/>
      <c r="T87" s="3358"/>
      <c r="U87" s="3358"/>
      <c r="V87" s="1037"/>
      <c r="W87" s="858" t="s">
        <v>774</v>
      </c>
      <c r="X87" s="858"/>
      <c r="Y87" s="853" t="s">
        <v>1307</v>
      </c>
      <c r="Z87" s="853" t="s">
        <v>1313</v>
      </c>
      <c r="AA87" s="858"/>
      <c r="AB87" s="3352"/>
      <c r="AC87" s="1037"/>
      <c r="AD87" s="711" t="s">
        <v>1179</v>
      </c>
      <c r="AE87" s="712">
        <v>1</v>
      </c>
      <c r="AF87" s="179"/>
      <c r="AG87" s="179"/>
      <c r="AH87" s="3359">
        <v>1400000</v>
      </c>
      <c r="AI87" s="2982">
        <f t="shared" si="148"/>
        <v>1400000</v>
      </c>
      <c r="AJ87" s="1267" t="s">
        <v>1314</v>
      </c>
      <c r="AK87" s="1037"/>
      <c r="AL87" s="1032">
        <f>+AI87</f>
        <v>1400000</v>
      </c>
      <c r="AM87" s="1032"/>
      <c r="AN87" s="1041">
        <f t="shared" si="124"/>
        <v>1400000</v>
      </c>
      <c r="AO87" s="1037"/>
      <c r="AP87" s="986"/>
      <c r="AQ87" s="986"/>
      <c r="AR87" s="986"/>
      <c r="AS87" s="986"/>
      <c r="AT87" s="986"/>
      <c r="AU87" s="986"/>
      <c r="AV87" s="986"/>
      <c r="AW87" s="986"/>
      <c r="AX87" s="986"/>
      <c r="AY87" s="986"/>
      <c r="AZ87" s="2011">
        <f t="shared" si="9"/>
        <v>0</v>
      </c>
      <c r="BA87" s="1037"/>
      <c r="BB87" s="986"/>
      <c r="BC87" s="986"/>
      <c r="BD87" s="986"/>
      <c r="BE87" s="986"/>
      <c r="BF87" s="986"/>
      <c r="BG87" s="986"/>
      <c r="BH87" s="986"/>
      <c r="BI87" s="986"/>
      <c r="BJ87" s="986"/>
      <c r="BK87" s="986"/>
      <c r="BL87" s="986"/>
      <c r="BM87" s="986"/>
      <c r="BN87" s="2011">
        <f t="shared" si="11"/>
        <v>0</v>
      </c>
      <c r="BO87" s="1037"/>
      <c r="BP87" s="986"/>
      <c r="BQ87" s="986"/>
      <c r="BR87" s="986"/>
      <c r="BS87" s="986"/>
      <c r="BT87" s="986"/>
      <c r="BU87" s="986"/>
      <c r="BV87" s="986"/>
      <c r="BW87" s="986"/>
      <c r="BX87" s="1015"/>
      <c r="BY87" s="1015"/>
      <c r="CA87" s="1015"/>
      <c r="CB87" s="2026">
        <f>SUM(BP87:CA87)</f>
        <v>0</v>
      </c>
      <c r="CC87" s="1037"/>
      <c r="CD87" s="1015"/>
      <c r="CE87" s="1015">
        <f>+$AH$87*0.2</f>
        <v>280000</v>
      </c>
      <c r="CF87" s="1015"/>
      <c r="CG87" s="1015">
        <f>+$AH$87*0.4</f>
        <v>560000</v>
      </c>
      <c r="CH87" s="1015"/>
      <c r="CI87" s="1015">
        <f>+$AH$87*0.4</f>
        <v>560000</v>
      </c>
      <c r="CJ87" s="1015"/>
      <c r="CK87" s="1015"/>
      <c r="CL87" s="1015"/>
      <c r="CM87" s="1015"/>
      <c r="CN87" s="1015"/>
      <c r="CO87" s="1015"/>
      <c r="CP87" s="2035">
        <f t="shared" si="23"/>
        <v>1400000</v>
      </c>
      <c r="CQ87" s="1037"/>
      <c r="CR87" s="1015"/>
      <c r="CS87" s="1015"/>
      <c r="CT87" s="1015"/>
      <c r="CU87" s="1015"/>
      <c r="CV87" s="1015"/>
      <c r="CW87" s="1015"/>
      <c r="CX87" s="1015"/>
      <c r="CY87" s="1015"/>
      <c r="CZ87" s="1015"/>
      <c r="DA87" s="1015"/>
      <c r="DB87" s="1015"/>
      <c r="DC87" s="1015"/>
      <c r="DD87" s="2011">
        <f t="shared" si="146"/>
        <v>0</v>
      </c>
      <c r="DE87" s="1037"/>
      <c r="DF87" s="1015"/>
      <c r="DG87" s="1015"/>
      <c r="DH87" s="1015"/>
      <c r="DI87" s="2008">
        <f t="shared" si="147"/>
        <v>0</v>
      </c>
      <c r="DJ87" s="3121">
        <f t="shared" si="135"/>
        <v>1400000</v>
      </c>
      <c r="DK87" s="108"/>
      <c r="DL87" s="3348">
        <f t="shared" si="129"/>
        <v>0</v>
      </c>
      <c r="DN87" s="2743" t="s">
        <v>1303</v>
      </c>
      <c r="DO87" s="2740" t="s">
        <v>1304</v>
      </c>
      <c r="DP87" s="2740" t="s">
        <v>1160</v>
      </c>
      <c r="DQ87" s="2740" t="s">
        <v>4</v>
      </c>
      <c r="DR87" s="2740" t="str">
        <f t="shared" si="4"/>
        <v>1</v>
      </c>
      <c r="DS87" s="1037"/>
      <c r="DT87" s="1037"/>
    </row>
    <row r="88" spans="2:124" s="881" customFormat="1" ht="55.25" hidden="1" customHeight="1" outlineLevel="4">
      <c r="B88" s="2860"/>
      <c r="C88" s="3309" t="s">
        <v>741</v>
      </c>
      <c r="D88" s="3310" t="s">
        <v>741</v>
      </c>
      <c r="E88" s="588"/>
      <c r="F88" s="2968" t="s">
        <v>741</v>
      </c>
      <c r="G88" s="2838"/>
      <c r="H88" s="2698" t="s">
        <v>742</v>
      </c>
      <c r="I88" s="611"/>
      <c r="J88" s="103" t="s">
        <v>1300</v>
      </c>
      <c r="K88" s="1037"/>
      <c r="L88" s="611" t="s">
        <v>247</v>
      </c>
      <c r="M88" s="3358"/>
      <c r="N88" s="3358"/>
      <c r="O88" s="3358"/>
      <c r="P88" s="3358"/>
      <c r="Q88" s="3358"/>
      <c r="R88" s="3358"/>
      <c r="S88" s="3358"/>
      <c r="T88" s="3358"/>
      <c r="U88" s="3358"/>
      <c r="V88" s="1037"/>
      <c r="W88" s="858" t="s">
        <v>853</v>
      </c>
      <c r="X88" s="858"/>
      <c r="Y88" s="853" t="s">
        <v>1315</v>
      </c>
      <c r="Z88" s="853" t="s">
        <v>1316</v>
      </c>
      <c r="AA88" s="858"/>
      <c r="AB88" s="3352"/>
      <c r="AC88" s="1037"/>
      <c r="AD88" s="711" t="s">
        <v>1179</v>
      </c>
      <c r="AE88" s="712">
        <v>1</v>
      </c>
      <c r="AF88" s="179"/>
      <c r="AG88" s="179"/>
      <c r="AH88" s="3359">
        <v>600000</v>
      </c>
      <c r="AI88" s="485">
        <f t="shared" si="148"/>
        <v>600000</v>
      </c>
      <c r="AJ88" s="1267"/>
      <c r="AK88" s="1037"/>
      <c r="AL88" s="1032">
        <f t="shared" ref="AL88:AL93" si="154">+AI88</f>
        <v>600000</v>
      </c>
      <c r="AM88" s="1032"/>
      <c r="AN88" s="1041">
        <f t="shared" si="124"/>
        <v>600000</v>
      </c>
      <c r="AO88" s="1037"/>
      <c r="AP88" s="986"/>
      <c r="AQ88" s="986"/>
      <c r="AR88" s="986"/>
      <c r="AS88" s="986"/>
      <c r="AT88" s="986"/>
      <c r="AU88" s="986"/>
      <c r="AV88" s="986"/>
      <c r="AW88" s="986"/>
      <c r="AX88" s="986"/>
      <c r="AY88" s="986"/>
      <c r="AZ88" s="2011">
        <f t="shared" si="9"/>
        <v>0</v>
      </c>
      <c r="BA88" s="1037"/>
      <c r="BB88" s="986"/>
      <c r="BC88" s="986"/>
      <c r="BD88" s="986"/>
      <c r="BE88" s="986"/>
      <c r="BF88" s="986"/>
      <c r="BG88" s="986"/>
      <c r="BH88" s="986"/>
      <c r="BI88" s="986"/>
      <c r="BJ88" s="986"/>
      <c r="BK88" s="986"/>
      <c r="BL88" s="986"/>
      <c r="BM88" s="986"/>
      <c r="BN88" s="2011">
        <f t="shared" si="11"/>
        <v>0</v>
      </c>
      <c r="BO88" s="1037"/>
      <c r="BP88" s="986"/>
      <c r="BQ88" s="986"/>
      <c r="BR88" s="986"/>
      <c r="BS88" s="986"/>
      <c r="BT88" s="986"/>
      <c r="BU88" s="986"/>
      <c r="BV88" s="986"/>
      <c r="BW88" s="986"/>
      <c r="BX88" s="1015"/>
      <c r="BY88" s="1015"/>
      <c r="BZ88" s="1015"/>
      <c r="CA88" s="1015"/>
      <c r="CB88" s="2026">
        <f t="shared" si="13"/>
        <v>0</v>
      </c>
      <c r="CC88" s="1037"/>
      <c r="CD88" s="1033"/>
      <c r="CE88" s="1033"/>
      <c r="CF88" s="1033"/>
      <c r="CG88" s="1033">
        <f>+$AL88*22.5%</f>
        <v>135000</v>
      </c>
      <c r="CH88" s="1033"/>
      <c r="CI88" s="1033"/>
      <c r="CJ88" s="1033">
        <f>+$AL88*15%</f>
        <v>90000</v>
      </c>
      <c r="CK88" s="1033"/>
      <c r="CL88" s="1033"/>
      <c r="CM88" s="1033">
        <f>+$AL88*15%</f>
        <v>90000</v>
      </c>
      <c r="CN88" s="1033"/>
      <c r="CO88" s="1033"/>
      <c r="CP88" s="2035">
        <f>SUM(CD88:CO88)</f>
        <v>315000</v>
      </c>
      <c r="CQ88" s="1037"/>
      <c r="CR88" s="1015"/>
      <c r="CS88" s="1033"/>
      <c r="CT88" s="1033"/>
      <c r="CU88" s="1033"/>
      <c r="CV88" s="1033"/>
      <c r="CW88" s="1033">
        <f>+$AL88*15%</f>
        <v>90000</v>
      </c>
      <c r="CX88" s="1033"/>
      <c r="CY88" s="1033">
        <f>+$AL88*15%</f>
        <v>90000</v>
      </c>
      <c r="CZ88" s="1033"/>
      <c r="DA88" s="1033"/>
      <c r="DB88" s="1033">
        <f>+$AL88*17.5%</f>
        <v>105000</v>
      </c>
      <c r="DC88" s="1033"/>
      <c r="DD88" s="2011">
        <f t="shared" si="146"/>
        <v>285000</v>
      </c>
      <c r="DE88" s="1037"/>
      <c r="DF88" s="986"/>
      <c r="DG88" s="986"/>
      <c r="DH88" s="986"/>
      <c r="DI88" s="2008">
        <f t="shared" si="147"/>
        <v>0</v>
      </c>
      <c r="DJ88" s="3121">
        <f t="shared" si="135"/>
        <v>600000</v>
      </c>
      <c r="DK88" s="108"/>
      <c r="DL88" s="3317">
        <f t="shared" si="129"/>
        <v>0</v>
      </c>
      <c r="DN88" s="2743" t="s">
        <v>1180</v>
      </c>
      <c r="DO88" s="2736" t="s">
        <v>1181</v>
      </c>
      <c r="DP88" s="2736" t="s">
        <v>1117</v>
      </c>
      <c r="DQ88" s="2736" t="s">
        <v>4</v>
      </c>
      <c r="DR88" s="2736" t="str">
        <f t="shared" si="4"/>
        <v>1</v>
      </c>
      <c r="DS88" s="1037"/>
      <c r="DT88" s="1037"/>
    </row>
    <row r="89" spans="2:124" s="881" customFormat="1" ht="27.5" hidden="1" customHeight="1" outlineLevel="4">
      <c r="B89" s="2860"/>
      <c r="C89" s="3309" t="s">
        <v>743</v>
      </c>
      <c r="D89" s="3310" t="s">
        <v>743</v>
      </c>
      <c r="E89" s="588"/>
      <c r="F89" s="2968" t="s">
        <v>743</v>
      </c>
      <c r="G89" s="2838"/>
      <c r="H89" s="2698" t="s">
        <v>744</v>
      </c>
      <c r="I89" s="611"/>
      <c r="J89" s="103"/>
      <c r="K89" s="1037"/>
      <c r="L89" s="611" t="s">
        <v>247</v>
      </c>
      <c r="M89" s="3358"/>
      <c r="N89" s="3358"/>
      <c r="O89" s="3358"/>
      <c r="P89" s="3358"/>
      <c r="Q89" s="3358"/>
      <c r="R89" s="3358"/>
      <c r="S89" s="3358"/>
      <c r="T89" s="3358"/>
      <c r="U89" s="3358"/>
      <c r="V89" s="1037"/>
      <c r="W89" s="858" t="s">
        <v>853</v>
      </c>
      <c r="X89" s="858"/>
      <c r="Y89" s="853" t="s">
        <v>1315</v>
      </c>
      <c r="Z89" s="853" t="s">
        <v>1317</v>
      </c>
      <c r="AA89" s="858"/>
      <c r="AB89" s="3352"/>
      <c r="AC89" s="1037"/>
      <c r="AD89" s="711" t="s">
        <v>1179</v>
      </c>
      <c r="AE89" s="712">
        <v>1</v>
      </c>
      <c r="AF89" s="179"/>
      <c r="AG89" s="179"/>
      <c r="AH89" s="3359">
        <v>100000</v>
      </c>
      <c r="AI89" s="485">
        <f t="shared" si="148"/>
        <v>100000</v>
      </c>
      <c r="AJ89" s="1267"/>
      <c r="AK89" s="1037"/>
      <c r="AL89" s="1032">
        <f t="shared" si="154"/>
        <v>100000</v>
      </c>
      <c r="AM89" s="1032"/>
      <c r="AN89" s="1041">
        <f t="shared" si="124"/>
        <v>100000</v>
      </c>
      <c r="AO89" s="1037"/>
      <c r="AP89" s="986"/>
      <c r="AQ89" s="986"/>
      <c r="AR89" s="986"/>
      <c r="AS89" s="986"/>
      <c r="AT89" s="986"/>
      <c r="AU89" s="986"/>
      <c r="AV89" s="986"/>
      <c r="AW89" s="986"/>
      <c r="AX89" s="986"/>
      <c r="AY89" s="986"/>
      <c r="AZ89" s="2011">
        <f t="shared" si="9"/>
        <v>0</v>
      </c>
      <c r="BA89" s="1037"/>
      <c r="BB89" s="986"/>
      <c r="BC89" s="986"/>
      <c r="BD89" s="986"/>
      <c r="BE89" s="986"/>
      <c r="BF89" s="986"/>
      <c r="BG89" s="986"/>
      <c r="BH89" s="986"/>
      <c r="BI89" s="986"/>
      <c r="BJ89" s="986"/>
      <c r="BK89" s="986"/>
      <c r="BL89" s="986"/>
      <c r="BM89" s="986"/>
      <c r="BN89" s="2011">
        <f t="shared" si="11"/>
        <v>0</v>
      </c>
      <c r="BO89" s="1037"/>
      <c r="BP89" s="986"/>
      <c r="BQ89" s="986"/>
      <c r="BR89" s="986"/>
      <c r="BS89" s="986"/>
      <c r="BT89" s="986"/>
      <c r="BU89" s="986"/>
      <c r="BV89" s="986"/>
      <c r="BW89" s="986"/>
      <c r="BX89" s="1015"/>
      <c r="BY89" s="1015"/>
      <c r="BZ89" s="1015"/>
      <c r="CA89" s="1015"/>
      <c r="CB89" s="2026">
        <f t="shared" si="13"/>
        <v>0</v>
      </c>
      <c r="CC89" s="1037"/>
      <c r="CD89" s="1033"/>
      <c r="CE89" s="1033"/>
      <c r="CG89" s="1033">
        <f>+$AL89*22.5%</f>
        <v>22500</v>
      </c>
      <c r="CH89" s="1033"/>
      <c r="CI89" s="1033"/>
      <c r="CJ89" s="1033">
        <f>+$AL89*15%</f>
        <v>15000</v>
      </c>
      <c r="CK89" s="1033"/>
      <c r="CL89" s="1033"/>
      <c r="CM89" s="1033">
        <f>+$AL89*15%</f>
        <v>15000</v>
      </c>
      <c r="CN89" s="1033"/>
      <c r="CO89" s="1033"/>
      <c r="CP89" s="2035">
        <f>SUM(CD89:CO89)</f>
        <v>52500</v>
      </c>
      <c r="CQ89" s="1037"/>
      <c r="CR89" s="1015"/>
      <c r="CS89" s="1033"/>
      <c r="CT89" s="1033"/>
      <c r="CU89" s="1033"/>
      <c r="CV89" s="1033"/>
      <c r="CW89" s="1033">
        <f>+$AL89*15%</f>
        <v>15000</v>
      </c>
      <c r="CX89" s="1033"/>
      <c r="CY89" s="1033">
        <f>+$AL89*15%</f>
        <v>15000</v>
      </c>
      <c r="CZ89" s="1033"/>
      <c r="DA89" s="1033"/>
      <c r="DB89" s="1033">
        <f>+$AL89*17.5%</f>
        <v>17500</v>
      </c>
      <c r="DC89" s="1033"/>
      <c r="DD89" s="2011">
        <f t="shared" si="146"/>
        <v>47500</v>
      </c>
      <c r="DE89" s="1037"/>
      <c r="DF89" s="986"/>
      <c r="DG89" s="986"/>
      <c r="DH89" s="986"/>
      <c r="DI89" s="2008">
        <f t="shared" si="147"/>
        <v>0</v>
      </c>
      <c r="DJ89" s="3121">
        <f t="shared" si="135"/>
        <v>100000</v>
      </c>
      <c r="DK89" s="108"/>
      <c r="DL89" s="3317">
        <f t="shared" si="129"/>
        <v>0</v>
      </c>
      <c r="DN89" s="2743" t="s">
        <v>1180</v>
      </c>
      <c r="DO89" s="2730" t="s">
        <v>1181</v>
      </c>
      <c r="DP89" s="2730" t="s">
        <v>1117</v>
      </c>
      <c r="DQ89" s="2730" t="s">
        <v>4</v>
      </c>
      <c r="DR89" s="2730" t="str">
        <f t="shared" si="4"/>
        <v>1</v>
      </c>
      <c r="DS89" s="1037"/>
      <c r="DT89" s="1037"/>
    </row>
    <row r="90" spans="2:124" s="881" customFormat="1" ht="27.5" hidden="1" customHeight="1" outlineLevel="4">
      <c r="B90" s="2860"/>
      <c r="C90" s="3309" t="s">
        <v>745</v>
      </c>
      <c r="D90" s="3310" t="s">
        <v>745</v>
      </c>
      <c r="E90" s="588"/>
      <c r="F90" s="2968" t="s">
        <v>745</v>
      </c>
      <c r="G90" s="2838"/>
      <c r="H90" s="2698" t="s">
        <v>746</v>
      </c>
      <c r="I90" s="611"/>
      <c r="J90" s="103"/>
      <c r="K90" s="1037"/>
      <c r="L90" s="611" t="s">
        <v>1298</v>
      </c>
      <c r="M90" s="3358"/>
      <c r="N90" s="3358"/>
      <c r="O90" s="3358"/>
      <c r="P90" s="3358"/>
      <c r="Q90" s="3358"/>
      <c r="R90" s="3358"/>
      <c r="S90" s="3358"/>
      <c r="T90" s="3358"/>
      <c r="U90" s="3358"/>
      <c r="V90" s="1037"/>
      <c r="W90" s="858" t="s">
        <v>853</v>
      </c>
      <c r="X90" s="858"/>
      <c r="Y90" s="853" t="s">
        <v>1315</v>
      </c>
      <c r="Z90" s="853" t="s">
        <v>1318</v>
      </c>
      <c r="AA90" s="858"/>
      <c r="AB90" s="3352"/>
      <c r="AC90" s="1037"/>
      <c r="AD90" s="711" t="s">
        <v>1179</v>
      </c>
      <c r="AE90" s="712">
        <v>1</v>
      </c>
      <c r="AF90" s="179"/>
      <c r="AG90" s="179"/>
      <c r="AH90" s="3359">
        <v>300000</v>
      </c>
      <c r="AI90" s="485">
        <f t="shared" si="148"/>
        <v>300000</v>
      </c>
      <c r="AJ90" s="1267"/>
      <c r="AK90" s="1037"/>
      <c r="AL90" s="1032">
        <f t="shared" si="154"/>
        <v>300000</v>
      </c>
      <c r="AM90" s="1032"/>
      <c r="AN90" s="1041">
        <f t="shared" si="124"/>
        <v>300000</v>
      </c>
      <c r="AO90" s="1037"/>
      <c r="AP90" s="986"/>
      <c r="AQ90" s="986"/>
      <c r="AR90" s="986"/>
      <c r="AS90" s="986"/>
      <c r="AT90" s="986"/>
      <c r="AU90" s="986"/>
      <c r="AV90" s="986"/>
      <c r="AW90" s="986"/>
      <c r="AX90" s="986"/>
      <c r="AY90" s="986"/>
      <c r="AZ90" s="2011">
        <f t="shared" si="9"/>
        <v>0</v>
      </c>
      <c r="BA90" s="1037"/>
      <c r="BB90" s="986"/>
      <c r="BC90" s="986"/>
      <c r="BD90" s="986"/>
      <c r="BE90" s="986"/>
      <c r="BF90" s="986"/>
      <c r="BG90" s="986"/>
      <c r="BH90" s="986"/>
      <c r="BI90" s="986"/>
      <c r="BJ90" s="986"/>
      <c r="BK90" s="986"/>
      <c r="BL90" s="986"/>
      <c r="BM90" s="986"/>
      <c r="BN90" s="2011">
        <f t="shared" si="11"/>
        <v>0</v>
      </c>
      <c r="BO90" s="1037"/>
      <c r="BP90" s="986"/>
      <c r="BQ90" s="986"/>
      <c r="BR90" s="986"/>
      <c r="BS90" s="986"/>
      <c r="BT90" s="986"/>
      <c r="BU90" s="986"/>
      <c r="BV90" s="986"/>
      <c r="BW90" s="986"/>
      <c r="BX90" s="1015"/>
      <c r="BY90" s="1015"/>
      <c r="BZ90" s="1015"/>
      <c r="CA90" s="1015"/>
      <c r="CB90" s="2026">
        <f t="shared" si="13"/>
        <v>0</v>
      </c>
      <c r="CC90" s="1037"/>
      <c r="CD90" s="1033"/>
      <c r="CE90" s="1033"/>
      <c r="CF90" s="1033"/>
      <c r="CG90" s="1033">
        <f>+$AL90*22.5%</f>
        <v>67500</v>
      </c>
      <c r="CH90" s="1033"/>
      <c r="CI90" s="1033"/>
      <c r="CJ90" s="1033">
        <f>+$AL90*15%</f>
        <v>45000</v>
      </c>
      <c r="CK90" s="1033"/>
      <c r="CL90" s="1033"/>
      <c r="CM90" s="1033">
        <f>+$AL90*15%</f>
        <v>45000</v>
      </c>
      <c r="CN90" s="1033"/>
      <c r="CO90" s="1033"/>
      <c r="CP90" s="2035">
        <f>SUM(CD90:CO90)</f>
        <v>157500</v>
      </c>
      <c r="CQ90" s="1037"/>
      <c r="CR90" s="1015"/>
      <c r="CS90" s="1033"/>
      <c r="CT90" s="1033"/>
      <c r="CU90" s="1033"/>
      <c r="CV90" s="1033"/>
      <c r="CW90" s="1033">
        <f>+$AL90*15%</f>
        <v>45000</v>
      </c>
      <c r="CX90" s="1033"/>
      <c r="CY90" s="1033">
        <f>+$AL90*15%</f>
        <v>45000</v>
      </c>
      <c r="CZ90" s="1033"/>
      <c r="DA90" s="1033"/>
      <c r="DB90" s="1033">
        <f>+$AL90*17.5%</f>
        <v>52500</v>
      </c>
      <c r="DC90" s="1033"/>
      <c r="DD90" s="2011">
        <f t="shared" si="146"/>
        <v>142500</v>
      </c>
      <c r="DE90" s="1037"/>
      <c r="DF90" s="986"/>
      <c r="DG90" s="986"/>
      <c r="DH90" s="986"/>
      <c r="DI90" s="2008">
        <f t="shared" si="147"/>
        <v>0</v>
      </c>
      <c r="DJ90" s="3121">
        <f t="shared" si="135"/>
        <v>300000</v>
      </c>
      <c r="DK90" s="108"/>
      <c r="DL90" s="3317">
        <f t="shared" si="129"/>
        <v>0</v>
      </c>
      <c r="DN90" s="2743" t="s">
        <v>1180</v>
      </c>
      <c r="DO90" s="2730" t="s">
        <v>1181</v>
      </c>
      <c r="DP90" s="2730" t="s">
        <v>1117</v>
      </c>
      <c r="DQ90" s="2730" t="s">
        <v>4</v>
      </c>
      <c r="DR90" s="2730" t="str">
        <f t="shared" si="4"/>
        <v>1</v>
      </c>
      <c r="DS90" s="1037"/>
      <c r="DT90" s="1037"/>
    </row>
    <row r="91" spans="2:124" s="153" customFormat="1" ht="24.5" hidden="1" customHeight="1" outlineLevel="3">
      <c r="B91" s="2839"/>
      <c r="C91" s="3306" t="s">
        <v>747</v>
      </c>
      <c r="D91" s="2941" t="s">
        <v>747</v>
      </c>
      <c r="E91" s="2830"/>
      <c r="F91" s="3307" t="s">
        <v>747</v>
      </c>
      <c r="G91" s="2833"/>
      <c r="H91" s="3308" t="s">
        <v>748</v>
      </c>
      <c r="I91" s="3308"/>
      <c r="J91" s="1250" t="s">
        <v>1297</v>
      </c>
      <c r="K91" s="2858"/>
      <c r="L91" s="851"/>
      <c r="M91" s="851"/>
      <c r="N91" s="3347"/>
      <c r="O91" s="3347"/>
      <c r="P91" s="3347"/>
      <c r="Q91" s="3347"/>
      <c r="R91" s="3347"/>
      <c r="S91" s="3347"/>
      <c r="T91" s="3347"/>
      <c r="U91" s="3347"/>
      <c r="V91" s="2858"/>
      <c r="W91" s="851"/>
      <c r="X91" s="851"/>
      <c r="Y91" s="851"/>
      <c r="Z91" s="851"/>
      <c r="AA91" s="851"/>
      <c r="AB91" s="1250"/>
      <c r="AC91" s="2858"/>
      <c r="AD91" s="2840"/>
      <c r="AE91" s="397"/>
      <c r="AF91" s="397"/>
      <c r="AG91" s="397"/>
      <c r="AH91" s="398"/>
      <c r="AI91" s="398">
        <f>SUM(AI92:AI93)</f>
        <v>1996282</v>
      </c>
      <c r="AJ91" s="691"/>
      <c r="AK91" s="2858"/>
      <c r="AL91" s="398">
        <f>SUM(AL92:AL93)</f>
        <v>1996282</v>
      </c>
      <c r="AM91" s="398">
        <f>SUM(AM92:AM93)</f>
        <v>0</v>
      </c>
      <c r="AN91" s="398">
        <f t="shared" si="124"/>
        <v>1996282</v>
      </c>
      <c r="AO91" s="2858"/>
      <c r="AP91" s="992">
        <f t="shared" ref="AP91:AY91" si="155">SUM(AP92:AP93)</f>
        <v>0</v>
      </c>
      <c r="AQ91" s="992">
        <f t="shared" si="155"/>
        <v>0</v>
      </c>
      <c r="AR91" s="992">
        <f t="shared" si="155"/>
        <v>0</v>
      </c>
      <c r="AS91" s="992">
        <f t="shared" si="155"/>
        <v>0</v>
      </c>
      <c r="AT91" s="992">
        <f t="shared" si="155"/>
        <v>0</v>
      </c>
      <c r="AU91" s="992">
        <f t="shared" si="155"/>
        <v>0</v>
      </c>
      <c r="AV91" s="992">
        <f t="shared" si="155"/>
        <v>0</v>
      </c>
      <c r="AW91" s="992">
        <f t="shared" si="155"/>
        <v>0</v>
      </c>
      <c r="AX91" s="992">
        <f t="shared" si="155"/>
        <v>0</v>
      </c>
      <c r="AY91" s="992">
        <f t="shared" si="155"/>
        <v>0</v>
      </c>
      <c r="AZ91" s="992">
        <f t="shared" si="9"/>
        <v>0</v>
      </c>
      <c r="BA91" s="1037"/>
      <c r="BB91" s="992">
        <f t="shared" ref="BB91:BM91" si="156">SUM(BB92:BB93)</f>
        <v>0</v>
      </c>
      <c r="BC91" s="992">
        <f t="shared" si="156"/>
        <v>0</v>
      </c>
      <c r="BD91" s="992">
        <f t="shared" si="156"/>
        <v>0</v>
      </c>
      <c r="BE91" s="992">
        <f t="shared" si="156"/>
        <v>0</v>
      </c>
      <c r="BF91" s="992">
        <f t="shared" si="156"/>
        <v>0</v>
      </c>
      <c r="BG91" s="992">
        <f t="shared" si="156"/>
        <v>0</v>
      </c>
      <c r="BH91" s="992">
        <f t="shared" si="156"/>
        <v>0</v>
      </c>
      <c r="BI91" s="992">
        <f t="shared" si="156"/>
        <v>0</v>
      </c>
      <c r="BJ91" s="992">
        <f t="shared" si="156"/>
        <v>0</v>
      </c>
      <c r="BK91" s="992">
        <f t="shared" si="156"/>
        <v>0</v>
      </c>
      <c r="BL91" s="992">
        <f t="shared" si="156"/>
        <v>0</v>
      </c>
      <c r="BM91" s="992">
        <f t="shared" si="156"/>
        <v>0</v>
      </c>
      <c r="BN91" s="992">
        <f t="shared" si="11"/>
        <v>0</v>
      </c>
      <c r="BO91" s="2858"/>
      <c r="BP91" s="992">
        <f t="shared" ref="BP91:CA91" si="157">SUM(BP92:BP93)</f>
        <v>0</v>
      </c>
      <c r="BQ91" s="992">
        <f t="shared" si="157"/>
        <v>0</v>
      </c>
      <c r="BR91" s="992">
        <f t="shared" si="157"/>
        <v>0</v>
      </c>
      <c r="BS91" s="992">
        <f t="shared" si="157"/>
        <v>0</v>
      </c>
      <c r="BT91" s="992">
        <f t="shared" si="157"/>
        <v>0</v>
      </c>
      <c r="BU91" s="992">
        <f t="shared" si="157"/>
        <v>0</v>
      </c>
      <c r="BV91" s="992">
        <f t="shared" si="157"/>
        <v>0</v>
      </c>
      <c r="BW91" s="992">
        <f t="shared" si="157"/>
        <v>0</v>
      </c>
      <c r="BX91" s="992">
        <f t="shared" si="157"/>
        <v>0</v>
      </c>
      <c r="BY91" s="992">
        <f t="shared" si="157"/>
        <v>0</v>
      </c>
      <c r="BZ91" s="992">
        <f t="shared" si="157"/>
        <v>0</v>
      </c>
      <c r="CA91" s="992">
        <f t="shared" si="157"/>
        <v>0</v>
      </c>
      <c r="CB91" s="992">
        <f t="shared" si="13"/>
        <v>0</v>
      </c>
      <c r="CC91" s="2858"/>
      <c r="CD91" s="992">
        <f t="shared" ref="CD91:CO91" si="158">SUM(CD92:CD93)</f>
        <v>0</v>
      </c>
      <c r="CE91" s="992">
        <f t="shared" si="158"/>
        <v>0</v>
      </c>
      <c r="CF91" s="992">
        <f t="shared" si="158"/>
        <v>0</v>
      </c>
      <c r="CG91" s="992">
        <f t="shared" si="158"/>
        <v>0</v>
      </c>
      <c r="CH91" s="992">
        <f>SUM(CH92:CH93)</f>
        <v>0</v>
      </c>
      <c r="CI91" s="992">
        <f>SUM(CI92:CI93)</f>
        <v>399256.4</v>
      </c>
      <c r="CJ91" s="992">
        <f t="shared" si="158"/>
        <v>0</v>
      </c>
      <c r="CK91" s="992">
        <f>SUM(CK92:CK93)</f>
        <v>0</v>
      </c>
      <c r="CL91" s="992">
        <f>SUM(CL92:CL93)</f>
        <v>0</v>
      </c>
      <c r="CM91" s="992">
        <f>SUM(CM92:CM93)</f>
        <v>798512.8</v>
      </c>
      <c r="CN91" s="992">
        <f>SUM(CN92:CN93)</f>
        <v>0</v>
      </c>
      <c r="CO91" s="992">
        <f t="shared" si="158"/>
        <v>0</v>
      </c>
      <c r="CP91" s="993">
        <f t="shared" si="23"/>
        <v>1197769.2000000002</v>
      </c>
      <c r="CQ91" s="2858"/>
      <c r="CR91" s="992">
        <f t="shared" ref="CR91:DC91" si="159">SUM(CR92:CR93)</f>
        <v>0</v>
      </c>
      <c r="CS91" s="992">
        <f>SUM(CS92:CS93)</f>
        <v>798512.8</v>
      </c>
      <c r="CT91" s="992">
        <f t="shared" si="159"/>
        <v>0</v>
      </c>
      <c r="CU91" s="992">
        <f t="shared" si="159"/>
        <v>0</v>
      </c>
      <c r="CV91" s="992">
        <f t="shared" si="159"/>
        <v>0</v>
      </c>
      <c r="CW91" s="992">
        <f t="shared" si="159"/>
        <v>0</v>
      </c>
      <c r="CX91" s="992">
        <f t="shared" si="159"/>
        <v>0</v>
      </c>
      <c r="CY91" s="992">
        <f t="shared" si="159"/>
        <v>0</v>
      </c>
      <c r="CZ91" s="992">
        <f t="shared" si="159"/>
        <v>0</v>
      </c>
      <c r="DA91" s="992">
        <f t="shared" si="159"/>
        <v>0</v>
      </c>
      <c r="DB91" s="992">
        <f t="shared" si="159"/>
        <v>0</v>
      </c>
      <c r="DC91" s="992">
        <f t="shared" si="159"/>
        <v>0</v>
      </c>
      <c r="DD91" s="994">
        <f t="shared" si="146"/>
        <v>798512.8</v>
      </c>
      <c r="DE91" s="2858"/>
      <c r="DF91" s="992">
        <f>SUM(DF92:DF93)</f>
        <v>0</v>
      </c>
      <c r="DG91" s="992">
        <f>SUM(DG92:DG93)</f>
        <v>0</v>
      </c>
      <c r="DH91" s="992">
        <f>SUM(DH92:DH93)</f>
        <v>0</v>
      </c>
      <c r="DI91" s="3083">
        <f t="shared" si="147"/>
        <v>0</v>
      </c>
      <c r="DJ91" s="3122">
        <f t="shared" si="135"/>
        <v>1996282.0000000002</v>
      </c>
      <c r="DL91" s="3348">
        <f t="shared" si="129"/>
        <v>0</v>
      </c>
      <c r="DN91" s="2725" t="s">
        <v>1175</v>
      </c>
      <c r="DO91" s="2728" t="s">
        <v>1175</v>
      </c>
      <c r="DP91" s="2728"/>
      <c r="DQ91" s="2728" t="s">
        <v>1175</v>
      </c>
      <c r="DR91" s="2728" t="str">
        <f t="shared" si="4"/>
        <v>1</v>
      </c>
      <c r="DS91" s="2858"/>
      <c r="DT91" s="2858"/>
    </row>
    <row r="92" spans="2:124" s="881" customFormat="1" ht="55.25" hidden="1" customHeight="1" outlineLevel="4">
      <c r="B92" s="2860"/>
      <c r="C92" s="3309" t="s">
        <v>749</v>
      </c>
      <c r="D92" s="3310" t="s">
        <v>749</v>
      </c>
      <c r="E92" s="588"/>
      <c r="F92" s="3331" t="s">
        <v>749</v>
      </c>
      <c r="G92" s="2838"/>
      <c r="H92" s="3349" t="s">
        <v>750</v>
      </c>
      <c r="I92" s="3350"/>
      <c r="J92" s="103" t="s">
        <v>1300</v>
      </c>
      <c r="K92" s="1037"/>
      <c r="L92" s="611" t="s">
        <v>1319</v>
      </c>
      <c r="M92" s="3358"/>
      <c r="N92" s="3358"/>
      <c r="O92" s="3358"/>
      <c r="P92" s="3358"/>
      <c r="Q92" s="3358"/>
      <c r="R92" s="3358"/>
      <c r="S92" s="3358"/>
      <c r="T92" s="3358"/>
      <c r="U92" s="3358"/>
      <c r="V92" s="1037"/>
      <c r="W92" s="858" t="s">
        <v>853</v>
      </c>
      <c r="X92" s="858"/>
      <c r="Y92" s="2513" t="s">
        <v>1315</v>
      </c>
      <c r="Z92" s="2685" t="s">
        <v>1320</v>
      </c>
      <c r="AA92" s="858"/>
      <c r="AB92" s="3352"/>
      <c r="AC92" s="1037"/>
      <c r="AD92" s="711" t="s">
        <v>1179</v>
      </c>
      <c r="AE92" s="712">
        <v>1</v>
      </c>
      <c r="AF92" s="179"/>
      <c r="AG92" s="179"/>
      <c r="AH92" s="3359">
        <v>1496282</v>
      </c>
      <c r="AI92" s="485">
        <f t="shared" si="148"/>
        <v>1496282</v>
      </c>
      <c r="AJ92" s="1267"/>
      <c r="AK92" s="1037"/>
      <c r="AL92" s="3514">
        <f t="shared" si="154"/>
        <v>1496282</v>
      </c>
      <c r="AM92" s="1032"/>
      <c r="AN92" s="1041">
        <f t="shared" si="124"/>
        <v>1496282</v>
      </c>
      <c r="AO92" s="1037"/>
      <c r="AP92" s="986"/>
      <c r="AQ92" s="986"/>
      <c r="AR92" s="986"/>
      <c r="AS92" s="986"/>
      <c r="AT92" s="986"/>
      <c r="AU92" s="986"/>
      <c r="AV92" s="986"/>
      <c r="AW92" s="986"/>
      <c r="AX92" s="986"/>
      <c r="AY92" s="986"/>
      <c r="AZ92" s="2011">
        <f t="shared" ref="AZ92:AZ156" si="160">SUM(AP92:AY92)</f>
        <v>0</v>
      </c>
      <c r="BA92" s="1037"/>
      <c r="BB92" s="986"/>
      <c r="BC92" s="986"/>
      <c r="BD92" s="986"/>
      <c r="BE92" s="986"/>
      <c r="BF92" s="986"/>
      <c r="BG92" s="986"/>
      <c r="BH92" s="986"/>
      <c r="BI92" s="986"/>
      <c r="BJ92" s="986"/>
      <c r="BK92" s="986"/>
      <c r="BL92" s="986"/>
      <c r="BM92" s="986"/>
      <c r="BN92" s="2011">
        <f t="shared" ref="BN92:BN156" si="161">SUM(BB92:BM92)</f>
        <v>0</v>
      </c>
      <c r="BO92" s="1037"/>
      <c r="BP92" s="986"/>
      <c r="BQ92" s="986"/>
      <c r="BR92" s="986"/>
      <c r="BS92" s="986"/>
      <c r="BT92" s="986"/>
      <c r="BU92" s="986"/>
      <c r="BV92" s="986"/>
      <c r="BW92" s="986"/>
      <c r="BX92" s="986"/>
      <c r="BY92" s="986"/>
      <c r="BZ92" s="986"/>
      <c r="CA92" s="986"/>
      <c r="CB92" s="2011">
        <f t="shared" ref="CB92:CB155" si="162">SUM(BP92:CA92)</f>
        <v>0</v>
      </c>
      <c r="CC92" s="1037"/>
      <c r="CD92" s="3109"/>
      <c r="CE92" s="3109"/>
      <c r="CF92" s="1033"/>
      <c r="CG92" s="1033"/>
      <c r="CH92" s="1033"/>
      <c r="CI92" s="1033">
        <f>+$AL92*20%</f>
        <v>299256.40000000002</v>
      </c>
      <c r="CJ92" s="1033"/>
      <c r="CL92" s="1033"/>
      <c r="CM92" s="1033">
        <f>+$AL92*40%</f>
        <v>598512.80000000005</v>
      </c>
      <c r="CN92" s="1033"/>
      <c r="CO92" s="1033"/>
      <c r="CP92" s="1033">
        <f>SUM(CD92:CO92)</f>
        <v>897769.20000000007</v>
      </c>
      <c r="CQ92" s="1037"/>
      <c r="CR92" s="1033"/>
      <c r="CS92" s="1033">
        <f>+$AL92*40%</f>
        <v>598512.80000000005</v>
      </c>
      <c r="CT92" s="1033"/>
      <c r="CU92" s="1033"/>
      <c r="CV92" s="1033"/>
      <c r="CW92" s="1033"/>
      <c r="CX92" s="1033"/>
      <c r="CY92" s="3109"/>
      <c r="CZ92" s="1033"/>
      <c r="DA92" s="1033"/>
      <c r="DB92" s="1033"/>
      <c r="DC92" s="1033"/>
      <c r="DD92" s="1294">
        <f t="shared" si="146"/>
        <v>598512.80000000005</v>
      </c>
      <c r="DE92" s="1037"/>
      <c r="DF92" s="986"/>
      <c r="DG92" s="986"/>
      <c r="DH92" s="986"/>
      <c r="DI92" s="2008">
        <f t="shared" ref="DI92:DI156" si="163">SUM(DF92:DH92)</f>
        <v>0</v>
      </c>
      <c r="DJ92" s="3121">
        <f t="shared" si="135"/>
        <v>1496282</v>
      </c>
      <c r="DK92" s="108"/>
      <c r="DL92" s="3317">
        <f t="shared" si="129"/>
        <v>0</v>
      </c>
      <c r="DN92" s="2743" t="s">
        <v>1180</v>
      </c>
      <c r="DO92" s="2736" t="s">
        <v>1181</v>
      </c>
      <c r="DP92" s="2736" t="s">
        <v>1117</v>
      </c>
      <c r="DQ92" s="2736" t="s">
        <v>4</v>
      </c>
      <c r="DR92" s="2736" t="str">
        <f t="shared" si="4"/>
        <v>1</v>
      </c>
      <c r="DS92" s="1037"/>
      <c r="DT92" s="1037"/>
    </row>
    <row r="93" spans="2:124" s="881" customFormat="1" ht="55.25" hidden="1" customHeight="1" outlineLevel="4">
      <c r="B93" s="2860"/>
      <c r="C93" s="3309" t="s">
        <v>751</v>
      </c>
      <c r="D93" s="3310" t="s">
        <v>751</v>
      </c>
      <c r="E93" s="588"/>
      <c r="F93" s="3331" t="s">
        <v>751</v>
      </c>
      <c r="G93" s="2838"/>
      <c r="H93" s="3349" t="s">
        <v>752</v>
      </c>
      <c r="I93" s="3350"/>
      <c r="J93" s="103" t="s">
        <v>1300</v>
      </c>
      <c r="K93" s="1037"/>
      <c r="L93" s="611" t="s">
        <v>247</v>
      </c>
      <c r="M93" s="3358"/>
      <c r="N93" s="3358"/>
      <c r="O93" s="3358"/>
      <c r="P93" s="3358"/>
      <c r="Q93" s="3358"/>
      <c r="R93" s="3358"/>
      <c r="S93" s="3358"/>
      <c r="T93" s="3358"/>
      <c r="U93" s="3358"/>
      <c r="V93" s="1037"/>
      <c r="W93" s="858" t="s">
        <v>774</v>
      </c>
      <c r="X93" s="858"/>
      <c r="Y93" s="2513" t="s">
        <v>1307</v>
      </c>
      <c r="Z93" s="853" t="s">
        <v>1321</v>
      </c>
      <c r="AA93" s="858"/>
      <c r="AB93" s="3352"/>
      <c r="AC93" s="1037"/>
      <c r="AD93" s="711" t="s">
        <v>1179</v>
      </c>
      <c r="AE93" s="712">
        <v>1</v>
      </c>
      <c r="AF93" s="179"/>
      <c r="AG93" s="179"/>
      <c r="AH93" s="3359">
        <v>500000</v>
      </c>
      <c r="AI93" s="485">
        <f t="shared" si="148"/>
        <v>500000</v>
      </c>
      <c r="AJ93" s="1267"/>
      <c r="AK93" s="1037"/>
      <c r="AL93" s="1032">
        <f t="shared" si="154"/>
        <v>500000</v>
      </c>
      <c r="AM93" s="1032"/>
      <c r="AN93" s="1041">
        <f t="shared" si="124"/>
        <v>500000</v>
      </c>
      <c r="AO93" s="1037"/>
      <c r="AP93" s="986"/>
      <c r="AQ93" s="986"/>
      <c r="AR93" s="986"/>
      <c r="AS93" s="986"/>
      <c r="AT93" s="986"/>
      <c r="AU93" s="986"/>
      <c r="AV93" s="986"/>
      <c r="AW93" s="986"/>
      <c r="AX93" s="986"/>
      <c r="AY93" s="986"/>
      <c r="AZ93" s="2011">
        <f t="shared" si="160"/>
        <v>0</v>
      </c>
      <c r="BA93" s="1037"/>
      <c r="BB93" s="986"/>
      <c r="BC93" s="986"/>
      <c r="BD93" s="986"/>
      <c r="BE93" s="986"/>
      <c r="BF93" s="986"/>
      <c r="BG93" s="986"/>
      <c r="BH93" s="986"/>
      <c r="BI93" s="986"/>
      <c r="BJ93" s="986"/>
      <c r="BK93" s="986"/>
      <c r="BL93" s="986"/>
      <c r="BM93" s="986"/>
      <c r="BN93" s="2011">
        <f t="shared" si="161"/>
        <v>0</v>
      </c>
      <c r="BO93" s="1037"/>
      <c r="BP93" s="986"/>
      <c r="BQ93" s="986"/>
      <c r="BR93" s="986"/>
      <c r="BS93" s="986"/>
      <c r="BT93" s="986"/>
      <c r="BU93" s="986"/>
      <c r="BV93" s="986"/>
      <c r="BW93" s="986"/>
      <c r="BX93" s="986"/>
      <c r="BY93" s="986"/>
      <c r="BZ93" s="986"/>
      <c r="CA93" s="986"/>
      <c r="CB93" s="2011">
        <f t="shared" si="162"/>
        <v>0</v>
      </c>
      <c r="CC93" s="1037"/>
      <c r="CD93" s="1015"/>
      <c r="CE93" s="1015"/>
      <c r="CF93" s="1015"/>
      <c r="CG93" s="1015"/>
      <c r="CH93" s="1015"/>
      <c r="CI93" s="1015">
        <f>+$AH$93*0.2</f>
        <v>100000</v>
      </c>
      <c r="CJ93" s="1015"/>
      <c r="CK93" s="1015"/>
      <c r="CL93" s="1015"/>
      <c r="CM93" s="1015">
        <f>+$AH$93*0.4</f>
        <v>200000</v>
      </c>
      <c r="CN93" s="1015"/>
      <c r="CO93" s="1015"/>
      <c r="CP93" s="1015">
        <f t="shared" ref="CP93:CP156" si="164">SUM(CD93:CO93)</f>
        <v>300000</v>
      </c>
      <c r="CQ93" s="1037"/>
      <c r="CR93" s="986"/>
      <c r="CS93" s="1015">
        <f>+$AH$93*0.4</f>
        <v>200000</v>
      </c>
      <c r="CT93" s="986"/>
      <c r="CU93" s="986"/>
      <c r="CV93" s="986"/>
      <c r="CW93" s="986"/>
      <c r="CX93" s="986"/>
      <c r="CY93" s="986"/>
      <c r="CZ93" s="986"/>
      <c r="DA93" s="986"/>
      <c r="DB93" s="986"/>
      <c r="DC93" s="986"/>
      <c r="DD93" s="2014">
        <f t="shared" ref="DD93:DD156" si="165">SUM(CR93:DC93)</f>
        <v>200000</v>
      </c>
      <c r="DE93" s="1037"/>
      <c r="DF93" s="986"/>
      <c r="DG93" s="986"/>
      <c r="DH93" s="986"/>
      <c r="DI93" s="2008">
        <f t="shared" si="163"/>
        <v>0</v>
      </c>
      <c r="DJ93" s="3121">
        <f t="shared" si="135"/>
        <v>500000</v>
      </c>
      <c r="DK93" s="108"/>
      <c r="DL93" s="3317">
        <f t="shared" si="129"/>
        <v>0</v>
      </c>
      <c r="DN93" s="2743" t="s">
        <v>1303</v>
      </c>
      <c r="DO93" s="2739" t="s">
        <v>1304</v>
      </c>
      <c r="DP93" s="2739" t="s">
        <v>1160</v>
      </c>
      <c r="DQ93" s="2739" t="s">
        <v>4</v>
      </c>
      <c r="DR93" s="2739" t="str">
        <f t="shared" ref="DR93:DR156" si="166">MID(D93,1,1)</f>
        <v>1</v>
      </c>
      <c r="DS93" s="1037"/>
      <c r="DT93" s="1037"/>
    </row>
    <row r="94" spans="2:124" s="153" customFormat="1" ht="27.5" hidden="1" customHeight="1" outlineLevel="3">
      <c r="B94" s="2839"/>
      <c r="C94" s="3306" t="s">
        <v>753</v>
      </c>
      <c r="D94" s="2941" t="s">
        <v>753</v>
      </c>
      <c r="E94" s="2830"/>
      <c r="F94" s="3307" t="s">
        <v>753</v>
      </c>
      <c r="G94" s="2833"/>
      <c r="H94" s="3308" t="s">
        <v>754</v>
      </c>
      <c r="I94" s="3308"/>
      <c r="J94" s="1250" t="s">
        <v>1297</v>
      </c>
      <c r="K94" s="2858"/>
      <c r="L94" s="851"/>
      <c r="M94" s="851"/>
      <c r="N94" s="3347"/>
      <c r="O94" s="3347"/>
      <c r="P94" s="3347"/>
      <c r="Q94" s="3347"/>
      <c r="R94" s="3347"/>
      <c r="S94" s="3347"/>
      <c r="T94" s="3347"/>
      <c r="U94" s="3347"/>
      <c r="V94" s="2858"/>
      <c r="W94" s="851"/>
      <c r="X94" s="851"/>
      <c r="Y94" s="851"/>
      <c r="Z94" s="851"/>
      <c r="AA94" s="851"/>
      <c r="AB94" s="1250"/>
      <c r="AC94" s="2858"/>
      <c r="AD94" s="2840"/>
      <c r="AE94" s="397"/>
      <c r="AF94" s="397"/>
      <c r="AG94" s="397"/>
      <c r="AH94" s="398"/>
      <c r="AI94" s="398">
        <f>SUM(AI95:AI96)</f>
        <v>500000</v>
      </c>
      <c r="AJ94" s="691"/>
      <c r="AK94" s="2858"/>
      <c r="AL94" s="398">
        <f>SUM(AL95:AL96)</f>
        <v>500000</v>
      </c>
      <c r="AM94" s="398">
        <f>SUM(AM95:AM96)</f>
        <v>0</v>
      </c>
      <c r="AN94" s="398">
        <f t="shared" si="124"/>
        <v>500000</v>
      </c>
      <c r="AO94" s="2858"/>
      <c r="AP94" s="992">
        <f t="shared" ref="AP94:AY94" si="167">SUM(AP95:AP96)</f>
        <v>0</v>
      </c>
      <c r="AQ94" s="992">
        <f t="shared" si="167"/>
        <v>0</v>
      </c>
      <c r="AR94" s="992">
        <f t="shared" si="167"/>
        <v>0</v>
      </c>
      <c r="AS94" s="992">
        <f t="shared" si="167"/>
        <v>0</v>
      </c>
      <c r="AT94" s="992">
        <f t="shared" si="167"/>
        <v>0</v>
      </c>
      <c r="AU94" s="992">
        <f t="shared" si="167"/>
        <v>0</v>
      </c>
      <c r="AV94" s="992">
        <f t="shared" si="167"/>
        <v>0</v>
      </c>
      <c r="AW94" s="992">
        <f t="shared" si="167"/>
        <v>0</v>
      </c>
      <c r="AX94" s="992">
        <f t="shared" si="167"/>
        <v>0</v>
      </c>
      <c r="AY94" s="992">
        <f t="shared" si="167"/>
        <v>0</v>
      </c>
      <c r="AZ94" s="992">
        <f t="shared" si="160"/>
        <v>0</v>
      </c>
      <c r="BA94" s="1037"/>
      <c r="BB94" s="992">
        <f t="shared" ref="BB94:BM94" si="168">SUM(BB95:BB96)</f>
        <v>0</v>
      </c>
      <c r="BC94" s="992">
        <f t="shared" si="168"/>
        <v>0</v>
      </c>
      <c r="BD94" s="992">
        <f t="shared" si="168"/>
        <v>0</v>
      </c>
      <c r="BE94" s="992">
        <f t="shared" si="168"/>
        <v>0</v>
      </c>
      <c r="BF94" s="992">
        <f t="shared" si="168"/>
        <v>0</v>
      </c>
      <c r="BG94" s="992">
        <f t="shared" si="168"/>
        <v>0</v>
      </c>
      <c r="BH94" s="992">
        <f t="shared" si="168"/>
        <v>0</v>
      </c>
      <c r="BI94" s="992">
        <f t="shared" si="168"/>
        <v>0</v>
      </c>
      <c r="BJ94" s="992">
        <f t="shared" si="168"/>
        <v>0</v>
      </c>
      <c r="BK94" s="992">
        <f t="shared" si="168"/>
        <v>0</v>
      </c>
      <c r="BL94" s="992">
        <f t="shared" si="168"/>
        <v>0</v>
      </c>
      <c r="BM94" s="992">
        <f t="shared" si="168"/>
        <v>0</v>
      </c>
      <c r="BN94" s="992">
        <f t="shared" si="161"/>
        <v>0</v>
      </c>
      <c r="BO94" s="2858"/>
      <c r="BP94" s="992">
        <f t="shared" ref="BP94:CA94" si="169">SUM(BP95:BP96)</f>
        <v>0</v>
      </c>
      <c r="BQ94" s="992">
        <f t="shared" si="169"/>
        <v>0</v>
      </c>
      <c r="BR94" s="992">
        <f t="shared" si="169"/>
        <v>0</v>
      </c>
      <c r="BS94" s="992">
        <f t="shared" si="169"/>
        <v>0</v>
      </c>
      <c r="BT94" s="992">
        <f t="shared" si="169"/>
        <v>0</v>
      </c>
      <c r="BU94" s="992">
        <f t="shared" si="169"/>
        <v>0</v>
      </c>
      <c r="BV94" s="992">
        <f t="shared" si="169"/>
        <v>0</v>
      </c>
      <c r="BW94" s="992">
        <f t="shared" si="169"/>
        <v>0</v>
      </c>
      <c r="BX94" s="992">
        <f t="shared" si="169"/>
        <v>0</v>
      </c>
      <c r="BY94" s="992">
        <f t="shared" si="169"/>
        <v>0</v>
      </c>
      <c r="BZ94" s="992">
        <f t="shared" si="169"/>
        <v>0</v>
      </c>
      <c r="CA94" s="992">
        <f t="shared" si="169"/>
        <v>0</v>
      </c>
      <c r="CB94" s="992">
        <f t="shared" si="162"/>
        <v>0</v>
      </c>
      <c r="CC94" s="2858"/>
      <c r="CD94" s="992">
        <f t="shared" ref="CD94:CO94" si="170">SUM(CD95:CD96)</f>
        <v>0</v>
      </c>
      <c r="CE94" s="992">
        <f t="shared" si="170"/>
        <v>0</v>
      </c>
      <c r="CF94" s="992">
        <f t="shared" si="170"/>
        <v>0</v>
      </c>
      <c r="CG94" s="992">
        <f t="shared" si="170"/>
        <v>0</v>
      </c>
      <c r="CH94" s="992">
        <f t="shared" si="170"/>
        <v>20000</v>
      </c>
      <c r="CI94" s="992">
        <f t="shared" si="170"/>
        <v>0</v>
      </c>
      <c r="CJ94" s="992">
        <f t="shared" si="170"/>
        <v>0</v>
      </c>
      <c r="CK94" s="992">
        <f t="shared" si="170"/>
        <v>0</v>
      </c>
      <c r="CL94" s="992">
        <f t="shared" si="170"/>
        <v>100000</v>
      </c>
      <c r="CM94" s="992">
        <f t="shared" si="170"/>
        <v>0</v>
      </c>
      <c r="CN94" s="992">
        <f t="shared" si="170"/>
        <v>0</v>
      </c>
      <c r="CO94" s="992">
        <f t="shared" si="170"/>
        <v>80000</v>
      </c>
      <c r="CP94" s="993">
        <f t="shared" si="164"/>
        <v>200000</v>
      </c>
      <c r="CQ94" s="2858"/>
      <c r="CR94" s="992">
        <f t="shared" ref="CR94:DC94" si="171">SUM(CR95:CR96)</f>
        <v>0</v>
      </c>
      <c r="CS94" s="992">
        <f>SUM(CS95:CS96)</f>
        <v>40000</v>
      </c>
      <c r="CT94" s="992">
        <f t="shared" si="171"/>
        <v>80000</v>
      </c>
      <c r="CU94" s="992">
        <f t="shared" si="171"/>
        <v>0</v>
      </c>
      <c r="CV94" s="992">
        <f t="shared" si="171"/>
        <v>0</v>
      </c>
      <c r="CW94" s="992">
        <f t="shared" si="171"/>
        <v>80000</v>
      </c>
      <c r="CX94" s="992">
        <f t="shared" si="171"/>
        <v>0</v>
      </c>
      <c r="CY94" s="992">
        <f t="shared" si="171"/>
        <v>0</v>
      </c>
      <c r="CZ94" s="992">
        <f t="shared" si="171"/>
        <v>100000</v>
      </c>
      <c r="DA94" s="992">
        <f t="shared" si="171"/>
        <v>0</v>
      </c>
      <c r="DB94" s="992">
        <f t="shared" si="171"/>
        <v>0</v>
      </c>
      <c r="DC94" s="992">
        <f t="shared" si="171"/>
        <v>0</v>
      </c>
      <c r="DD94" s="994">
        <f t="shared" si="165"/>
        <v>300000</v>
      </c>
      <c r="DE94" s="2858"/>
      <c r="DF94" s="992">
        <f>SUM(DF95:DF96)</f>
        <v>0</v>
      </c>
      <c r="DG94" s="992">
        <f>SUM(DG95:DG96)</f>
        <v>0</v>
      </c>
      <c r="DH94" s="992">
        <f>SUM(DH95:DH96)</f>
        <v>0</v>
      </c>
      <c r="DI94" s="3083">
        <f t="shared" si="163"/>
        <v>0</v>
      </c>
      <c r="DJ94" s="3122">
        <f t="shared" si="135"/>
        <v>500000</v>
      </c>
      <c r="DL94" s="3348">
        <f t="shared" si="129"/>
        <v>0</v>
      </c>
      <c r="DN94" s="2725" t="s">
        <v>1175</v>
      </c>
      <c r="DO94" s="2726" t="s">
        <v>1175</v>
      </c>
      <c r="DP94" s="2726"/>
      <c r="DQ94" s="2726" t="s">
        <v>1175</v>
      </c>
      <c r="DR94" s="2726" t="str">
        <f t="shared" si="166"/>
        <v>1</v>
      </c>
      <c r="DS94" s="2858"/>
      <c r="DT94" s="2858"/>
    </row>
    <row r="95" spans="2:124" s="881" customFormat="1" ht="55.25" hidden="1" customHeight="1" outlineLevel="4">
      <c r="B95" s="2860"/>
      <c r="C95" s="3309" t="s">
        <v>755</v>
      </c>
      <c r="D95" s="3310" t="s">
        <v>755</v>
      </c>
      <c r="E95" s="588"/>
      <c r="F95" s="3331" t="s">
        <v>755</v>
      </c>
      <c r="G95" s="2838"/>
      <c r="H95" s="3349" t="s">
        <v>756</v>
      </c>
      <c r="I95" s="3350"/>
      <c r="J95" s="103" t="s">
        <v>1300</v>
      </c>
      <c r="K95" s="1037"/>
      <c r="L95" s="611" t="s">
        <v>1319</v>
      </c>
      <c r="M95" s="3358"/>
      <c r="N95" s="3358"/>
      <c r="O95" s="3358"/>
      <c r="P95" s="3358"/>
      <c r="Q95" s="3358"/>
      <c r="R95" s="3358"/>
      <c r="S95" s="3358"/>
      <c r="T95" s="3358"/>
      <c r="U95" s="3358"/>
      <c r="V95" s="1037"/>
      <c r="W95" s="858" t="s">
        <v>838</v>
      </c>
      <c r="X95" s="858"/>
      <c r="Y95" s="2513" t="s">
        <v>1315</v>
      </c>
      <c r="Z95" s="853" t="s">
        <v>1322</v>
      </c>
      <c r="AA95" s="858"/>
      <c r="AB95" s="3352"/>
      <c r="AC95" s="1037"/>
      <c r="AD95" s="711" t="s">
        <v>1179</v>
      </c>
      <c r="AE95" s="712">
        <v>1</v>
      </c>
      <c r="AF95" s="179"/>
      <c r="AG95" s="179"/>
      <c r="AH95" s="3359">
        <v>100000</v>
      </c>
      <c r="AI95" s="1032">
        <f t="shared" si="148"/>
        <v>100000</v>
      </c>
      <c r="AJ95" s="1267"/>
      <c r="AK95" s="1037"/>
      <c r="AL95" s="1032">
        <f>+AI95</f>
        <v>100000</v>
      </c>
      <c r="AM95" s="1032"/>
      <c r="AN95" s="1041">
        <f t="shared" si="124"/>
        <v>100000</v>
      </c>
      <c r="AO95" s="1037"/>
      <c r="AP95" s="986"/>
      <c r="AQ95" s="986"/>
      <c r="AR95" s="986"/>
      <c r="AS95" s="986"/>
      <c r="AT95" s="986"/>
      <c r="AU95" s="986"/>
      <c r="AV95" s="986"/>
      <c r="AW95" s="986"/>
      <c r="AX95" s="986"/>
      <c r="AY95" s="986"/>
      <c r="AZ95" s="2011">
        <f t="shared" si="160"/>
        <v>0</v>
      </c>
      <c r="BA95" s="1037"/>
      <c r="BB95" s="986"/>
      <c r="BC95" s="986"/>
      <c r="BD95" s="986"/>
      <c r="BE95" s="986"/>
      <c r="BF95" s="986"/>
      <c r="BG95" s="986"/>
      <c r="BH95" s="986"/>
      <c r="BI95" s="986"/>
      <c r="BJ95" s="986"/>
      <c r="BK95" s="986"/>
      <c r="BL95" s="986"/>
      <c r="BM95" s="986"/>
      <c r="BN95" s="2011">
        <f t="shared" si="161"/>
        <v>0</v>
      </c>
      <c r="BO95" s="1037"/>
      <c r="BP95" s="986"/>
      <c r="BQ95" s="986"/>
      <c r="BR95" s="986"/>
      <c r="BS95" s="986"/>
      <c r="BT95" s="986"/>
      <c r="BU95" s="986"/>
      <c r="BV95" s="986"/>
      <c r="BW95" s="986"/>
      <c r="BX95" s="986"/>
      <c r="BY95" s="986"/>
      <c r="BZ95" s="986"/>
      <c r="CA95" s="986"/>
      <c r="CB95" s="2011">
        <f t="shared" si="162"/>
        <v>0</v>
      </c>
      <c r="CC95" s="1037"/>
      <c r="CD95" s="986"/>
      <c r="CE95" s="1033"/>
      <c r="CF95" s="1033"/>
      <c r="CG95" s="1033"/>
      <c r="CH95" s="1033">
        <f>+$AL95*20%</f>
        <v>20000</v>
      </c>
      <c r="CI95" s="1033"/>
      <c r="CJ95" s="1033"/>
      <c r="CK95" s="1033"/>
      <c r="CL95" s="1033">
        <f>+$AL95*40%</f>
        <v>40000</v>
      </c>
      <c r="CN95" s="1033"/>
      <c r="CO95" s="1033"/>
      <c r="CP95" s="1294">
        <f t="shared" si="164"/>
        <v>60000</v>
      </c>
      <c r="CQ95" s="1037"/>
      <c r="CR95" s="1033"/>
      <c r="CS95" s="1033">
        <f>+$AL95*40%</f>
        <v>40000</v>
      </c>
      <c r="CT95" s="1033"/>
      <c r="CU95" s="1033"/>
      <c r="CV95" s="1033"/>
      <c r="CW95" s="1033"/>
      <c r="CX95" s="1033"/>
      <c r="CY95" s="1033"/>
      <c r="CZ95" s="1033"/>
      <c r="DA95" s="1033"/>
      <c r="DB95" s="1033"/>
      <c r="DC95" s="1033"/>
      <c r="DD95" s="2011">
        <f t="shared" si="165"/>
        <v>40000</v>
      </c>
      <c r="DE95" s="1037"/>
      <c r="DF95" s="986"/>
      <c r="DG95" s="986"/>
      <c r="DH95" s="986"/>
      <c r="DI95" s="2008">
        <f t="shared" si="163"/>
        <v>0</v>
      </c>
      <c r="DJ95" s="3121">
        <f t="shared" si="135"/>
        <v>100000</v>
      </c>
      <c r="DK95" s="108"/>
      <c r="DL95" s="3317">
        <f t="shared" si="129"/>
        <v>0</v>
      </c>
      <c r="DN95" s="2743" t="s">
        <v>1180</v>
      </c>
      <c r="DO95" s="2736" t="s">
        <v>1181</v>
      </c>
      <c r="DP95" s="2736" t="s">
        <v>1117</v>
      </c>
      <c r="DQ95" s="2736" t="s">
        <v>4</v>
      </c>
      <c r="DR95" s="2736" t="str">
        <f t="shared" si="166"/>
        <v>1</v>
      </c>
      <c r="DS95" s="1037"/>
      <c r="DT95" s="1037"/>
    </row>
    <row r="96" spans="2:124" s="881" customFormat="1" ht="55.25" hidden="1" customHeight="1" outlineLevel="4">
      <c r="B96" s="2860"/>
      <c r="C96" s="3309" t="s">
        <v>757</v>
      </c>
      <c r="D96" s="3310" t="s">
        <v>757</v>
      </c>
      <c r="E96" s="588"/>
      <c r="F96" s="3331" t="s">
        <v>757</v>
      </c>
      <c r="G96" s="2838"/>
      <c r="H96" s="3349" t="s">
        <v>758</v>
      </c>
      <c r="I96" s="3350"/>
      <c r="J96" s="103" t="s">
        <v>1300</v>
      </c>
      <c r="K96" s="1037"/>
      <c r="L96" s="611" t="s">
        <v>1323</v>
      </c>
      <c r="M96" s="3358"/>
      <c r="N96" s="3358"/>
      <c r="O96" s="3358"/>
      <c r="P96" s="3358"/>
      <c r="Q96" s="3358"/>
      <c r="R96" s="3358"/>
      <c r="S96" s="3358"/>
      <c r="T96" s="3358"/>
      <c r="U96" s="3358"/>
      <c r="V96" s="1037"/>
      <c r="W96" s="858" t="s">
        <v>853</v>
      </c>
      <c r="X96" s="858"/>
      <c r="Y96" s="2513" t="s">
        <v>1307</v>
      </c>
      <c r="Z96" s="853" t="s">
        <v>1324</v>
      </c>
      <c r="AA96" s="858"/>
      <c r="AB96" s="3352"/>
      <c r="AC96" s="1037"/>
      <c r="AD96" s="711" t="s">
        <v>1179</v>
      </c>
      <c r="AE96" s="712">
        <v>1</v>
      </c>
      <c r="AF96" s="179"/>
      <c r="AG96" s="179"/>
      <c r="AH96" s="3359">
        <v>400000</v>
      </c>
      <c r="AI96" s="1032">
        <f t="shared" si="148"/>
        <v>400000</v>
      </c>
      <c r="AJ96" s="1267"/>
      <c r="AK96" s="1037"/>
      <c r="AL96" s="1032">
        <f>+AI96</f>
        <v>400000</v>
      </c>
      <c r="AM96" s="1032"/>
      <c r="AN96" s="1041">
        <f t="shared" si="124"/>
        <v>400000</v>
      </c>
      <c r="AO96" s="1037"/>
      <c r="AP96" s="986"/>
      <c r="AQ96" s="986"/>
      <c r="AR96" s="986"/>
      <c r="AS96" s="986"/>
      <c r="AT96" s="986"/>
      <c r="AU96" s="986"/>
      <c r="AV96" s="986"/>
      <c r="AW96" s="986"/>
      <c r="AX96" s="986"/>
      <c r="AY96" s="986"/>
      <c r="AZ96" s="2011">
        <f t="shared" si="160"/>
        <v>0</v>
      </c>
      <c r="BA96" s="1037"/>
      <c r="BB96" s="986"/>
      <c r="BC96" s="986"/>
      <c r="BD96" s="986"/>
      <c r="BE96" s="986"/>
      <c r="BF96" s="986"/>
      <c r="BG96" s="986"/>
      <c r="BH96" s="986"/>
      <c r="BI96" s="986"/>
      <c r="BJ96" s="986"/>
      <c r="BK96" s="986"/>
      <c r="BL96" s="986"/>
      <c r="BM96" s="986"/>
      <c r="BN96" s="2011">
        <f t="shared" si="161"/>
        <v>0</v>
      </c>
      <c r="BO96" s="1037"/>
      <c r="BP96" s="986"/>
      <c r="BQ96" s="986"/>
      <c r="BR96" s="986"/>
      <c r="BS96" s="986"/>
      <c r="BT96" s="986"/>
      <c r="BU96" s="986"/>
      <c r="BV96" s="986"/>
      <c r="BW96" s="986"/>
      <c r="BX96" s="986"/>
      <c r="BY96" s="986"/>
      <c r="BZ96" s="986"/>
      <c r="CA96" s="986"/>
      <c r="CB96" s="2011">
        <f t="shared" si="162"/>
        <v>0</v>
      </c>
      <c r="CC96" s="1037"/>
      <c r="CD96" s="986"/>
      <c r="CE96" s="1033"/>
      <c r="CF96" s="1033"/>
      <c r="CG96" s="1033"/>
      <c r="CH96" s="1033"/>
      <c r="CI96" s="1033"/>
      <c r="CJ96" s="1033"/>
      <c r="CK96" s="1033"/>
      <c r="CL96" s="1033">
        <f>+$AL96*15%</f>
        <v>60000</v>
      </c>
      <c r="CM96" s="1033"/>
      <c r="CN96" s="1033"/>
      <c r="CO96" s="1033">
        <f>+$AL96*20%</f>
        <v>80000</v>
      </c>
      <c r="CP96" s="1294">
        <f t="shared" si="164"/>
        <v>140000</v>
      </c>
      <c r="CQ96" s="1037"/>
      <c r="CR96" s="1033"/>
      <c r="CS96" s="1033"/>
      <c r="CT96" s="1033">
        <f>+$AL96*20%</f>
        <v>80000</v>
      </c>
      <c r="CU96" s="1033"/>
      <c r="CV96" s="1033"/>
      <c r="CW96" s="1033">
        <f>+$AL96*20%</f>
        <v>80000</v>
      </c>
      <c r="CX96" s="1033"/>
      <c r="CY96" s="1033"/>
      <c r="CZ96" s="1033">
        <f>+$AL96*25%</f>
        <v>100000</v>
      </c>
      <c r="DA96" s="1033"/>
      <c r="DB96" s="1033"/>
      <c r="DC96" s="1033"/>
      <c r="DD96" s="2011">
        <f t="shared" si="165"/>
        <v>260000</v>
      </c>
      <c r="DE96" s="1037"/>
      <c r="DF96" s="986"/>
      <c r="DG96" s="986"/>
      <c r="DH96" s="986"/>
      <c r="DI96" s="2008">
        <f t="shared" si="163"/>
        <v>0</v>
      </c>
      <c r="DJ96" s="3121">
        <f t="shared" si="135"/>
        <v>400000</v>
      </c>
      <c r="DK96" s="108"/>
      <c r="DL96" s="3317">
        <f t="shared" si="129"/>
        <v>0</v>
      </c>
      <c r="DN96" s="2743" t="s">
        <v>1180</v>
      </c>
      <c r="DO96" s="2730" t="s">
        <v>1181</v>
      </c>
      <c r="DP96" s="2736" t="s">
        <v>1117</v>
      </c>
      <c r="DQ96" s="2730" t="s">
        <v>4</v>
      </c>
      <c r="DR96" s="2730" t="str">
        <f t="shared" si="166"/>
        <v>1</v>
      </c>
      <c r="DS96" s="1037"/>
      <c r="DT96" s="1037"/>
    </row>
    <row r="97" spans="1:130" s="153" customFormat="1" ht="15" hidden="1" outlineLevel="3">
      <c r="B97" s="2866"/>
      <c r="C97" s="3306" t="s">
        <v>759</v>
      </c>
      <c r="D97" s="2941" t="s">
        <v>759</v>
      </c>
      <c r="E97" s="2830"/>
      <c r="F97" s="3307" t="s">
        <v>759</v>
      </c>
      <c r="G97" s="2833"/>
      <c r="H97" s="3308" t="s">
        <v>760</v>
      </c>
      <c r="I97" s="3308"/>
      <c r="J97" s="1250"/>
      <c r="K97" s="2858"/>
      <c r="L97" s="851"/>
      <c r="M97" s="851"/>
      <c r="N97" s="3347"/>
      <c r="O97" s="3347"/>
      <c r="P97" s="3347"/>
      <c r="Q97" s="3347"/>
      <c r="R97" s="3347"/>
      <c r="S97" s="3347"/>
      <c r="T97" s="3347"/>
      <c r="U97" s="3347"/>
      <c r="V97" s="2858"/>
      <c r="W97" s="851"/>
      <c r="X97" s="851"/>
      <c r="Y97" s="851"/>
      <c r="Z97" s="851"/>
      <c r="AA97" s="851"/>
      <c r="AB97" s="1250"/>
      <c r="AC97" s="2858"/>
      <c r="AD97" s="1250"/>
      <c r="AE97" s="397"/>
      <c r="AF97" s="397"/>
      <c r="AG97" s="397"/>
      <c r="AH97" s="398"/>
      <c r="AI97" s="2497">
        <f>+AI98+AI105+AI107+AI106</f>
        <v>2525070.9</v>
      </c>
      <c r="AJ97" s="691"/>
      <c r="AK97" s="2858"/>
      <c r="AL97" s="2497">
        <f>+AL98+AL105+AL107+AL106</f>
        <v>2525070.9</v>
      </c>
      <c r="AM97" s="398">
        <f>+AM98+AM105</f>
        <v>0</v>
      </c>
      <c r="AN97" s="2497">
        <f>+AL97+AM97</f>
        <v>2525070.9</v>
      </c>
      <c r="AO97" s="2858"/>
      <c r="AP97" s="398">
        <f t="shared" ref="AP97:AY97" si="172">+AP98+AP105</f>
        <v>0</v>
      </c>
      <c r="AQ97" s="398">
        <f t="shared" si="172"/>
        <v>0</v>
      </c>
      <c r="AR97" s="398">
        <f t="shared" si="172"/>
        <v>0</v>
      </c>
      <c r="AS97" s="398">
        <f t="shared" si="172"/>
        <v>0</v>
      </c>
      <c r="AT97" s="398">
        <f t="shared" si="172"/>
        <v>0</v>
      </c>
      <c r="AU97" s="398">
        <f t="shared" si="172"/>
        <v>0</v>
      </c>
      <c r="AV97" s="398">
        <f t="shared" si="172"/>
        <v>0</v>
      </c>
      <c r="AW97" s="398">
        <f t="shared" si="172"/>
        <v>0</v>
      </c>
      <c r="AX97" s="398">
        <f t="shared" si="172"/>
        <v>0</v>
      </c>
      <c r="AY97" s="398">
        <f t="shared" si="172"/>
        <v>0</v>
      </c>
      <c r="AZ97" s="992">
        <f t="shared" si="160"/>
        <v>0</v>
      </c>
      <c r="BA97" s="1037"/>
      <c r="BB97" s="398">
        <f>+BB98+BB105+BB107+BB106</f>
        <v>0</v>
      </c>
      <c r="BC97" s="398">
        <f t="shared" ref="BC97:BM97" si="173">+BC98+BC105+BC107+BC106</f>
        <v>0</v>
      </c>
      <c r="BD97" s="398">
        <f t="shared" si="173"/>
        <v>0</v>
      </c>
      <c r="BE97" s="398">
        <f t="shared" si="173"/>
        <v>0</v>
      </c>
      <c r="BF97" s="398">
        <f t="shared" si="173"/>
        <v>0</v>
      </c>
      <c r="BG97" s="398">
        <f t="shared" si="173"/>
        <v>0</v>
      </c>
      <c r="BH97" s="398">
        <f>+BH98+BH105+BH107+BH106</f>
        <v>10564</v>
      </c>
      <c r="BI97" s="398">
        <f t="shared" si="173"/>
        <v>10564</v>
      </c>
      <c r="BJ97" s="398">
        <f t="shared" si="173"/>
        <v>22234</v>
      </c>
      <c r="BK97" s="398">
        <f t="shared" si="173"/>
        <v>22234</v>
      </c>
      <c r="BL97" s="398">
        <f t="shared" si="173"/>
        <v>24834</v>
      </c>
      <c r="BM97" s="398">
        <f t="shared" si="173"/>
        <v>293318.51</v>
      </c>
      <c r="BN97" s="3117">
        <f t="shared" si="161"/>
        <v>383748.51</v>
      </c>
      <c r="BO97" s="2858"/>
      <c r="BP97" s="398">
        <f>+BP98+BP105+BP107+BP106</f>
        <v>24834</v>
      </c>
      <c r="BQ97" s="398">
        <f t="shared" ref="BQ97:CA97" si="174">+BQ98+BQ105+BQ107+BQ106</f>
        <v>556812.90999999992</v>
      </c>
      <c r="BR97" s="398">
        <f t="shared" si="174"/>
        <v>24834</v>
      </c>
      <c r="BS97" s="398">
        <f t="shared" si="174"/>
        <v>24834</v>
      </c>
      <c r="BT97" s="398">
        <f t="shared" si="174"/>
        <v>546463.90999999992</v>
      </c>
      <c r="BU97" s="398">
        <f t="shared" si="174"/>
        <v>28326</v>
      </c>
      <c r="BV97" s="398">
        <f t="shared" si="174"/>
        <v>30228</v>
      </c>
      <c r="BW97" s="398">
        <f t="shared" si="174"/>
        <v>30228</v>
      </c>
      <c r="BX97" s="398">
        <f t="shared" si="174"/>
        <v>30228</v>
      </c>
      <c r="BY97" s="398">
        <f t="shared" si="174"/>
        <v>30228</v>
      </c>
      <c r="BZ97" s="398">
        <f t="shared" si="174"/>
        <v>30228</v>
      </c>
      <c r="CA97" s="398">
        <f t="shared" si="174"/>
        <v>30228</v>
      </c>
      <c r="CB97" s="3117">
        <f>SUM(BP97:CA97)</f>
        <v>1387472.8199999998</v>
      </c>
      <c r="CC97" s="2858"/>
      <c r="CD97" s="398">
        <f t="shared" ref="CD97:CO97" si="175">+CD98+CD105+CD107+CD106</f>
        <v>30228</v>
      </c>
      <c r="CE97" s="398">
        <f t="shared" si="175"/>
        <v>30228</v>
      </c>
      <c r="CF97" s="398">
        <f t="shared" si="175"/>
        <v>30228</v>
      </c>
      <c r="CG97" s="398">
        <f t="shared" si="175"/>
        <v>30228</v>
      </c>
      <c r="CH97" s="398">
        <f t="shared" si="175"/>
        <v>30228</v>
      </c>
      <c r="CI97" s="398">
        <f t="shared" si="175"/>
        <v>30228</v>
      </c>
      <c r="CJ97" s="398">
        <f t="shared" si="175"/>
        <v>23148</v>
      </c>
      <c r="CK97" s="398">
        <f t="shared" si="175"/>
        <v>15478</v>
      </c>
      <c r="CL97" s="398">
        <f t="shared" si="175"/>
        <v>15478</v>
      </c>
      <c r="CM97" s="398">
        <f t="shared" si="175"/>
        <v>15478</v>
      </c>
      <c r="CN97" s="398">
        <f t="shared" si="175"/>
        <v>12878</v>
      </c>
      <c r="CO97" s="398">
        <f t="shared" si="175"/>
        <v>12878</v>
      </c>
      <c r="CP97" s="992">
        <f t="shared" si="164"/>
        <v>276706</v>
      </c>
      <c r="CQ97" s="2858"/>
      <c r="CR97" s="398">
        <f>+CR98+CR105+CR107+CR106</f>
        <v>12878</v>
      </c>
      <c r="CS97" s="398">
        <f t="shared" ref="CS97:DC97" si="176">+CS98+CS105+CS107+CS106</f>
        <v>12878</v>
      </c>
      <c r="CT97" s="398">
        <f t="shared" si="176"/>
        <v>12878</v>
      </c>
      <c r="CU97" s="398">
        <f t="shared" si="176"/>
        <v>12878</v>
      </c>
      <c r="CV97" s="398">
        <f t="shared" si="176"/>
        <v>12878</v>
      </c>
      <c r="CW97" s="398">
        <f t="shared" si="176"/>
        <v>9386</v>
      </c>
      <c r="CX97" s="398">
        <f t="shared" si="176"/>
        <v>4000</v>
      </c>
      <c r="CY97" s="398">
        <f t="shared" si="176"/>
        <v>4000</v>
      </c>
      <c r="CZ97" s="398">
        <f t="shared" si="176"/>
        <v>0</v>
      </c>
      <c r="DA97" s="398">
        <f t="shared" si="176"/>
        <v>0</v>
      </c>
      <c r="DB97" s="398">
        <f t="shared" si="176"/>
        <v>0</v>
      </c>
      <c r="DC97" s="398">
        <f t="shared" si="176"/>
        <v>0</v>
      </c>
      <c r="DD97" s="992">
        <f t="shared" si="165"/>
        <v>81776</v>
      </c>
      <c r="DE97" s="2858"/>
      <c r="DF97" s="398">
        <f>+DF98+DF105+DF107+DF106</f>
        <v>395367.9</v>
      </c>
      <c r="DG97" s="398">
        <f>+DG98+DG105+DG107+DG106</f>
        <v>0</v>
      </c>
      <c r="DH97" s="398">
        <f>+DH98+DH105+DH107+DH106</f>
        <v>0</v>
      </c>
      <c r="DI97" s="3083">
        <f t="shared" si="163"/>
        <v>395367.9</v>
      </c>
      <c r="DJ97" s="3535">
        <f>+AZ97+BN97+CB97+CP97+DD97+DI97</f>
        <v>2525071.23</v>
      </c>
      <c r="DL97" s="3113">
        <f>+AN97-DJ97</f>
        <v>-0.33000000007450581</v>
      </c>
      <c r="DN97" s="2725" t="s">
        <v>1175</v>
      </c>
      <c r="DO97" s="2726" t="s">
        <v>1175</v>
      </c>
      <c r="DP97" s="2726"/>
      <c r="DQ97" s="2726" t="s">
        <v>1175</v>
      </c>
      <c r="DR97" s="2726" t="str">
        <f t="shared" si="166"/>
        <v>1</v>
      </c>
      <c r="DS97" s="2858"/>
      <c r="DT97" s="2858"/>
    </row>
    <row r="98" spans="1:130" ht="138" hidden="1" customHeight="1" outlineLevel="4">
      <c r="B98" s="2860"/>
      <c r="C98" s="3309"/>
      <c r="D98" s="3310" t="s">
        <v>764</v>
      </c>
      <c r="E98" s="2236"/>
      <c r="F98" s="3325" t="s">
        <v>764</v>
      </c>
      <c r="G98" s="2838" t="s">
        <v>1279</v>
      </c>
      <c r="H98" s="3332" t="s">
        <v>765</v>
      </c>
      <c r="I98" s="3319"/>
      <c r="J98" s="103"/>
      <c r="L98" s="364"/>
      <c r="M98" s="364"/>
      <c r="N98" s="3345"/>
      <c r="O98" s="3345"/>
      <c r="P98" s="3345"/>
      <c r="Q98" s="3345"/>
      <c r="R98" s="3345"/>
      <c r="S98" s="3345"/>
      <c r="T98" s="3345"/>
      <c r="U98" s="3345"/>
      <c r="W98" s="2514" t="s">
        <v>1325</v>
      </c>
      <c r="X98" s="853"/>
      <c r="Y98" s="853"/>
      <c r="Z98" s="853"/>
      <c r="AA98" s="853"/>
      <c r="AB98" s="3352"/>
      <c r="AD98" s="711"/>
      <c r="AE98" s="712"/>
      <c r="AF98" s="179"/>
      <c r="AG98" s="179"/>
      <c r="AH98" s="1048"/>
      <c r="AI98" s="1032">
        <f>SUM(AI99:AI104)</f>
        <v>815280</v>
      </c>
      <c r="AJ98" s="1530"/>
      <c r="AL98" s="1032">
        <f>SUM(AL99:AL104)</f>
        <v>815280</v>
      </c>
      <c r="AM98" s="1032">
        <f>SUM(AM99:AM102)</f>
        <v>0</v>
      </c>
      <c r="AN98" s="3513">
        <f t="shared" si="124"/>
        <v>815280</v>
      </c>
      <c r="AP98" s="1032">
        <f t="shared" ref="AP98:AY98" si="177">SUM(AP99:AP102)</f>
        <v>0</v>
      </c>
      <c r="AQ98" s="1032">
        <f t="shared" si="177"/>
        <v>0</v>
      </c>
      <c r="AR98" s="1032">
        <f t="shared" si="177"/>
        <v>0</v>
      </c>
      <c r="AS98" s="1032">
        <f t="shared" si="177"/>
        <v>0</v>
      </c>
      <c r="AT98" s="1032">
        <f t="shared" si="177"/>
        <v>0</v>
      </c>
      <c r="AU98" s="1032">
        <f t="shared" si="177"/>
        <v>0</v>
      </c>
      <c r="AV98" s="1032">
        <f t="shared" si="177"/>
        <v>0</v>
      </c>
      <c r="AW98" s="1032">
        <f t="shared" si="177"/>
        <v>0</v>
      </c>
      <c r="AX98" s="1032">
        <f t="shared" si="177"/>
        <v>0</v>
      </c>
      <c r="AY98" s="1032">
        <f t="shared" si="177"/>
        <v>0</v>
      </c>
      <c r="AZ98" s="2011">
        <f t="shared" si="160"/>
        <v>0</v>
      </c>
      <c r="BB98" s="1048">
        <f t="shared" ref="BB98:BI98" si="178">SUM(BB99:BB104)</f>
        <v>0</v>
      </c>
      <c r="BC98" s="1048">
        <f t="shared" si="178"/>
        <v>0</v>
      </c>
      <c r="BD98" s="1048">
        <f t="shared" si="178"/>
        <v>0</v>
      </c>
      <c r="BE98" s="1048">
        <f t="shared" si="178"/>
        <v>0</v>
      </c>
      <c r="BF98" s="1048">
        <f t="shared" si="178"/>
        <v>0</v>
      </c>
      <c r="BG98" s="1048">
        <f t="shared" si="178"/>
        <v>0</v>
      </c>
      <c r="BH98" s="1048">
        <f>SUM(BH99:BH104)</f>
        <v>10564</v>
      </c>
      <c r="BI98" s="1048">
        <f t="shared" si="178"/>
        <v>10564</v>
      </c>
      <c r="BJ98" s="1048">
        <f>SUM(BJ99:BJ104)</f>
        <v>22234</v>
      </c>
      <c r="BK98" s="1048">
        <f>SUM(BK99:BK104)</f>
        <v>22234</v>
      </c>
      <c r="BL98" s="1048">
        <f>SUM(BL99:BL104)</f>
        <v>24834</v>
      </c>
      <c r="BM98" s="1048">
        <f>SUM(BM99:BM104)</f>
        <v>32504</v>
      </c>
      <c r="BN98" s="2011">
        <f>SUM(BB98:BM98)</f>
        <v>122934</v>
      </c>
      <c r="BP98" s="1048">
        <f t="shared" ref="BP98:CA98" si="179">SUM(BP99:BP104)</f>
        <v>24834</v>
      </c>
      <c r="BQ98" s="1048">
        <f t="shared" si="179"/>
        <v>24834</v>
      </c>
      <c r="BR98" s="1048">
        <f t="shared" si="179"/>
        <v>24834</v>
      </c>
      <c r="BS98" s="1048">
        <f t="shared" si="179"/>
        <v>24834</v>
      </c>
      <c r="BT98" s="1048">
        <f t="shared" si="179"/>
        <v>24834</v>
      </c>
      <c r="BU98" s="1048">
        <f t="shared" si="179"/>
        <v>28326</v>
      </c>
      <c r="BV98" s="1048">
        <f t="shared" si="179"/>
        <v>30228</v>
      </c>
      <c r="BW98" s="1048">
        <f t="shared" si="179"/>
        <v>30228</v>
      </c>
      <c r="BX98" s="1048">
        <f t="shared" si="179"/>
        <v>30228</v>
      </c>
      <c r="BY98" s="1048">
        <f t="shared" si="179"/>
        <v>30228</v>
      </c>
      <c r="BZ98" s="1048">
        <f t="shared" si="179"/>
        <v>30228</v>
      </c>
      <c r="CA98" s="1048">
        <f t="shared" si="179"/>
        <v>30228</v>
      </c>
      <c r="CB98" s="2026">
        <f>SUM(BP98:CA98)</f>
        <v>333864</v>
      </c>
      <c r="CD98" s="1032">
        <f t="shared" ref="CD98:CO98" si="180">SUM(CD99:CD104)</f>
        <v>30228</v>
      </c>
      <c r="CE98" s="1032">
        <f t="shared" si="180"/>
        <v>30228</v>
      </c>
      <c r="CF98" s="1032">
        <f t="shared" si="180"/>
        <v>30228</v>
      </c>
      <c r="CG98" s="1032">
        <f t="shared" si="180"/>
        <v>30228</v>
      </c>
      <c r="CH98" s="1032">
        <f t="shared" si="180"/>
        <v>30228</v>
      </c>
      <c r="CI98" s="1032">
        <f t="shared" si="180"/>
        <v>30228</v>
      </c>
      <c r="CJ98" s="1032">
        <f t="shared" si="180"/>
        <v>23148</v>
      </c>
      <c r="CK98" s="1032">
        <f t="shared" si="180"/>
        <v>15478</v>
      </c>
      <c r="CL98" s="1032">
        <f t="shared" si="180"/>
        <v>15478</v>
      </c>
      <c r="CM98" s="1032">
        <f t="shared" si="180"/>
        <v>15478</v>
      </c>
      <c r="CN98" s="1032">
        <f t="shared" si="180"/>
        <v>12878</v>
      </c>
      <c r="CO98" s="1032">
        <f t="shared" si="180"/>
        <v>12878</v>
      </c>
      <c r="CP98" s="2011">
        <f t="shared" si="164"/>
        <v>276706</v>
      </c>
      <c r="CR98" s="1032">
        <f t="shared" ref="CR98:DC98" si="181">SUM(CR99:CR104)</f>
        <v>12878</v>
      </c>
      <c r="CS98" s="1032">
        <f t="shared" si="181"/>
        <v>12878</v>
      </c>
      <c r="CT98" s="1032">
        <f t="shared" si="181"/>
        <v>12878</v>
      </c>
      <c r="CU98" s="1032">
        <f t="shared" si="181"/>
        <v>12878</v>
      </c>
      <c r="CV98" s="1032">
        <f t="shared" si="181"/>
        <v>12878</v>
      </c>
      <c r="CW98" s="1032">
        <f t="shared" si="181"/>
        <v>9386</v>
      </c>
      <c r="CX98" s="1032">
        <f t="shared" si="181"/>
        <v>4000</v>
      </c>
      <c r="CY98" s="1032">
        <f t="shared" si="181"/>
        <v>4000</v>
      </c>
      <c r="CZ98" s="1032">
        <f t="shared" si="181"/>
        <v>0</v>
      </c>
      <c r="DA98" s="1032">
        <f t="shared" si="181"/>
        <v>0</v>
      </c>
      <c r="DB98" s="1032">
        <f t="shared" si="181"/>
        <v>0</v>
      </c>
      <c r="DC98" s="1032">
        <f t="shared" si="181"/>
        <v>0</v>
      </c>
      <c r="DD98" s="2011">
        <f t="shared" si="165"/>
        <v>81776</v>
      </c>
      <c r="DF98" s="1032">
        <f>SUM(DF99:DF104)</f>
        <v>0</v>
      </c>
      <c r="DG98" s="1032">
        <f>SUM(DG99:DG104)</f>
        <v>0</v>
      </c>
      <c r="DH98" s="1032">
        <f>SUM(DH99:DH104)</f>
        <v>0</v>
      </c>
      <c r="DI98" s="2008">
        <f t="shared" si="163"/>
        <v>0</v>
      </c>
      <c r="DJ98" s="3534">
        <f>+AZ98+BN98+CB98+CP98+DD98+DI98</f>
        <v>815280</v>
      </c>
      <c r="DL98" s="3544">
        <f>+AN98-DJ98</f>
        <v>0</v>
      </c>
      <c r="DN98" s="2743" t="s">
        <v>1175</v>
      </c>
      <c r="DO98" s="2744" t="s">
        <v>1175</v>
      </c>
      <c r="DP98" s="2744"/>
      <c r="DQ98" s="2744" t="s">
        <v>1175</v>
      </c>
      <c r="DR98" s="2744" t="str">
        <f t="shared" si="166"/>
        <v>1</v>
      </c>
      <c r="DS98" s="1037"/>
      <c r="DT98" s="1037"/>
    </row>
    <row r="99" spans="1:130" ht="27.5" hidden="1" customHeight="1" outlineLevel="4">
      <c r="B99" s="2867"/>
      <c r="C99" s="3309" t="s">
        <v>764</v>
      </c>
      <c r="D99" s="3310" t="s">
        <v>761</v>
      </c>
      <c r="E99" s="2236"/>
      <c r="F99" s="3310" t="s">
        <v>761</v>
      </c>
      <c r="G99" s="2838" t="s">
        <v>1279</v>
      </c>
      <c r="H99" s="3327" t="s">
        <v>762</v>
      </c>
      <c r="I99" s="3319"/>
      <c r="J99" s="103"/>
      <c r="L99" s="364"/>
      <c r="M99" s="364"/>
      <c r="N99" s="3345"/>
      <c r="O99" s="3345"/>
      <c r="P99" s="3345"/>
      <c r="Q99" s="3345"/>
      <c r="R99" s="3345"/>
      <c r="S99" s="3345"/>
      <c r="T99" s="3345"/>
      <c r="U99" s="3345"/>
      <c r="W99" s="3528" t="s">
        <v>763</v>
      </c>
      <c r="X99" s="853" t="s">
        <v>1075</v>
      </c>
      <c r="Y99" s="853" t="s">
        <v>1289</v>
      </c>
      <c r="Z99" s="853">
        <v>15</v>
      </c>
      <c r="AA99" s="853"/>
      <c r="AB99" s="3352"/>
      <c r="AD99" s="194" t="s">
        <v>1326</v>
      </c>
      <c r="AE99" s="712">
        <v>1</v>
      </c>
      <c r="AF99" s="3360">
        <v>36</v>
      </c>
      <c r="AG99" s="3360"/>
      <c r="AH99" s="3361">
        <v>5112</v>
      </c>
      <c r="AI99" s="3362">
        <f>+AH99*AE99*AF99</f>
        <v>184032</v>
      </c>
      <c r="AJ99" s="3362">
        <f>AI99-4576.27*12</f>
        <v>129116.76</v>
      </c>
      <c r="AK99" s="2868"/>
      <c r="AL99" s="3515">
        <f t="shared" ref="AL99:AL107" si="182">+AI99</f>
        <v>184032</v>
      </c>
      <c r="AM99" s="2601"/>
      <c r="AN99" s="3513">
        <f t="shared" si="124"/>
        <v>184032</v>
      </c>
      <c r="AO99" s="2868"/>
      <c r="AP99" s="2602"/>
      <c r="AQ99" s="2602"/>
      <c r="AR99" s="2602"/>
      <c r="AS99" s="2602"/>
      <c r="AT99" s="2602"/>
      <c r="AU99" s="2602"/>
      <c r="AV99" s="2602"/>
      <c r="AW99" s="2602"/>
      <c r="AX99" s="2602"/>
      <c r="AY99" s="2602"/>
      <c r="AZ99" s="2603">
        <f t="shared" si="160"/>
        <v>0</v>
      </c>
      <c r="BB99" s="2605"/>
      <c r="BC99" s="2605"/>
      <c r="BD99" s="2605"/>
      <c r="BE99" s="2605"/>
      <c r="BF99" s="2605"/>
      <c r="BG99" s="2605"/>
      <c r="BH99" s="3362">
        <v>4564</v>
      </c>
      <c r="BI99" s="3362">
        <v>4564</v>
      </c>
      <c r="BJ99" s="3362">
        <v>4564</v>
      </c>
      <c r="BK99" s="3362">
        <v>4564</v>
      </c>
      <c r="BL99" s="3362">
        <v>4564</v>
      </c>
      <c r="BM99" s="3362">
        <v>4564</v>
      </c>
      <c r="BN99" s="2604">
        <f t="shared" si="161"/>
        <v>27384</v>
      </c>
      <c r="BO99" s="2868"/>
      <c r="BP99" s="3362">
        <v>4564</v>
      </c>
      <c r="BQ99" s="3362">
        <v>4564</v>
      </c>
      <c r="BR99" s="3362">
        <v>4564</v>
      </c>
      <c r="BS99" s="3362">
        <v>4564</v>
      </c>
      <c r="BT99" s="3362">
        <v>4564</v>
      </c>
      <c r="BU99" s="3362">
        <v>4564</v>
      </c>
      <c r="BV99" s="3362">
        <v>5386</v>
      </c>
      <c r="BW99" s="3362">
        <v>5386</v>
      </c>
      <c r="BX99" s="3362">
        <v>5386</v>
      </c>
      <c r="BY99" s="3362">
        <v>5386</v>
      </c>
      <c r="BZ99" s="3362">
        <v>5386</v>
      </c>
      <c r="CA99" s="3362">
        <f>5386</f>
        <v>5386</v>
      </c>
      <c r="CB99" s="2604">
        <f t="shared" si="162"/>
        <v>59700</v>
      </c>
      <c r="CC99" s="2868"/>
      <c r="CD99" s="3362">
        <v>5386</v>
      </c>
      <c r="CE99" s="3362">
        <v>5386</v>
      </c>
      <c r="CF99" s="3362">
        <v>5386</v>
      </c>
      <c r="CG99" s="3362">
        <v>5386</v>
      </c>
      <c r="CH99" s="3362">
        <v>5386</v>
      </c>
      <c r="CI99" s="3362">
        <v>5386</v>
      </c>
      <c r="CJ99" s="3362">
        <v>5386</v>
      </c>
      <c r="CK99" s="3362">
        <v>5386</v>
      </c>
      <c r="CL99" s="3362">
        <v>5386</v>
      </c>
      <c r="CM99" s="3362">
        <v>5386</v>
      </c>
      <c r="CN99" s="3362">
        <v>5386</v>
      </c>
      <c r="CO99" s="3362">
        <v>5386</v>
      </c>
      <c r="CP99" s="2604">
        <f t="shared" si="164"/>
        <v>64632</v>
      </c>
      <c r="CQ99" s="2868"/>
      <c r="CR99" s="3362">
        <v>5386</v>
      </c>
      <c r="CS99" s="3362">
        <v>5386</v>
      </c>
      <c r="CT99" s="3362">
        <v>5386</v>
      </c>
      <c r="CU99" s="3362">
        <v>5386</v>
      </c>
      <c r="CV99" s="3362">
        <v>5386</v>
      </c>
      <c r="CW99" s="3362">
        <v>5386</v>
      </c>
      <c r="CX99" s="3362"/>
      <c r="CY99" s="2605"/>
      <c r="CZ99" s="2605"/>
      <c r="DA99" s="2605"/>
      <c r="DB99" s="2605"/>
      <c r="DC99" s="2605"/>
      <c r="DD99" s="2604">
        <f t="shared" si="165"/>
        <v>32316</v>
      </c>
      <c r="DE99" s="2868"/>
      <c r="DF99" s="2602"/>
      <c r="DG99" s="2602"/>
      <c r="DH99" s="2602"/>
      <c r="DI99" s="3088">
        <f t="shared" si="163"/>
        <v>0</v>
      </c>
      <c r="DJ99" s="3534">
        <f>+AZ99+BN99+CB99+CP99+DD99+DI99</f>
        <v>184032</v>
      </c>
      <c r="DK99" s="2606"/>
      <c r="DL99" s="3544">
        <f>+AN99-DJ99</f>
        <v>0</v>
      </c>
      <c r="DN99" s="2743" t="s">
        <v>1180</v>
      </c>
      <c r="DO99" s="2736" t="s">
        <v>1181</v>
      </c>
      <c r="DP99" s="2736" t="s">
        <v>1117</v>
      </c>
      <c r="DQ99" s="2736" t="s">
        <v>4</v>
      </c>
      <c r="DR99" s="2736" t="str">
        <f t="shared" si="166"/>
        <v>1</v>
      </c>
      <c r="DS99" s="1037"/>
      <c r="DT99" s="1037"/>
    </row>
    <row r="100" spans="1:130" ht="124.25" hidden="1" customHeight="1" outlineLevel="4">
      <c r="B100" s="2867"/>
      <c r="C100" s="3309" t="s">
        <v>772</v>
      </c>
      <c r="D100" s="3310" t="s">
        <v>766</v>
      </c>
      <c r="E100" s="2236"/>
      <c r="F100" s="3310" t="s">
        <v>766</v>
      </c>
      <c r="G100" s="2838" t="s">
        <v>1279</v>
      </c>
      <c r="H100" s="3327" t="s">
        <v>767</v>
      </c>
      <c r="I100" s="3319"/>
      <c r="J100" s="103"/>
      <c r="L100" s="364"/>
      <c r="M100" s="364"/>
      <c r="N100" s="3345"/>
      <c r="O100" s="3345"/>
      <c r="P100" s="3345"/>
      <c r="Q100" s="3345"/>
      <c r="R100" s="3345"/>
      <c r="S100" s="3345"/>
      <c r="T100" s="3345"/>
      <c r="U100" s="3345"/>
      <c r="W100" s="3528" t="s">
        <v>763</v>
      </c>
      <c r="X100" s="853" t="s">
        <v>1075</v>
      </c>
      <c r="Y100" s="853" t="s">
        <v>1289</v>
      </c>
      <c r="Z100" s="853">
        <v>16</v>
      </c>
      <c r="AA100" s="853"/>
      <c r="AB100" s="3352"/>
      <c r="AD100" s="194" t="s">
        <v>1326</v>
      </c>
      <c r="AE100" s="712">
        <v>1</v>
      </c>
      <c r="AF100" s="3360">
        <v>36</v>
      </c>
      <c r="AG100" s="3360"/>
      <c r="AH100" s="3361">
        <v>4000</v>
      </c>
      <c r="AI100" s="3362">
        <f t="shared" ref="AI100:AI104" si="183">+AH100*AE100*AF100</f>
        <v>144000</v>
      </c>
      <c r="AJ100" s="1530" t="s">
        <v>1327</v>
      </c>
      <c r="AL100" s="1032">
        <f t="shared" si="182"/>
        <v>144000</v>
      </c>
      <c r="AM100" s="1032"/>
      <c r="AN100" s="3513">
        <f t="shared" si="124"/>
        <v>144000</v>
      </c>
      <c r="AP100" s="986"/>
      <c r="AQ100" s="986"/>
      <c r="AR100" s="986"/>
      <c r="AS100" s="986"/>
      <c r="AT100" s="986"/>
      <c r="AU100" s="986"/>
      <c r="AV100" s="986"/>
      <c r="AW100" s="986"/>
      <c r="AX100" s="986"/>
      <c r="AY100" s="986"/>
      <c r="AZ100" s="2011">
        <f t="shared" si="160"/>
        <v>0</v>
      </c>
      <c r="BB100" s="1015"/>
      <c r="BC100" s="1015"/>
      <c r="BD100" s="1015"/>
      <c r="BE100" s="1015"/>
      <c r="BF100" s="1015"/>
      <c r="BG100" s="1015"/>
      <c r="BH100" s="1015"/>
      <c r="BI100" s="1015"/>
      <c r="BJ100" s="1015">
        <f t="shared" ref="BJ100:BM101" si="184">+$AH100</f>
        <v>4000</v>
      </c>
      <c r="BK100" s="1015">
        <f t="shared" si="184"/>
        <v>4000</v>
      </c>
      <c r="BL100" s="1015">
        <f t="shared" si="184"/>
        <v>4000</v>
      </c>
      <c r="BM100" s="1015">
        <f t="shared" si="184"/>
        <v>4000</v>
      </c>
      <c r="BN100" s="2026">
        <f t="shared" si="161"/>
        <v>16000</v>
      </c>
      <c r="BP100" s="1015">
        <f t="shared" ref="BP100:CA101" si="185">+$AH100</f>
        <v>4000</v>
      </c>
      <c r="BQ100" s="1015">
        <f t="shared" si="185"/>
        <v>4000</v>
      </c>
      <c r="BR100" s="1015">
        <f t="shared" si="185"/>
        <v>4000</v>
      </c>
      <c r="BS100" s="1015">
        <f t="shared" si="185"/>
        <v>4000</v>
      </c>
      <c r="BT100" s="1015">
        <f t="shared" si="185"/>
        <v>4000</v>
      </c>
      <c r="BU100" s="1015">
        <f t="shared" si="185"/>
        <v>4000</v>
      </c>
      <c r="BV100" s="1015">
        <f t="shared" si="185"/>
        <v>4000</v>
      </c>
      <c r="BW100" s="1015">
        <f t="shared" si="185"/>
        <v>4000</v>
      </c>
      <c r="BX100" s="1015">
        <f t="shared" si="185"/>
        <v>4000</v>
      </c>
      <c r="BY100" s="1015">
        <f t="shared" si="185"/>
        <v>4000</v>
      </c>
      <c r="BZ100" s="1015">
        <f t="shared" si="185"/>
        <v>4000</v>
      </c>
      <c r="CA100" s="1015">
        <f t="shared" si="185"/>
        <v>4000</v>
      </c>
      <c r="CB100" s="2026">
        <f t="shared" si="162"/>
        <v>48000</v>
      </c>
      <c r="CD100" s="1015">
        <f t="shared" ref="CD100:CO101" si="186">+$AH100</f>
        <v>4000</v>
      </c>
      <c r="CE100" s="1015">
        <f t="shared" si="186"/>
        <v>4000</v>
      </c>
      <c r="CF100" s="1015">
        <f t="shared" si="186"/>
        <v>4000</v>
      </c>
      <c r="CG100" s="1015">
        <f t="shared" si="186"/>
        <v>4000</v>
      </c>
      <c r="CH100" s="1015">
        <f t="shared" si="186"/>
        <v>4000</v>
      </c>
      <c r="CI100" s="1015">
        <f t="shared" si="186"/>
        <v>4000</v>
      </c>
      <c r="CJ100" s="1015">
        <f t="shared" si="186"/>
        <v>4000</v>
      </c>
      <c r="CK100" s="1015">
        <f t="shared" si="186"/>
        <v>4000</v>
      </c>
      <c r="CL100" s="1015">
        <f t="shared" si="186"/>
        <v>4000</v>
      </c>
      <c r="CM100" s="1015">
        <f t="shared" si="186"/>
        <v>4000</v>
      </c>
      <c r="CN100" s="1015">
        <f t="shared" si="186"/>
        <v>4000</v>
      </c>
      <c r="CO100" s="1015">
        <f t="shared" si="186"/>
        <v>4000</v>
      </c>
      <c r="CP100" s="2026">
        <f t="shared" si="164"/>
        <v>48000</v>
      </c>
      <c r="CR100" s="1015">
        <f t="shared" ref="CR100:CY100" si="187">+$AH100</f>
        <v>4000</v>
      </c>
      <c r="CS100" s="1015">
        <f t="shared" si="187"/>
        <v>4000</v>
      </c>
      <c r="CT100" s="1015">
        <f t="shared" si="187"/>
        <v>4000</v>
      </c>
      <c r="CU100" s="1015">
        <f t="shared" si="187"/>
        <v>4000</v>
      </c>
      <c r="CV100" s="1015">
        <f t="shared" si="187"/>
        <v>4000</v>
      </c>
      <c r="CW100" s="1015">
        <f t="shared" si="187"/>
        <v>4000</v>
      </c>
      <c r="CX100" s="1015">
        <f t="shared" si="187"/>
        <v>4000</v>
      </c>
      <c r="CY100" s="1015">
        <f t="shared" si="187"/>
        <v>4000</v>
      </c>
      <c r="CZ100" s="1015"/>
      <c r="DA100" s="1015"/>
      <c r="DB100" s="1015"/>
      <c r="DC100" s="1015"/>
      <c r="DD100" s="2026">
        <f t="shared" si="165"/>
        <v>32000</v>
      </c>
      <c r="DF100" s="986"/>
      <c r="DG100" s="986"/>
      <c r="DH100" s="986"/>
      <c r="DI100" s="2008">
        <f t="shared" si="163"/>
        <v>0</v>
      </c>
      <c r="DJ100" s="3534">
        <f t="shared" si="135"/>
        <v>144000</v>
      </c>
      <c r="DL100" s="3544">
        <f t="shared" si="129"/>
        <v>0</v>
      </c>
      <c r="DN100" s="2743" t="s">
        <v>1180</v>
      </c>
      <c r="DO100" s="2730" t="s">
        <v>1181</v>
      </c>
      <c r="DP100" s="2736" t="s">
        <v>1117</v>
      </c>
      <c r="DQ100" s="2730" t="s">
        <v>4</v>
      </c>
      <c r="DR100" s="2730" t="str">
        <f t="shared" si="166"/>
        <v>1</v>
      </c>
      <c r="DS100" s="1037"/>
      <c r="DT100" s="1037"/>
    </row>
    <row r="101" spans="1:130" ht="124.25" hidden="1" customHeight="1" outlineLevel="4">
      <c r="B101" s="2867"/>
      <c r="C101" s="3309" t="s">
        <v>782</v>
      </c>
      <c r="D101" s="3310" t="s">
        <v>768</v>
      </c>
      <c r="E101" s="2236"/>
      <c r="F101" s="3310" t="s">
        <v>768</v>
      </c>
      <c r="G101" s="2838" t="s">
        <v>1279</v>
      </c>
      <c r="H101" s="3327" t="s">
        <v>769</v>
      </c>
      <c r="I101" s="3319"/>
      <c r="J101" s="103"/>
      <c r="L101" s="364"/>
      <c r="M101" s="364"/>
      <c r="N101" s="3345"/>
      <c r="O101" s="3345"/>
      <c r="P101" s="3345"/>
      <c r="Q101" s="3345"/>
      <c r="R101" s="3345"/>
      <c r="S101" s="3345"/>
      <c r="T101" s="3345"/>
      <c r="U101" s="3345"/>
      <c r="W101" s="3528" t="s">
        <v>763</v>
      </c>
      <c r="X101" s="853" t="s">
        <v>1075</v>
      </c>
      <c r="Y101" s="853" t="s">
        <v>1289</v>
      </c>
      <c r="Z101" s="853">
        <v>17</v>
      </c>
      <c r="AA101" s="853"/>
      <c r="AB101" s="3352"/>
      <c r="AD101" s="194" t="s">
        <v>1326</v>
      </c>
      <c r="AE101" s="712">
        <v>1</v>
      </c>
      <c r="AF101" s="3360">
        <v>24</v>
      </c>
      <c r="AG101" s="3360"/>
      <c r="AH101" s="3361">
        <v>7670</v>
      </c>
      <c r="AI101" s="3362">
        <f t="shared" si="183"/>
        <v>184080</v>
      </c>
      <c r="AJ101" s="1530" t="s">
        <v>1327</v>
      </c>
      <c r="AL101" s="1032">
        <f t="shared" si="182"/>
        <v>184080</v>
      </c>
      <c r="AM101" s="1032"/>
      <c r="AN101" s="3513">
        <f t="shared" si="124"/>
        <v>184080</v>
      </c>
      <c r="AP101" s="986"/>
      <c r="AQ101" s="986"/>
      <c r="AR101" s="986"/>
      <c r="AS101" s="986"/>
      <c r="AT101" s="986"/>
      <c r="AU101" s="986"/>
      <c r="AV101" s="986"/>
      <c r="AW101" s="986"/>
      <c r="AX101" s="986"/>
      <c r="AY101" s="986"/>
      <c r="AZ101" s="2011">
        <f t="shared" si="160"/>
        <v>0</v>
      </c>
      <c r="BB101" s="1015"/>
      <c r="BC101" s="1015"/>
      <c r="BD101" s="1015"/>
      <c r="BE101" s="1015"/>
      <c r="BF101" s="1015"/>
      <c r="BG101" s="1015"/>
      <c r="BH101" s="1015"/>
      <c r="BI101" s="1015"/>
      <c r="BJ101" s="1015">
        <f t="shared" si="184"/>
        <v>7670</v>
      </c>
      <c r="BK101" s="1015">
        <f t="shared" si="184"/>
        <v>7670</v>
      </c>
      <c r="BL101" s="1015">
        <f t="shared" si="184"/>
        <v>7670</v>
      </c>
      <c r="BM101" s="1015">
        <f>+$AH101*2</f>
        <v>15340</v>
      </c>
      <c r="BN101" s="2026">
        <f t="shared" si="161"/>
        <v>38350</v>
      </c>
      <c r="BP101" s="1015">
        <f t="shared" si="185"/>
        <v>7670</v>
      </c>
      <c r="BQ101" s="1015">
        <f t="shared" si="185"/>
        <v>7670</v>
      </c>
      <c r="BR101" s="1015">
        <f t="shared" si="185"/>
        <v>7670</v>
      </c>
      <c r="BS101" s="1015">
        <f t="shared" si="185"/>
        <v>7670</v>
      </c>
      <c r="BT101" s="1015">
        <f t="shared" si="185"/>
        <v>7670</v>
      </c>
      <c r="BU101" s="1015">
        <f t="shared" si="185"/>
        <v>7670</v>
      </c>
      <c r="BV101" s="1015">
        <f t="shared" si="185"/>
        <v>7670</v>
      </c>
      <c r="BW101" s="1015">
        <f t="shared" si="185"/>
        <v>7670</v>
      </c>
      <c r="BX101" s="1015">
        <f t="shared" si="185"/>
        <v>7670</v>
      </c>
      <c r="BY101" s="1015">
        <f t="shared" si="185"/>
        <v>7670</v>
      </c>
      <c r="BZ101" s="1015">
        <f t="shared" si="185"/>
        <v>7670</v>
      </c>
      <c r="CA101" s="1015">
        <f t="shared" si="185"/>
        <v>7670</v>
      </c>
      <c r="CB101" s="2026">
        <f t="shared" si="162"/>
        <v>92040</v>
      </c>
      <c r="CD101" s="1015">
        <f t="shared" si="186"/>
        <v>7670</v>
      </c>
      <c r="CE101" s="1015">
        <f t="shared" si="186"/>
        <v>7670</v>
      </c>
      <c r="CF101" s="1015">
        <f t="shared" si="186"/>
        <v>7670</v>
      </c>
      <c r="CG101" s="1015">
        <f t="shared" si="186"/>
        <v>7670</v>
      </c>
      <c r="CH101" s="1015">
        <f t="shared" si="186"/>
        <v>7670</v>
      </c>
      <c r="CI101" s="1015">
        <f t="shared" si="186"/>
        <v>7670</v>
      </c>
      <c r="CJ101" s="1015">
        <f t="shared" si="186"/>
        <v>7670</v>
      </c>
      <c r="CK101" s="1015"/>
      <c r="CL101" s="1015"/>
      <c r="CM101" s="1015"/>
      <c r="CN101" s="1015"/>
      <c r="CO101" s="1015"/>
      <c r="CP101" s="2026">
        <f t="shared" si="164"/>
        <v>53690</v>
      </c>
      <c r="CR101" s="1015"/>
      <c r="CS101" s="1015"/>
      <c r="CT101" s="1015"/>
      <c r="CU101" s="1015"/>
      <c r="CV101" s="1015"/>
      <c r="CW101" s="1015"/>
      <c r="CX101" s="1015"/>
      <c r="CY101" s="1015"/>
      <c r="CZ101" s="1015"/>
      <c r="DA101" s="1015"/>
      <c r="DB101" s="1015"/>
      <c r="DC101" s="1015"/>
      <c r="DD101" s="2026">
        <f t="shared" si="165"/>
        <v>0</v>
      </c>
      <c r="DF101" s="986"/>
      <c r="DG101" s="986"/>
      <c r="DH101" s="986"/>
      <c r="DI101" s="2008">
        <f t="shared" si="163"/>
        <v>0</v>
      </c>
      <c r="DJ101" s="3534">
        <f t="shared" si="135"/>
        <v>184080</v>
      </c>
      <c r="DL101" s="3544">
        <f t="shared" si="129"/>
        <v>0</v>
      </c>
      <c r="DN101" s="2743" t="s">
        <v>1180</v>
      </c>
      <c r="DO101" s="2730" t="s">
        <v>1181</v>
      </c>
      <c r="DP101" s="2736" t="s">
        <v>1117</v>
      </c>
      <c r="DQ101" s="2730" t="s">
        <v>4</v>
      </c>
      <c r="DR101" s="2730" t="str">
        <f t="shared" si="166"/>
        <v>1</v>
      </c>
      <c r="DS101" s="1037"/>
      <c r="DT101" s="1037"/>
    </row>
    <row r="102" spans="1:130" ht="27.5" hidden="1" customHeight="1" outlineLevel="4">
      <c r="B102" s="2867"/>
      <c r="C102" s="3309" t="s">
        <v>1328</v>
      </c>
      <c r="D102" s="3310" t="s">
        <v>770</v>
      </c>
      <c r="E102" s="2236"/>
      <c r="F102" s="3310" t="s">
        <v>770</v>
      </c>
      <c r="G102" s="2838" t="s">
        <v>1279</v>
      </c>
      <c r="H102" s="3327" t="s">
        <v>771</v>
      </c>
      <c r="I102" s="3319"/>
      <c r="J102" s="103"/>
      <c r="L102" s="364"/>
      <c r="M102" s="364"/>
      <c r="N102" s="3345"/>
      <c r="O102" s="3345"/>
      <c r="P102" s="3345"/>
      <c r="Q102" s="3345"/>
      <c r="R102" s="3345"/>
      <c r="S102" s="3345"/>
      <c r="T102" s="3345"/>
      <c r="U102" s="3345"/>
      <c r="W102" s="3528" t="s">
        <v>763</v>
      </c>
      <c r="X102" s="853" t="s">
        <v>1075</v>
      </c>
      <c r="Y102" s="853" t="s">
        <v>1289</v>
      </c>
      <c r="Z102" s="853" t="s">
        <v>775</v>
      </c>
      <c r="AA102" s="853"/>
      <c r="AB102" s="3352"/>
      <c r="AD102" s="194" t="s">
        <v>1326</v>
      </c>
      <c r="AE102" s="712">
        <v>1</v>
      </c>
      <c r="AF102" s="3360">
        <v>24</v>
      </c>
      <c r="AG102" s="3360"/>
      <c r="AH102" s="3361">
        <v>6540</v>
      </c>
      <c r="AI102" s="3362">
        <f t="shared" si="183"/>
        <v>156960</v>
      </c>
      <c r="AJ102" s="3362">
        <f>AI102-6000*12</f>
        <v>84960</v>
      </c>
      <c r="AL102" s="3112">
        <f t="shared" si="182"/>
        <v>156960</v>
      </c>
      <c r="AM102" s="1032"/>
      <c r="AN102" s="3513">
        <f t="shared" si="124"/>
        <v>156960</v>
      </c>
      <c r="AP102" s="986"/>
      <c r="AQ102" s="986"/>
      <c r="AR102" s="986"/>
      <c r="AS102" s="986"/>
      <c r="AT102" s="986"/>
      <c r="AU102" s="986"/>
      <c r="AV102" s="986"/>
      <c r="AW102" s="986"/>
      <c r="AX102" s="986"/>
      <c r="AY102" s="986"/>
      <c r="AZ102" s="2011">
        <f t="shared" si="160"/>
        <v>0</v>
      </c>
      <c r="BB102" s="1015"/>
      <c r="BC102" s="1015"/>
      <c r="BD102" s="1015"/>
      <c r="BE102" s="1015"/>
      <c r="BF102" s="1015"/>
      <c r="BG102" s="1015"/>
      <c r="BH102" s="1015">
        <v>6000</v>
      </c>
      <c r="BI102" s="1015">
        <v>6000</v>
      </c>
      <c r="BJ102" s="1015">
        <v>6000</v>
      </c>
      <c r="BK102" s="1015">
        <v>6000</v>
      </c>
      <c r="BL102" s="1015">
        <v>6000</v>
      </c>
      <c r="BM102" s="1015">
        <v>6000</v>
      </c>
      <c r="BN102" s="2026">
        <f t="shared" si="161"/>
        <v>36000</v>
      </c>
      <c r="BP102" s="1015">
        <v>6000</v>
      </c>
      <c r="BQ102" s="1015">
        <v>6000</v>
      </c>
      <c r="BR102" s="1015">
        <v>6000</v>
      </c>
      <c r="BS102" s="1015">
        <v>6000</v>
      </c>
      <c r="BT102" s="1015">
        <v>6000</v>
      </c>
      <c r="BU102" s="1015">
        <v>6000</v>
      </c>
      <c r="BV102" s="1015">
        <f t="shared" ref="BV102:CA102" si="188">+$AJ$102/12</f>
        <v>7080</v>
      </c>
      <c r="BW102" s="1015">
        <f t="shared" si="188"/>
        <v>7080</v>
      </c>
      <c r="BX102" s="1015">
        <f t="shared" si="188"/>
        <v>7080</v>
      </c>
      <c r="BY102" s="1015">
        <f t="shared" si="188"/>
        <v>7080</v>
      </c>
      <c r="BZ102" s="1015">
        <f t="shared" si="188"/>
        <v>7080</v>
      </c>
      <c r="CA102" s="1015">
        <f t="shared" si="188"/>
        <v>7080</v>
      </c>
      <c r="CB102" s="2026">
        <f t="shared" si="162"/>
        <v>78480</v>
      </c>
      <c r="CD102" s="1015">
        <f t="shared" ref="CD102:CI102" si="189">+$AJ$102/12</f>
        <v>7080</v>
      </c>
      <c r="CE102" s="1015">
        <f t="shared" si="189"/>
        <v>7080</v>
      </c>
      <c r="CF102" s="1015">
        <f t="shared" si="189"/>
        <v>7080</v>
      </c>
      <c r="CG102" s="1015">
        <f t="shared" si="189"/>
        <v>7080</v>
      </c>
      <c r="CH102" s="1015">
        <f t="shared" si="189"/>
        <v>7080</v>
      </c>
      <c r="CI102" s="1015">
        <f t="shared" si="189"/>
        <v>7080</v>
      </c>
      <c r="CJ102" s="1015"/>
      <c r="CK102" s="1015"/>
      <c r="CL102" s="1015"/>
      <c r="CM102" s="1015"/>
      <c r="CN102" s="1015"/>
      <c r="CO102" s="1015"/>
      <c r="CP102" s="2026">
        <f t="shared" si="164"/>
        <v>42480</v>
      </c>
      <c r="CR102" s="1015"/>
      <c r="CS102" s="1015"/>
      <c r="CT102" s="1015"/>
      <c r="CU102" s="1015"/>
      <c r="CV102" s="1015"/>
      <c r="CW102" s="1015"/>
      <c r="CX102" s="1015"/>
      <c r="CY102" s="1015"/>
      <c r="CZ102" s="1015"/>
      <c r="DA102" s="1015"/>
      <c r="DB102" s="1015"/>
      <c r="DC102" s="1015"/>
      <c r="DD102" s="2026">
        <f t="shared" si="165"/>
        <v>0</v>
      </c>
      <c r="DF102" s="986"/>
      <c r="DG102" s="986"/>
      <c r="DH102" s="986"/>
      <c r="DI102" s="2008">
        <f t="shared" si="163"/>
        <v>0</v>
      </c>
      <c r="DJ102" s="3534">
        <f t="shared" si="135"/>
        <v>156960</v>
      </c>
      <c r="DL102" s="3544">
        <f>+AN102-DJ102</f>
        <v>0</v>
      </c>
      <c r="DN102" s="2743" t="s">
        <v>1180</v>
      </c>
      <c r="DO102" s="2730" t="s">
        <v>1181</v>
      </c>
      <c r="DP102" s="2736" t="s">
        <v>1117</v>
      </c>
      <c r="DQ102" s="2730" t="s">
        <v>4</v>
      </c>
      <c r="DR102" s="2730" t="str">
        <f t="shared" si="166"/>
        <v>1</v>
      </c>
      <c r="DS102" s="1037"/>
      <c r="DT102" s="1037"/>
    </row>
    <row r="103" spans="1:130" ht="27.5" hidden="1" customHeight="1" outlineLevel="4">
      <c r="B103" s="2867"/>
      <c r="C103" s="3309"/>
      <c r="D103" s="3310" t="s">
        <v>776</v>
      </c>
      <c r="E103" s="2236"/>
      <c r="F103" s="3310" t="s">
        <v>776</v>
      </c>
      <c r="G103" s="2838" t="s">
        <v>1279</v>
      </c>
      <c r="H103" s="3363" t="s">
        <v>777</v>
      </c>
      <c r="I103" s="3319"/>
      <c r="J103" s="103"/>
      <c r="L103" s="364"/>
      <c r="M103" s="364"/>
      <c r="N103" s="3345"/>
      <c r="O103" s="3345"/>
      <c r="P103" s="3345"/>
      <c r="Q103" s="3345"/>
      <c r="R103" s="3345"/>
      <c r="S103" s="3345"/>
      <c r="T103" s="3345"/>
      <c r="U103" s="3345"/>
      <c r="W103" s="3528" t="s">
        <v>763</v>
      </c>
      <c r="X103" s="853" t="s">
        <v>1075</v>
      </c>
      <c r="Y103" s="853" t="s">
        <v>1289</v>
      </c>
      <c r="Z103" s="2685" t="s">
        <v>778</v>
      </c>
      <c r="AA103" s="853"/>
      <c r="AB103" s="3352"/>
      <c r="AD103" s="194" t="s">
        <v>1326</v>
      </c>
      <c r="AE103" s="712">
        <v>1</v>
      </c>
      <c r="AF103" s="3360">
        <v>24</v>
      </c>
      <c r="AG103" s="3360"/>
      <c r="AH103" s="3361">
        <v>2600</v>
      </c>
      <c r="AI103" s="3362">
        <f t="shared" si="183"/>
        <v>62400</v>
      </c>
      <c r="AJ103" s="1530"/>
      <c r="AL103" s="1032">
        <f t="shared" si="182"/>
        <v>62400</v>
      </c>
      <c r="AM103" s="1032"/>
      <c r="AN103" s="3513">
        <f t="shared" si="124"/>
        <v>62400</v>
      </c>
      <c r="AP103" s="986"/>
      <c r="AQ103" s="986"/>
      <c r="AR103" s="986"/>
      <c r="AS103" s="986"/>
      <c r="AT103" s="986"/>
      <c r="AU103" s="986"/>
      <c r="AV103" s="986"/>
      <c r="AW103" s="986"/>
      <c r="AX103" s="986"/>
      <c r="AY103" s="986"/>
      <c r="AZ103" s="2011">
        <f t="shared" si="160"/>
        <v>0</v>
      </c>
      <c r="BB103" s="1015"/>
      <c r="BC103" s="1015"/>
      <c r="BD103" s="1015"/>
      <c r="BE103" s="1015"/>
      <c r="BF103" s="1015"/>
      <c r="BG103" s="1015"/>
      <c r="BH103" s="1015"/>
      <c r="BI103" s="1015"/>
      <c r="BJ103" s="1015"/>
      <c r="BK103" s="1015"/>
      <c r="BL103" s="1015">
        <f>+$AH$103</f>
        <v>2600</v>
      </c>
      <c r="BM103" s="1015">
        <f>+$AH$103</f>
        <v>2600</v>
      </c>
      <c r="BN103" s="2011">
        <f t="shared" si="161"/>
        <v>5200</v>
      </c>
      <c r="BP103" s="1015">
        <f t="shared" ref="BP103:CA103" si="190">+$AH$103</f>
        <v>2600</v>
      </c>
      <c r="BQ103" s="1015">
        <f t="shared" si="190"/>
        <v>2600</v>
      </c>
      <c r="BR103" s="1015">
        <f t="shared" si="190"/>
        <v>2600</v>
      </c>
      <c r="BS103" s="1015">
        <f t="shared" si="190"/>
        <v>2600</v>
      </c>
      <c r="BT103" s="1015">
        <f t="shared" si="190"/>
        <v>2600</v>
      </c>
      <c r="BU103" s="1015">
        <f t="shared" si="190"/>
        <v>2600</v>
      </c>
      <c r="BV103" s="1015">
        <f t="shared" si="190"/>
        <v>2600</v>
      </c>
      <c r="BW103" s="1015">
        <f t="shared" si="190"/>
        <v>2600</v>
      </c>
      <c r="BX103" s="1015">
        <f t="shared" si="190"/>
        <v>2600</v>
      </c>
      <c r="BY103" s="1015">
        <f t="shared" si="190"/>
        <v>2600</v>
      </c>
      <c r="BZ103" s="1015">
        <f t="shared" si="190"/>
        <v>2600</v>
      </c>
      <c r="CA103" s="1015">
        <f t="shared" si="190"/>
        <v>2600</v>
      </c>
      <c r="CB103" s="2026">
        <f t="shared" si="162"/>
        <v>31200</v>
      </c>
      <c r="CD103" s="1015">
        <f t="shared" ref="CD103:CJ103" si="191">+$AH$103</f>
        <v>2600</v>
      </c>
      <c r="CE103" s="1015">
        <f t="shared" si="191"/>
        <v>2600</v>
      </c>
      <c r="CF103" s="1015">
        <f t="shared" si="191"/>
        <v>2600</v>
      </c>
      <c r="CG103" s="1015">
        <f t="shared" si="191"/>
        <v>2600</v>
      </c>
      <c r="CH103" s="1015">
        <f t="shared" si="191"/>
        <v>2600</v>
      </c>
      <c r="CI103" s="1015">
        <f t="shared" si="191"/>
        <v>2600</v>
      </c>
      <c r="CJ103" s="1015">
        <f t="shared" si="191"/>
        <v>2600</v>
      </c>
      <c r="CK103" s="1015">
        <f>+$AH$103</f>
        <v>2600</v>
      </c>
      <c r="CL103" s="1015">
        <f>+$AH$103</f>
        <v>2600</v>
      </c>
      <c r="CM103" s="1015">
        <f>+$AH$103</f>
        <v>2600</v>
      </c>
      <c r="CN103" s="1015"/>
      <c r="CO103" s="1015"/>
      <c r="CP103" s="2011">
        <f t="shared" si="164"/>
        <v>26000</v>
      </c>
      <c r="CR103" s="986"/>
      <c r="CS103" s="986"/>
      <c r="CT103" s="986"/>
      <c r="CU103" s="986"/>
      <c r="CV103" s="986"/>
      <c r="CW103" s="986"/>
      <c r="CX103" s="986"/>
      <c r="CY103" s="986"/>
      <c r="CZ103" s="986"/>
      <c r="DA103" s="986"/>
      <c r="DB103" s="986"/>
      <c r="DC103" s="986"/>
      <c r="DD103" s="2011">
        <f t="shared" si="165"/>
        <v>0</v>
      </c>
      <c r="DF103" s="986"/>
      <c r="DG103" s="986"/>
      <c r="DH103" s="986"/>
      <c r="DI103" s="2008">
        <f t="shared" si="163"/>
        <v>0</v>
      </c>
      <c r="DJ103" s="3534">
        <f t="shared" si="135"/>
        <v>62400</v>
      </c>
      <c r="DL103" s="3544">
        <f t="shared" si="129"/>
        <v>0</v>
      </c>
      <c r="DN103" s="2743"/>
      <c r="DO103" s="2730"/>
      <c r="DP103" s="2736"/>
      <c r="DQ103" s="2730"/>
      <c r="DR103" s="2730"/>
      <c r="DS103" s="1037"/>
      <c r="DT103" s="1037"/>
    </row>
    <row r="104" spans="1:130" ht="27.5" hidden="1" customHeight="1" outlineLevel="4">
      <c r="B104" s="2867"/>
      <c r="C104" s="3309"/>
      <c r="D104" s="3310" t="s">
        <v>779</v>
      </c>
      <c r="E104" s="2236"/>
      <c r="F104" s="3310" t="s">
        <v>779</v>
      </c>
      <c r="G104" s="2838" t="s">
        <v>1279</v>
      </c>
      <c r="H104" s="3363" t="s">
        <v>780</v>
      </c>
      <c r="I104" s="3319"/>
      <c r="J104" s="103"/>
      <c r="L104" s="364"/>
      <c r="M104" s="364"/>
      <c r="N104" s="3345"/>
      <c r="O104" s="3345"/>
      <c r="P104" s="3345"/>
      <c r="Q104" s="3345"/>
      <c r="R104" s="3345"/>
      <c r="S104" s="3345"/>
      <c r="T104" s="3345"/>
      <c r="U104" s="3345"/>
      <c r="W104" s="3528" t="s">
        <v>763</v>
      </c>
      <c r="X104" s="853" t="s">
        <v>1075</v>
      </c>
      <c r="Y104" s="853" t="s">
        <v>1289</v>
      </c>
      <c r="Z104" s="2685" t="s">
        <v>781</v>
      </c>
      <c r="AA104" s="853"/>
      <c r="AB104" s="3352"/>
      <c r="AD104" s="194" t="s">
        <v>1326</v>
      </c>
      <c r="AE104" s="712">
        <v>1</v>
      </c>
      <c r="AF104" s="3360">
        <v>24</v>
      </c>
      <c r="AG104" s="3360"/>
      <c r="AH104" s="3361">
        <v>3492</v>
      </c>
      <c r="AI104" s="3362">
        <f t="shared" si="183"/>
        <v>83808</v>
      </c>
      <c r="AJ104" s="1530"/>
      <c r="AL104" s="1032">
        <f t="shared" si="182"/>
        <v>83808</v>
      </c>
      <c r="AM104" s="1032"/>
      <c r="AN104" s="3513">
        <f t="shared" si="124"/>
        <v>83808</v>
      </c>
      <c r="AP104" s="986"/>
      <c r="AQ104" s="986"/>
      <c r="AR104" s="986"/>
      <c r="AS104" s="986"/>
      <c r="AT104" s="986"/>
      <c r="AU104" s="986"/>
      <c r="AV104" s="986"/>
      <c r="AW104" s="986"/>
      <c r="AX104" s="986"/>
      <c r="AY104" s="986"/>
      <c r="AZ104" s="2011">
        <f t="shared" si="160"/>
        <v>0</v>
      </c>
      <c r="BB104" s="1015"/>
      <c r="BC104" s="1015"/>
      <c r="BD104" s="1015"/>
      <c r="BE104" s="1015"/>
      <c r="BF104" s="1015"/>
      <c r="BG104" s="1015"/>
      <c r="BH104" s="1015"/>
      <c r="BI104" s="1015"/>
      <c r="BJ104" s="1015"/>
      <c r="BK104" s="1015"/>
      <c r="BL104" s="1015"/>
      <c r="BM104" s="1015"/>
      <c r="BN104" s="2011">
        <f t="shared" si="161"/>
        <v>0</v>
      </c>
      <c r="BP104" s="1015"/>
      <c r="BQ104" s="1015"/>
      <c r="BR104" s="1015"/>
      <c r="BS104" s="1015"/>
      <c r="BT104" s="1015"/>
      <c r="BU104" s="1015">
        <f t="shared" ref="BU104:CA104" si="192">+$AH$104</f>
        <v>3492</v>
      </c>
      <c r="BV104" s="1015">
        <f t="shared" si="192"/>
        <v>3492</v>
      </c>
      <c r="BW104" s="1015">
        <f t="shared" si="192"/>
        <v>3492</v>
      </c>
      <c r="BX104" s="1015">
        <f t="shared" si="192"/>
        <v>3492</v>
      </c>
      <c r="BY104" s="1015">
        <f t="shared" si="192"/>
        <v>3492</v>
      </c>
      <c r="BZ104" s="1015">
        <f t="shared" si="192"/>
        <v>3492</v>
      </c>
      <c r="CA104" s="1015">
        <f t="shared" si="192"/>
        <v>3492</v>
      </c>
      <c r="CB104" s="2026">
        <f t="shared" si="162"/>
        <v>24444</v>
      </c>
      <c r="CD104" s="1015">
        <f t="shared" ref="CD104:CK104" si="193">+$AH$104</f>
        <v>3492</v>
      </c>
      <c r="CE104" s="1015">
        <f t="shared" si="193"/>
        <v>3492</v>
      </c>
      <c r="CF104" s="1015">
        <f t="shared" si="193"/>
        <v>3492</v>
      </c>
      <c r="CG104" s="1015">
        <f t="shared" si="193"/>
        <v>3492</v>
      </c>
      <c r="CH104" s="1015">
        <f t="shared" si="193"/>
        <v>3492</v>
      </c>
      <c r="CI104" s="1015">
        <f t="shared" si="193"/>
        <v>3492</v>
      </c>
      <c r="CJ104" s="1015">
        <f t="shared" si="193"/>
        <v>3492</v>
      </c>
      <c r="CK104" s="1015">
        <f t="shared" si="193"/>
        <v>3492</v>
      </c>
      <c r="CL104" s="1015">
        <f>+$AH$104</f>
        <v>3492</v>
      </c>
      <c r="CM104" s="1015">
        <f>+$AH$104</f>
        <v>3492</v>
      </c>
      <c r="CN104" s="1015">
        <f>+$AH$104</f>
        <v>3492</v>
      </c>
      <c r="CO104" s="1015">
        <f>+$AH$104</f>
        <v>3492</v>
      </c>
      <c r="CP104" s="2011">
        <f t="shared" si="164"/>
        <v>41904</v>
      </c>
      <c r="CR104" s="1015">
        <f>+$AH$104</f>
        <v>3492</v>
      </c>
      <c r="CS104" s="1015">
        <f t="shared" ref="CS104:CV104" si="194">+$AH$104</f>
        <v>3492</v>
      </c>
      <c r="CT104" s="1015">
        <f t="shared" si="194"/>
        <v>3492</v>
      </c>
      <c r="CU104" s="1015">
        <f t="shared" si="194"/>
        <v>3492</v>
      </c>
      <c r="CV104" s="1015">
        <f t="shared" si="194"/>
        <v>3492</v>
      </c>
      <c r="CW104" s="986"/>
      <c r="CX104" s="986"/>
      <c r="CY104" s="986"/>
      <c r="CZ104" s="986"/>
      <c r="DA104" s="986"/>
      <c r="DB104" s="986"/>
      <c r="DC104" s="986"/>
      <c r="DD104" s="2011">
        <f t="shared" si="165"/>
        <v>17460</v>
      </c>
      <c r="DF104" s="986"/>
      <c r="DG104" s="986"/>
      <c r="DH104" s="986"/>
      <c r="DI104" s="2008">
        <f t="shared" si="163"/>
        <v>0</v>
      </c>
      <c r="DJ104" s="3534">
        <f t="shared" si="135"/>
        <v>83808</v>
      </c>
      <c r="DL104" s="3544">
        <f t="shared" si="129"/>
        <v>0</v>
      </c>
      <c r="DN104" s="2743"/>
      <c r="DO104" s="2730"/>
      <c r="DP104" s="2736"/>
      <c r="DQ104" s="2730"/>
      <c r="DR104" s="2730"/>
      <c r="DS104" s="1037"/>
      <c r="DT104" s="1037"/>
    </row>
    <row r="105" spans="1:130" ht="138" hidden="1" customHeight="1" outlineLevel="4">
      <c r="B105" s="2860"/>
      <c r="C105" s="3309" t="s">
        <v>1329</v>
      </c>
      <c r="D105" s="3310" t="s">
        <v>772</v>
      </c>
      <c r="E105" s="2236"/>
      <c r="F105" s="3310" t="s">
        <v>772</v>
      </c>
      <c r="G105" s="2838" t="s">
        <v>1279</v>
      </c>
      <c r="H105" s="3318" t="s">
        <v>773</v>
      </c>
      <c r="I105" s="3319"/>
      <c r="J105" s="103"/>
      <c r="L105" s="364"/>
      <c r="M105" s="364"/>
      <c r="N105" s="3345"/>
      <c r="O105" s="3345"/>
      <c r="P105" s="3345"/>
      <c r="Q105" s="3345"/>
      <c r="R105" s="3345"/>
      <c r="S105" s="3345"/>
      <c r="T105" s="3345"/>
      <c r="U105" s="3345"/>
      <c r="W105" s="3528" t="s">
        <v>774</v>
      </c>
      <c r="X105" s="853" t="s">
        <v>1075</v>
      </c>
      <c r="Y105" s="853" t="s">
        <v>1289</v>
      </c>
      <c r="Z105" s="853">
        <v>1</v>
      </c>
      <c r="AA105" s="853"/>
      <c r="AB105" s="3352"/>
      <c r="AD105" s="711" t="s">
        <v>1179</v>
      </c>
      <c r="AE105" s="712">
        <v>1</v>
      </c>
      <c r="AF105" s="179"/>
      <c r="AG105" s="179"/>
      <c r="AH105" s="2691">
        <f>1304075+10348</f>
        <v>1314423</v>
      </c>
      <c r="AI105" s="2601">
        <f>+AH105*AE105</f>
        <v>1314423</v>
      </c>
      <c r="AJ105" s="1530" t="s">
        <v>1330</v>
      </c>
      <c r="AL105" s="1032">
        <f t="shared" si="182"/>
        <v>1314423</v>
      </c>
      <c r="AM105" s="1032"/>
      <c r="AN105" s="3513">
        <f t="shared" si="124"/>
        <v>1314423</v>
      </c>
      <c r="AP105" s="986"/>
      <c r="AQ105" s="986"/>
      <c r="AR105" s="986"/>
      <c r="AS105" s="986"/>
      <c r="AT105" s="986"/>
      <c r="AU105" s="986"/>
      <c r="AV105" s="986"/>
      <c r="AW105" s="986"/>
      <c r="AX105" s="986"/>
      <c r="AY105" s="986"/>
      <c r="AZ105" s="2011">
        <f t="shared" si="160"/>
        <v>0</v>
      </c>
      <c r="BB105" s="1015"/>
      <c r="BC105" s="1015"/>
      <c r="BD105" s="1015"/>
      <c r="BE105" s="1015"/>
      <c r="BF105" s="1015"/>
      <c r="BG105" s="1015"/>
      <c r="BH105" s="1015"/>
      <c r="BI105" s="1015"/>
      <c r="BJ105" s="1015"/>
      <c r="BK105" s="1015"/>
      <c r="BL105" s="1015"/>
      <c r="BM105" s="1015">
        <f>260814.95-0.44</f>
        <v>260814.51</v>
      </c>
      <c r="BN105" s="2011">
        <f>SUM(BB105:BM105)</f>
        <v>260814.51</v>
      </c>
      <c r="BP105" s="1015"/>
      <c r="BQ105" s="1015">
        <f>521629.91+10349</f>
        <v>531978.90999999992</v>
      </c>
      <c r="BR105" s="1015"/>
      <c r="BS105" s="1015"/>
      <c r="BT105" s="1015">
        <v>521629.91</v>
      </c>
      <c r="BU105" s="1015"/>
      <c r="BV105" s="986"/>
      <c r="BW105" s="1015"/>
      <c r="BX105" s="986"/>
      <c r="BY105" s="986"/>
      <c r="BZ105" s="986"/>
      <c r="CA105" s="1015"/>
      <c r="CB105" s="2026">
        <f>SUM(BP105:CA105)</f>
        <v>1053608.8199999998</v>
      </c>
      <c r="CD105" s="986"/>
      <c r="CE105" s="1015"/>
      <c r="CF105" s="986"/>
      <c r="CG105" s="986"/>
      <c r="CH105" s="986"/>
      <c r="CI105" s="986"/>
      <c r="CJ105" s="986"/>
      <c r="CK105" s="986"/>
      <c r="CL105" s="986"/>
      <c r="CM105" s="986"/>
      <c r="CN105" s="986"/>
      <c r="CO105" s="986"/>
      <c r="CP105" s="2011">
        <f t="shared" si="164"/>
        <v>0</v>
      </c>
      <c r="CR105" s="986"/>
      <c r="CS105" s="986"/>
      <c r="CT105" s="986"/>
      <c r="CU105" s="986"/>
      <c r="CV105" s="986"/>
      <c r="CW105" s="986"/>
      <c r="CX105" s="986"/>
      <c r="CY105" s="986"/>
      <c r="CZ105" s="986"/>
      <c r="DA105" s="986"/>
      <c r="DB105" s="986"/>
      <c r="DC105" s="986"/>
      <c r="DD105" s="2011">
        <f t="shared" si="165"/>
        <v>0</v>
      </c>
      <c r="DF105" s="986"/>
      <c r="DG105" s="986"/>
      <c r="DH105" s="986"/>
      <c r="DI105" s="2008">
        <f t="shared" si="163"/>
        <v>0</v>
      </c>
      <c r="DJ105" s="3534">
        <f>+AZ105+BN105+CB105+CP105+DD105+DI105-0.33</f>
        <v>1314422.9999999998</v>
      </c>
      <c r="DL105" s="3544">
        <f t="shared" si="129"/>
        <v>0</v>
      </c>
      <c r="DN105" s="2743" t="s">
        <v>1331</v>
      </c>
      <c r="DO105" s="2745" t="s">
        <v>1332</v>
      </c>
      <c r="DP105" s="2736" t="s">
        <v>1160</v>
      </c>
      <c r="DQ105" s="2745" t="s">
        <v>4</v>
      </c>
      <c r="DR105" s="2745" t="str">
        <f t="shared" si="166"/>
        <v>1</v>
      </c>
      <c r="DS105" s="1037"/>
      <c r="DT105" s="1037"/>
    </row>
    <row r="106" spans="1:130" ht="14" hidden="1" customHeight="1" outlineLevel="4">
      <c r="B106" s="2860"/>
      <c r="C106" s="3309"/>
      <c r="D106" s="3310"/>
      <c r="E106" s="2236"/>
      <c r="F106" s="3310" t="s">
        <v>782</v>
      </c>
      <c r="G106" s="2838"/>
      <c r="H106" s="3364" t="s">
        <v>783</v>
      </c>
      <c r="I106" s="3319"/>
      <c r="J106" s="103"/>
      <c r="L106" s="364"/>
      <c r="M106" s="364"/>
      <c r="N106" s="3345"/>
      <c r="O106" s="3345"/>
      <c r="P106" s="3345"/>
      <c r="Q106" s="3345"/>
      <c r="R106" s="3345"/>
      <c r="S106" s="3345"/>
      <c r="T106" s="3345"/>
      <c r="U106" s="3345"/>
      <c r="W106" s="2514" t="s">
        <v>785</v>
      </c>
      <c r="X106" s="853" t="s">
        <v>1075</v>
      </c>
      <c r="Y106" s="853"/>
      <c r="Z106" s="2685" t="s">
        <v>784</v>
      </c>
      <c r="AA106" s="853"/>
      <c r="AB106" s="3352"/>
      <c r="AD106" s="711" t="s">
        <v>1179</v>
      </c>
      <c r="AE106" s="712">
        <v>0</v>
      </c>
      <c r="AF106" s="179">
        <v>24</v>
      </c>
      <c r="AG106" s="179"/>
      <c r="AH106" s="2691">
        <v>15599.875</v>
      </c>
      <c r="AI106" s="2601">
        <f>+AE106*AF106*AH106</f>
        <v>0</v>
      </c>
      <c r="AJ106" s="1530"/>
      <c r="AL106" s="1032">
        <f t="shared" si="182"/>
        <v>0</v>
      </c>
      <c r="AM106" s="1032"/>
      <c r="AN106" s="3513">
        <f t="shared" si="124"/>
        <v>0</v>
      </c>
      <c r="AP106" s="986"/>
      <c r="AQ106" s="986"/>
      <c r="AR106" s="986"/>
      <c r="AS106" s="986"/>
      <c r="AT106" s="986"/>
      <c r="AU106" s="986"/>
      <c r="AV106" s="986"/>
      <c r="AW106" s="986"/>
      <c r="AX106" s="986"/>
      <c r="AY106" s="986"/>
      <c r="AZ106" s="2011">
        <f t="shared" si="160"/>
        <v>0</v>
      </c>
      <c r="BB106" s="1015"/>
      <c r="BC106" s="1015"/>
      <c r="BD106" s="1015"/>
      <c r="BE106" s="1015"/>
      <c r="BF106" s="1015"/>
      <c r="BG106" s="1015"/>
      <c r="BH106" s="1015"/>
      <c r="BI106" s="1015"/>
      <c r="BJ106" s="1015"/>
      <c r="BK106" s="1015"/>
      <c r="BL106" s="1015"/>
      <c r="BM106" s="1015"/>
      <c r="BN106" s="2011">
        <f>SUM(BB106:BM106)</f>
        <v>0</v>
      </c>
      <c r="BP106" s="1015">
        <f>+$AI$106*0.5</f>
        <v>0</v>
      </c>
      <c r="BQ106" s="1015"/>
      <c r="BR106" s="1015"/>
      <c r="BS106" s="1015"/>
      <c r="BT106" s="1015"/>
      <c r="BU106" s="1015"/>
      <c r="BV106" s="986"/>
      <c r="BW106" s="1015"/>
      <c r="BX106" s="986"/>
      <c r="BY106" s="986"/>
      <c r="BZ106" s="986"/>
      <c r="CA106" s="1015"/>
      <c r="CB106" s="2026">
        <f>SUM(BP106:CA106)</f>
        <v>0</v>
      </c>
      <c r="CD106" s="2651">
        <f>+$AI$106*0.5</f>
        <v>0</v>
      </c>
      <c r="CE106" s="1015"/>
      <c r="CF106" s="986"/>
      <c r="CG106" s="986"/>
      <c r="CH106" s="986"/>
      <c r="CI106" s="986"/>
      <c r="CJ106" s="986"/>
      <c r="CK106" s="986"/>
      <c r="CL106" s="986"/>
      <c r="CM106" s="986"/>
      <c r="CN106" s="986"/>
      <c r="CO106" s="986"/>
      <c r="CP106" s="2011">
        <f t="shared" si="164"/>
        <v>0</v>
      </c>
      <c r="CR106" s="986"/>
      <c r="CS106" s="986"/>
      <c r="CT106" s="986"/>
      <c r="CU106" s="986"/>
      <c r="CV106" s="986"/>
      <c r="CW106" s="986"/>
      <c r="CX106" s="986"/>
      <c r="CY106" s="986"/>
      <c r="CZ106" s="986"/>
      <c r="DA106" s="986"/>
      <c r="DB106" s="986"/>
      <c r="DC106" s="986"/>
      <c r="DD106" s="2011"/>
      <c r="DF106" s="986"/>
      <c r="DG106" s="986"/>
      <c r="DH106" s="986"/>
      <c r="DI106" s="2008"/>
      <c r="DJ106" s="3534">
        <f>+AZ106+BN106+CB106+CP106+DD106+DI106</f>
        <v>0</v>
      </c>
      <c r="DL106" s="3544">
        <f>+AN106-DJ106</f>
        <v>0</v>
      </c>
      <c r="DN106" s="2743"/>
      <c r="DO106" s="2746"/>
      <c r="DP106" s="2736"/>
      <c r="DQ106" s="2746"/>
      <c r="DR106" s="2746"/>
      <c r="DS106" s="1037"/>
      <c r="DT106" s="1037"/>
    </row>
    <row r="107" spans="1:130" ht="14" hidden="1" customHeight="1" outlineLevel="4">
      <c r="B107" s="2860"/>
      <c r="C107" s="3309"/>
      <c r="D107" s="3310"/>
      <c r="E107" s="2236"/>
      <c r="F107" s="3325"/>
      <c r="G107" s="2838"/>
      <c r="H107" s="3332" t="s">
        <v>1333</v>
      </c>
      <c r="I107" s="3319"/>
      <c r="J107" s="103"/>
      <c r="L107" s="364"/>
      <c r="M107" s="364"/>
      <c r="N107" s="3345"/>
      <c r="O107" s="3345"/>
      <c r="P107" s="3345"/>
      <c r="Q107" s="3345"/>
      <c r="R107" s="3345"/>
      <c r="S107" s="3345"/>
      <c r="T107" s="3345"/>
      <c r="U107" s="3345"/>
      <c r="W107" s="2514"/>
      <c r="X107" s="853"/>
      <c r="Y107" s="853"/>
      <c r="Z107" s="853"/>
      <c r="AA107" s="853"/>
      <c r="AB107" s="496"/>
      <c r="AD107" s="711"/>
      <c r="AE107" s="712">
        <v>1</v>
      </c>
      <c r="AF107" s="179"/>
      <c r="AG107" s="179"/>
      <c r="AH107" s="3532">
        <f>5700+2850+369749+2850*2+11400-0.1-31</f>
        <v>395367.9</v>
      </c>
      <c r="AI107" s="3112">
        <f>+AH107*AE107</f>
        <v>395367.9</v>
      </c>
      <c r="AJ107" s="1530"/>
      <c r="AL107" s="3112">
        <f t="shared" si="182"/>
        <v>395367.9</v>
      </c>
      <c r="AM107" s="1032"/>
      <c r="AN107" s="3513">
        <f t="shared" si="124"/>
        <v>395367.9</v>
      </c>
      <c r="AP107" s="986"/>
      <c r="AQ107" s="986"/>
      <c r="AR107" s="986"/>
      <c r="AS107" s="986"/>
      <c r="AT107" s="986"/>
      <c r="AU107" s="986"/>
      <c r="AV107" s="986"/>
      <c r="AW107" s="986"/>
      <c r="AX107" s="986"/>
      <c r="AY107" s="986"/>
      <c r="AZ107" s="2011">
        <f t="shared" si="160"/>
        <v>0</v>
      </c>
      <c r="BB107" s="986"/>
      <c r="BC107" s="986"/>
      <c r="BD107" s="986"/>
      <c r="BE107" s="986"/>
      <c r="BF107" s="986"/>
      <c r="BG107" s="986"/>
      <c r="BH107" s="986"/>
      <c r="BI107" s="986"/>
      <c r="BJ107" s="986"/>
      <c r="BK107" s="986"/>
      <c r="BL107" s="986"/>
      <c r="BM107" s="1015"/>
      <c r="BN107" s="2011">
        <f>SUM(BD107:BM107)</f>
        <v>0</v>
      </c>
      <c r="BP107" s="986"/>
      <c r="BQ107" s="1015"/>
      <c r="BR107" s="1015"/>
      <c r="BS107" s="1015"/>
      <c r="BT107" s="1015"/>
      <c r="BU107" s="1015"/>
      <c r="BV107" s="986"/>
      <c r="BW107" s="1015"/>
      <c r="BX107" s="986"/>
      <c r="BY107" s="986"/>
      <c r="BZ107" s="986"/>
      <c r="CA107" s="1015"/>
      <c r="CB107" s="2011">
        <f>SUM(BR107:CA107)</f>
        <v>0</v>
      </c>
      <c r="CD107" s="986"/>
      <c r="CE107" s="1015"/>
      <c r="CF107" s="986"/>
      <c r="CG107" s="986"/>
      <c r="CH107" s="986"/>
      <c r="CI107" s="986"/>
      <c r="CJ107" s="986"/>
      <c r="CK107" s="986"/>
      <c r="CL107" s="986"/>
      <c r="CM107" s="986"/>
      <c r="CN107" s="986"/>
      <c r="CO107" s="986"/>
      <c r="CP107" s="2011">
        <f>SUM(CF107:CO107)</f>
        <v>0</v>
      </c>
      <c r="CR107" s="986"/>
      <c r="CS107" s="986"/>
      <c r="CT107" s="986"/>
      <c r="CU107" s="986"/>
      <c r="CV107" s="986"/>
      <c r="CW107" s="986"/>
      <c r="CX107" s="986"/>
      <c r="CY107" s="986"/>
      <c r="CZ107" s="986"/>
      <c r="DA107" s="986"/>
      <c r="DB107" s="986"/>
      <c r="DC107" s="986"/>
      <c r="DD107" s="2011">
        <f>SUM(CT107:DC107)</f>
        <v>0</v>
      </c>
      <c r="DF107" s="986">
        <f>+AI107</f>
        <v>395367.9</v>
      </c>
      <c r="DG107" s="986"/>
      <c r="DH107" s="986"/>
      <c r="DI107" s="2008">
        <f>SUM(CY107:DH107)</f>
        <v>395367.9</v>
      </c>
      <c r="DJ107" s="3534">
        <f t="shared" si="135"/>
        <v>395367.9</v>
      </c>
      <c r="DL107" s="3544">
        <f>+AN107-DJ107</f>
        <v>0</v>
      </c>
      <c r="DN107" s="2743"/>
      <c r="DO107" s="2746"/>
      <c r="DP107" s="2736"/>
      <c r="DQ107" s="2746"/>
      <c r="DR107" s="2746"/>
      <c r="DS107" s="1037"/>
      <c r="DT107" s="1037"/>
    </row>
    <row r="108" spans="1:130" s="153" customFormat="1" ht="26" hidden="1" customHeight="1" outlineLevel="3">
      <c r="B108" s="2866"/>
      <c r="C108" s="3306" t="s">
        <v>786</v>
      </c>
      <c r="D108" s="2941" t="s">
        <v>786</v>
      </c>
      <c r="E108" s="2830"/>
      <c r="F108" s="3307" t="s">
        <v>786</v>
      </c>
      <c r="G108" s="2833"/>
      <c r="H108" s="3308" t="s">
        <v>787</v>
      </c>
      <c r="I108" s="3308" t="s">
        <v>4</v>
      </c>
      <c r="J108" s="1250" t="s">
        <v>1334</v>
      </c>
      <c r="K108" s="2858"/>
      <c r="L108" s="851" t="e">
        <v>#REF!</v>
      </c>
      <c r="M108" s="851" t="e">
        <v>#REF!</v>
      </c>
      <c r="N108" s="3347" t="e">
        <v>#REF!</v>
      </c>
      <c r="O108" s="3347" t="e">
        <v>#REF!</v>
      </c>
      <c r="P108" s="3347" t="e">
        <v>#REF!</v>
      </c>
      <c r="Q108" s="3347" t="e">
        <v>#REF!</v>
      </c>
      <c r="R108" s="3347" t="e">
        <v>#REF!</v>
      </c>
      <c r="S108" s="3347" t="e">
        <v>#REF!</v>
      </c>
      <c r="T108" s="3347" t="e">
        <v>#REF!</v>
      </c>
      <c r="U108" s="3347" t="e">
        <v>#REF!</v>
      </c>
      <c r="V108" s="2858"/>
      <c r="W108" s="851"/>
      <c r="X108" s="851"/>
      <c r="Y108" s="851"/>
      <c r="Z108" s="851"/>
      <c r="AA108" s="851"/>
      <c r="AB108" s="1250"/>
      <c r="AC108" s="2858"/>
      <c r="AD108" s="1250"/>
      <c r="AE108" s="397"/>
      <c r="AF108" s="397"/>
      <c r="AG108" s="397"/>
      <c r="AH108" s="398"/>
      <c r="AI108" s="398">
        <f>+AI109+AI111+AI118</f>
        <v>1322616</v>
      </c>
      <c r="AJ108" s="691"/>
      <c r="AK108" s="2858"/>
      <c r="AL108" s="398">
        <f>+AL109+AL111+AL118</f>
        <v>1322616</v>
      </c>
      <c r="AM108" s="398">
        <f>+AM109+AM111+AM118</f>
        <v>0</v>
      </c>
      <c r="AN108" s="398">
        <f t="shared" si="124"/>
        <v>1322616</v>
      </c>
      <c r="AO108" s="2858"/>
      <c r="AP108" s="398">
        <f t="shared" ref="AP108:AY108" si="195">AP109+AP111+AP118</f>
        <v>0</v>
      </c>
      <c r="AQ108" s="398">
        <f t="shared" si="195"/>
        <v>0</v>
      </c>
      <c r="AR108" s="398">
        <f t="shared" si="195"/>
        <v>0</v>
      </c>
      <c r="AS108" s="398">
        <f t="shared" si="195"/>
        <v>0</v>
      </c>
      <c r="AT108" s="398">
        <f t="shared" si="195"/>
        <v>0</v>
      </c>
      <c r="AU108" s="398">
        <f t="shared" si="195"/>
        <v>0</v>
      </c>
      <c r="AV108" s="398">
        <f t="shared" si="195"/>
        <v>0</v>
      </c>
      <c r="AW108" s="398">
        <f t="shared" si="195"/>
        <v>0</v>
      </c>
      <c r="AX108" s="398">
        <f t="shared" si="195"/>
        <v>0</v>
      </c>
      <c r="AY108" s="398">
        <f t="shared" si="195"/>
        <v>0</v>
      </c>
      <c r="AZ108" s="992">
        <f t="shared" si="160"/>
        <v>0</v>
      </c>
      <c r="BA108" s="1037"/>
      <c r="BB108" s="398">
        <f t="shared" ref="BB108:BM108" si="196">BB109+BB111+BB118</f>
        <v>0</v>
      </c>
      <c r="BC108" s="398">
        <f t="shared" si="196"/>
        <v>0</v>
      </c>
      <c r="BD108" s="398">
        <f t="shared" si="196"/>
        <v>0</v>
      </c>
      <c r="BE108" s="398">
        <f t="shared" si="196"/>
        <v>0</v>
      </c>
      <c r="BF108" s="398">
        <f t="shared" si="196"/>
        <v>0</v>
      </c>
      <c r="BG108" s="398">
        <f t="shared" si="196"/>
        <v>0</v>
      </c>
      <c r="BH108" s="398">
        <f t="shared" si="196"/>
        <v>0</v>
      </c>
      <c r="BI108" s="398">
        <f t="shared" si="196"/>
        <v>10000</v>
      </c>
      <c r="BJ108" s="398">
        <f t="shared" si="196"/>
        <v>0</v>
      </c>
      <c r="BK108" s="398">
        <f t="shared" si="196"/>
        <v>41159.519999999997</v>
      </c>
      <c r="BL108" s="398">
        <f t="shared" si="196"/>
        <v>0</v>
      </c>
      <c r="BM108" s="398">
        <f t="shared" si="196"/>
        <v>24556.480000000003</v>
      </c>
      <c r="BN108" s="992">
        <f t="shared" si="161"/>
        <v>75716</v>
      </c>
      <c r="BO108" s="2858"/>
      <c r="BP108" s="398">
        <f t="shared" ref="BP108:CA108" si="197">BP109+BP111+BP118</f>
        <v>5700</v>
      </c>
      <c r="BQ108" s="398">
        <f t="shared" si="197"/>
        <v>5700</v>
      </c>
      <c r="BR108" s="398">
        <f t="shared" si="197"/>
        <v>5700</v>
      </c>
      <c r="BS108" s="398">
        <f t="shared" si="197"/>
        <v>5700</v>
      </c>
      <c r="BT108" s="398">
        <f t="shared" si="197"/>
        <v>5700</v>
      </c>
      <c r="BU108" s="398">
        <f t="shared" si="197"/>
        <v>11400</v>
      </c>
      <c r="BV108" s="398">
        <f t="shared" si="197"/>
        <v>11400</v>
      </c>
      <c r="BW108" s="398">
        <f t="shared" si="197"/>
        <v>11400</v>
      </c>
      <c r="BX108" s="398">
        <f>BX109+BX111+BX118</f>
        <v>19400</v>
      </c>
      <c r="BY108" s="398">
        <f t="shared" si="197"/>
        <v>11400</v>
      </c>
      <c r="BZ108" s="398">
        <f t="shared" si="197"/>
        <v>27400</v>
      </c>
      <c r="CA108" s="398">
        <f t="shared" si="197"/>
        <v>11400</v>
      </c>
      <c r="CB108" s="992">
        <f t="shared" si="162"/>
        <v>132300</v>
      </c>
      <c r="CC108" s="2858"/>
      <c r="CD108" s="398">
        <f t="shared" ref="CD108:CO108" si="198">CD109+CD111+CD118</f>
        <v>11400</v>
      </c>
      <c r="CE108" s="398">
        <f t="shared" si="198"/>
        <v>27400</v>
      </c>
      <c r="CF108" s="398">
        <f t="shared" si="198"/>
        <v>26400</v>
      </c>
      <c r="CG108" s="398">
        <f t="shared" si="198"/>
        <v>161400</v>
      </c>
      <c r="CH108" s="398">
        <f t="shared" si="198"/>
        <v>11400</v>
      </c>
      <c r="CI108" s="398">
        <f t="shared" si="198"/>
        <v>22650</v>
      </c>
      <c r="CJ108" s="398">
        <f t="shared" si="198"/>
        <v>161400</v>
      </c>
      <c r="CK108" s="398">
        <f t="shared" si="198"/>
        <v>11400</v>
      </c>
      <c r="CL108" s="398">
        <f t="shared" si="198"/>
        <v>11400</v>
      </c>
      <c r="CM108" s="398">
        <f t="shared" si="198"/>
        <v>172650</v>
      </c>
      <c r="CN108" s="398">
        <f t="shared" si="198"/>
        <v>11400</v>
      </c>
      <c r="CO108" s="398">
        <f t="shared" si="198"/>
        <v>11400</v>
      </c>
      <c r="CP108" s="992">
        <f t="shared" si="164"/>
        <v>640300</v>
      </c>
      <c r="CQ108" s="2858"/>
      <c r="CR108" s="398">
        <f t="shared" ref="CR108:DC108" si="199">CR109+CR111+CR118</f>
        <v>11400</v>
      </c>
      <c r="CS108" s="398">
        <f t="shared" si="199"/>
        <v>172650</v>
      </c>
      <c r="CT108" s="398">
        <f t="shared" si="199"/>
        <v>11400</v>
      </c>
      <c r="CU108" s="398">
        <f t="shared" si="199"/>
        <v>11400</v>
      </c>
      <c r="CV108" s="398">
        <f t="shared" si="199"/>
        <v>172650</v>
      </c>
      <c r="CW108" s="398">
        <f t="shared" si="199"/>
        <v>11400</v>
      </c>
      <c r="CX108" s="398">
        <f t="shared" si="199"/>
        <v>11400</v>
      </c>
      <c r="CY108" s="398">
        <f t="shared" si="199"/>
        <v>11400</v>
      </c>
      <c r="CZ108" s="398">
        <f t="shared" si="199"/>
        <v>26400</v>
      </c>
      <c r="DA108" s="398">
        <f t="shared" si="199"/>
        <v>11400</v>
      </c>
      <c r="DB108" s="398">
        <f t="shared" si="199"/>
        <v>11400</v>
      </c>
      <c r="DC108" s="398">
        <f t="shared" si="199"/>
        <v>11400</v>
      </c>
      <c r="DD108" s="992">
        <f t="shared" si="165"/>
        <v>474300</v>
      </c>
      <c r="DE108" s="2858"/>
      <c r="DF108" s="398">
        <f>DF109+DF111+DF118</f>
        <v>0</v>
      </c>
      <c r="DG108" s="398">
        <f>DG109+DG111+DG118</f>
        <v>0</v>
      </c>
      <c r="DH108" s="398">
        <f>DH109+DH111+DH118</f>
        <v>0</v>
      </c>
      <c r="DI108" s="3083">
        <f t="shared" si="163"/>
        <v>0</v>
      </c>
      <c r="DJ108" s="3535">
        <f t="shared" si="135"/>
        <v>1322616</v>
      </c>
      <c r="DL108" s="3543">
        <f t="shared" si="129"/>
        <v>0</v>
      </c>
      <c r="DN108" s="2725" t="s">
        <v>1175</v>
      </c>
      <c r="DO108" s="2726" t="s">
        <v>1175</v>
      </c>
      <c r="DP108" s="2726"/>
      <c r="DQ108" s="2726" t="s">
        <v>1175</v>
      </c>
      <c r="DR108" s="2726" t="str">
        <f t="shared" si="166"/>
        <v>1</v>
      </c>
      <c r="DS108" s="2858"/>
      <c r="DT108" s="2858"/>
    </row>
    <row r="109" spans="1:130" s="2313" customFormat="1" ht="15" hidden="1" outlineLevel="4">
      <c r="A109" s="3365"/>
      <c r="B109" s="3366"/>
      <c r="C109" s="3309"/>
      <c r="D109" s="3310" t="s">
        <v>788</v>
      </c>
      <c r="E109" s="3367"/>
      <c r="F109" s="3368" t="s">
        <v>788</v>
      </c>
      <c r="G109" s="3369"/>
      <c r="H109" s="3370" t="s">
        <v>789</v>
      </c>
      <c r="I109" s="3370"/>
      <c r="J109" s="3370"/>
      <c r="K109" s="2858"/>
      <c r="L109" s="3371"/>
      <c r="M109" s="3371"/>
      <c r="N109" s="3371"/>
      <c r="O109" s="3371"/>
      <c r="P109" s="3371"/>
      <c r="Q109" s="3371"/>
      <c r="R109" s="3371"/>
      <c r="S109" s="3371"/>
      <c r="T109" s="3371"/>
      <c r="U109" s="3371"/>
      <c r="V109" s="2858"/>
      <c r="W109" s="3371"/>
      <c r="X109" s="3371"/>
      <c r="Y109" s="3371"/>
      <c r="Z109" s="3339"/>
      <c r="AA109" s="3371"/>
      <c r="AB109" s="3370"/>
      <c r="AC109" s="2858"/>
      <c r="AD109" s="3372"/>
      <c r="AE109" s="3371"/>
      <c r="AF109" s="3371"/>
      <c r="AG109" s="3371"/>
      <c r="AH109" s="3370"/>
      <c r="AI109" s="3370">
        <f>+AI110</f>
        <v>50000</v>
      </c>
      <c r="AJ109" s="3370"/>
      <c r="AK109" s="2858"/>
      <c r="AL109" s="3370">
        <f>+AL110</f>
        <v>50000</v>
      </c>
      <c r="AM109" s="3370">
        <f>+AM110</f>
        <v>0</v>
      </c>
      <c r="AN109" s="3370">
        <f t="shared" si="124"/>
        <v>50000</v>
      </c>
      <c r="AO109" s="2858"/>
      <c r="AP109" s="3370">
        <f t="shared" ref="AP109:AY109" si="200">+AP110</f>
        <v>0</v>
      </c>
      <c r="AQ109" s="3370">
        <f t="shared" si="200"/>
        <v>0</v>
      </c>
      <c r="AR109" s="3370">
        <f t="shared" si="200"/>
        <v>0</v>
      </c>
      <c r="AS109" s="3370">
        <f t="shared" si="200"/>
        <v>0</v>
      </c>
      <c r="AT109" s="3370">
        <f t="shared" si="200"/>
        <v>0</v>
      </c>
      <c r="AU109" s="3370">
        <f t="shared" si="200"/>
        <v>0</v>
      </c>
      <c r="AV109" s="3370">
        <f t="shared" si="200"/>
        <v>0</v>
      </c>
      <c r="AW109" s="3370">
        <f t="shared" si="200"/>
        <v>0</v>
      </c>
      <c r="AX109" s="3370">
        <f t="shared" si="200"/>
        <v>0</v>
      </c>
      <c r="AY109" s="3370">
        <f t="shared" si="200"/>
        <v>0</v>
      </c>
      <c r="AZ109" s="3373">
        <f t="shared" si="160"/>
        <v>0</v>
      </c>
      <c r="BA109" s="1037"/>
      <c r="BB109" s="3370">
        <f t="shared" ref="BB109:BM109" si="201">+BB110</f>
        <v>0</v>
      </c>
      <c r="BC109" s="3370">
        <f t="shared" si="201"/>
        <v>0</v>
      </c>
      <c r="BD109" s="3370">
        <f t="shared" si="201"/>
        <v>0</v>
      </c>
      <c r="BE109" s="3370">
        <f t="shared" si="201"/>
        <v>0</v>
      </c>
      <c r="BF109" s="3370">
        <f t="shared" si="201"/>
        <v>0</v>
      </c>
      <c r="BG109" s="3370">
        <f t="shared" si="201"/>
        <v>0</v>
      </c>
      <c r="BH109" s="3370">
        <f t="shared" si="201"/>
        <v>0</v>
      </c>
      <c r="BI109" s="3370">
        <f t="shared" si="201"/>
        <v>10000</v>
      </c>
      <c r="BJ109" s="3370">
        <f t="shared" si="201"/>
        <v>0</v>
      </c>
      <c r="BK109" s="3370">
        <f t="shared" si="201"/>
        <v>0</v>
      </c>
      <c r="BL109" s="3370">
        <f t="shared" si="201"/>
        <v>0</v>
      </c>
      <c r="BM109" s="3370">
        <f t="shared" si="201"/>
        <v>0</v>
      </c>
      <c r="BN109" s="3374">
        <f t="shared" si="161"/>
        <v>10000</v>
      </c>
      <c r="BO109" s="2858"/>
      <c r="BP109" s="3370">
        <f t="shared" ref="BP109:CA109" si="202">+BP110</f>
        <v>0</v>
      </c>
      <c r="BQ109" s="3370">
        <f t="shared" si="202"/>
        <v>0</v>
      </c>
      <c r="BR109" s="3370">
        <f t="shared" si="202"/>
        <v>0</v>
      </c>
      <c r="BS109" s="3370">
        <f t="shared" si="202"/>
        <v>0</v>
      </c>
      <c r="BT109" s="3370">
        <f t="shared" si="202"/>
        <v>0</v>
      </c>
      <c r="BU109" s="3370">
        <f t="shared" si="202"/>
        <v>0</v>
      </c>
      <c r="BV109" s="3370">
        <f t="shared" si="202"/>
        <v>0</v>
      </c>
      <c r="BW109" s="3370">
        <f t="shared" si="202"/>
        <v>0</v>
      </c>
      <c r="BX109" s="3370">
        <f>+BX110</f>
        <v>8000</v>
      </c>
      <c r="BY109" s="3370">
        <f t="shared" si="202"/>
        <v>0</v>
      </c>
      <c r="BZ109" s="3370">
        <f t="shared" si="202"/>
        <v>16000</v>
      </c>
      <c r="CA109" s="3370">
        <f t="shared" si="202"/>
        <v>0</v>
      </c>
      <c r="CB109" s="3374">
        <f t="shared" si="162"/>
        <v>24000</v>
      </c>
      <c r="CC109" s="2858"/>
      <c r="CD109" s="3370">
        <f t="shared" ref="CD109:CO109" si="203">+CD110</f>
        <v>0</v>
      </c>
      <c r="CE109" s="3370">
        <f t="shared" si="203"/>
        <v>16000</v>
      </c>
      <c r="CF109" s="3370">
        <f t="shared" si="203"/>
        <v>0</v>
      </c>
      <c r="CG109" s="3370">
        <f t="shared" si="203"/>
        <v>0</v>
      </c>
      <c r="CH109" s="3370">
        <f t="shared" si="203"/>
        <v>0</v>
      </c>
      <c r="CI109" s="3370">
        <f t="shared" si="203"/>
        <v>0</v>
      </c>
      <c r="CJ109" s="3370">
        <f t="shared" si="203"/>
        <v>0</v>
      </c>
      <c r="CK109" s="3370">
        <f t="shared" si="203"/>
        <v>0</v>
      </c>
      <c r="CL109" s="3370">
        <f t="shared" si="203"/>
        <v>0</v>
      </c>
      <c r="CM109" s="3370">
        <f t="shared" si="203"/>
        <v>0</v>
      </c>
      <c r="CN109" s="3370">
        <f t="shared" si="203"/>
        <v>0</v>
      </c>
      <c r="CO109" s="3370">
        <f t="shared" si="203"/>
        <v>0</v>
      </c>
      <c r="CP109" s="3374">
        <f t="shared" si="164"/>
        <v>16000</v>
      </c>
      <c r="CQ109" s="2858"/>
      <c r="CR109" s="3370">
        <f t="shared" ref="CR109:DC109" si="204">+CR110</f>
        <v>0</v>
      </c>
      <c r="CS109" s="3370">
        <f t="shared" si="204"/>
        <v>0</v>
      </c>
      <c r="CT109" s="3370">
        <f t="shared" si="204"/>
        <v>0</v>
      </c>
      <c r="CU109" s="3370">
        <f t="shared" si="204"/>
        <v>0</v>
      </c>
      <c r="CV109" s="3370">
        <f t="shared" si="204"/>
        <v>0</v>
      </c>
      <c r="CW109" s="3370">
        <f t="shared" si="204"/>
        <v>0</v>
      </c>
      <c r="CX109" s="3370">
        <f t="shared" si="204"/>
        <v>0</v>
      </c>
      <c r="CY109" s="3370">
        <f t="shared" si="204"/>
        <v>0</v>
      </c>
      <c r="CZ109" s="3370">
        <f t="shared" si="204"/>
        <v>0</v>
      </c>
      <c r="DA109" s="3370">
        <f t="shared" si="204"/>
        <v>0</v>
      </c>
      <c r="DB109" s="3370">
        <f t="shared" si="204"/>
        <v>0</v>
      </c>
      <c r="DC109" s="3370">
        <f t="shared" si="204"/>
        <v>0</v>
      </c>
      <c r="DD109" s="3374">
        <f t="shared" si="165"/>
        <v>0</v>
      </c>
      <c r="DE109" s="2858"/>
      <c r="DF109" s="3370">
        <f>+DF110</f>
        <v>0</v>
      </c>
      <c r="DG109" s="3370">
        <f>+DG110</f>
        <v>0</v>
      </c>
      <c r="DH109" s="3370">
        <f>+DH110</f>
        <v>0</v>
      </c>
      <c r="DI109" s="3374">
        <f t="shared" si="163"/>
        <v>0</v>
      </c>
      <c r="DJ109" s="3536">
        <f t="shared" si="135"/>
        <v>50000</v>
      </c>
      <c r="DK109" s="3365"/>
      <c r="DL109" s="3545">
        <f t="shared" si="129"/>
        <v>0</v>
      </c>
      <c r="DM109" s="3365"/>
      <c r="DN109" s="2740" t="s">
        <v>1175</v>
      </c>
      <c r="DO109" s="2740" t="s">
        <v>1175</v>
      </c>
      <c r="DP109" s="2740"/>
      <c r="DQ109" s="2740" t="s">
        <v>1175</v>
      </c>
      <c r="DR109" s="2740" t="str">
        <f t="shared" si="166"/>
        <v>1</v>
      </c>
      <c r="DS109" s="2858"/>
      <c r="DT109" s="2858"/>
      <c r="DU109" s="3365"/>
      <c r="DV109" s="3365"/>
      <c r="DW109" s="3365"/>
      <c r="DX109" s="3365"/>
      <c r="DY109" s="3365"/>
      <c r="DZ109" s="3365"/>
    </row>
    <row r="110" spans="1:130" s="2054" customFormat="1" ht="138" hidden="1" customHeight="1" outlineLevel="4">
      <c r="A110" s="3375"/>
      <c r="B110" s="3376"/>
      <c r="C110" s="3309" t="s">
        <v>788</v>
      </c>
      <c r="D110" s="3310"/>
      <c r="E110" s="3377"/>
      <c r="F110" s="3378" t="s">
        <v>790</v>
      </c>
      <c r="G110" s="3379" t="s">
        <v>1279</v>
      </c>
      <c r="H110" s="3380" t="s">
        <v>791</v>
      </c>
      <c r="I110" s="3381"/>
      <c r="J110" s="3359"/>
      <c r="K110" s="1037"/>
      <c r="L110" s="3382"/>
      <c r="M110" s="3382"/>
      <c r="N110" s="3382"/>
      <c r="O110" s="3382"/>
      <c r="P110" s="3382"/>
      <c r="Q110" s="3382"/>
      <c r="R110" s="3382"/>
      <c r="S110" s="3382"/>
      <c r="T110" s="3382"/>
      <c r="U110" s="3382"/>
      <c r="V110" s="1037"/>
      <c r="W110" s="3351" t="s">
        <v>763</v>
      </c>
      <c r="X110" s="3351" t="s">
        <v>1075</v>
      </c>
      <c r="Y110" s="3351" t="s">
        <v>1289</v>
      </c>
      <c r="Z110" s="3342">
        <v>19</v>
      </c>
      <c r="AA110" s="3351"/>
      <c r="AB110" s="3352"/>
      <c r="AC110" s="1037"/>
      <c r="AD110" s="3383" t="s">
        <v>1179</v>
      </c>
      <c r="AE110" s="3384">
        <v>1</v>
      </c>
      <c r="AF110" s="3353"/>
      <c r="AG110" s="3353"/>
      <c r="AH110" s="3354">
        <v>50000</v>
      </c>
      <c r="AI110" s="3354">
        <f>+AH110*AE110</f>
        <v>50000</v>
      </c>
      <c r="AJ110" s="3354" t="s">
        <v>1335</v>
      </c>
      <c r="AK110" s="1037"/>
      <c r="AL110" s="3385">
        <f>+AI110</f>
        <v>50000</v>
      </c>
      <c r="AM110" s="3354"/>
      <c r="AN110" s="3354">
        <f t="shared" si="124"/>
        <v>50000</v>
      </c>
      <c r="AO110" s="1037"/>
      <c r="AP110" s="3386"/>
      <c r="AQ110" s="3386"/>
      <c r="AR110" s="3386"/>
      <c r="AS110" s="3386"/>
      <c r="AT110" s="3386"/>
      <c r="AU110" s="3386"/>
      <c r="AV110" s="3386"/>
      <c r="AW110" s="3386"/>
      <c r="AX110" s="3386"/>
      <c r="AY110" s="3387"/>
      <c r="AZ110" s="3388">
        <f t="shared" si="160"/>
        <v>0</v>
      </c>
      <c r="BA110" s="1037"/>
      <c r="BB110" s="3387"/>
      <c r="BC110" s="3387"/>
      <c r="BD110" s="3387"/>
      <c r="BE110" s="3387"/>
      <c r="BF110" s="3387"/>
      <c r="BG110" s="3387"/>
      <c r="BH110" s="3387"/>
      <c r="BI110" s="3387">
        <f>+$AI$110*0.2</f>
        <v>10000</v>
      </c>
      <c r="BJ110" s="3387"/>
      <c r="BK110" s="3387"/>
      <c r="BL110" s="3387"/>
      <c r="BM110" s="3387"/>
      <c r="BN110" s="3389">
        <f t="shared" si="161"/>
        <v>10000</v>
      </c>
      <c r="BO110" s="1037"/>
      <c r="BP110" s="3387"/>
      <c r="BQ110" s="3387"/>
      <c r="BR110" s="3387"/>
      <c r="BS110" s="3386"/>
      <c r="BT110" s="3386"/>
      <c r="BU110" s="3386"/>
      <c r="BV110" s="3387"/>
      <c r="BW110" s="3387"/>
      <c r="BX110" s="3387">
        <f>+$AI$110*0.16</f>
        <v>8000</v>
      </c>
      <c r="BY110" s="3387"/>
      <c r="BZ110" s="3387">
        <f>+$AI$110*0.32</f>
        <v>16000</v>
      </c>
      <c r="CA110" s="3387"/>
      <c r="CB110" s="3390">
        <f t="shared" si="162"/>
        <v>24000</v>
      </c>
      <c r="CC110" s="1037"/>
      <c r="CD110" s="3386"/>
      <c r="CE110" s="3387">
        <f>+$AI$110*0.32</f>
        <v>16000</v>
      </c>
      <c r="CF110" s="3386"/>
      <c r="CG110" s="3386"/>
      <c r="CH110" s="3386"/>
      <c r="CI110" s="3386"/>
      <c r="CJ110" s="3386"/>
      <c r="CK110" s="3386"/>
      <c r="CL110" s="3386"/>
      <c r="CM110" s="3386"/>
      <c r="CN110" s="3386"/>
      <c r="CO110" s="3386"/>
      <c r="CP110" s="3389">
        <f t="shared" si="164"/>
        <v>16000</v>
      </c>
      <c r="CQ110" s="1037"/>
      <c r="CR110" s="3386"/>
      <c r="CS110" s="3386"/>
      <c r="CT110" s="3386"/>
      <c r="CU110" s="3386"/>
      <c r="CV110" s="3386"/>
      <c r="CW110" s="3386"/>
      <c r="CX110" s="3386"/>
      <c r="CY110" s="3386"/>
      <c r="CZ110" s="3386"/>
      <c r="DA110" s="3386"/>
      <c r="DB110" s="3386"/>
      <c r="DC110" s="3386"/>
      <c r="DD110" s="3391">
        <f t="shared" si="165"/>
        <v>0</v>
      </c>
      <c r="DE110" s="1037"/>
      <c r="DF110" s="3386"/>
      <c r="DG110" s="3386"/>
      <c r="DH110" s="3386"/>
      <c r="DI110" s="3391">
        <f t="shared" si="163"/>
        <v>0</v>
      </c>
      <c r="DJ110" s="3537">
        <f t="shared" si="135"/>
        <v>50000</v>
      </c>
      <c r="DK110" s="3393"/>
      <c r="DL110" s="3546">
        <f t="shared" si="129"/>
        <v>0</v>
      </c>
      <c r="DM110" s="3375"/>
      <c r="DN110" s="2740" t="s">
        <v>1180</v>
      </c>
      <c r="DO110" s="2736" t="s">
        <v>1181</v>
      </c>
      <c r="DP110" s="2736" t="s">
        <v>1117</v>
      </c>
      <c r="DQ110" s="2736" t="s">
        <v>4</v>
      </c>
      <c r="DR110" s="2736" t="str">
        <f t="shared" si="166"/>
        <v/>
      </c>
      <c r="DS110" s="1037"/>
      <c r="DT110" s="1037"/>
      <c r="DU110" s="3375"/>
      <c r="DV110" s="3375"/>
      <c r="DW110" s="3375"/>
      <c r="DX110" s="3375"/>
      <c r="DY110" s="3375"/>
      <c r="DZ110" s="3375"/>
    </row>
    <row r="111" spans="1:130" s="153" customFormat="1" ht="26" hidden="1" customHeight="1" outlineLevel="3">
      <c r="B111" s="2866"/>
      <c r="C111" s="3306"/>
      <c r="D111" s="2941" t="s">
        <v>792</v>
      </c>
      <c r="E111" s="2830"/>
      <c r="F111" s="3307" t="s">
        <v>792</v>
      </c>
      <c r="G111" s="2833"/>
      <c r="H111" s="3308" t="s">
        <v>793</v>
      </c>
      <c r="I111" s="3308"/>
      <c r="J111" s="1250"/>
      <c r="K111" s="2858"/>
      <c r="L111" s="851"/>
      <c r="M111" s="851"/>
      <c r="N111" s="3347"/>
      <c r="O111" s="3347"/>
      <c r="P111" s="3347"/>
      <c r="Q111" s="3347"/>
      <c r="R111" s="3347"/>
      <c r="S111" s="3347"/>
      <c r="T111" s="3347"/>
      <c r="U111" s="3347"/>
      <c r="V111" s="2858"/>
      <c r="W111" s="851"/>
      <c r="X111" s="851"/>
      <c r="Y111" s="851"/>
      <c r="Z111" s="851"/>
      <c r="AA111" s="851"/>
      <c r="AB111" s="1250"/>
      <c r="AC111" s="2858"/>
      <c r="AD111" s="1250"/>
      <c r="AE111" s="397"/>
      <c r="AF111" s="397"/>
      <c r="AG111" s="397"/>
      <c r="AH111" s="398" t="s">
        <v>1175</v>
      </c>
      <c r="AI111" s="398">
        <f>+AI112+AI117</f>
        <v>522616</v>
      </c>
      <c r="AJ111" s="691"/>
      <c r="AK111" s="2858"/>
      <c r="AL111" s="398">
        <f>+AL112+AL117</f>
        <v>522616</v>
      </c>
      <c r="AM111" s="398">
        <f>+AM112+AM117</f>
        <v>0</v>
      </c>
      <c r="AN111" s="3549">
        <f t="shared" si="124"/>
        <v>522616</v>
      </c>
      <c r="AO111" s="2858"/>
      <c r="AP111" s="398">
        <f t="shared" ref="AP111:AY111" si="205">+AP112+AP117</f>
        <v>0</v>
      </c>
      <c r="AQ111" s="398">
        <f t="shared" si="205"/>
        <v>0</v>
      </c>
      <c r="AR111" s="398">
        <f t="shared" si="205"/>
        <v>0</v>
      </c>
      <c r="AS111" s="398">
        <f t="shared" si="205"/>
        <v>0</v>
      </c>
      <c r="AT111" s="398">
        <f t="shared" si="205"/>
        <v>0</v>
      </c>
      <c r="AU111" s="398">
        <f t="shared" si="205"/>
        <v>0</v>
      </c>
      <c r="AV111" s="398">
        <f t="shared" si="205"/>
        <v>0</v>
      </c>
      <c r="AW111" s="398">
        <f t="shared" si="205"/>
        <v>0</v>
      </c>
      <c r="AX111" s="398">
        <f t="shared" si="205"/>
        <v>0</v>
      </c>
      <c r="AY111" s="398">
        <f t="shared" si="205"/>
        <v>0</v>
      </c>
      <c r="AZ111" s="992">
        <f t="shared" si="160"/>
        <v>0</v>
      </c>
      <c r="BA111" s="1037"/>
      <c r="BB111" s="398">
        <f t="shared" ref="BB111:BL111" si="206">+BB112+BB117</f>
        <v>0</v>
      </c>
      <c r="BC111" s="398">
        <f t="shared" si="206"/>
        <v>0</v>
      </c>
      <c r="BD111" s="398">
        <f t="shared" si="206"/>
        <v>0</v>
      </c>
      <c r="BE111" s="398">
        <f t="shared" si="206"/>
        <v>0</v>
      </c>
      <c r="BF111" s="398">
        <f t="shared" si="206"/>
        <v>0</v>
      </c>
      <c r="BG111" s="398">
        <f t="shared" si="206"/>
        <v>0</v>
      </c>
      <c r="BH111" s="398">
        <f t="shared" si="206"/>
        <v>0</v>
      </c>
      <c r="BI111" s="398">
        <f t="shared" si="206"/>
        <v>0</v>
      </c>
      <c r="BJ111" s="398">
        <f t="shared" si="206"/>
        <v>0</v>
      </c>
      <c r="BK111" s="398">
        <f t="shared" si="206"/>
        <v>41159.519999999997</v>
      </c>
      <c r="BL111" s="398">
        <f t="shared" si="206"/>
        <v>0</v>
      </c>
      <c r="BM111" s="398">
        <f>+BM112+BM117</f>
        <v>24556.480000000003</v>
      </c>
      <c r="BN111" s="992">
        <f>SUM(BB111:BM111)</f>
        <v>65716</v>
      </c>
      <c r="BO111" s="2858"/>
      <c r="BP111" s="398">
        <f t="shared" ref="BP111:CA111" si="207">+BP112+BP117</f>
        <v>5700</v>
      </c>
      <c r="BQ111" s="398">
        <f t="shared" si="207"/>
        <v>5700</v>
      </c>
      <c r="BR111" s="398">
        <f t="shared" si="207"/>
        <v>5700</v>
      </c>
      <c r="BS111" s="398">
        <f t="shared" si="207"/>
        <v>5700</v>
      </c>
      <c r="BT111" s="398">
        <f t="shared" si="207"/>
        <v>5700</v>
      </c>
      <c r="BU111" s="398">
        <f t="shared" si="207"/>
        <v>11400</v>
      </c>
      <c r="BV111" s="398">
        <f t="shared" si="207"/>
        <v>11400</v>
      </c>
      <c r="BW111" s="398">
        <f t="shared" si="207"/>
        <v>11400</v>
      </c>
      <c r="BX111" s="398">
        <f t="shared" si="207"/>
        <v>11400</v>
      </c>
      <c r="BY111" s="398">
        <f t="shared" si="207"/>
        <v>11400</v>
      </c>
      <c r="BZ111" s="398">
        <f t="shared" si="207"/>
        <v>11400</v>
      </c>
      <c r="CA111" s="398">
        <f t="shared" si="207"/>
        <v>11400</v>
      </c>
      <c r="CB111" s="992">
        <f>SUM(BP111:CA111)</f>
        <v>108300</v>
      </c>
      <c r="CC111" s="2858"/>
      <c r="CD111" s="398">
        <f t="shared" ref="CD111:CO111" si="208">+CD112+CD117</f>
        <v>11400</v>
      </c>
      <c r="CE111" s="398">
        <f t="shared" si="208"/>
        <v>11400</v>
      </c>
      <c r="CF111" s="398">
        <f t="shared" si="208"/>
        <v>26400</v>
      </c>
      <c r="CG111" s="398">
        <f t="shared" si="208"/>
        <v>11400</v>
      </c>
      <c r="CH111" s="398">
        <f t="shared" si="208"/>
        <v>11400</v>
      </c>
      <c r="CI111" s="398">
        <f t="shared" si="208"/>
        <v>22650</v>
      </c>
      <c r="CJ111" s="398">
        <f t="shared" si="208"/>
        <v>11400</v>
      </c>
      <c r="CK111" s="398">
        <f t="shared" si="208"/>
        <v>11400</v>
      </c>
      <c r="CL111" s="398">
        <f t="shared" si="208"/>
        <v>11400</v>
      </c>
      <c r="CM111" s="398">
        <f t="shared" si="208"/>
        <v>22650</v>
      </c>
      <c r="CN111" s="398">
        <f t="shared" si="208"/>
        <v>11400</v>
      </c>
      <c r="CO111" s="398">
        <f t="shared" si="208"/>
        <v>11400</v>
      </c>
      <c r="CP111" s="992">
        <f t="shared" si="164"/>
        <v>174300</v>
      </c>
      <c r="CQ111" s="2858"/>
      <c r="CR111" s="398">
        <f t="shared" ref="CR111:DC111" si="209">+CR112+CR117</f>
        <v>11400</v>
      </c>
      <c r="CS111" s="398">
        <f t="shared" si="209"/>
        <v>22650</v>
      </c>
      <c r="CT111" s="398">
        <f t="shared" si="209"/>
        <v>11400</v>
      </c>
      <c r="CU111" s="398">
        <f t="shared" si="209"/>
        <v>11400</v>
      </c>
      <c r="CV111" s="398">
        <f t="shared" si="209"/>
        <v>22650</v>
      </c>
      <c r="CW111" s="398">
        <f t="shared" si="209"/>
        <v>11400</v>
      </c>
      <c r="CX111" s="398">
        <f t="shared" si="209"/>
        <v>11400</v>
      </c>
      <c r="CY111" s="398">
        <f t="shared" si="209"/>
        <v>11400</v>
      </c>
      <c r="CZ111" s="398">
        <f t="shared" si="209"/>
        <v>26400</v>
      </c>
      <c r="DA111" s="398">
        <f t="shared" si="209"/>
        <v>11400</v>
      </c>
      <c r="DB111" s="398">
        <f t="shared" si="209"/>
        <v>11400</v>
      </c>
      <c r="DC111" s="398">
        <f t="shared" si="209"/>
        <v>11400</v>
      </c>
      <c r="DD111" s="992">
        <f t="shared" si="165"/>
        <v>174300</v>
      </c>
      <c r="DE111" s="2858"/>
      <c r="DF111" s="398">
        <f>+DF112+DF117</f>
        <v>0</v>
      </c>
      <c r="DG111" s="398">
        <f>+DG112+DG117</f>
        <v>0</v>
      </c>
      <c r="DH111" s="398">
        <f>+DH112+DH117</f>
        <v>0</v>
      </c>
      <c r="DI111" s="3083">
        <f t="shared" si="163"/>
        <v>0</v>
      </c>
      <c r="DJ111" s="3535">
        <f t="shared" si="135"/>
        <v>522616</v>
      </c>
      <c r="DL111" s="3543">
        <f t="shared" si="129"/>
        <v>0</v>
      </c>
      <c r="DN111" s="2725" t="s">
        <v>1175</v>
      </c>
      <c r="DO111" s="2726" t="s">
        <v>1175</v>
      </c>
      <c r="DP111" s="2726"/>
      <c r="DQ111" s="2726" t="s">
        <v>1175</v>
      </c>
      <c r="DR111" s="2726" t="str">
        <f t="shared" si="166"/>
        <v>1</v>
      </c>
      <c r="DS111" s="2858"/>
      <c r="DT111" s="2858"/>
    </row>
    <row r="112" spans="1:130" s="153" customFormat="1" ht="26" hidden="1" customHeight="1" outlineLevel="3">
      <c r="B112" s="2866"/>
      <c r="C112" s="3306"/>
      <c r="D112" s="2941" t="s">
        <v>794</v>
      </c>
      <c r="E112" s="2830"/>
      <c r="F112" s="3307" t="s">
        <v>794</v>
      </c>
      <c r="G112" s="2833" t="s">
        <v>1279</v>
      </c>
      <c r="H112" s="3308" t="s">
        <v>795</v>
      </c>
      <c r="I112" s="3308"/>
      <c r="J112" s="1250"/>
      <c r="K112" s="2858"/>
      <c r="L112" s="851"/>
      <c r="M112" s="851"/>
      <c r="N112" s="3347"/>
      <c r="O112" s="3347"/>
      <c r="P112" s="3347"/>
      <c r="Q112" s="3347"/>
      <c r="R112" s="3347"/>
      <c r="S112" s="3347"/>
      <c r="T112" s="3347"/>
      <c r="U112" s="3347"/>
      <c r="V112" s="2858"/>
      <c r="W112" s="851"/>
      <c r="X112" s="851"/>
      <c r="Y112" s="851"/>
      <c r="Z112" s="851"/>
      <c r="AA112" s="851"/>
      <c r="AB112" s="1250"/>
      <c r="AC112" s="2858"/>
      <c r="AD112" s="1250" t="s">
        <v>1179</v>
      </c>
      <c r="AE112" s="397"/>
      <c r="AF112" s="397"/>
      <c r="AG112" s="397"/>
      <c r="AH112" s="398"/>
      <c r="AI112" s="398">
        <f>SUM(AI113:AI116)</f>
        <v>447616</v>
      </c>
      <c r="AJ112" s="691"/>
      <c r="AK112" s="2858"/>
      <c r="AL112" s="398">
        <f>SUM(AL113:AL116)</f>
        <v>447616</v>
      </c>
      <c r="AM112" s="398">
        <f>SUM(AM113:AM116)</f>
        <v>0</v>
      </c>
      <c r="AN112" s="3549">
        <f>+AL112+AM112</f>
        <v>447616</v>
      </c>
      <c r="AO112" s="2858"/>
      <c r="AP112" s="398">
        <f t="shared" ref="AP112:AY112" si="210">SUM(AP113:AP116)</f>
        <v>0</v>
      </c>
      <c r="AQ112" s="398">
        <f t="shared" si="210"/>
        <v>0</v>
      </c>
      <c r="AR112" s="398">
        <f t="shared" si="210"/>
        <v>0</v>
      </c>
      <c r="AS112" s="398">
        <f t="shared" si="210"/>
        <v>0</v>
      </c>
      <c r="AT112" s="398">
        <f t="shared" si="210"/>
        <v>0</v>
      </c>
      <c r="AU112" s="398">
        <f t="shared" si="210"/>
        <v>0</v>
      </c>
      <c r="AV112" s="398">
        <f t="shared" si="210"/>
        <v>0</v>
      </c>
      <c r="AW112" s="398">
        <f t="shared" si="210"/>
        <v>0</v>
      </c>
      <c r="AX112" s="398">
        <f t="shared" si="210"/>
        <v>0</v>
      </c>
      <c r="AY112" s="398">
        <f t="shared" si="210"/>
        <v>0</v>
      </c>
      <c r="AZ112" s="992">
        <f t="shared" si="160"/>
        <v>0</v>
      </c>
      <c r="BA112" s="1037"/>
      <c r="BB112" s="398">
        <f t="shared" ref="BB112:BM112" si="211">SUM(BB113:BB116)</f>
        <v>0</v>
      </c>
      <c r="BC112" s="398">
        <f t="shared" si="211"/>
        <v>0</v>
      </c>
      <c r="BD112" s="398">
        <f t="shared" si="211"/>
        <v>0</v>
      </c>
      <c r="BE112" s="398">
        <f t="shared" si="211"/>
        <v>0</v>
      </c>
      <c r="BF112" s="398">
        <f t="shared" si="211"/>
        <v>0</v>
      </c>
      <c r="BG112" s="398">
        <f t="shared" si="211"/>
        <v>0</v>
      </c>
      <c r="BH112" s="398">
        <f t="shared" si="211"/>
        <v>0</v>
      </c>
      <c r="BI112" s="398">
        <f t="shared" si="211"/>
        <v>0</v>
      </c>
      <c r="BJ112" s="398">
        <f t="shared" si="211"/>
        <v>0</v>
      </c>
      <c r="BK112" s="398">
        <f t="shared" si="211"/>
        <v>41159.519999999997</v>
      </c>
      <c r="BL112" s="398">
        <f t="shared" si="211"/>
        <v>0</v>
      </c>
      <c r="BM112" s="398">
        <f t="shared" si="211"/>
        <v>24556.480000000003</v>
      </c>
      <c r="BN112" s="992">
        <f t="shared" si="161"/>
        <v>65716</v>
      </c>
      <c r="BO112" s="2858"/>
      <c r="BP112" s="398">
        <f>SUM(BP113:BP116)</f>
        <v>5700</v>
      </c>
      <c r="BQ112" s="398">
        <f t="shared" ref="BQ112:CA112" si="212">SUM(BQ113:BQ116)</f>
        <v>5700</v>
      </c>
      <c r="BR112" s="398">
        <f t="shared" si="212"/>
        <v>5700</v>
      </c>
      <c r="BS112" s="398">
        <f t="shared" si="212"/>
        <v>5700</v>
      </c>
      <c r="BT112" s="398">
        <f t="shared" si="212"/>
        <v>5700</v>
      </c>
      <c r="BU112" s="398">
        <f t="shared" si="212"/>
        <v>11400</v>
      </c>
      <c r="BV112" s="398">
        <f t="shared" si="212"/>
        <v>11400</v>
      </c>
      <c r="BW112" s="398">
        <f t="shared" si="212"/>
        <v>11400</v>
      </c>
      <c r="BX112" s="398">
        <f t="shared" si="212"/>
        <v>11400</v>
      </c>
      <c r="BY112" s="398">
        <f t="shared" si="212"/>
        <v>11400</v>
      </c>
      <c r="BZ112" s="398">
        <f t="shared" si="212"/>
        <v>11400</v>
      </c>
      <c r="CA112" s="398">
        <f t="shared" si="212"/>
        <v>11400</v>
      </c>
      <c r="CB112" s="992">
        <f>SUM(BP112:CA112)</f>
        <v>108300</v>
      </c>
      <c r="CC112" s="2858"/>
      <c r="CD112" s="398">
        <f t="shared" ref="CD112:CO112" si="213">SUM(CD113:CD116)</f>
        <v>11400</v>
      </c>
      <c r="CE112" s="398">
        <f t="shared" si="213"/>
        <v>11400</v>
      </c>
      <c r="CF112" s="398">
        <f t="shared" si="213"/>
        <v>11400</v>
      </c>
      <c r="CG112" s="398">
        <f t="shared" si="213"/>
        <v>11400</v>
      </c>
      <c r="CH112" s="398">
        <f t="shared" si="213"/>
        <v>11400</v>
      </c>
      <c r="CI112" s="398">
        <f t="shared" si="213"/>
        <v>11400</v>
      </c>
      <c r="CJ112" s="398">
        <f t="shared" si="213"/>
        <v>11400</v>
      </c>
      <c r="CK112" s="398">
        <f t="shared" si="213"/>
        <v>11400</v>
      </c>
      <c r="CL112" s="398">
        <f t="shared" si="213"/>
        <v>11400</v>
      </c>
      <c r="CM112" s="398">
        <f t="shared" si="213"/>
        <v>11400</v>
      </c>
      <c r="CN112" s="398">
        <f t="shared" si="213"/>
        <v>11400</v>
      </c>
      <c r="CO112" s="398">
        <f t="shared" si="213"/>
        <v>11400</v>
      </c>
      <c r="CP112" s="992">
        <f t="shared" si="164"/>
        <v>136800</v>
      </c>
      <c r="CQ112" s="2858"/>
      <c r="CR112" s="398">
        <f t="shared" ref="CR112:DC112" si="214">SUM(CR113:CR116)</f>
        <v>11400</v>
      </c>
      <c r="CS112" s="398">
        <f t="shared" si="214"/>
        <v>11400</v>
      </c>
      <c r="CT112" s="398">
        <f t="shared" si="214"/>
        <v>11400</v>
      </c>
      <c r="CU112" s="398">
        <f t="shared" si="214"/>
        <v>11400</v>
      </c>
      <c r="CV112" s="398">
        <f t="shared" si="214"/>
        <v>11400</v>
      </c>
      <c r="CW112" s="398">
        <f t="shared" si="214"/>
        <v>11400</v>
      </c>
      <c r="CX112" s="398">
        <f t="shared" si="214"/>
        <v>11400</v>
      </c>
      <c r="CY112" s="398">
        <f t="shared" si="214"/>
        <v>11400</v>
      </c>
      <c r="CZ112" s="398">
        <f t="shared" si="214"/>
        <v>11400</v>
      </c>
      <c r="DA112" s="398">
        <f t="shared" si="214"/>
        <v>11400</v>
      </c>
      <c r="DB112" s="398">
        <f t="shared" si="214"/>
        <v>11400</v>
      </c>
      <c r="DC112" s="398">
        <f t="shared" si="214"/>
        <v>11400</v>
      </c>
      <c r="DD112" s="992">
        <f t="shared" si="165"/>
        <v>136800</v>
      </c>
      <c r="DE112" s="2858"/>
      <c r="DF112" s="398">
        <f>SUM(DF113:DF116)</f>
        <v>0</v>
      </c>
      <c r="DG112" s="398">
        <f>SUM(DG113:DG116)</f>
        <v>0</v>
      </c>
      <c r="DH112" s="398">
        <f>SUM(DH113:DH116)</f>
        <v>0</v>
      </c>
      <c r="DI112" s="3083">
        <f t="shared" si="163"/>
        <v>0</v>
      </c>
      <c r="DJ112" s="3535">
        <f t="shared" si="135"/>
        <v>447616</v>
      </c>
      <c r="DL112" s="3543">
        <f t="shared" si="129"/>
        <v>0</v>
      </c>
      <c r="DN112" s="2725" t="s">
        <v>1175</v>
      </c>
      <c r="DO112" s="2726" t="s">
        <v>1175</v>
      </c>
      <c r="DP112" s="2726"/>
      <c r="DQ112" s="2726" t="s">
        <v>1175</v>
      </c>
      <c r="DR112" s="2726" t="str">
        <f t="shared" si="166"/>
        <v>1</v>
      </c>
      <c r="DS112" s="2858"/>
      <c r="DT112" s="2858"/>
    </row>
    <row r="113" spans="1:130" s="2054" customFormat="1" ht="138" hidden="1" customHeight="1" outlineLevel="4">
      <c r="A113" s="3375"/>
      <c r="B113" s="3376"/>
      <c r="C113" s="3309" t="s">
        <v>792</v>
      </c>
      <c r="D113" s="3310" t="s">
        <v>796</v>
      </c>
      <c r="E113" s="3377"/>
      <c r="F113" s="3368" t="s">
        <v>796</v>
      </c>
      <c r="G113" s="3379" t="s">
        <v>1279</v>
      </c>
      <c r="H113" s="3394" t="s">
        <v>797</v>
      </c>
      <c r="I113" s="3381"/>
      <c r="J113" s="3359"/>
      <c r="K113" s="1037"/>
      <c r="L113" s="3382"/>
      <c r="M113" s="3382"/>
      <c r="N113" s="3382"/>
      <c r="O113" s="3382"/>
      <c r="P113" s="3382"/>
      <c r="Q113" s="3382"/>
      <c r="R113" s="3382"/>
      <c r="S113" s="3382"/>
      <c r="T113" s="3382"/>
      <c r="U113" s="3382"/>
      <c r="V113" s="1037"/>
      <c r="W113" s="3529" t="s">
        <v>763</v>
      </c>
      <c r="X113" s="3351" t="s">
        <v>1075</v>
      </c>
      <c r="Y113" s="3351" t="s">
        <v>1289</v>
      </c>
      <c r="Z113" s="3357">
        <v>20</v>
      </c>
      <c r="AA113" s="3351"/>
      <c r="AB113" s="3352"/>
      <c r="AC113" s="1037"/>
      <c r="AD113" s="3383" t="s">
        <v>1326</v>
      </c>
      <c r="AE113" s="3395">
        <v>1</v>
      </c>
      <c r="AF113" s="3360">
        <v>37</v>
      </c>
      <c r="AG113" s="3360"/>
      <c r="AH113" s="3396">
        <v>2850</v>
      </c>
      <c r="AI113" s="3362">
        <f>+AH113*AE113*AF113</f>
        <v>105450</v>
      </c>
      <c r="AJ113" s="3354" t="s">
        <v>1335</v>
      </c>
      <c r="AK113" s="1037"/>
      <c r="AL113" s="3385">
        <f>+AI113</f>
        <v>105450</v>
      </c>
      <c r="AM113" s="3354"/>
      <c r="AN113" s="3354">
        <f t="shared" si="124"/>
        <v>105450</v>
      </c>
      <c r="AO113" s="1037"/>
      <c r="AP113" s="3386"/>
      <c r="AQ113" s="3386"/>
      <c r="AR113" s="3386"/>
      <c r="AS113" s="3386"/>
      <c r="AT113" s="3386"/>
      <c r="AU113" s="3386"/>
      <c r="AV113" s="3386"/>
      <c r="AW113" s="3386"/>
      <c r="AX113" s="3386"/>
      <c r="AY113" s="3386"/>
      <c r="AZ113" s="3397">
        <f t="shared" si="160"/>
        <v>0</v>
      </c>
      <c r="BA113" s="1037"/>
      <c r="BB113" s="3387"/>
      <c r="BC113" s="3387"/>
      <c r="BD113" s="3387"/>
      <c r="BE113" s="3387"/>
      <c r="BF113" s="3387"/>
      <c r="BG113" s="3387"/>
      <c r="BH113" s="3387"/>
      <c r="BI113" s="3387"/>
      <c r="BJ113" s="3387"/>
      <c r="BK113" s="3387"/>
      <c r="BL113" s="3387"/>
      <c r="BM113" s="3387">
        <f>+$AH$113</f>
        <v>2850</v>
      </c>
      <c r="BN113" s="3389">
        <f t="shared" si="161"/>
        <v>2850</v>
      </c>
      <c r="BO113" s="1037"/>
      <c r="BP113" s="3387">
        <f t="shared" ref="BP113:CA113" si="215">+$AH$113</f>
        <v>2850</v>
      </c>
      <c r="BQ113" s="3387">
        <f t="shared" si="215"/>
        <v>2850</v>
      </c>
      <c r="BR113" s="3387">
        <f t="shared" si="215"/>
        <v>2850</v>
      </c>
      <c r="BS113" s="3387">
        <f t="shared" si="215"/>
        <v>2850</v>
      </c>
      <c r="BT113" s="3387">
        <f t="shared" si="215"/>
        <v>2850</v>
      </c>
      <c r="BU113" s="3387">
        <f t="shared" si="215"/>
        <v>2850</v>
      </c>
      <c r="BV113" s="3387">
        <f t="shared" si="215"/>
        <v>2850</v>
      </c>
      <c r="BW113" s="3387">
        <f t="shared" si="215"/>
        <v>2850</v>
      </c>
      <c r="BX113" s="3387">
        <f t="shared" si="215"/>
        <v>2850</v>
      </c>
      <c r="BY113" s="3387">
        <f t="shared" si="215"/>
        <v>2850</v>
      </c>
      <c r="BZ113" s="3387">
        <f t="shared" si="215"/>
        <v>2850</v>
      </c>
      <c r="CA113" s="3387">
        <f t="shared" si="215"/>
        <v>2850</v>
      </c>
      <c r="CB113" s="3390">
        <f t="shared" si="162"/>
        <v>34200</v>
      </c>
      <c r="CC113" s="1037"/>
      <c r="CD113" s="3387">
        <f t="shared" ref="CD113:CO113" si="216">+$AH$113</f>
        <v>2850</v>
      </c>
      <c r="CE113" s="3387">
        <f t="shared" si="216"/>
        <v>2850</v>
      </c>
      <c r="CF113" s="3387">
        <f t="shared" si="216"/>
        <v>2850</v>
      </c>
      <c r="CG113" s="3387">
        <f t="shared" si="216"/>
        <v>2850</v>
      </c>
      <c r="CH113" s="3387">
        <f t="shared" si="216"/>
        <v>2850</v>
      </c>
      <c r="CI113" s="3387">
        <f t="shared" si="216"/>
        <v>2850</v>
      </c>
      <c r="CJ113" s="3387">
        <f t="shared" si="216"/>
        <v>2850</v>
      </c>
      <c r="CK113" s="3387">
        <f t="shared" si="216"/>
        <v>2850</v>
      </c>
      <c r="CL113" s="3387">
        <f t="shared" si="216"/>
        <v>2850</v>
      </c>
      <c r="CM113" s="3387">
        <f t="shared" si="216"/>
        <v>2850</v>
      </c>
      <c r="CN113" s="3387">
        <f t="shared" si="216"/>
        <v>2850</v>
      </c>
      <c r="CO113" s="3387">
        <f t="shared" si="216"/>
        <v>2850</v>
      </c>
      <c r="CP113" s="3390">
        <f t="shared" si="164"/>
        <v>34200</v>
      </c>
      <c r="CQ113" s="1037"/>
      <c r="CR113" s="3387">
        <f t="shared" ref="CR113:DC113" si="217">+$AH$113</f>
        <v>2850</v>
      </c>
      <c r="CS113" s="3387">
        <f t="shared" si="217"/>
        <v>2850</v>
      </c>
      <c r="CT113" s="3387">
        <f t="shared" si="217"/>
        <v>2850</v>
      </c>
      <c r="CU113" s="3387">
        <f t="shared" si="217"/>
        <v>2850</v>
      </c>
      <c r="CV113" s="3387">
        <f t="shared" si="217"/>
        <v>2850</v>
      </c>
      <c r="CW113" s="3387">
        <f t="shared" si="217"/>
        <v>2850</v>
      </c>
      <c r="CX113" s="3387">
        <f t="shared" si="217"/>
        <v>2850</v>
      </c>
      <c r="CY113" s="3387">
        <f t="shared" si="217"/>
        <v>2850</v>
      </c>
      <c r="CZ113" s="3387">
        <f t="shared" si="217"/>
        <v>2850</v>
      </c>
      <c r="DA113" s="3387">
        <f t="shared" si="217"/>
        <v>2850</v>
      </c>
      <c r="DB113" s="3387">
        <f t="shared" si="217"/>
        <v>2850</v>
      </c>
      <c r="DC113" s="3387">
        <f t="shared" si="217"/>
        <v>2850</v>
      </c>
      <c r="DD113" s="3389">
        <f t="shared" si="165"/>
        <v>34200</v>
      </c>
      <c r="DE113" s="1037"/>
      <c r="DF113" s="3387"/>
      <c r="DG113" s="3387"/>
      <c r="DH113" s="3387"/>
      <c r="DI113" s="3389">
        <f t="shared" si="163"/>
        <v>0</v>
      </c>
      <c r="DJ113" s="3538">
        <f>+AZ113+BN113+CB113+CP113+DD113+DI113</f>
        <v>105450</v>
      </c>
      <c r="DK113" s="3393"/>
      <c r="DL113" s="3546">
        <f t="shared" si="129"/>
        <v>0</v>
      </c>
      <c r="DM113" s="3375"/>
      <c r="DN113" s="2744" t="s">
        <v>1180</v>
      </c>
      <c r="DO113" s="2736" t="s">
        <v>1181</v>
      </c>
      <c r="DP113" s="2736" t="s">
        <v>1117</v>
      </c>
      <c r="DQ113" s="2736" t="s">
        <v>4</v>
      </c>
      <c r="DR113" s="2736" t="str">
        <f t="shared" si="166"/>
        <v>1</v>
      </c>
      <c r="DS113" s="1037"/>
      <c r="DT113" s="1037"/>
      <c r="DU113" s="3375"/>
      <c r="DV113" s="3375"/>
      <c r="DW113" s="3375"/>
      <c r="DX113" s="3375"/>
      <c r="DY113" s="3375"/>
      <c r="DZ113" s="3375"/>
    </row>
    <row r="114" spans="1:130" s="2054" customFormat="1" ht="138" hidden="1" customHeight="1" outlineLevel="4">
      <c r="A114" s="3375"/>
      <c r="B114" s="3376"/>
      <c r="C114" s="3309" t="s">
        <v>805</v>
      </c>
      <c r="D114" s="3310" t="s">
        <v>798</v>
      </c>
      <c r="E114" s="3377"/>
      <c r="F114" s="3368" t="s">
        <v>798</v>
      </c>
      <c r="G114" s="3379" t="s">
        <v>1279</v>
      </c>
      <c r="H114" s="3394" t="s">
        <v>799</v>
      </c>
      <c r="I114" s="3381"/>
      <c r="J114" s="3359"/>
      <c r="K114" s="1037"/>
      <c r="L114" s="3382"/>
      <c r="M114" s="3382"/>
      <c r="N114" s="3382"/>
      <c r="O114" s="3382"/>
      <c r="P114" s="3382"/>
      <c r="Q114" s="3382"/>
      <c r="R114" s="3382"/>
      <c r="S114" s="3382"/>
      <c r="T114" s="3382"/>
      <c r="U114" s="3382"/>
      <c r="V114" s="1037"/>
      <c r="W114" s="3529" t="s">
        <v>763</v>
      </c>
      <c r="X114" s="3351" t="s">
        <v>1075</v>
      </c>
      <c r="Y114" s="3351" t="s">
        <v>1289</v>
      </c>
      <c r="Z114" s="3357">
        <v>21</v>
      </c>
      <c r="AA114" s="3351"/>
      <c r="AB114" s="3352"/>
      <c r="AC114" s="1037"/>
      <c r="AD114" s="3383" t="s">
        <v>1326</v>
      </c>
      <c r="AE114" s="3395">
        <v>1</v>
      </c>
      <c r="AF114" s="3360">
        <v>38</v>
      </c>
      <c r="AG114" s="3360"/>
      <c r="AH114" s="3396">
        <v>2850</v>
      </c>
      <c r="AI114" s="3362">
        <f>+AE114*AF114*AH114</f>
        <v>108300</v>
      </c>
      <c r="AJ114" s="3354" t="s">
        <v>1335</v>
      </c>
      <c r="AK114" s="1037"/>
      <c r="AL114" s="3385">
        <f>+AI114</f>
        <v>108300</v>
      </c>
      <c r="AM114" s="3354"/>
      <c r="AN114" s="3354">
        <f t="shared" si="124"/>
        <v>108300</v>
      </c>
      <c r="AO114" s="1037"/>
      <c r="AP114" s="3386"/>
      <c r="AQ114" s="3386"/>
      <c r="AR114" s="3386"/>
      <c r="AS114" s="3386"/>
      <c r="AT114" s="3386"/>
      <c r="AU114" s="3386"/>
      <c r="AV114" s="3386"/>
      <c r="AW114" s="3386"/>
      <c r="AX114" s="3386"/>
      <c r="AY114" s="3386"/>
      <c r="AZ114" s="3397">
        <f t="shared" si="160"/>
        <v>0</v>
      </c>
      <c r="BA114" s="1037"/>
      <c r="BB114" s="3387"/>
      <c r="BC114" s="3387"/>
      <c r="BD114" s="3387"/>
      <c r="BE114" s="3387"/>
      <c r="BF114" s="3387"/>
      <c r="BG114" s="3387"/>
      <c r="BH114" s="3387"/>
      <c r="BI114" s="3387"/>
      <c r="BJ114" s="3387"/>
      <c r="BK114" s="3387"/>
      <c r="BL114" s="3387"/>
      <c r="BM114" s="3387">
        <f>+$AH$114*2</f>
        <v>5700</v>
      </c>
      <c r="BN114" s="3389">
        <f t="shared" si="161"/>
        <v>5700</v>
      </c>
      <c r="BO114" s="1037"/>
      <c r="BP114" s="3387">
        <f>+$AH$114</f>
        <v>2850</v>
      </c>
      <c r="BQ114" s="3387">
        <f t="shared" ref="BQ114:CA114" si="218">+$AH$114</f>
        <v>2850</v>
      </c>
      <c r="BR114" s="3387">
        <f t="shared" si="218"/>
        <v>2850</v>
      </c>
      <c r="BS114" s="3387">
        <f t="shared" si="218"/>
        <v>2850</v>
      </c>
      <c r="BT114" s="3387">
        <f t="shared" si="218"/>
        <v>2850</v>
      </c>
      <c r="BU114" s="3387">
        <f t="shared" si="218"/>
        <v>2850</v>
      </c>
      <c r="BV114" s="3387">
        <f t="shared" si="218"/>
        <v>2850</v>
      </c>
      <c r="BW114" s="3387">
        <f t="shared" si="218"/>
        <v>2850</v>
      </c>
      <c r="BX114" s="3387">
        <f t="shared" si="218"/>
        <v>2850</v>
      </c>
      <c r="BY114" s="3387">
        <f t="shared" si="218"/>
        <v>2850</v>
      </c>
      <c r="BZ114" s="3387">
        <f t="shared" si="218"/>
        <v>2850</v>
      </c>
      <c r="CA114" s="3387">
        <f t="shared" si="218"/>
        <v>2850</v>
      </c>
      <c r="CB114" s="3390">
        <f t="shared" si="162"/>
        <v>34200</v>
      </c>
      <c r="CC114" s="1037"/>
      <c r="CD114" s="3387">
        <f t="shared" ref="CD114:CO114" si="219">+$AH$114</f>
        <v>2850</v>
      </c>
      <c r="CE114" s="3387">
        <f t="shared" si="219"/>
        <v>2850</v>
      </c>
      <c r="CF114" s="3387">
        <f t="shared" si="219"/>
        <v>2850</v>
      </c>
      <c r="CG114" s="3387">
        <f t="shared" si="219"/>
        <v>2850</v>
      </c>
      <c r="CH114" s="3387">
        <f t="shared" si="219"/>
        <v>2850</v>
      </c>
      <c r="CI114" s="3387">
        <f t="shared" si="219"/>
        <v>2850</v>
      </c>
      <c r="CJ114" s="3387">
        <f t="shared" si="219"/>
        <v>2850</v>
      </c>
      <c r="CK114" s="3387">
        <f t="shared" si="219"/>
        <v>2850</v>
      </c>
      <c r="CL114" s="3387">
        <f t="shared" si="219"/>
        <v>2850</v>
      </c>
      <c r="CM114" s="3387">
        <f t="shared" si="219"/>
        <v>2850</v>
      </c>
      <c r="CN114" s="3387">
        <f t="shared" si="219"/>
        <v>2850</v>
      </c>
      <c r="CO114" s="3387">
        <f t="shared" si="219"/>
        <v>2850</v>
      </c>
      <c r="CP114" s="3390">
        <f t="shared" si="164"/>
        <v>34200</v>
      </c>
      <c r="CQ114" s="1037"/>
      <c r="CR114" s="3387">
        <f t="shared" ref="CR114:DC114" si="220">+$AH$114</f>
        <v>2850</v>
      </c>
      <c r="CS114" s="3387">
        <f t="shared" si="220"/>
        <v>2850</v>
      </c>
      <c r="CT114" s="3387">
        <f t="shared" si="220"/>
        <v>2850</v>
      </c>
      <c r="CU114" s="3387">
        <f t="shared" si="220"/>
        <v>2850</v>
      </c>
      <c r="CV114" s="3387">
        <f t="shared" si="220"/>
        <v>2850</v>
      </c>
      <c r="CW114" s="3387">
        <f t="shared" si="220"/>
        <v>2850</v>
      </c>
      <c r="CX114" s="3387">
        <f t="shared" si="220"/>
        <v>2850</v>
      </c>
      <c r="CY114" s="3387">
        <f t="shared" si="220"/>
        <v>2850</v>
      </c>
      <c r="CZ114" s="3387">
        <f t="shared" si="220"/>
        <v>2850</v>
      </c>
      <c r="DA114" s="3387">
        <f t="shared" si="220"/>
        <v>2850</v>
      </c>
      <c r="DB114" s="3387">
        <f t="shared" si="220"/>
        <v>2850</v>
      </c>
      <c r="DC114" s="3387">
        <f t="shared" si="220"/>
        <v>2850</v>
      </c>
      <c r="DD114" s="3389">
        <f t="shared" si="165"/>
        <v>34200</v>
      </c>
      <c r="DE114" s="1037"/>
      <c r="DF114" s="3387"/>
      <c r="DG114" s="3387"/>
      <c r="DH114" s="3387"/>
      <c r="DI114" s="3389">
        <f t="shared" si="163"/>
        <v>0</v>
      </c>
      <c r="DJ114" s="3538">
        <f t="shared" si="135"/>
        <v>108300</v>
      </c>
      <c r="DK114" s="3393"/>
      <c r="DL114" s="3547">
        <f>+AN114-DJ114</f>
        <v>0</v>
      </c>
      <c r="DM114" s="3375"/>
      <c r="DN114" s="2744" t="s">
        <v>1180</v>
      </c>
      <c r="DO114" s="2730" t="s">
        <v>1181</v>
      </c>
      <c r="DP114" s="2736" t="s">
        <v>1117</v>
      </c>
      <c r="DQ114" s="2730" t="s">
        <v>4</v>
      </c>
      <c r="DR114" s="2730" t="str">
        <f t="shared" si="166"/>
        <v>1</v>
      </c>
      <c r="DS114" s="1037"/>
      <c r="DT114" s="1037"/>
      <c r="DU114" s="3375"/>
      <c r="DV114" s="3375"/>
      <c r="DW114" s="3375"/>
      <c r="DX114" s="3375"/>
      <c r="DY114" s="3375"/>
      <c r="DZ114" s="3375"/>
    </row>
    <row r="115" spans="1:130" s="2054" customFormat="1" ht="138" hidden="1" customHeight="1" outlineLevel="4">
      <c r="A115" s="3375"/>
      <c r="B115" s="3376"/>
      <c r="C115" s="3309" t="s">
        <v>805</v>
      </c>
      <c r="D115" s="3310" t="s">
        <v>798</v>
      </c>
      <c r="E115" s="3377"/>
      <c r="F115" s="3368"/>
      <c r="G115" s="3379" t="s">
        <v>1279</v>
      </c>
      <c r="H115" s="3394" t="s">
        <v>1336</v>
      </c>
      <c r="I115" s="3381"/>
      <c r="J115" s="3359"/>
      <c r="K115" s="1037"/>
      <c r="L115" s="3382"/>
      <c r="M115" s="3382"/>
      <c r="N115" s="3382"/>
      <c r="O115" s="3382"/>
      <c r="P115" s="3382"/>
      <c r="Q115" s="3382"/>
      <c r="R115" s="3382"/>
      <c r="S115" s="3382"/>
      <c r="T115" s="3382"/>
      <c r="U115" s="3382"/>
      <c r="V115" s="1037"/>
      <c r="W115" s="3351" t="s">
        <v>763</v>
      </c>
      <c r="X115" s="3351" t="s">
        <v>1075</v>
      </c>
      <c r="Y115" s="3351" t="s">
        <v>1289</v>
      </c>
      <c r="Z115" s="3357" t="s">
        <v>1337</v>
      </c>
      <c r="AA115" s="3351"/>
      <c r="AB115" s="3352"/>
      <c r="AC115" s="1037"/>
      <c r="AD115" s="3383" t="s">
        <v>1326</v>
      </c>
      <c r="AE115" s="3395">
        <v>2</v>
      </c>
      <c r="AF115" s="3360">
        <v>31</v>
      </c>
      <c r="AG115" s="3360"/>
      <c r="AH115" s="3396">
        <v>2850</v>
      </c>
      <c r="AI115" s="3362">
        <f>+AE115*AF115*AH115</f>
        <v>176700</v>
      </c>
      <c r="AJ115" s="3354" t="s">
        <v>1335</v>
      </c>
      <c r="AK115" s="1037"/>
      <c r="AL115" s="3385">
        <f>+AI115</f>
        <v>176700</v>
      </c>
      <c r="AM115" s="3354"/>
      <c r="AN115" s="3354">
        <f t="shared" si="124"/>
        <v>176700</v>
      </c>
      <c r="AO115" s="1037"/>
      <c r="AP115" s="3386"/>
      <c r="AQ115" s="3386"/>
      <c r="AR115" s="3386"/>
      <c r="AS115" s="3386"/>
      <c r="AT115" s="3386"/>
      <c r="AU115" s="3386"/>
      <c r="AV115" s="3386"/>
      <c r="AW115" s="3386"/>
      <c r="AX115" s="3386"/>
      <c r="AY115" s="3386"/>
      <c r="AZ115" s="3397">
        <f t="shared" ref="AZ115" si="221">SUM(AP115:AY115)</f>
        <v>0</v>
      </c>
      <c r="BA115" s="1037"/>
      <c r="BB115" s="3387"/>
      <c r="BC115" s="3387"/>
      <c r="BD115" s="3387"/>
      <c r="BE115" s="3387"/>
      <c r="BF115" s="3387"/>
      <c r="BG115" s="3387"/>
      <c r="BH115" s="3387"/>
      <c r="BI115" s="3387"/>
      <c r="BJ115" s="3387"/>
      <c r="BK115" s="3387"/>
      <c r="BL115" s="3387"/>
      <c r="BM115" s="3387"/>
      <c r="BN115" s="3389">
        <f t="shared" ref="BN115" si="222">SUM(BB115:BM115)</f>
        <v>0</v>
      </c>
      <c r="BO115" s="1037"/>
      <c r="BP115" s="3387"/>
      <c r="BQ115" s="3387"/>
      <c r="BR115" s="3387"/>
      <c r="BS115" s="3387"/>
      <c r="BT115" s="3387"/>
      <c r="BU115" s="3387">
        <f>+$AE$115*$AH$115</f>
        <v>5700</v>
      </c>
      <c r="BV115" s="3387">
        <f t="shared" ref="BV115:CA115" si="223">+$AE$115*$AH$115</f>
        <v>5700</v>
      </c>
      <c r="BW115" s="3387">
        <f t="shared" si="223"/>
        <v>5700</v>
      </c>
      <c r="BX115" s="3387">
        <f t="shared" si="223"/>
        <v>5700</v>
      </c>
      <c r="BY115" s="3387">
        <f t="shared" si="223"/>
        <v>5700</v>
      </c>
      <c r="BZ115" s="3387">
        <f t="shared" si="223"/>
        <v>5700</v>
      </c>
      <c r="CA115" s="3387">
        <f t="shared" si="223"/>
        <v>5700</v>
      </c>
      <c r="CB115" s="3390">
        <f t="shared" ref="CB115" si="224">SUM(BP115:CA115)</f>
        <v>39900</v>
      </c>
      <c r="CC115" s="1037"/>
      <c r="CD115" s="3387">
        <f t="shared" ref="CD115:CO115" si="225">+$AE$115*$AH$115</f>
        <v>5700</v>
      </c>
      <c r="CE115" s="3387">
        <f t="shared" si="225"/>
        <v>5700</v>
      </c>
      <c r="CF115" s="3387">
        <f t="shared" si="225"/>
        <v>5700</v>
      </c>
      <c r="CG115" s="3387">
        <f t="shared" si="225"/>
        <v>5700</v>
      </c>
      <c r="CH115" s="3387">
        <f t="shared" si="225"/>
        <v>5700</v>
      </c>
      <c r="CI115" s="3387">
        <f t="shared" si="225"/>
        <v>5700</v>
      </c>
      <c r="CJ115" s="3387">
        <f t="shared" si="225"/>
        <v>5700</v>
      </c>
      <c r="CK115" s="3387">
        <f t="shared" si="225"/>
        <v>5700</v>
      </c>
      <c r="CL115" s="3387">
        <f t="shared" si="225"/>
        <v>5700</v>
      </c>
      <c r="CM115" s="3387">
        <f t="shared" si="225"/>
        <v>5700</v>
      </c>
      <c r="CN115" s="3387">
        <f t="shared" si="225"/>
        <v>5700</v>
      </c>
      <c r="CO115" s="3387">
        <f t="shared" si="225"/>
        <v>5700</v>
      </c>
      <c r="CP115" s="3390">
        <f t="shared" ref="CP115" si="226">SUM(CD115:CO115)</f>
        <v>68400</v>
      </c>
      <c r="CQ115" s="1037"/>
      <c r="CR115" s="3387">
        <f t="shared" ref="CR115:DC115" si="227">+$AE$115*$AH$115</f>
        <v>5700</v>
      </c>
      <c r="CS115" s="3387">
        <f t="shared" si="227"/>
        <v>5700</v>
      </c>
      <c r="CT115" s="3387">
        <f t="shared" si="227"/>
        <v>5700</v>
      </c>
      <c r="CU115" s="3387">
        <f t="shared" si="227"/>
        <v>5700</v>
      </c>
      <c r="CV115" s="3387">
        <f t="shared" si="227"/>
        <v>5700</v>
      </c>
      <c r="CW115" s="3387">
        <f t="shared" si="227"/>
        <v>5700</v>
      </c>
      <c r="CX115" s="3387">
        <f t="shared" si="227"/>
        <v>5700</v>
      </c>
      <c r="CY115" s="3387">
        <f t="shared" si="227"/>
        <v>5700</v>
      </c>
      <c r="CZ115" s="3387">
        <f t="shared" si="227"/>
        <v>5700</v>
      </c>
      <c r="DA115" s="3387">
        <f t="shared" si="227"/>
        <v>5700</v>
      </c>
      <c r="DB115" s="3387">
        <f t="shared" si="227"/>
        <v>5700</v>
      </c>
      <c r="DC115" s="3387">
        <f t="shared" si="227"/>
        <v>5700</v>
      </c>
      <c r="DD115" s="3389">
        <f t="shared" ref="DD115" si="228">SUM(CR115:DC115)</f>
        <v>68400</v>
      </c>
      <c r="DE115" s="1037"/>
      <c r="DF115" s="3387"/>
      <c r="DG115" s="3387"/>
      <c r="DH115" s="3387"/>
      <c r="DI115" s="3389">
        <f t="shared" ref="DI115" si="229">SUM(DF115:DH115)</f>
        <v>0</v>
      </c>
      <c r="DJ115" s="3538">
        <f t="shared" si="135"/>
        <v>176700</v>
      </c>
      <c r="DK115" s="3393"/>
      <c r="DL115" s="3547">
        <f>+AN115-DJ115</f>
        <v>0</v>
      </c>
      <c r="DM115" s="3375"/>
      <c r="DN115" s="2744" t="s">
        <v>1180</v>
      </c>
      <c r="DO115" s="2730" t="s">
        <v>1181</v>
      </c>
      <c r="DP115" s="2736" t="s">
        <v>1117</v>
      </c>
      <c r="DQ115" s="2730" t="s">
        <v>4</v>
      </c>
      <c r="DR115" s="2730" t="str">
        <f t="shared" si="166"/>
        <v>1</v>
      </c>
      <c r="DS115" s="1037"/>
      <c r="DT115" s="1037"/>
      <c r="DU115" s="3375"/>
      <c r="DV115" s="3375"/>
      <c r="DW115" s="3375"/>
      <c r="DX115" s="3375"/>
      <c r="DY115" s="3375"/>
      <c r="DZ115" s="3375"/>
    </row>
    <row r="116" spans="1:130" s="2054" customFormat="1" ht="150" hidden="1" outlineLevel="4">
      <c r="A116" s="3375"/>
      <c r="B116" s="3376"/>
      <c r="C116" s="3309" t="s">
        <v>1338</v>
      </c>
      <c r="D116" s="3310" t="s">
        <v>800</v>
      </c>
      <c r="E116" s="3377"/>
      <c r="F116" s="3398" t="s">
        <v>800</v>
      </c>
      <c r="G116" s="3379" t="s">
        <v>1279</v>
      </c>
      <c r="H116" s="3399" t="s">
        <v>1339</v>
      </c>
      <c r="I116" s="3381"/>
      <c r="J116" s="3359"/>
      <c r="K116" s="1037"/>
      <c r="L116" s="3382"/>
      <c r="M116" s="3382"/>
      <c r="N116" s="3382"/>
      <c r="O116" s="3382"/>
      <c r="P116" s="3382"/>
      <c r="Q116" s="3382"/>
      <c r="R116" s="3382"/>
      <c r="S116" s="3382"/>
      <c r="T116" s="3382"/>
      <c r="U116" s="3382"/>
      <c r="V116" s="1037"/>
      <c r="W116" s="3351" t="s">
        <v>802</v>
      </c>
      <c r="X116" s="3351" t="s">
        <v>1075</v>
      </c>
      <c r="Y116" s="3351" t="s">
        <v>1340</v>
      </c>
      <c r="Z116" s="3357">
        <v>2</v>
      </c>
      <c r="AA116" s="3351"/>
      <c r="AB116" s="3352"/>
      <c r="AC116" s="1037"/>
      <c r="AD116" s="3383" t="s">
        <v>1341</v>
      </c>
      <c r="AE116" s="3395">
        <v>1</v>
      </c>
      <c r="AF116" s="3360"/>
      <c r="AG116" s="3360"/>
      <c r="AH116" s="3362">
        <f>57166</f>
        <v>57166</v>
      </c>
      <c r="AI116" s="3362">
        <f>+AH116*AE116</f>
        <v>57166</v>
      </c>
      <c r="AJ116" s="3354" t="s">
        <v>1335</v>
      </c>
      <c r="AK116" s="1037"/>
      <c r="AL116" s="3385">
        <f>+AI116</f>
        <v>57166</v>
      </c>
      <c r="AM116" s="3354"/>
      <c r="AN116" s="3354">
        <f t="shared" si="124"/>
        <v>57166</v>
      </c>
      <c r="AO116" s="1037"/>
      <c r="AP116" s="3386"/>
      <c r="AQ116" s="3386"/>
      <c r="AR116" s="3386"/>
      <c r="AS116" s="3386"/>
      <c r="AT116" s="3386"/>
      <c r="AU116" s="3386"/>
      <c r="AV116" s="3386"/>
      <c r="AW116" s="3386"/>
      <c r="AX116" s="3386"/>
      <c r="AY116" s="3386"/>
      <c r="AZ116" s="3397">
        <f t="shared" si="160"/>
        <v>0</v>
      </c>
      <c r="BA116" s="1037"/>
      <c r="BB116" s="3386"/>
      <c r="BC116" s="3386"/>
      <c r="BD116" s="3386"/>
      <c r="BE116" s="3387"/>
      <c r="BF116" s="3387"/>
      <c r="BG116" s="3387"/>
      <c r="BH116" s="3387"/>
      <c r="BI116" s="3386"/>
      <c r="BJ116" s="3386"/>
      <c r="BK116" s="3387">
        <f>+$AH$116*0.72</f>
        <v>41159.519999999997</v>
      </c>
      <c r="BL116" s="3387"/>
      <c r="BM116" s="3387">
        <f>+$AH$116*0.28</f>
        <v>16006.480000000001</v>
      </c>
      <c r="BN116" s="3389">
        <f t="shared" si="161"/>
        <v>57166</v>
      </c>
      <c r="BO116" s="1037"/>
      <c r="BP116" s="3387"/>
      <c r="BQ116" s="3387"/>
      <c r="BR116" s="3387"/>
      <c r="BS116" s="3387"/>
      <c r="BT116" s="3386"/>
      <c r="BU116" s="3386"/>
      <c r="BV116" s="3386"/>
      <c r="BW116" s="3386"/>
      <c r="BX116" s="3386"/>
      <c r="BY116" s="3386"/>
      <c r="BZ116" s="3386"/>
      <c r="CA116" s="3386"/>
      <c r="CB116" s="3389">
        <f t="shared" si="162"/>
        <v>0</v>
      </c>
      <c r="CC116" s="1037"/>
      <c r="CD116" s="3386"/>
      <c r="CE116" s="3386"/>
      <c r="CF116" s="3386"/>
      <c r="CG116" s="3386"/>
      <c r="CH116" s="3386"/>
      <c r="CI116" s="3386"/>
      <c r="CJ116" s="3386"/>
      <c r="CK116" s="3386"/>
      <c r="CL116" s="3386"/>
      <c r="CM116" s="3386"/>
      <c r="CN116" s="3386"/>
      <c r="CO116" s="3386"/>
      <c r="CP116" s="3389">
        <f t="shared" si="164"/>
        <v>0</v>
      </c>
      <c r="CQ116" s="1037"/>
      <c r="CR116" s="3386"/>
      <c r="CS116" s="3386"/>
      <c r="CT116" s="3386"/>
      <c r="CU116" s="3386"/>
      <c r="CV116" s="3386"/>
      <c r="CW116" s="3386"/>
      <c r="CX116" s="3386"/>
      <c r="CY116" s="3386"/>
      <c r="CZ116" s="3386"/>
      <c r="DA116" s="3386"/>
      <c r="DB116" s="3386"/>
      <c r="DC116" s="3386"/>
      <c r="DD116" s="3389">
        <f t="shared" si="165"/>
        <v>0</v>
      </c>
      <c r="DE116" s="1037"/>
      <c r="DF116" s="3386"/>
      <c r="DG116" s="3386"/>
      <c r="DH116" s="3386"/>
      <c r="DI116" s="3389">
        <f t="shared" si="163"/>
        <v>0</v>
      </c>
      <c r="DJ116" s="3538">
        <f t="shared" si="135"/>
        <v>57166</v>
      </c>
      <c r="DK116" s="3393"/>
      <c r="DL116" s="3546">
        <f t="shared" si="129"/>
        <v>0</v>
      </c>
      <c r="DM116" s="3375"/>
      <c r="DN116" s="2744" t="s">
        <v>1331</v>
      </c>
      <c r="DO116" s="2745" t="s">
        <v>1332</v>
      </c>
      <c r="DP116" s="2745" t="s">
        <v>1160</v>
      </c>
      <c r="DQ116" s="2745" t="s">
        <v>4</v>
      </c>
      <c r="DR116" s="2745" t="str">
        <f t="shared" si="166"/>
        <v>1</v>
      </c>
      <c r="DS116" s="1037"/>
      <c r="DT116" s="1037"/>
      <c r="DU116" s="3375"/>
      <c r="DV116" s="3375"/>
      <c r="DW116" s="3375"/>
      <c r="DX116" s="3375"/>
      <c r="DY116" s="3375"/>
      <c r="DZ116" s="3375"/>
    </row>
    <row r="117" spans="1:130" s="153" customFormat="1" ht="26" hidden="1" customHeight="1" outlineLevel="4" collapsed="1">
      <c r="A117" s="3375"/>
      <c r="B117" s="3376"/>
      <c r="C117" s="3309" t="s">
        <v>1342</v>
      </c>
      <c r="D117" s="3310" t="s">
        <v>803</v>
      </c>
      <c r="E117" s="3377"/>
      <c r="F117" s="3378" t="s">
        <v>803</v>
      </c>
      <c r="G117" s="3379"/>
      <c r="H117" s="3380" t="s">
        <v>804</v>
      </c>
      <c r="I117" s="3381"/>
      <c r="J117" s="3359"/>
      <c r="K117" s="1037"/>
      <c r="L117" s="3382"/>
      <c r="M117" s="3382"/>
      <c r="N117" s="3382"/>
      <c r="O117" s="3382"/>
      <c r="P117" s="3382"/>
      <c r="Q117" s="3382"/>
      <c r="R117" s="3382"/>
      <c r="S117" s="3382"/>
      <c r="T117" s="3382"/>
      <c r="U117" s="3382"/>
      <c r="V117" s="1037"/>
      <c r="W117" s="3351" t="s">
        <v>763</v>
      </c>
      <c r="X117" s="3351" t="s">
        <v>1075</v>
      </c>
      <c r="Y117" s="3351" t="s">
        <v>723</v>
      </c>
      <c r="Z117" s="3342">
        <v>76</v>
      </c>
      <c r="AA117" s="3351"/>
      <c r="AB117" s="3352"/>
      <c r="AC117" s="1037"/>
      <c r="AD117" s="3383" t="s">
        <v>1179</v>
      </c>
      <c r="AE117" s="3384">
        <v>1</v>
      </c>
      <c r="AF117" s="3353"/>
      <c r="AG117" s="3353"/>
      <c r="AH117" s="3354">
        <v>75000</v>
      </c>
      <c r="AI117" s="3354">
        <f>+AH117*AE117</f>
        <v>75000</v>
      </c>
      <c r="AJ117" s="3354" t="s">
        <v>1343</v>
      </c>
      <c r="AK117" s="1037"/>
      <c r="AL117" s="3385">
        <f>+AI117</f>
        <v>75000</v>
      </c>
      <c r="AM117" s="3354"/>
      <c r="AN117" s="3354">
        <f t="shared" si="124"/>
        <v>75000</v>
      </c>
      <c r="AO117" s="1037"/>
      <c r="AP117" s="3386"/>
      <c r="AQ117" s="3386"/>
      <c r="AR117" s="3386"/>
      <c r="AS117" s="3386"/>
      <c r="AT117" s="3386"/>
      <c r="AU117" s="3386"/>
      <c r="AV117" s="3386"/>
      <c r="AW117" s="3386"/>
      <c r="AX117" s="3386"/>
      <c r="AY117" s="3386"/>
      <c r="AZ117" s="3397">
        <f t="shared" si="160"/>
        <v>0</v>
      </c>
      <c r="BA117" s="1037"/>
      <c r="BB117" s="3386"/>
      <c r="BC117" s="3386"/>
      <c r="BD117" s="3386"/>
      <c r="BE117" s="3386"/>
      <c r="BF117" s="3386"/>
      <c r="BG117" s="3386"/>
      <c r="BH117" s="3386"/>
      <c r="BI117" s="3386"/>
      <c r="BJ117" s="3386"/>
      <c r="BK117" s="3386"/>
      <c r="BL117" s="3386"/>
      <c r="BM117" s="3386"/>
      <c r="BN117" s="3389">
        <f t="shared" si="161"/>
        <v>0</v>
      </c>
      <c r="BO117" s="1037"/>
      <c r="BP117" s="3386"/>
      <c r="BQ117" s="3386"/>
      <c r="BR117" s="3386"/>
      <c r="BS117" s="3386"/>
      <c r="BT117" s="3386"/>
      <c r="BU117" s="3386"/>
      <c r="BV117" s="3387"/>
      <c r="BW117" s="3387"/>
      <c r="BX117" s="3387"/>
      <c r="BY117" s="3387"/>
      <c r="BZ117" s="3387"/>
      <c r="CA117" s="3387"/>
      <c r="CB117" s="3390">
        <f t="shared" si="162"/>
        <v>0</v>
      </c>
      <c r="CC117" s="1037"/>
      <c r="CD117" s="3387"/>
      <c r="CE117" s="3387"/>
      <c r="CF117" s="3387">
        <f>+$AI$117*20%</f>
        <v>15000</v>
      </c>
      <c r="CG117" s="3387"/>
      <c r="CH117" s="3387"/>
      <c r="CI117" s="3387">
        <f>+$AI$117*15%</f>
        <v>11250</v>
      </c>
      <c r="CJ117" s="3387"/>
      <c r="CK117" s="3387"/>
      <c r="CL117" s="3387"/>
      <c r="CM117" s="3387">
        <f>+$AI$117*15%</f>
        <v>11250</v>
      </c>
      <c r="CN117" s="3387"/>
      <c r="CO117" s="3387"/>
      <c r="CP117" s="3390">
        <f t="shared" si="164"/>
        <v>37500</v>
      </c>
      <c r="CQ117" s="1037"/>
      <c r="CR117" s="3387"/>
      <c r="CS117" s="3387">
        <f>+$AI$117*15%</f>
        <v>11250</v>
      </c>
      <c r="CT117" s="3387"/>
      <c r="CU117" s="3387"/>
      <c r="CV117" s="3387">
        <f>+$AI$117*15%</f>
        <v>11250</v>
      </c>
      <c r="CW117" s="3387"/>
      <c r="CX117" s="3387"/>
      <c r="CY117" s="3387"/>
      <c r="CZ117" s="3387">
        <f>+$AI$117*20%</f>
        <v>15000</v>
      </c>
      <c r="DA117" s="3386"/>
      <c r="DB117" s="3386"/>
      <c r="DC117" s="3386"/>
      <c r="DD117" s="3400">
        <f t="shared" si="165"/>
        <v>37500</v>
      </c>
      <c r="DE117" s="1037"/>
      <c r="DF117" s="3386"/>
      <c r="DG117" s="3386"/>
      <c r="DH117" s="3386"/>
      <c r="DI117" s="3400">
        <f t="shared" si="163"/>
        <v>0</v>
      </c>
      <c r="DJ117" s="3539">
        <f t="shared" si="135"/>
        <v>75000</v>
      </c>
      <c r="DK117" s="3393"/>
      <c r="DL117" s="3546">
        <f t="shared" si="129"/>
        <v>0</v>
      </c>
      <c r="DM117" s="3375"/>
      <c r="DN117" s="2747" t="s">
        <v>1180</v>
      </c>
      <c r="DO117" s="2736" t="s">
        <v>1181</v>
      </c>
      <c r="DP117" s="2736" t="s">
        <v>1117</v>
      </c>
      <c r="DQ117" s="2736" t="s">
        <v>4</v>
      </c>
      <c r="DR117" s="2736" t="str">
        <f t="shared" si="166"/>
        <v>1</v>
      </c>
      <c r="DS117" s="1037"/>
      <c r="DT117" s="1037"/>
      <c r="DU117" s="3375"/>
      <c r="DV117" s="3375"/>
      <c r="DW117" s="3375"/>
      <c r="DX117" s="3375"/>
      <c r="DY117" s="3375"/>
      <c r="DZ117" s="3375"/>
    </row>
    <row r="118" spans="1:130" s="2054" customFormat="1" ht="14" hidden="1" customHeight="1" outlineLevel="3">
      <c r="A118" s="153"/>
      <c r="B118" s="2866"/>
      <c r="C118" s="3306"/>
      <c r="D118" s="2941" t="s">
        <v>805</v>
      </c>
      <c r="E118" s="2830"/>
      <c r="F118" s="3307" t="s">
        <v>805</v>
      </c>
      <c r="G118" s="2833"/>
      <c r="H118" s="3308" t="s">
        <v>806</v>
      </c>
      <c r="I118" s="3308"/>
      <c r="J118" s="1250"/>
      <c r="K118" s="2858"/>
      <c r="L118" s="851" t="s">
        <v>247</v>
      </c>
      <c r="M118" s="851"/>
      <c r="N118" s="3347"/>
      <c r="O118" s="3347"/>
      <c r="P118" s="3347"/>
      <c r="Q118" s="3347"/>
      <c r="R118" s="3347"/>
      <c r="S118" s="3347"/>
      <c r="T118" s="3347"/>
      <c r="U118" s="3347"/>
      <c r="V118" s="2858"/>
      <c r="W118" s="851"/>
      <c r="X118" s="851"/>
      <c r="Y118" s="851"/>
      <c r="Z118" s="851"/>
      <c r="AA118" s="851"/>
      <c r="AB118" s="1250"/>
      <c r="AC118" s="2858"/>
      <c r="AD118" s="1250"/>
      <c r="AE118" s="397"/>
      <c r="AF118" s="397"/>
      <c r="AG118" s="397"/>
      <c r="AH118" s="398" t="s">
        <v>1175</v>
      </c>
      <c r="AI118" s="398">
        <f>+AI119</f>
        <v>750000</v>
      </c>
      <c r="AJ118" s="691"/>
      <c r="AK118" s="2858"/>
      <c r="AL118" s="398">
        <f>+AL119</f>
        <v>750000</v>
      </c>
      <c r="AM118" s="398">
        <f>+AM119</f>
        <v>0</v>
      </c>
      <c r="AN118" s="398">
        <f t="shared" si="124"/>
        <v>750000</v>
      </c>
      <c r="AO118" s="2858"/>
      <c r="AP118" s="398">
        <f t="shared" ref="AP118:AY118" si="230">+AP119</f>
        <v>0</v>
      </c>
      <c r="AQ118" s="398">
        <f t="shared" si="230"/>
        <v>0</v>
      </c>
      <c r="AR118" s="398">
        <f t="shared" si="230"/>
        <v>0</v>
      </c>
      <c r="AS118" s="398">
        <f t="shared" si="230"/>
        <v>0</v>
      </c>
      <c r="AT118" s="398">
        <f t="shared" si="230"/>
        <v>0</v>
      </c>
      <c r="AU118" s="398">
        <f t="shared" si="230"/>
        <v>0</v>
      </c>
      <c r="AV118" s="398">
        <f t="shared" si="230"/>
        <v>0</v>
      </c>
      <c r="AW118" s="398">
        <f t="shared" si="230"/>
        <v>0</v>
      </c>
      <c r="AX118" s="398">
        <f t="shared" si="230"/>
        <v>0</v>
      </c>
      <c r="AY118" s="398">
        <f t="shared" si="230"/>
        <v>0</v>
      </c>
      <c r="AZ118" s="992">
        <f t="shared" si="160"/>
        <v>0</v>
      </c>
      <c r="BA118" s="1037"/>
      <c r="BB118" s="398">
        <f t="shared" ref="BB118:BM118" si="231">+BB119</f>
        <v>0</v>
      </c>
      <c r="BC118" s="398">
        <f t="shared" si="231"/>
        <v>0</v>
      </c>
      <c r="BD118" s="398">
        <f t="shared" si="231"/>
        <v>0</v>
      </c>
      <c r="BE118" s="398">
        <f t="shared" si="231"/>
        <v>0</v>
      </c>
      <c r="BF118" s="398">
        <f t="shared" si="231"/>
        <v>0</v>
      </c>
      <c r="BG118" s="398">
        <f t="shared" si="231"/>
        <v>0</v>
      </c>
      <c r="BH118" s="398">
        <f t="shared" si="231"/>
        <v>0</v>
      </c>
      <c r="BI118" s="398">
        <f t="shared" si="231"/>
        <v>0</v>
      </c>
      <c r="BJ118" s="398">
        <f t="shared" si="231"/>
        <v>0</v>
      </c>
      <c r="BK118" s="398">
        <f t="shared" si="231"/>
        <v>0</v>
      </c>
      <c r="BL118" s="398">
        <f t="shared" si="231"/>
        <v>0</v>
      </c>
      <c r="BM118" s="398">
        <f t="shared" si="231"/>
        <v>0</v>
      </c>
      <c r="BN118" s="992">
        <f t="shared" si="161"/>
        <v>0</v>
      </c>
      <c r="BO118" s="2858"/>
      <c r="BP118" s="398">
        <f t="shared" ref="BP118:CA118" si="232">+BP119</f>
        <v>0</v>
      </c>
      <c r="BQ118" s="398">
        <f t="shared" si="232"/>
        <v>0</v>
      </c>
      <c r="BR118" s="398">
        <f t="shared" si="232"/>
        <v>0</v>
      </c>
      <c r="BS118" s="398">
        <f t="shared" si="232"/>
        <v>0</v>
      </c>
      <c r="BT118" s="398">
        <f t="shared" si="232"/>
        <v>0</v>
      </c>
      <c r="BU118" s="398">
        <f t="shared" si="232"/>
        <v>0</v>
      </c>
      <c r="BV118" s="398">
        <f t="shared" si="232"/>
        <v>0</v>
      </c>
      <c r="BW118" s="398">
        <f t="shared" si="232"/>
        <v>0</v>
      </c>
      <c r="BX118" s="398">
        <f t="shared" si="232"/>
        <v>0</v>
      </c>
      <c r="BY118" s="398">
        <f t="shared" si="232"/>
        <v>0</v>
      </c>
      <c r="BZ118" s="398">
        <f t="shared" si="232"/>
        <v>0</v>
      </c>
      <c r="CA118" s="398">
        <f t="shared" si="232"/>
        <v>0</v>
      </c>
      <c r="CB118" s="992">
        <f t="shared" si="162"/>
        <v>0</v>
      </c>
      <c r="CC118" s="2858"/>
      <c r="CD118" s="398">
        <f t="shared" ref="CD118:CO118" si="233">+CD119</f>
        <v>0</v>
      </c>
      <c r="CE118" s="398">
        <f t="shared" si="233"/>
        <v>0</v>
      </c>
      <c r="CF118" s="398">
        <f t="shared" si="233"/>
        <v>0</v>
      </c>
      <c r="CG118" s="398">
        <f t="shared" si="233"/>
        <v>150000</v>
      </c>
      <c r="CH118" s="398">
        <f t="shared" si="233"/>
        <v>0</v>
      </c>
      <c r="CI118" s="398">
        <f t="shared" si="233"/>
        <v>0</v>
      </c>
      <c r="CJ118" s="398">
        <f t="shared" si="233"/>
        <v>150000</v>
      </c>
      <c r="CK118" s="398">
        <f t="shared" si="233"/>
        <v>0</v>
      </c>
      <c r="CL118" s="398">
        <f t="shared" si="233"/>
        <v>0</v>
      </c>
      <c r="CM118" s="398">
        <f t="shared" si="233"/>
        <v>150000</v>
      </c>
      <c r="CN118" s="398">
        <f t="shared" si="233"/>
        <v>0</v>
      </c>
      <c r="CO118" s="398">
        <f t="shared" si="233"/>
        <v>0</v>
      </c>
      <c r="CP118" s="992">
        <f t="shared" si="164"/>
        <v>450000</v>
      </c>
      <c r="CQ118" s="2858"/>
      <c r="CR118" s="398">
        <f t="shared" ref="CR118:DC118" si="234">+CR119</f>
        <v>0</v>
      </c>
      <c r="CS118" s="398">
        <f t="shared" si="234"/>
        <v>150000</v>
      </c>
      <c r="CT118" s="398">
        <f t="shared" si="234"/>
        <v>0</v>
      </c>
      <c r="CU118" s="398">
        <f t="shared" si="234"/>
        <v>0</v>
      </c>
      <c r="CV118" s="398">
        <f t="shared" si="234"/>
        <v>150000</v>
      </c>
      <c r="CW118" s="398">
        <f t="shared" si="234"/>
        <v>0</v>
      </c>
      <c r="CX118" s="398">
        <f t="shared" si="234"/>
        <v>0</v>
      </c>
      <c r="CY118" s="398">
        <f t="shared" si="234"/>
        <v>0</v>
      </c>
      <c r="CZ118" s="398">
        <f t="shared" si="234"/>
        <v>0</v>
      </c>
      <c r="DA118" s="398">
        <f t="shared" si="234"/>
        <v>0</v>
      </c>
      <c r="DB118" s="398">
        <f t="shared" si="234"/>
        <v>0</v>
      </c>
      <c r="DC118" s="398">
        <f t="shared" si="234"/>
        <v>0</v>
      </c>
      <c r="DD118" s="992">
        <f t="shared" si="165"/>
        <v>300000</v>
      </c>
      <c r="DE118" s="2858"/>
      <c r="DF118" s="398">
        <f>+DF119</f>
        <v>0</v>
      </c>
      <c r="DG118" s="398">
        <f>+DG119</f>
        <v>0</v>
      </c>
      <c r="DH118" s="398">
        <f>+DH119</f>
        <v>0</v>
      </c>
      <c r="DI118" s="3083">
        <f t="shared" si="163"/>
        <v>0</v>
      </c>
      <c r="DJ118" s="3535">
        <f t="shared" si="135"/>
        <v>750000</v>
      </c>
      <c r="DK118" s="153"/>
      <c r="DL118" s="3543">
        <f t="shared" si="129"/>
        <v>0</v>
      </c>
      <c r="DM118" s="153"/>
      <c r="DN118" s="2725" t="s">
        <v>1175</v>
      </c>
      <c r="DO118" s="2726" t="s">
        <v>1175</v>
      </c>
      <c r="DP118" s="2726"/>
      <c r="DQ118" s="2726" t="s">
        <v>1175</v>
      </c>
      <c r="DR118" s="2726" t="str">
        <f t="shared" si="166"/>
        <v>1</v>
      </c>
      <c r="DS118" s="2858"/>
      <c r="DT118" s="2858"/>
      <c r="DU118" s="153"/>
      <c r="DV118" s="153"/>
      <c r="DW118" s="153"/>
      <c r="DX118" s="153"/>
      <c r="DY118" s="153"/>
      <c r="DZ118" s="153"/>
    </row>
    <row r="119" spans="1:130" s="2054" customFormat="1" ht="45" hidden="1" outlineLevel="4" collapsed="1">
      <c r="A119" s="3375"/>
      <c r="B119" s="3376"/>
      <c r="C119" s="3309" t="s">
        <v>1344</v>
      </c>
      <c r="D119" s="3310" t="s">
        <v>807</v>
      </c>
      <c r="E119" s="3377"/>
      <c r="F119" s="3401" t="s">
        <v>807</v>
      </c>
      <c r="G119" s="3379"/>
      <c r="H119" s="3402" t="s">
        <v>808</v>
      </c>
      <c r="I119" s="3383"/>
      <c r="J119" s="3383"/>
      <c r="K119" s="1037"/>
      <c r="L119" s="3383" t="s">
        <v>247</v>
      </c>
      <c r="M119" s="3403"/>
      <c r="N119" s="3403"/>
      <c r="O119" s="3403"/>
      <c r="P119" s="3403"/>
      <c r="Q119" s="3403"/>
      <c r="R119" s="3403"/>
      <c r="S119" s="3403"/>
      <c r="T119" s="3403"/>
      <c r="U119" s="3403"/>
      <c r="V119" s="1037"/>
      <c r="W119" s="3351" t="s">
        <v>853</v>
      </c>
      <c r="X119" s="3351" t="s">
        <v>1075</v>
      </c>
      <c r="Y119" s="3351" t="s">
        <v>723</v>
      </c>
      <c r="Z119" s="3343">
        <v>77</v>
      </c>
      <c r="AA119" s="3404"/>
      <c r="AB119" s="3352"/>
      <c r="AC119" s="1037"/>
      <c r="AD119" s="3383" t="s">
        <v>1179</v>
      </c>
      <c r="AE119" s="3384">
        <v>1</v>
      </c>
      <c r="AF119" s="3384"/>
      <c r="AG119" s="3384"/>
      <c r="AH119" s="3383">
        <v>750000</v>
      </c>
      <c r="AI119" s="3354">
        <f>+AH119*AE119</f>
        <v>750000</v>
      </c>
      <c r="AJ119" s="3405"/>
      <c r="AK119" s="1037"/>
      <c r="AL119" s="3385">
        <f>+AI119</f>
        <v>750000</v>
      </c>
      <c r="AM119" s="3385"/>
      <c r="AN119" s="3406">
        <f t="shared" si="124"/>
        <v>750000</v>
      </c>
      <c r="AO119" s="1037"/>
      <c r="AP119" s="3386"/>
      <c r="AQ119" s="3386"/>
      <c r="AR119" s="3386"/>
      <c r="AS119" s="3386"/>
      <c r="AT119" s="3386"/>
      <c r="AU119" s="3386"/>
      <c r="AV119" s="3386"/>
      <c r="AW119" s="3386"/>
      <c r="AX119" s="3386"/>
      <c r="AY119" s="3386"/>
      <c r="AZ119" s="3397">
        <f t="shared" si="160"/>
        <v>0</v>
      </c>
      <c r="BA119" s="1037"/>
      <c r="BB119" s="3386"/>
      <c r="BC119" s="3386"/>
      <c r="BD119" s="3386"/>
      <c r="BE119" s="3386"/>
      <c r="BF119" s="3386"/>
      <c r="BG119" s="3386"/>
      <c r="BH119" s="3386"/>
      <c r="BI119" s="3386"/>
      <c r="BJ119" s="3386"/>
      <c r="BK119" s="3386"/>
      <c r="BL119" s="3386"/>
      <c r="BM119" s="3386"/>
      <c r="BN119" s="3389">
        <f t="shared" si="161"/>
        <v>0</v>
      </c>
      <c r="BO119" s="1037"/>
      <c r="BP119" s="3386"/>
      <c r="BQ119" s="3386"/>
      <c r="BR119" s="3386"/>
      <c r="BS119" s="3386"/>
      <c r="BT119" s="3386"/>
      <c r="BU119" s="3386"/>
      <c r="BV119" s="3387"/>
      <c r="BW119" s="3387"/>
      <c r="BX119" s="3387"/>
      <c r="BY119" s="3387"/>
      <c r="BZ119" s="3387"/>
      <c r="CA119" s="3387"/>
      <c r="CB119" s="3390">
        <f t="shared" si="162"/>
        <v>0</v>
      </c>
      <c r="CC119" s="1037"/>
      <c r="CD119" s="3387"/>
      <c r="CE119" s="3387"/>
      <c r="CF119" s="3387"/>
      <c r="CG119" s="3387">
        <f>+$AL119*20%</f>
        <v>150000</v>
      </c>
      <c r="CH119" s="3387"/>
      <c r="CI119" s="3387"/>
      <c r="CJ119" s="3387">
        <f>+$AL119*20%</f>
        <v>150000</v>
      </c>
      <c r="CK119" s="3387"/>
      <c r="CL119" s="3387"/>
      <c r="CM119" s="3387">
        <f>+$AL119*20%</f>
        <v>150000</v>
      </c>
      <c r="CN119" s="3387"/>
      <c r="CO119" s="3387"/>
      <c r="CP119" s="3390">
        <f t="shared" si="164"/>
        <v>450000</v>
      </c>
      <c r="CQ119" s="1037"/>
      <c r="CR119" s="3387"/>
      <c r="CS119" s="3387">
        <f>+$AL119*20%</f>
        <v>150000</v>
      </c>
      <c r="CT119" s="3387"/>
      <c r="CU119" s="3387"/>
      <c r="CV119" s="3387">
        <f>+$AL119*20%</f>
        <v>150000</v>
      </c>
      <c r="CW119" s="3387"/>
      <c r="CX119" s="3387"/>
      <c r="CY119" s="3387"/>
      <c r="CZ119" s="3387"/>
      <c r="DA119" s="3386"/>
      <c r="DB119" s="3386"/>
      <c r="DC119" s="3386"/>
      <c r="DD119" s="3389">
        <f t="shared" si="165"/>
        <v>300000</v>
      </c>
      <c r="DE119" s="1037"/>
      <c r="DF119" s="3386"/>
      <c r="DG119" s="3386"/>
      <c r="DH119" s="3386"/>
      <c r="DI119" s="3389">
        <f t="shared" si="163"/>
        <v>0</v>
      </c>
      <c r="DJ119" s="3538">
        <f t="shared" si="135"/>
        <v>750000</v>
      </c>
      <c r="DK119" s="3393"/>
      <c r="DL119" s="3546">
        <f t="shared" si="129"/>
        <v>0</v>
      </c>
      <c r="DM119" s="3375"/>
      <c r="DN119" s="2744" t="s">
        <v>1180</v>
      </c>
      <c r="DO119" s="2736" t="s">
        <v>1181</v>
      </c>
      <c r="DP119" s="2736" t="s">
        <v>1117</v>
      </c>
      <c r="DQ119" s="2736" t="s">
        <v>4</v>
      </c>
      <c r="DR119" s="2736" t="str">
        <f t="shared" si="166"/>
        <v>1</v>
      </c>
      <c r="DS119" s="1037"/>
      <c r="DT119" s="1037"/>
      <c r="DU119" s="3375"/>
      <c r="DV119" s="3375"/>
      <c r="DW119" s="3375"/>
      <c r="DX119" s="3375"/>
      <c r="DY119" s="3375"/>
      <c r="DZ119" s="3375"/>
    </row>
    <row r="120" spans="1:130" s="2050" customFormat="1" ht="13.25" hidden="1" customHeight="1" outlineLevel="3">
      <c r="A120" s="3375"/>
      <c r="B120" s="3376"/>
      <c r="C120" s="3309"/>
      <c r="D120" s="3310"/>
      <c r="E120" s="3377"/>
      <c r="F120" s="3401"/>
      <c r="G120" s="3379"/>
      <c r="H120" s="3407"/>
      <c r="I120" s="3383"/>
      <c r="J120" s="3383"/>
      <c r="K120" s="1037"/>
      <c r="L120" s="3383"/>
      <c r="M120" s="3403"/>
      <c r="N120" s="3403"/>
      <c r="O120" s="3403"/>
      <c r="P120" s="3403"/>
      <c r="Q120" s="3403"/>
      <c r="R120" s="3403"/>
      <c r="S120" s="3403"/>
      <c r="T120" s="3403"/>
      <c r="U120" s="3403"/>
      <c r="V120" s="1037"/>
      <c r="W120" s="3408"/>
      <c r="X120" s="3408"/>
      <c r="Y120" s="3409"/>
      <c r="Z120" s="3410"/>
      <c r="AA120" s="3408"/>
      <c r="AB120" s="3411"/>
      <c r="AC120" s="1037"/>
      <c r="AD120" s="3383"/>
      <c r="AE120" s="3384"/>
      <c r="AF120" s="3384"/>
      <c r="AG120" s="3384"/>
      <c r="AH120" s="3383"/>
      <c r="AI120" s="3385"/>
      <c r="AJ120" s="3405"/>
      <c r="AK120" s="1037"/>
      <c r="AL120" s="3385"/>
      <c r="AM120" s="3385"/>
      <c r="AN120" s="3406">
        <f t="shared" si="124"/>
        <v>0</v>
      </c>
      <c r="AO120" s="1037"/>
      <c r="AP120" s="3384"/>
      <c r="AQ120" s="3384"/>
      <c r="AR120" s="3384"/>
      <c r="AS120" s="3384"/>
      <c r="AT120" s="3384"/>
      <c r="AU120" s="3384"/>
      <c r="AV120" s="3384"/>
      <c r="AW120" s="3384"/>
      <c r="AX120" s="3384"/>
      <c r="AY120" s="3384"/>
      <c r="AZ120" s="3412">
        <f t="shared" si="160"/>
        <v>0</v>
      </c>
      <c r="BA120" s="1037"/>
      <c r="BB120" s="3384"/>
      <c r="BC120" s="3384"/>
      <c r="BD120" s="3384"/>
      <c r="BE120" s="3384"/>
      <c r="BF120" s="3384"/>
      <c r="BG120" s="3384"/>
      <c r="BH120" s="3384"/>
      <c r="BI120" s="3384"/>
      <c r="BJ120" s="3384"/>
      <c r="BK120" s="3384"/>
      <c r="BL120" s="3384"/>
      <c r="BM120" s="3384"/>
      <c r="BN120" s="3412">
        <f t="shared" si="161"/>
        <v>0</v>
      </c>
      <c r="BO120" s="1037"/>
      <c r="BP120" s="3384"/>
      <c r="BQ120" s="3384"/>
      <c r="BR120" s="3384"/>
      <c r="BS120" s="3384"/>
      <c r="BT120" s="3384"/>
      <c r="BU120" s="3384"/>
      <c r="BV120" s="3384"/>
      <c r="BW120" s="3384"/>
      <c r="BX120" s="3384"/>
      <c r="BY120" s="3384"/>
      <c r="BZ120" s="3384"/>
      <c r="CA120" s="3384"/>
      <c r="CB120" s="3412">
        <f t="shared" si="162"/>
        <v>0</v>
      </c>
      <c r="CC120" s="1037"/>
      <c r="CD120" s="3384"/>
      <c r="CE120" s="3384"/>
      <c r="CF120" s="3384"/>
      <c r="CG120" s="3384"/>
      <c r="CH120" s="3384"/>
      <c r="CI120" s="3384"/>
      <c r="CJ120" s="3384"/>
      <c r="CK120" s="3384"/>
      <c r="CL120" s="3384"/>
      <c r="CM120" s="3384"/>
      <c r="CN120" s="3384"/>
      <c r="CO120" s="3384"/>
      <c r="CP120" s="3412">
        <f t="shared" si="164"/>
        <v>0</v>
      </c>
      <c r="CQ120" s="1037"/>
      <c r="CR120" s="3384"/>
      <c r="CS120" s="3384"/>
      <c r="CT120" s="3384"/>
      <c r="CU120" s="3384"/>
      <c r="CV120" s="3384"/>
      <c r="CW120" s="3384"/>
      <c r="CX120" s="3384"/>
      <c r="CY120" s="3384"/>
      <c r="CZ120" s="3384"/>
      <c r="DA120" s="3384"/>
      <c r="DB120" s="3384"/>
      <c r="DC120" s="3384"/>
      <c r="DD120" s="3412">
        <f t="shared" si="165"/>
        <v>0</v>
      </c>
      <c r="DE120" s="1037"/>
      <c r="DF120" s="3384"/>
      <c r="DG120" s="3384"/>
      <c r="DH120" s="3384"/>
      <c r="DI120" s="3413">
        <f t="shared" si="163"/>
        <v>0</v>
      </c>
      <c r="DJ120" s="3540">
        <f t="shared" si="135"/>
        <v>0</v>
      </c>
      <c r="DK120" s="3393"/>
      <c r="DL120" s="3546">
        <f t="shared" si="129"/>
        <v>0</v>
      </c>
      <c r="DM120" s="3375"/>
      <c r="DN120" s="2748" t="s">
        <v>1175</v>
      </c>
      <c r="DO120" s="2745" t="s">
        <v>1175</v>
      </c>
      <c r="DP120" s="2745"/>
      <c r="DQ120" s="2745" t="s">
        <v>1175</v>
      </c>
      <c r="DR120" s="2745" t="str">
        <f t="shared" si="166"/>
        <v/>
      </c>
      <c r="DS120" s="1037"/>
      <c r="DT120" s="1037"/>
      <c r="DU120" s="3375"/>
      <c r="DV120" s="3375"/>
      <c r="DW120" s="3375"/>
      <c r="DX120" s="3375"/>
      <c r="DY120" s="3375"/>
      <c r="DZ120" s="3375"/>
    </row>
    <row r="121" spans="1:130" s="2050" customFormat="1" ht="17.5" hidden="1" customHeight="1" outlineLevel="2">
      <c r="A121" s="3414"/>
      <c r="B121" s="3415"/>
      <c r="C121" s="3303" t="s">
        <v>507</v>
      </c>
      <c r="D121" s="2940" t="s">
        <v>507</v>
      </c>
      <c r="E121" s="3367"/>
      <c r="F121" s="3304" t="s">
        <v>507</v>
      </c>
      <c r="G121" s="3416"/>
      <c r="H121" s="3305" t="s">
        <v>366</v>
      </c>
      <c r="I121" s="3417" t="s">
        <v>4</v>
      </c>
      <c r="J121" s="3417" t="s">
        <v>1345</v>
      </c>
      <c r="K121" s="1037"/>
      <c r="L121" s="3303" t="s">
        <v>364</v>
      </c>
      <c r="M121" s="3303">
        <v>0</v>
      </c>
      <c r="N121" s="3303">
        <v>2022</v>
      </c>
      <c r="O121" s="3303" t="s">
        <v>157</v>
      </c>
      <c r="P121" s="3303" t="s">
        <v>157</v>
      </c>
      <c r="Q121" s="3303">
        <v>0</v>
      </c>
      <c r="R121" s="3303">
        <v>1</v>
      </c>
      <c r="S121" s="3303">
        <v>1</v>
      </c>
      <c r="T121" s="3303">
        <v>1</v>
      </c>
      <c r="U121" s="3303">
        <v>3</v>
      </c>
      <c r="V121" s="1037"/>
      <c r="W121" s="3418"/>
      <c r="X121" s="3418"/>
      <c r="Y121" s="3418"/>
      <c r="Z121" s="3419"/>
      <c r="AA121" s="3418"/>
      <c r="AB121" s="3346"/>
      <c r="AC121" s="1037"/>
      <c r="AD121" s="3417"/>
      <c r="AE121" s="3382"/>
      <c r="AF121" s="3382"/>
      <c r="AG121" s="3382"/>
      <c r="AH121" s="3417"/>
      <c r="AI121" s="3417">
        <f>+AI122+AI124+AI129+AI131+AI134</f>
        <v>446000</v>
      </c>
      <c r="AJ121" s="3417"/>
      <c r="AK121" s="1037"/>
      <c r="AL121" s="3417">
        <f>+AL122+AL124+AL129+AL131+AL134</f>
        <v>446000</v>
      </c>
      <c r="AM121" s="3417">
        <f>+AM122+AM124+AM129+AM131+AM134</f>
        <v>0</v>
      </c>
      <c r="AN121" s="3417">
        <f t="shared" si="124"/>
        <v>446000</v>
      </c>
      <c r="AO121" s="1037"/>
      <c r="AP121" s="3417">
        <f t="shared" ref="AP121:BM121" si="235">+AP122+AP124+AP129+AP131+AP134</f>
        <v>0</v>
      </c>
      <c r="AQ121" s="3417">
        <f t="shared" si="235"/>
        <v>0</v>
      </c>
      <c r="AR121" s="3417">
        <f t="shared" si="235"/>
        <v>0</v>
      </c>
      <c r="AS121" s="3417">
        <f t="shared" si="235"/>
        <v>0</v>
      </c>
      <c r="AT121" s="3417">
        <f t="shared" si="235"/>
        <v>0</v>
      </c>
      <c r="AU121" s="3417">
        <f t="shared" si="235"/>
        <v>0</v>
      </c>
      <c r="AV121" s="3417">
        <f t="shared" si="235"/>
        <v>0</v>
      </c>
      <c r="AW121" s="3417">
        <f t="shared" si="235"/>
        <v>0</v>
      </c>
      <c r="AX121" s="3417">
        <f t="shared" si="235"/>
        <v>0</v>
      </c>
      <c r="AY121" s="3417">
        <f t="shared" si="235"/>
        <v>0</v>
      </c>
      <c r="AZ121" s="3417">
        <f t="shared" si="160"/>
        <v>0</v>
      </c>
      <c r="BA121" s="1037"/>
      <c r="BB121" s="3417">
        <f t="shared" si="235"/>
        <v>0</v>
      </c>
      <c r="BC121" s="3417">
        <f t="shared" si="235"/>
        <v>0</v>
      </c>
      <c r="BD121" s="3417">
        <f>+BD122+BD124+BD129+BD131+BD134</f>
        <v>0</v>
      </c>
      <c r="BE121" s="3417">
        <f>+BE122+BE124+BE129+BE131+BE134</f>
        <v>0</v>
      </c>
      <c r="BF121" s="3417">
        <f t="shared" si="235"/>
        <v>0</v>
      </c>
      <c r="BG121" s="3417">
        <f t="shared" si="235"/>
        <v>0</v>
      </c>
      <c r="BH121" s="3417">
        <f t="shared" si="235"/>
        <v>0</v>
      </c>
      <c r="BI121" s="3417">
        <f t="shared" si="235"/>
        <v>0</v>
      </c>
      <c r="BJ121" s="3417">
        <f t="shared" si="235"/>
        <v>0</v>
      </c>
      <c r="BK121" s="3417">
        <f t="shared" si="235"/>
        <v>0</v>
      </c>
      <c r="BL121" s="3417">
        <f t="shared" si="235"/>
        <v>16000</v>
      </c>
      <c r="BM121" s="3417">
        <f t="shared" si="235"/>
        <v>0</v>
      </c>
      <c r="BN121" s="3417">
        <f t="shared" si="161"/>
        <v>16000</v>
      </c>
      <c r="BO121" s="1037"/>
      <c r="BP121" s="3417">
        <f t="shared" ref="BP121:CA121" si="236">+BP122+BP124+BP129+BP131+BP134</f>
        <v>0</v>
      </c>
      <c r="BQ121" s="3417">
        <f t="shared" si="236"/>
        <v>24000</v>
      </c>
      <c r="BR121" s="3417">
        <f t="shared" si="236"/>
        <v>0</v>
      </c>
      <c r="BS121" s="3417">
        <f t="shared" si="236"/>
        <v>0</v>
      </c>
      <c r="BT121" s="3417">
        <f t="shared" si="236"/>
        <v>30000</v>
      </c>
      <c r="BU121" s="3417">
        <f t="shared" si="236"/>
        <v>0</v>
      </c>
      <c r="BV121" s="3417">
        <f t="shared" si="236"/>
        <v>16000</v>
      </c>
      <c r="BW121" s="3417">
        <f t="shared" si="236"/>
        <v>6000</v>
      </c>
      <c r="BX121" s="3417">
        <f t="shared" si="236"/>
        <v>33000</v>
      </c>
      <c r="BY121" s="3417">
        <f t="shared" si="236"/>
        <v>0</v>
      </c>
      <c r="BZ121" s="3417">
        <f t="shared" si="236"/>
        <v>9000</v>
      </c>
      <c r="CA121" s="3417">
        <f t="shared" si="236"/>
        <v>0</v>
      </c>
      <c r="CB121" s="3417">
        <f t="shared" si="162"/>
        <v>118000</v>
      </c>
      <c r="CC121" s="1037"/>
      <c r="CD121" s="3417">
        <f t="shared" ref="CD121:CO121" si="237">+CD122+CD124+CD129+CD131+CD134</f>
        <v>0</v>
      </c>
      <c r="CE121" s="3417">
        <f t="shared" si="237"/>
        <v>15000</v>
      </c>
      <c r="CF121" s="3417">
        <f t="shared" si="237"/>
        <v>44200</v>
      </c>
      <c r="CG121" s="3417">
        <f t="shared" si="237"/>
        <v>21500</v>
      </c>
      <c r="CH121" s="3417">
        <f t="shared" si="237"/>
        <v>0</v>
      </c>
      <c r="CI121" s="3417">
        <f t="shared" si="237"/>
        <v>79800</v>
      </c>
      <c r="CJ121" s="3417">
        <f t="shared" si="237"/>
        <v>12000</v>
      </c>
      <c r="CK121" s="3417">
        <f t="shared" si="237"/>
        <v>9000</v>
      </c>
      <c r="CL121" s="3417">
        <f t="shared" si="237"/>
        <v>78300</v>
      </c>
      <c r="CM121" s="3417">
        <f t="shared" si="237"/>
        <v>0</v>
      </c>
      <c r="CN121" s="3417">
        <f t="shared" si="237"/>
        <v>52200</v>
      </c>
      <c r="CO121" s="3417">
        <f t="shared" si="237"/>
        <v>0</v>
      </c>
      <c r="CP121" s="3417">
        <f t="shared" si="164"/>
        <v>312000</v>
      </c>
      <c r="CQ121" s="1037"/>
      <c r="CR121" s="3417">
        <f t="shared" ref="CR121:DC121" si="238">+CR122+CR124+CR129+CR131+CR134</f>
        <v>0</v>
      </c>
      <c r="CS121" s="3417">
        <f t="shared" si="238"/>
        <v>0</v>
      </c>
      <c r="CT121" s="3417">
        <f t="shared" si="238"/>
        <v>0</v>
      </c>
      <c r="CU121" s="3417">
        <f t="shared" si="238"/>
        <v>0</v>
      </c>
      <c r="CV121" s="3417">
        <f t="shared" si="238"/>
        <v>0</v>
      </c>
      <c r="CW121" s="3417">
        <f t="shared" si="238"/>
        <v>0</v>
      </c>
      <c r="CX121" s="3417">
        <f t="shared" si="238"/>
        <v>0</v>
      </c>
      <c r="CY121" s="3417">
        <f t="shared" si="238"/>
        <v>0</v>
      </c>
      <c r="CZ121" s="3417">
        <f t="shared" si="238"/>
        <v>0</v>
      </c>
      <c r="DA121" s="3417">
        <f t="shared" si="238"/>
        <v>0</v>
      </c>
      <c r="DB121" s="3417">
        <f t="shared" si="238"/>
        <v>0</v>
      </c>
      <c r="DC121" s="3417">
        <f t="shared" si="238"/>
        <v>0</v>
      </c>
      <c r="DD121" s="3417">
        <f t="shared" si="165"/>
        <v>0</v>
      </c>
      <c r="DE121" s="1037"/>
      <c r="DF121" s="3417">
        <f>+DF122+DF124+DF129+DF131+DF134</f>
        <v>0</v>
      </c>
      <c r="DG121" s="3417">
        <f>+DG122+DG124+DG129+DG131+DG134</f>
        <v>0</v>
      </c>
      <c r="DH121" s="3417">
        <f>+DH122+DH124+DH129+DH131+DH134</f>
        <v>0</v>
      </c>
      <c r="DI121" s="3420">
        <f t="shared" si="163"/>
        <v>0</v>
      </c>
      <c r="DJ121" s="3541">
        <f t="shared" si="135"/>
        <v>446000</v>
      </c>
      <c r="DK121" s="3414"/>
      <c r="DL121" s="3546">
        <f>+AN121-DJ121</f>
        <v>0</v>
      </c>
      <c r="DM121" s="3414"/>
      <c r="DN121" s="2723" t="s">
        <v>1175</v>
      </c>
      <c r="DO121" s="2724" t="s">
        <v>1175</v>
      </c>
      <c r="DP121" s="2724"/>
      <c r="DQ121" s="2724" t="s">
        <v>1175</v>
      </c>
      <c r="DR121" s="2724" t="str">
        <f t="shared" si="166"/>
        <v>1</v>
      </c>
      <c r="DS121" s="1037"/>
      <c r="DT121" s="1037"/>
      <c r="DU121" s="3414"/>
      <c r="DV121" s="3414"/>
      <c r="DW121" s="3414"/>
      <c r="DX121" s="3414"/>
      <c r="DY121" s="3414"/>
      <c r="DZ121" s="3414"/>
    </row>
    <row r="122" spans="1:130" s="2051" customFormat="1" ht="15" hidden="1" outlineLevel="3">
      <c r="A122" s="3414"/>
      <c r="B122" s="3422"/>
      <c r="C122" s="3306" t="s">
        <v>809</v>
      </c>
      <c r="D122" s="2941" t="s">
        <v>809</v>
      </c>
      <c r="E122" s="3367"/>
      <c r="F122" s="3423" t="s">
        <v>809</v>
      </c>
      <c r="G122" s="3424"/>
      <c r="H122" s="3425" t="s">
        <v>810</v>
      </c>
      <c r="I122" s="3426"/>
      <c r="J122" s="3426"/>
      <c r="K122" s="1037"/>
      <c r="L122" s="3427"/>
      <c r="M122" s="3428"/>
      <c r="N122" s="3428"/>
      <c r="O122" s="3428"/>
      <c r="P122" s="3428"/>
      <c r="Q122" s="3428"/>
      <c r="R122" s="3428"/>
      <c r="S122" s="3428"/>
      <c r="T122" s="3428"/>
      <c r="U122" s="3428"/>
      <c r="V122" s="1037"/>
      <c r="W122" s="3427"/>
      <c r="X122" s="3427"/>
      <c r="Y122" s="3427"/>
      <c r="Z122" s="3347"/>
      <c r="AA122" s="3427"/>
      <c r="AB122" s="3426"/>
      <c r="AC122" s="1037"/>
      <c r="AD122" s="3429"/>
      <c r="AE122" s="3427"/>
      <c r="AF122" s="3427"/>
      <c r="AG122" s="3427"/>
      <c r="AH122" s="3430"/>
      <c r="AI122" s="3430">
        <f>SUM(AI123:AI123)</f>
        <v>80000</v>
      </c>
      <c r="AJ122" s="3430"/>
      <c r="AK122" s="1037"/>
      <c r="AL122" s="3430">
        <f>SUM(AL123:AL123)</f>
        <v>80000</v>
      </c>
      <c r="AM122" s="3430">
        <f>SUM(AM123:AM123)</f>
        <v>0</v>
      </c>
      <c r="AN122" s="3430">
        <f t="shared" si="124"/>
        <v>80000</v>
      </c>
      <c r="AO122" s="1037"/>
      <c r="AP122" s="3431">
        <f t="shared" ref="AP122:AY122" si="239">SUM(AP123:AP123)</f>
        <v>0</v>
      </c>
      <c r="AQ122" s="3431">
        <f t="shared" si="239"/>
        <v>0</v>
      </c>
      <c r="AR122" s="3431">
        <f t="shared" si="239"/>
        <v>0</v>
      </c>
      <c r="AS122" s="3431">
        <f t="shared" si="239"/>
        <v>0</v>
      </c>
      <c r="AT122" s="3431">
        <f t="shared" si="239"/>
        <v>0</v>
      </c>
      <c r="AU122" s="3431">
        <f t="shared" si="239"/>
        <v>0</v>
      </c>
      <c r="AV122" s="3431">
        <f t="shared" si="239"/>
        <v>0</v>
      </c>
      <c r="AW122" s="3431">
        <f t="shared" si="239"/>
        <v>0</v>
      </c>
      <c r="AX122" s="3431">
        <f t="shared" si="239"/>
        <v>0</v>
      </c>
      <c r="AY122" s="3431">
        <f t="shared" si="239"/>
        <v>0</v>
      </c>
      <c r="AZ122" s="3431">
        <f t="shared" si="160"/>
        <v>0</v>
      </c>
      <c r="BA122" s="1037"/>
      <c r="BB122" s="3431">
        <f t="shared" ref="BB122:BM122" si="240">SUM(BB123:BB123)</f>
        <v>0</v>
      </c>
      <c r="BC122" s="3431">
        <f t="shared" si="240"/>
        <v>0</v>
      </c>
      <c r="BD122" s="3431">
        <f t="shared" si="240"/>
        <v>0</v>
      </c>
      <c r="BE122" s="3431">
        <f t="shared" si="240"/>
        <v>0</v>
      </c>
      <c r="BF122" s="3431">
        <f t="shared" si="240"/>
        <v>0</v>
      </c>
      <c r="BG122" s="3431">
        <f t="shared" si="240"/>
        <v>0</v>
      </c>
      <c r="BH122" s="3431">
        <f t="shared" si="240"/>
        <v>0</v>
      </c>
      <c r="BI122" s="3431">
        <f t="shared" si="240"/>
        <v>0</v>
      </c>
      <c r="BJ122" s="3431">
        <f>SUM(BJ123:BJ123)</f>
        <v>0</v>
      </c>
      <c r="BK122" s="3431">
        <f>SUM(BK123:BK123)</f>
        <v>0</v>
      </c>
      <c r="BL122" s="3431">
        <f t="shared" si="240"/>
        <v>16000</v>
      </c>
      <c r="BM122" s="3431">
        <f t="shared" si="240"/>
        <v>0</v>
      </c>
      <c r="BN122" s="3431">
        <f t="shared" si="161"/>
        <v>16000</v>
      </c>
      <c r="BO122" s="1037"/>
      <c r="BP122" s="3431">
        <f>SUM(BP123:BP123)</f>
        <v>0</v>
      </c>
      <c r="BQ122" s="3431">
        <f>SUM(BQ123:BQ123)</f>
        <v>24000</v>
      </c>
      <c r="BR122" s="3431">
        <f t="shared" ref="BR122:CA122" si="241">SUM(BR123:BR123)</f>
        <v>0</v>
      </c>
      <c r="BS122" s="3431">
        <f t="shared" si="241"/>
        <v>0</v>
      </c>
      <c r="BT122" s="3431">
        <f t="shared" si="241"/>
        <v>24000</v>
      </c>
      <c r="BU122" s="3431">
        <f t="shared" si="241"/>
        <v>0</v>
      </c>
      <c r="BV122" s="3431">
        <f t="shared" si="241"/>
        <v>16000</v>
      </c>
      <c r="BW122" s="3431">
        <f t="shared" si="241"/>
        <v>0</v>
      </c>
      <c r="BX122" s="3431">
        <f t="shared" si="241"/>
        <v>0</v>
      </c>
      <c r="BY122" s="3431">
        <f t="shared" si="241"/>
        <v>0</v>
      </c>
      <c r="BZ122" s="3431">
        <f t="shared" si="241"/>
        <v>0</v>
      </c>
      <c r="CA122" s="3431">
        <f t="shared" si="241"/>
        <v>0</v>
      </c>
      <c r="CB122" s="3431">
        <f t="shared" si="162"/>
        <v>64000</v>
      </c>
      <c r="CC122" s="1037"/>
      <c r="CD122" s="3431">
        <f t="shared" ref="CD122:CO122" si="242">SUM(CD123:CD123)</f>
        <v>0</v>
      </c>
      <c r="CE122" s="3431">
        <f t="shared" si="242"/>
        <v>0</v>
      </c>
      <c r="CF122" s="3431">
        <f t="shared" si="242"/>
        <v>0</v>
      </c>
      <c r="CG122" s="3431">
        <f t="shared" si="242"/>
        <v>0</v>
      </c>
      <c r="CH122" s="3431">
        <f t="shared" si="242"/>
        <v>0</v>
      </c>
      <c r="CI122" s="3431">
        <f t="shared" si="242"/>
        <v>0</v>
      </c>
      <c r="CJ122" s="3431">
        <f t="shared" si="242"/>
        <v>0</v>
      </c>
      <c r="CK122" s="3431">
        <f t="shared" si="242"/>
        <v>0</v>
      </c>
      <c r="CL122" s="3431">
        <f t="shared" si="242"/>
        <v>0</v>
      </c>
      <c r="CM122" s="3431">
        <f t="shared" si="242"/>
        <v>0</v>
      </c>
      <c r="CN122" s="3431">
        <f t="shared" si="242"/>
        <v>0</v>
      </c>
      <c r="CO122" s="3431">
        <f t="shared" si="242"/>
        <v>0</v>
      </c>
      <c r="CP122" s="3431">
        <f t="shared" si="164"/>
        <v>0</v>
      </c>
      <c r="CQ122" s="1037"/>
      <c r="CR122" s="3431">
        <f t="shared" ref="CR122:DC122" si="243">SUM(CR123:CR123)</f>
        <v>0</v>
      </c>
      <c r="CS122" s="3431">
        <f t="shared" si="243"/>
        <v>0</v>
      </c>
      <c r="CT122" s="3431">
        <f t="shared" si="243"/>
        <v>0</v>
      </c>
      <c r="CU122" s="3431">
        <f t="shared" si="243"/>
        <v>0</v>
      </c>
      <c r="CV122" s="3431">
        <f t="shared" si="243"/>
        <v>0</v>
      </c>
      <c r="CW122" s="3431">
        <f t="shared" si="243"/>
        <v>0</v>
      </c>
      <c r="CX122" s="3431">
        <f t="shared" si="243"/>
        <v>0</v>
      </c>
      <c r="CY122" s="3431">
        <f t="shared" si="243"/>
        <v>0</v>
      </c>
      <c r="CZ122" s="3431">
        <f t="shared" si="243"/>
        <v>0</v>
      </c>
      <c r="DA122" s="3431">
        <f t="shared" si="243"/>
        <v>0</v>
      </c>
      <c r="DB122" s="3431">
        <f t="shared" si="243"/>
        <v>0</v>
      </c>
      <c r="DC122" s="3431">
        <f t="shared" si="243"/>
        <v>0</v>
      </c>
      <c r="DD122" s="3431">
        <f t="shared" si="165"/>
        <v>0</v>
      </c>
      <c r="DE122" s="1037"/>
      <c r="DF122" s="3431">
        <f>SUM(DF123:DF123)</f>
        <v>0</v>
      </c>
      <c r="DG122" s="3431">
        <f>SUM(DG123:DG123)</f>
        <v>0</v>
      </c>
      <c r="DH122" s="3431">
        <f>SUM(DH123:DH123)</f>
        <v>0</v>
      </c>
      <c r="DI122" s="3431">
        <f t="shared" si="163"/>
        <v>0</v>
      </c>
      <c r="DJ122" s="3542">
        <f t="shared" si="135"/>
        <v>80000</v>
      </c>
      <c r="DK122" s="3414"/>
      <c r="DL122" s="3546">
        <f t="shared" si="129"/>
        <v>0</v>
      </c>
      <c r="DM122" s="3414"/>
      <c r="DN122" s="2725" t="s">
        <v>1175</v>
      </c>
      <c r="DO122" s="2726" t="s">
        <v>1175</v>
      </c>
      <c r="DP122" s="2726"/>
      <c r="DQ122" s="2726" t="s">
        <v>1175</v>
      </c>
      <c r="DR122" s="2726" t="str">
        <f t="shared" si="166"/>
        <v>1</v>
      </c>
      <c r="DS122" s="1037"/>
      <c r="DT122" s="1037"/>
      <c r="DU122" s="3414"/>
      <c r="DV122" s="3414"/>
      <c r="DW122" s="3414"/>
      <c r="DX122" s="3414"/>
      <c r="DY122" s="3414"/>
      <c r="DZ122" s="3414"/>
    </row>
    <row r="123" spans="1:130" s="2050" customFormat="1" ht="30" hidden="1" outlineLevel="4" collapsed="1">
      <c r="A123" s="3393"/>
      <c r="B123" s="3433"/>
      <c r="C123" s="3309" t="s">
        <v>811</v>
      </c>
      <c r="D123" s="3310" t="s">
        <v>811</v>
      </c>
      <c r="E123" s="3434"/>
      <c r="F123" s="3435" t="s">
        <v>811</v>
      </c>
      <c r="G123" s="3436" t="s">
        <v>1279</v>
      </c>
      <c r="H123" s="3437" t="s">
        <v>812</v>
      </c>
      <c r="I123" s="3359"/>
      <c r="J123" s="3359"/>
      <c r="K123" s="1037"/>
      <c r="L123" s="3359" t="s">
        <v>216</v>
      </c>
      <c r="M123" s="3360"/>
      <c r="N123" s="3360"/>
      <c r="O123" s="3360"/>
      <c r="P123" s="3360"/>
      <c r="Q123" s="3360"/>
      <c r="R123" s="3360"/>
      <c r="S123" s="3360"/>
      <c r="T123" s="3360"/>
      <c r="U123" s="3360"/>
      <c r="V123" s="1037"/>
      <c r="W123" s="3351" t="s">
        <v>763</v>
      </c>
      <c r="X123" s="3371" t="s">
        <v>1075</v>
      </c>
      <c r="Y123" s="3438" t="s">
        <v>1289</v>
      </c>
      <c r="Z123" s="3339">
        <v>22</v>
      </c>
      <c r="AA123" s="3292"/>
      <c r="AB123" s="3362"/>
      <c r="AC123" s="1037"/>
      <c r="AD123" s="3355" t="s">
        <v>1179</v>
      </c>
      <c r="AE123" s="3439">
        <v>1</v>
      </c>
      <c r="AF123" s="3439">
        <v>8</v>
      </c>
      <c r="AG123" s="3439"/>
      <c r="AH123" s="3352">
        <v>80000</v>
      </c>
      <c r="AI123" s="3440">
        <f>AE123*AH123</f>
        <v>80000</v>
      </c>
      <c r="AJ123" s="3330"/>
      <c r="AK123" s="1037"/>
      <c r="AL123" s="3441">
        <f>+AI123</f>
        <v>80000</v>
      </c>
      <c r="AM123" s="3441"/>
      <c r="AN123" s="3442">
        <f t="shared" si="124"/>
        <v>80000</v>
      </c>
      <c r="AO123" s="1037"/>
      <c r="AP123" s="3386"/>
      <c r="AQ123" s="3386"/>
      <c r="AR123" s="3386"/>
      <c r="AS123" s="3386"/>
      <c r="AT123" s="3386"/>
      <c r="AU123" s="3386"/>
      <c r="AV123" s="3386"/>
      <c r="AW123" s="3386"/>
      <c r="AX123" s="3386"/>
      <c r="AY123" s="3386"/>
      <c r="AZ123" s="3397">
        <f t="shared" si="160"/>
        <v>0</v>
      </c>
      <c r="BA123" s="1037"/>
      <c r="BB123" s="3386"/>
      <c r="BC123" s="3386"/>
      <c r="BD123" s="3387"/>
      <c r="BE123" s="3387"/>
      <c r="BF123" s="3387"/>
      <c r="BG123" s="3387"/>
      <c r="BH123" s="3387"/>
      <c r="BI123" s="3387"/>
      <c r="BJ123" s="3387"/>
      <c r="BK123" s="3387"/>
      <c r="BL123" s="3387">
        <f>+$AH$123*0.2</f>
        <v>16000</v>
      </c>
      <c r="BM123" s="3387"/>
      <c r="BN123" s="3389">
        <f t="shared" si="161"/>
        <v>16000</v>
      </c>
      <c r="BO123" s="1037"/>
      <c r="BP123" s="3387"/>
      <c r="BQ123" s="3387">
        <f>+$AH$123*0.3</f>
        <v>24000</v>
      </c>
      <c r="BR123" s="3387"/>
      <c r="BS123" s="3387"/>
      <c r="BT123" s="3387">
        <f>+$AH$123*0.3</f>
        <v>24000</v>
      </c>
      <c r="BU123" s="3386"/>
      <c r="BV123" s="3386">
        <f>+$AH$123*0.2</f>
        <v>16000</v>
      </c>
      <c r="BW123" s="3386"/>
      <c r="BX123" s="3386"/>
      <c r="BY123" s="3386"/>
      <c r="BZ123" s="3386"/>
      <c r="CA123" s="3386"/>
      <c r="CB123" s="3390">
        <f>SUM(BP123:CA123)</f>
        <v>64000</v>
      </c>
      <c r="CC123" s="1037"/>
      <c r="CD123" s="3386"/>
      <c r="CE123" s="3386"/>
      <c r="CF123" s="3386"/>
      <c r="CG123" s="3386"/>
      <c r="CH123" s="3386"/>
      <c r="CI123" s="3386"/>
      <c r="CJ123" s="3386"/>
      <c r="CK123" s="3386"/>
      <c r="CL123" s="3386"/>
      <c r="CM123" s="3386"/>
      <c r="CN123" s="3386"/>
      <c r="CO123" s="3386"/>
      <c r="CP123" s="3389">
        <f t="shared" si="164"/>
        <v>0</v>
      </c>
      <c r="CQ123" s="1037"/>
      <c r="CR123" s="3386"/>
      <c r="CS123" s="3386"/>
      <c r="CT123" s="3386"/>
      <c r="CU123" s="3386"/>
      <c r="CV123" s="3386"/>
      <c r="CW123" s="3386"/>
      <c r="CX123" s="3386"/>
      <c r="CY123" s="3386"/>
      <c r="CZ123" s="3386"/>
      <c r="DA123" s="3386"/>
      <c r="DB123" s="3386"/>
      <c r="DC123" s="3386"/>
      <c r="DD123" s="3391">
        <f t="shared" si="165"/>
        <v>0</v>
      </c>
      <c r="DE123" s="1037"/>
      <c r="DF123" s="3386"/>
      <c r="DG123" s="3386"/>
      <c r="DH123" s="3386"/>
      <c r="DI123" s="3391">
        <f t="shared" si="163"/>
        <v>0</v>
      </c>
      <c r="DJ123" s="3537">
        <f t="shared" si="135"/>
        <v>80000</v>
      </c>
      <c r="DK123" s="3393"/>
      <c r="DL123" s="3546">
        <f t="shared" si="129"/>
        <v>0</v>
      </c>
      <c r="DM123" s="3393"/>
      <c r="DN123" s="2740" t="s">
        <v>1346</v>
      </c>
      <c r="DO123" s="2740" t="s">
        <v>1347</v>
      </c>
      <c r="DP123" s="2740" t="s">
        <v>1115</v>
      </c>
      <c r="DQ123" s="2740" t="s">
        <v>4</v>
      </c>
      <c r="DR123" s="2740" t="str">
        <f t="shared" si="166"/>
        <v>1</v>
      </c>
      <c r="DS123" s="1037"/>
      <c r="DT123" s="1037"/>
      <c r="DU123" s="3393"/>
      <c r="DV123" s="3393"/>
      <c r="DW123" s="3393"/>
      <c r="DX123" s="3393"/>
      <c r="DY123" s="3393"/>
      <c r="DZ123" s="3393"/>
    </row>
    <row r="124" spans="1:130" s="2051" customFormat="1" ht="15" hidden="1" outlineLevel="3">
      <c r="A124" s="3414"/>
      <c r="B124" s="3422"/>
      <c r="C124" s="3306" t="s">
        <v>813</v>
      </c>
      <c r="D124" s="2941" t="s">
        <v>813</v>
      </c>
      <c r="E124" s="3367"/>
      <c r="F124" s="3423" t="s">
        <v>813</v>
      </c>
      <c r="G124" s="3424"/>
      <c r="H124" s="3425" t="s">
        <v>1348</v>
      </c>
      <c r="I124" s="3426"/>
      <c r="J124" s="3426"/>
      <c r="K124" s="1037"/>
      <c r="L124" s="3427"/>
      <c r="M124" s="3428"/>
      <c r="N124" s="3428"/>
      <c r="O124" s="3428"/>
      <c r="P124" s="3428"/>
      <c r="Q124" s="3428"/>
      <c r="R124" s="3428"/>
      <c r="S124" s="3428"/>
      <c r="T124" s="3428"/>
      <c r="U124" s="3428"/>
      <c r="V124" s="1037"/>
      <c r="W124" s="3427"/>
      <c r="X124" s="3427"/>
      <c r="Y124" s="3427"/>
      <c r="Z124" s="3427"/>
      <c r="AA124" s="3427"/>
      <c r="AB124" s="3426"/>
      <c r="AC124" s="1037"/>
      <c r="AD124" s="3429"/>
      <c r="AE124" s="3427"/>
      <c r="AF124" s="3427"/>
      <c r="AG124" s="3427"/>
      <c r="AH124" s="3430"/>
      <c r="AI124" s="3430">
        <f>SUM(AI125:AI125)</f>
        <v>221000</v>
      </c>
      <c r="AJ124" s="3430"/>
      <c r="AK124" s="1037"/>
      <c r="AL124" s="3430">
        <f>SUM(AL125:AL125)</f>
        <v>221000</v>
      </c>
      <c r="AM124" s="3430">
        <f>SUM(AM125:AM125)</f>
        <v>0</v>
      </c>
      <c r="AN124" s="3430">
        <f t="shared" si="124"/>
        <v>221000</v>
      </c>
      <c r="AO124" s="1037"/>
      <c r="AP124" s="3431">
        <f t="shared" ref="AP124:AY124" si="244">SUM(AP125:AP125)</f>
        <v>0</v>
      </c>
      <c r="AQ124" s="3431">
        <f t="shared" si="244"/>
        <v>0</v>
      </c>
      <c r="AR124" s="3431">
        <f t="shared" si="244"/>
        <v>0</v>
      </c>
      <c r="AS124" s="3431">
        <f t="shared" si="244"/>
        <v>0</v>
      </c>
      <c r="AT124" s="3431">
        <f t="shared" si="244"/>
        <v>0</v>
      </c>
      <c r="AU124" s="3431">
        <f t="shared" si="244"/>
        <v>0</v>
      </c>
      <c r="AV124" s="3431">
        <f t="shared" si="244"/>
        <v>0</v>
      </c>
      <c r="AW124" s="3431">
        <f t="shared" si="244"/>
        <v>0</v>
      </c>
      <c r="AX124" s="3431">
        <f t="shared" si="244"/>
        <v>0</v>
      </c>
      <c r="AY124" s="3431">
        <f t="shared" si="244"/>
        <v>0</v>
      </c>
      <c r="AZ124" s="3431">
        <f t="shared" si="160"/>
        <v>0</v>
      </c>
      <c r="BA124" s="1037"/>
      <c r="BB124" s="3431">
        <f t="shared" ref="BB124:BM124" si="245">SUM(BB125:BB125)</f>
        <v>0</v>
      </c>
      <c r="BC124" s="3431">
        <f t="shared" si="245"/>
        <v>0</v>
      </c>
      <c r="BD124" s="3431">
        <f t="shared" si="245"/>
        <v>0</v>
      </c>
      <c r="BE124" s="3431">
        <f t="shared" si="245"/>
        <v>0</v>
      </c>
      <c r="BF124" s="3431">
        <f t="shared" si="245"/>
        <v>0</v>
      </c>
      <c r="BG124" s="3431">
        <f t="shared" si="245"/>
        <v>0</v>
      </c>
      <c r="BH124" s="3431">
        <f t="shared" si="245"/>
        <v>0</v>
      </c>
      <c r="BI124" s="3431">
        <f t="shared" si="245"/>
        <v>0</v>
      </c>
      <c r="BJ124" s="3431">
        <f t="shared" si="245"/>
        <v>0</v>
      </c>
      <c r="BK124" s="3431">
        <f t="shared" si="245"/>
        <v>0</v>
      </c>
      <c r="BL124" s="3431">
        <f t="shared" si="245"/>
        <v>0</v>
      </c>
      <c r="BM124" s="3431">
        <f t="shared" si="245"/>
        <v>0</v>
      </c>
      <c r="BN124" s="3431">
        <f t="shared" si="161"/>
        <v>0</v>
      </c>
      <c r="BO124" s="1037"/>
      <c r="BP124" s="3431">
        <f t="shared" ref="BP124:CA124" si="246">SUM(BP125:BP125)</f>
        <v>0</v>
      </c>
      <c r="BQ124" s="3431">
        <f t="shared" si="246"/>
        <v>0</v>
      </c>
      <c r="BR124" s="3431">
        <f t="shared" si="246"/>
        <v>0</v>
      </c>
      <c r="BS124" s="3431">
        <f t="shared" si="246"/>
        <v>0</v>
      </c>
      <c r="BT124" s="3431">
        <f t="shared" si="246"/>
        <v>0</v>
      </c>
      <c r="BU124" s="3431">
        <f t="shared" si="246"/>
        <v>0</v>
      </c>
      <c r="BV124" s="3431">
        <f t="shared" si="246"/>
        <v>0</v>
      </c>
      <c r="BW124" s="3431">
        <f t="shared" si="246"/>
        <v>0</v>
      </c>
      <c r="BX124" s="3431">
        <f>SUM(BX125:BX125)</f>
        <v>0</v>
      </c>
      <c r="BY124" s="3431">
        <f>SUM(BY125:BY125)</f>
        <v>0</v>
      </c>
      <c r="BZ124" s="3431">
        <f t="shared" si="246"/>
        <v>0</v>
      </c>
      <c r="CA124" s="3431">
        <f t="shared" si="246"/>
        <v>0</v>
      </c>
      <c r="CB124" s="3431">
        <f t="shared" si="162"/>
        <v>0</v>
      </c>
      <c r="CC124" s="1037"/>
      <c r="CD124" s="3431">
        <f t="shared" ref="CD124:CO124" si="247">SUM(CD125:CD125)</f>
        <v>0</v>
      </c>
      <c r="CE124" s="3431">
        <f t="shared" si="247"/>
        <v>0</v>
      </c>
      <c r="CF124" s="3431">
        <f t="shared" si="247"/>
        <v>44200</v>
      </c>
      <c r="CG124" s="3431">
        <f t="shared" si="247"/>
        <v>0</v>
      </c>
      <c r="CH124" s="3431">
        <f t="shared" si="247"/>
        <v>0</v>
      </c>
      <c r="CI124" s="3431">
        <f t="shared" si="247"/>
        <v>66300</v>
      </c>
      <c r="CJ124" s="3431">
        <f t="shared" si="247"/>
        <v>0</v>
      </c>
      <c r="CK124" s="3431">
        <f t="shared" si="247"/>
        <v>0</v>
      </c>
      <c r="CL124" s="3431">
        <f t="shared" si="247"/>
        <v>66300</v>
      </c>
      <c r="CM124" s="3431">
        <f t="shared" si="247"/>
        <v>0</v>
      </c>
      <c r="CN124" s="3431">
        <f t="shared" si="247"/>
        <v>44200</v>
      </c>
      <c r="CO124" s="3431">
        <f t="shared" si="247"/>
        <v>0</v>
      </c>
      <c r="CP124" s="3431">
        <f t="shared" si="164"/>
        <v>221000</v>
      </c>
      <c r="CQ124" s="1037"/>
      <c r="CR124" s="3431">
        <f t="shared" ref="CR124:DC124" si="248">SUM(CR125:CR125)</f>
        <v>0</v>
      </c>
      <c r="CS124" s="3431">
        <f t="shared" si="248"/>
        <v>0</v>
      </c>
      <c r="CT124" s="3431">
        <f t="shared" si="248"/>
        <v>0</v>
      </c>
      <c r="CU124" s="3431">
        <f t="shared" si="248"/>
        <v>0</v>
      </c>
      <c r="CV124" s="3431">
        <f t="shared" si="248"/>
        <v>0</v>
      </c>
      <c r="CW124" s="3431">
        <f t="shared" si="248"/>
        <v>0</v>
      </c>
      <c r="CX124" s="3431">
        <f t="shared" si="248"/>
        <v>0</v>
      </c>
      <c r="CY124" s="3431">
        <f t="shared" si="248"/>
        <v>0</v>
      </c>
      <c r="CZ124" s="3431">
        <f t="shared" si="248"/>
        <v>0</v>
      </c>
      <c r="DA124" s="3431">
        <f t="shared" si="248"/>
        <v>0</v>
      </c>
      <c r="DB124" s="3431">
        <f t="shared" si="248"/>
        <v>0</v>
      </c>
      <c r="DC124" s="3431">
        <f t="shared" si="248"/>
        <v>0</v>
      </c>
      <c r="DD124" s="3431">
        <f t="shared" si="165"/>
        <v>0</v>
      </c>
      <c r="DE124" s="1037"/>
      <c r="DF124" s="3431">
        <f>SUM(DF125:DF125)</f>
        <v>0</v>
      </c>
      <c r="DG124" s="3431">
        <f>SUM(DG125:DG125)</f>
        <v>0</v>
      </c>
      <c r="DH124" s="3431">
        <f>SUM(DH125:DH125)</f>
        <v>0</v>
      </c>
      <c r="DI124" s="3431">
        <f t="shared" si="163"/>
        <v>0</v>
      </c>
      <c r="DJ124" s="3542">
        <f t="shared" si="135"/>
        <v>221000</v>
      </c>
      <c r="DK124" s="3414"/>
      <c r="DL124" s="3546">
        <f t="shared" si="129"/>
        <v>0</v>
      </c>
      <c r="DM124" s="3414"/>
      <c r="DN124" s="2725" t="s">
        <v>1175</v>
      </c>
      <c r="DO124" s="2726" t="s">
        <v>1175</v>
      </c>
      <c r="DP124" s="2726"/>
      <c r="DQ124" s="2726" t="s">
        <v>1175</v>
      </c>
      <c r="DR124" s="2726" t="str">
        <f t="shared" si="166"/>
        <v>1</v>
      </c>
      <c r="DS124" s="1037"/>
      <c r="DT124" s="1037"/>
      <c r="DU124" s="3414"/>
      <c r="DV124" s="3414"/>
      <c r="DW124" s="3414"/>
      <c r="DX124" s="3414"/>
      <c r="DY124" s="3414"/>
      <c r="DZ124" s="3414"/>
    </row>
    <row r="125" spans="1:130" s="2051" customFormat="1" ht="45" hidden="1" outlineLevel="4">
      <c r="A125" s="3393"/>
      <c r="B125" s="3865"/>
      <c r="C125" s="3309" t="s">
        <v>813</v>
      </c>
      <c r="D125" s="3310" t="s">
        <v>815</v>
      </c>
      <c r="E125" s="3434"/>
      <c r="F125" s="3435" t="s">
        <v>815</v>
      </c>
      <c r="G125" s="3436"/>
      <c r="H125" s="3437" t="s">
        <v>1349</v>
      </c>
      <c r="I125" s="3359"/>
      <c r="J125" s="3359"/>
      <c r="K125" s="1037"/>
      <c r="L125" s="3359" t="s">
        <v>216</v>
      </c>
      <c r="M125" s="3360"/>
      <c r="N125" s="3360"/>
      <c r="O125" s="3360"/>
      <c r="P125" s="3360"/>
      <c r="Q125" s="3360"/>
      <c r="R125" s="3360"/>
      <c r="S125" s="3360"/>
      <c r="T125" s="3360"/>
      <c r="U125" s="3360"/>
      <c r="V125" s="1037"/>
      <c r="W125" s="3351" t="s">
        <v>838</v>
      </c>
      <c r="X125" s="3371" t="s">
        <v>1075</v>
      </c>
      <c r="Y125" s="3438" t="s">
        <v>1198</v>
      </c>
      <c r="Z125" s="3339">
        <v>78</v>
      </c>
      <c r="AA125" s="3292"/>
      <c r="AB125" s="3362"/>
      <c r="AC125" s="1037"/>
      <c r="AD125" s="3355" t="s">
        <v>1179</v>
      </c>
      <c r="AE125" s="3439">
        <v>1</v>
      </c>
      <c r="AF125" s="3439">
        <v>10</v>
      </c>
      <c r="AG125" s="3439"/>
      <c r="AH125" s="3352">
        <f>221000</f>
        <v>221000</v>
      </c>
      <c r="AI125" s="3440">
        <f>AE125*AH125</f>
        <v>221000</v>
      </c>
      <c r="AJ125" s="3867"/>
      <c r="AK125" s="1037"/>
      <c r="AL125" s="3857">
        <f>+AI125</f>
        <v>221000</v>
      </c>
      <c r="AM125" s="3857"/>
      <c r="AN125" s="3857">
        <f t="shared" si="124"/>
        <v>221000</v>
      </c>
      <c r="AO125" s="1037"/>
      <c r="AP125" s="3857"/>
      <c r="AQ125" s="3857"/>
      <c r="AR125" s="3857"/>
      <c r="AS125" s="3857"/>
      <c r="AT125" s="3857"/>
      <c r="AU125" s="3857"/>
      <c r="AV125" s="3857"/>
      <c r="AW125" s="3857"/>
      <c r="AX125" s="3857"/>
      <c r="AY125" s="3857"/>
      <c r="AZ125" s="3857">
        <f t="shared" si="160"/>
        <v>0</v>
      </c>
      <c r="BA125" s="1037"/>
      <c r="BB125" s="3857"/>
      <c r="BC125" s="3857"/>
      <c r="BD125" s="3857"/>
      <c r="BE125" s="3857"/>
      <c r="BF125" s="3857"/>
      <c r="BG125" s="3857"/>
      <c r="BH125" s="3857"/>
      <c r="BI125" s="3857"/>
      <c r="BJ125" s="3857"/>
      <c r="BK125" s="3857"/>
      <c r="BL125" s="3857"/>
      <c r="BM125" s="3857"/>
      <c r="BN125" s="3857">
        <f t="shared" si="161"/>
        <v>0</v>
      </c>
      <c r="BO125" s="1037"/>
      <c r="BP125" s="3857"/>
      <c r="BQ125" s="3857"/>
      <c r="BR125" s="3857"/>
      <c r="BS125" s="3857"/>
      <c r="BT125" s="3857"/>
      <c r="BU125" s="3857"/>
      <c r="BV125" s="3857"/>
      <c r="BW125" s="3857"/>
      <c r="BX125" s="3857"/>
      <c r="BY125" s="3857"/>
      <c r="BZ125" s="3857"/>
      <c r="CA125" s="3857"/>
      <c r="CB125" s="3857">
        <f t="shared" si="162"/>
        <v>0</v>
      </c>
      <c r="CC125" s="1037"/>
      <c r="CD125" s="3857"/>
      <c r="CE125" s="3857"/>
      <c r="CF125" s="3857">
        <f>+$AL125*20%</f>
        <v>44200</v>
      </c>
      <c r="CG125" s="3857"/>
      <c r="CH125" s="3857"/>
      <c r="CI125" s="3857">
        <f>+$AL125*30%</f>
        <v>66300</v>
      </c>
      <c r="CJ125" s="3857"/>
      <c r="CK125" s="3857"/>
      <c r="CL125" s="3857">
        <f>+$AL125*30%</f>
        <v>66300</v>
      </c>
      <c r="CM125" s="3857"/>
      <c r="CN125" s="3857">
        <f>+$AL125*20%</f>
        <v>44200</v>
      </c>
      <c r="CO125" s="3857"/>
      <c r="CP125" s="3857">
        <f t="shared" si="164"/>
        <v>221000</v>
      </c>
      <c r="CQ125" s="1037"/>
      <c r="CR125" s="3857"/>
      <c r="CS125" s="3857"/>
      <c r="CT125" s="3857"/>
      <c r="CU125" s="3857"/>
      <c r="CV125" s="3857"/>
      <c r="CW125" s="3857"/>
      <c r="CX125" s="3857"/>
      <c r="CY125" s="3857"/>
      <c r="CZ125" s="3857"/>
      <c r="DA125" s="3857"/>
      <c r="DB125" s="3857"/>
      <c r="DC125" s="3857"/>
      <c r="DD125" s="3857">
        <f t="shared" si="165"/>
        <v>0</v>
      </c>
      <c r="DE125" s="1037"/>
      <c r="DF125" s="3857"/>
      <c r="DG125" s="3857"/>
      <c r="DH125" s="3857"/>
      <c r="DI125" s="3850">
        <f t="shared" si="163"/>
        <v>0</v>
      </c>
      <c r="DJ125" s="3861">
        <f t="shared" si="135"/>
        <v>221000</v>
      </c>
      <c r="DK125" s="3852"/>
      <c r="DL125" s="3864">
        <f t="shared" si="129"/>
        <v>0</v>
      </c>
      <c r="DM125" s="3393"/>
      <c r="DN125" s="3833" t="s">
        <v>1346</v>
      </c>
      <c r="DO125" s="3833" t="s">
        <v>1347</v>
      </c>
      <c r="DP125" s="3833" t="s">
        <v>1115</v>
      </c>
      <c r="DQ125" s="3833" t="s">
        <v>4</v>
      </c>
      <c r="DR125" s="3833" t="str">
        <f t="shared" si="166"/>
        <v>1</v>
      </c>
      <c r="DS125" s="1037"/>
      <c r="DT125" s="1037"/>
      <c r="DU125" s="3393"/>
      <c r="DV125" s="3393"/>
      <c r="DW125" s="3393"/>
      <c r="DX125" s="3393"/>
      <c r="DY125" s="3393"/>
      <c r="DZ125" s="3393"/>
    </row>
    <row r="126" spans="1:130" s="2051" customFormat="1" hidden="1" outlineLevel="4">
      <c r="A126" s="3393"/>
      <c r="B126" s="3982"/>
      <c r="C126" s="3309"/>
      <c r="D126" s="3310"/>
      <c r="E126" s="3434"/>
      <c r="F126" s="3435"/>
      <c r="G126" s="3436"/>
      <c r="H126" s="3443"/>
      <c r="I126" s="3359"/>
      <c r="J126" s="3359"/>
      <c r="K126" s="1037"/>
      <c r="L126" s="3359"/>
      <c r="M126" s="3360"/>
      <c r="N126" s="3360"/>
      <c r="O126" s="3360"/>
      <c r="P126" s="3360"/>
      <c r="Q126" s="3360"/>
      <c r="R126" s="3360"/>
      <c r="S126" s="3360"/>
      <c r="T126" s="3360"/>
      <c r="U126" s="3360"/>
      <c r="V126" s="1037"/>
      <c r="W126" s="3351"/>
      <c r="X126" s="3351"/>
      <c r="Y126" s="3351"/>
      <c r="Z126" s="3339"/>
      <c r="AA126" s="3292"/>
      <c r="AB126" s="3354"/>
      <c r="AC126" s="1037"/>
      <c r="AD126" s="3444"/>
      <c r="AE126" s="3445"/>
      <c r="AF126" s="3445"/>
      <c r="AG126" s="3445"/>
      <c r="AH126" s="3446"/>
      <c r="AI126" s="3447"/>
      <c r="AJ126" s="3948"/>
      <c r="AK126" s="1037"/>
      <c r="AL126" s="3858"/>
      <c r="AM126" s="3858"/>
      <c r="AN126" s="3858"/>
      <c r="AO126" s="1037"/>
      <c r="AP126" s="3858"/>
      <c r="AQ126" s="3858"/>
      <c r="AR126" s="3858"/>
      <c r="AS126" s="3858"/>
      <c r="AT126" s="3858"/>
      <c r="AU126" s="3858"/>
      <c r="AV126" s="3858"/>
      <c r="AW126" s="3858"/>
      <c r="AX126" s="3858"/>
      <c r="AY126" s="3858"/>
      <c r="AZ126" s="3858">
        <f t="shared" si="160"/>
        <v>0</v>
      </c>
      <c r="BA126" s="1037"/>
      <c r="BB126" s="3858"/>
      <c r="BC126" s="3858"/>
      <c r="BD126" s="3858"/>
      <c r="BE126" s="3858"/>
      <c r="BF126" s="3858"/>
      <c r="BG126" s="3858"/>
      <c r="BH126" s="3858"/>
      <c r="BI126" s="3858"/>
      <c r="BJ126" s="3858"/>
      <c r="BK126" s="3858"/>
      <c r="BL126" s="3858"/>
      <c r="BM126" s="3858"/>
      <c r="BN126" s="3858">
        <f t="shared" si="161"/>
        <v>0</v>
      </c>
      <c r="BO126" s="1037"/>
      <c r="BP126" s="3858"/>
      <c r="BQ126" s="3858"/>
      <c r="BR126" s="3858"/>
      <c r="BS126" s="3858"/>
      <c r="BT126" s="3858"/>
      <c r="BU126" s="3858"/>
      <c r="BV126" s="3858"/>
      <c r="BW126" s="3858"/>
      <c r="BX126" s="3858"/>
      <c r="BY126" s="3858"/>
      <c r="BZ126" s="3858"/>
      <c r="CA126" s="3858"/>
      <c r="CB126" s="3858">
        <f t="shared" si="162"/>
        <v>0</v>
      </c>
      <c r="CC126" s="1037"/>
      <c r="CD126" s="3858"/>
      <c r="CE126" s="3858"/>
      <c r="CF126" s="3858"/>
      <c r="CG126" s="3858"/>
      <c r="CH126" s="3858"/>
      <c r="CI126" s="3858"/>
      <c r="CJ126" s="3858"/>
      <c r="CK126" s="3858"/>
      <c r="CL126" s="3858"/>
      <c r="CM126" s="3858"/>
      <c r="CN126" s="3858"/>
      <c r="CO126" s="3858"/>
      <c r="CP126" s="3858">
        <f t="shared" si="164"/>
        <v>0</v>
      </c>
      <c r="CQ126" s="1037"/>
      <c r="CR126" s="3858"/>
      <c r="CS126" s="3858"/>
      <c r="CT126" s="3858"/>
      <c r="CU126" s="3858"/>
      <c r="CV126" s="3858"/>
      <c r="CW126" s="3858"/>
      <c r="CX126" s="3858"/>
      <c r="CY126" s="3858"/>
      <c r="CZ126" s="3858"/>
      <c r="DA126" s="3858"/>
      <c r="DB126" s="3858"/>
      <c r="DC126" s="3858"/>
      <c r="DD126" s="3858">
        <f t="shared" si="165"/>
        <v>0</v>
      </c>
      <c r="DE126" s="1037"/>
      <c r="DF126" s="3858"/>
      <c r="DG126" s="3858"/>
      <c r="DH126" s="3858"/>
      <c r="DI126" s="3860">
        <f t="shared" si="163"/>
        <v>0</v>
      </c>
      <c r="DJ126" s="3862">
        <f t="shared" si="135"/>
        <v>0</v>
      </c>
      <c r="DK126" s="3852"/>
      <c r="DL126" s="3864">
        <f t="shared" si="129"/>
        <v>0</v>
      </c>
      <c r="DM126" s="3393"/>
      <c r="DN126" s="3833"/>
      <c r="DO126" s="3833"/>
      <c r="DP126" s="3833"/>
      <c r="DQ126" s="3833"/>
      <c r="DR126" s="3833" t="str">
        <f t="shared" si="166"/>
        <v/>
      </c>
      <c r="DS126" s="1037"/>
      <c r="DT126" s="1037"/>
      <c r="DU126" s="3393"/>
      <c r="DV126" s="3393"/>
      <c r="DW126" s="3393"/>
      <c r="DX126" s="3393"/>
      <c r="DY126" s="3393"/>
      <c r="DZ126" s="3393"/>
    </row>
    <row r="127" spans="1:130" s="2051" customFormat="1" hidden="1" outlineLevel="4">
      <c r="A127" s="3393"/>
      <c r="B127" s="3982"/>
      <c r="C127" s="3309"/>
      <c r="D127" s="3310"/>
      <c r="E127" s="3434"/>
      <c r="F127" s="3435"/>
      <c r="G127" s="3436"/>
      <c r="H127" s="3443"/>
      <c r="I127" s="3359"/>
      <c r="J127" s="3359"/>
      <c r="K127" s="1037"/>
      <c r="L127" s="3359"/>
      <c r="M127" s="3360"/>
      <c r="N127" s="3360"/>
      <c r="O127" s="3360"/>
      <c r="P127" s="3360"/>
      <c r="Q127" s="3360"/>
      <c r="R127" s="3360"/>
      <c r="S127" s="3360"/>
      <c r="T127" s="3360"/>
      <c r="U127" s="3360"/>
      <c r="V127" s="1037"/>
      <c r="W127" s="3351"/>
      <c r="X127" s="3351"/>
      <c r="Y127" s="3351"/>
      <c r="Z127" s="3339"/>
      <c r="AA127" s="3292"/>
      <c r="AB127" s="3354"/>
      <c r="AC127" s="1037"/>
      <c r="AD127" s="3444"/>
      <c r="AE127" s="3445"/>
      <c r="AF127" s="3445"/>
      <c r="AG127" s="3445"/>
      <c r="AH127" s="3446"/>
      <c r="AI127" s="3447"/>
      <c r="AJ127" s="3948"/>
      <c r="AK127" s="1037"/>
      <c r="AL127" s="3858"/>
      <c r="AM127" s="3858"/>
      <c r="AN127" s="3858"/>
      <c r="AO127" s="1037"/>
      <c r="AP127" s="3858"/>
      <c r="AQ127" s="3858"/>
      <c r="AR127" s="3858"/>
      <c r="AS127" s="3858"/>
      <c r="AT127" s="3858"/>
      <c r="AU127" s="3858"/>
      <c r="AV127" s="3858"/>
      <c r="AW127" s="3858"/>
      <c r="AX127" s="3858"/>
      <c r="AY127" s="3858"/>
      <c r="AZ127" s="3858">
        <f t="shared" si="160"/>
        <v>0</v>
      </c>
      <c r="BA127" s="1037"/>
      <c r="BB127" s="3858"/>
      <c r="BC127" s="3858"/>
      <c r="BD127" s="3858"/>
      <c r="BE127" s="3858"/>
      <c r="BF127" s="3858"/>
      <c r="BG127" s="3858"/>
      <c r="BH127" s="3858"/>
      <c r="BI127" s="3858"/>
      <c r="BJ127" s="3858"/>
      <c r="BK127" s="3858"/>
      <c r="BL127" s="3858"/>
      <c r="BM127" s="3858"/>
      <c r="BN127" s="3858">
        <f t="shared" si="161"/>
        <v>0</v>
      </c>
      <c r="BO127" s="1037"/>
      <c r="BP127" s="3858"/>
      <c r="BQ127" s="3858"/>
      <c r="BR127" s="3858"/>
      <c r="BS127" s="3858"/>
      <c r="BT127" s="3858"/>
      <c r="BU127" s="3858"/>
      <c r="BV127" s="3858"/>
      <c r="BW127" s="3858"/>
      <c r="BX127" s="3858"/>
      <c r="BY127" s="3858"/>
      <c r="BZ127" s="3858"/>
      <c r="CA127" s="3858"/>
      <c r="CB127" s="3858">
        <f t="shared" si="162"/>
        <v>0</v>
      </c>
      <c r="CC127" s="1037"/>
      <c r="CD127" s="3858"/>
      <c r="CE127" s="3858"/>
      <c r="CF127" s="3858"/>
      <c r="CG127" s="3858"/>
      <c r="CH127" s="3858"/>
      <c r="CI127" s="3858"/>
      <c r="CJ127" s="3858"/>
      <c r="CK127" s="3858"/>
      <c r="CL127" s="3858"/>
      <c r="CM127" s="3858"/>
      <c r="CN127" s="3858"/>
      <c r="CO127" s="3858"/>
      <c r="CP127" s="3858">
        <f t="shared" si="164"/>
        <v>0</v>
      </c>
      <c r="CQ127" s="1037"/>
      <c r="CR127" s="3858"/>
      <c r="CS127" s="3858"/>
      <c r="CT127" s="3858"/>
      <c r="CU127" s="3858"/>
      <c r="CV127" s="3858"/>
      <c r="CW127" s="3858"/>
      <c r="CX127" s="3858"/>
      <c r="CY127" s="3858"/>
      <c r="CZ127" s="3858"/>
      <c r="DA127" s="3858"/>
      <c r="DB127" s="3858"/>
      <c r="DC127" s="3858"/>
      <c r="DD127" s="3858">
        <f t="shared" si="165"/>
        <v>0</v>
      </c>
      <c r="DE127" s="1037"/>
      <c r="DF127" s="3858"/>
      <c r="DG127" s="3858"/>
      <c r="DH127" s="3858"/>
      <c r="DI127" s="3860">
        <f t="shared" si="163"/>
        <v>0</v>
      </c>
      <c r="DJ127" s="3862">
        <f t="shared" si="135"/>
        <v>0</v>
      </c>
      <c r="DK127" s="3852"/>
      <c r="DL127" s="3864">
        <f t="shared" si="129"/>
        <v>0</v>
      </c>
      <c r="DM127" s="3393"/>
      <c r="DN127" s="3833"/>
      <c r="DO127" s="3833"/>
      <c r="DP127" s="3833"/>
      <c r="DQ127" s="3833"/>
      <c r="DR127" s="3833" t="str">
        <f t="shared" si="166"/>
        <v/>
      </c>
      <c r="DS127" s="1037"/>
      <c r="DT127" s="1037"/>
      <c r="DU127" s="3393"/>
      <c r="DV127" s="3393"/>
      <c r="DW127" s="3393"/>
      <c r="DX127" s="3393"/>
      <c r="DY127" s="3393"/>
      <c r="DZ127" s="3393"/>
    </row>
    <row r="128" spans="1:130" s="2050" customFormat="1" hidden="1" outlineLevel="4" collapsed="1">
      <c r="A128" s="3393"/>
      <c r="B128" s="3866"/>
      <c r="C128" s="3309"/>
      <c r="D128" s="3310"/>
      <c r="E128" s="3434"/>
      <c r="F128" s="3435"/>
      <c r="G128" s="3436"/>
      <c r="H128" s="3443"/>
      <c r="I128" s="3359"/>
      <c r="J128" s="3359"/>
      <c r="K128" s="1037"/>
      <c r="L128" s="3359"/>
      <c r="M128" s="3360"/>
      <c r="N128" s="3360"/>
      <c r="O128" s="3360"/>
      <c r="P128" s="3360"/>
      <c r="Q128" s="3360"/>
      <c r="R128" s="3360"/>
      <c r="S128" s="3360"/>
      <c r="T128" s="3360"/>
      <c r="U128" s="3360"/>
      <c r="V128" s="1037"/>
      <c r="W128" s="3351"/>
      <c r="X128" s="3351"/>
      <c r="Y128" s="3351"/>
      <c r="Z128" s="3339"/>
      <c r="AA128" s="3292"/>
      <c r="AB128" s="3354"/>
      <c r="AC128" s="1037"/>
      <c r="AD128" s="3448"/>
      <c r="AE128" s="3386"/>
      <c r="AF128" s="3386"/>
      <c r="AG128" s="3386"/>
      <c r="AH128" s="3449"/>
      <c r="AI128" s="3450"/>
      <c r="AJ128" s="3868"/>
      <c r="AK128" s="1037"/>
      <c r="AL128" s="3859"/>
      <c r="AM128" s="3859"/>
      <c r="AN128" s="3859"/>
      <c r="AO128" s="1037"/>
      <c r="AP128" s="3859"/>
      <c r="AQ128" s="3859"/>
      <c r="AR128" s="3859"/>
      <c r="AS128" s="3859"/>
      <c r="AT128" s="3859"/>
      <c r="AU128" s="3859"/>
      <c r="AV128" s="3859"/>
      <c r="AW128" s="3859"/>
      <c r="AX128" s="3859"/>
      <c r="AY128" s="3859"/>
      <c r="AZ128" s="3859">
        <f t="shared" si="160"/>
        <v>0</v>
      </c>
      <c r="BA128" s="1037"/>
      <c r="BB128" s="3859"/>
      <c r="BC128" s="3859"/>
      <c r="BD128" s="3859"/>
      <c r="BE128" s="3859"/>
      <c r="BF128" s="3859"/>
      <c r="BG128" s="3859"/>
      <c r="BH128" s="3859"/>
      <c r="BI128" s="3859"/>
      <c r="BJ128" s="3859"/>
      <c r="BK128" s="3859"/>
      <c r="BL128" s="3859"/>
      <c r="BM128" s="3859"/>
      <c r="BN128" s="3859">
        <f t="shared" si="161"/>
        <v>0</v>
      </c>
      <c r="BO128" s="1037"/>
      <c r="BP128" s="3859"/>
      <c r="BQ128" s="3859"/>
      <c r="BR128" s="3859"/>
      <c r="BS128" s="3859"/>
      <c r="BT128" s="3859"/>
      <c r="BU128" s="3859"/>
      <c r="BV128" s="3859"/>
      <c r="BW128" s="3859"/>
      <c r="BX128" s="3859"/>
      <c r="BY128" s="3859"/>
      <c r="BZ128" s="3859"/>
      <c r="CA128" s="3859"/>
      <c r="CB128" s="3859">
        <f t="shared" si="162"/>
        <v>0</v>
      </c>
      <c r="CC128" s="1037"/>
      <c r="CD128" s="3859"/>
      <c r="CE128" s="3859"/>
      <c r="CF128" s="3859"/>
      <c r="CG128" s="3859"/>
      <c r="CH128" s="3859"/>
      <c r="CI128" s="3859"/>
      <c r="CJ128" s="3859"/>
      <c r="CK128" s="3859"/>
      <c r="CL128" s="3859"/>
      <c r="CM128" s="3859"/>
      <c r="CN128" s="3859"/>
      <c r="CO128" s="3859"/>
      <c r="CP128" s="3859">
        <f t="shared" si="164"/>
        <v>0</v>
      </c>
      <c r="CQ128" s="1037"/>
      <c r="CR128" s="3859"/>
      <c r="CS128" s="3859"/>
      <c r="CT128" s="3859"/>
      <c r="CU128" s="3859"/>
      <c r="CV128" s="3859"/>
      <c r="CW128" s="3859"/>
      <c r="CX128" s="3859"/>
      <c r="CY128" s="3859"/>
      <c r="CZ128" s="3859"/>
      <c r="DA128" s="3859"/>
      <c r="DB128" s="3859"/>
      <c r="DC128" s="3859"/>
      <c r="DD128" s="3859">
        <f t="shared" si="165"/>
        <v>0</v>
      </c>
      <c r="DE128" s="1037"/>
      <c r="DF128" s="3859"/>
      <c r="DG128" s="3859"/>
      <c r="DH128" s="3859"/>
      <c r="DI128" s="3851">
        <f t="shared" si="163"/>
        <v>0</v>
      </c>
      <c r="DJ128" s="3863">
        <f t="shared" si="135"/>
        <v>0</v>
      </c>
      <c r="DK128" s="3852"/>
      <c r="DL128" s="3864">
        <f t="shared" si="129"/>
        <v>0</v>
      </c>
      <c r="DM128" s="3393"/>
      <c r="DN128" s="3834"/>
      <c r="DO128" s="3834"/>
      <c r="DP128" s="3834"/>
      <c r="DQ128" s="3834"/>
      <c r="DR128" s="3834" t="str">
        <f t="shared" si="166"/>
        <v/>
      </c>
      <c r="DS128" s="1037"/>
      <c r="DT128" s="1037"/>
      <c r="DU128" s="3393"/>
      <c r="DV128" s="3393"/>
      <c r="DW128" s="3393"/>
      <c r="DX128" s="3393"/>
      <c r="DY128" s="3393"/>
      <c r="DZ128" s="3393"/>
    </row>
    <row r="129" spans="1:130" s="2051" customFormat="1" ht="15" hidden="1" outlineLevel="3">
      <c r="A129" s="3414"/>
      <c r="B129" s="3422"/>
      <c r="C129" s="3306" t="s">
        <v>823</v>
      </c>
      <c r="D129" s="2941" t="s">
        <v>823</v>
      </c>
      <c r="E129" s="3367"/>
      <c r="F129" s="3423" t="s">
        <v>823</v>
      </c>
      <c r="G129" s="3424"/>
      <c r="H129" s="3425" t="s">
        <v>1350</v>
      </c>
      <c r="I129" s="3426"/>
      <c r="J129" s="3426"/>
      <c r="K129" s="1037"/>
      <c r="L129" s="3427"/>
      <c r="M129" s="3428"/>
      <c r="N129" s="3428"/>
      <c r="O129" s="3428"/>
      <c r="P129" s="3428"/>
      <c r="Q129" s="3428"/>
      <c r="R129" s="3428"/>
      <c r="S129" s="3428"/>
      <c r="T129" s="3428"/>
      <c r="U129" s="3428"/>
      <c r="V129" s="1037"/>
      <c r="W129" s="3427"/>
      <c r="X129" s="3427"/>
      <c r="Y129" s="3427"/>
      <c r="Z129" s="3427"/>
      <c r="AA129" s="3427"/>
      <c r="AB129" s="3426"/>
      <c r="AC129" s="1037"/>
      <c r="AD129" s="3429"/>
      <c r="AE129" s="3427"/>
      <c r="AF129" s="3427"/>
      <c r="AG129" s="3427"/>
      <c r="AH129" s="3430"/>
      <c r="AI129" s="3430">
        <f>SUM(AI130:AI130)</f>
        <v>45000</v>
      </c>
      <c r="AJ129" s="3430"/>
      <c r="AK129" s="1037"/>
      <c r="AL129" s="3430">
        <f>SUM(AL130:AL130)</f>
        <v>45000</v>
      </c>
      <c r="AM129" s="3430">
        <f>SUM(AM130:AM130)</f>
        <v>0</v>
      </c>
      <c r="AN129" s="3430">
        <f>+AL129+AM129</f>
        <v>45000</v>
      </c>
      <c r="AO129" s="1037"/>
      <c r="AP129" s="3431">
        <f t="shared" ref="AP129:AY129" si="249">SUM(AP130:AP130)</f>
        <v>0</v>
      </c>
      <c r="AQ129" s="3431">
        <f t="shared" si="249"/>
        <v>0</v>
      </c>
      <c r="AR129" s="3431">
        <f t="shared" si="249"/>
        <v>0</v>
      </c>
      <c r="AS129" s="3431">
        <f t="shared" si="249"/>
        <v>0</v>
      </c>
      <c r="AT129" s="3431">
        <f t="shared" si="249"/>
        <v>0</v>
      </c>
      <c r="AU129" s="3431">
        <f t="shared" si="249"/>
        <v>0</v>
      </c>
      <c r="AV129" s="3431">
        <f t="shared" si="249"/>
        <v>0</v>
      </c>
      <c r="AW129" s="3431">
        <f t="shared" si="249"/>
        <v>0</v>
      </c>
      <c r="AX129" s="3431">
        <f t="shared" si="249"/>
        <v>0</v>
      </c>
      <c r="AY129" s="3431">
        <f t="shared" si="249"/>
        <v>0</v>
      </c>
      <c r="AZ129" s="3431">
        <f t="shared" si="160"/>
        <v>0</v>
      </c>
      <c r="BA129" s="1037"/>
      <c r="BB129" s="3431">
        <f t="shared" ref="BB129:BM129" si="250">SUM(BB130:BB130)</f>
        <v>0</v>
      </c>
      <c r="BC129" s="3431">
        <f t="shared" si="250"/>
        <v>0</v>
      </c>
      <c r="BD129" s="3431">
        <f t="shared" si="250"/>
        <v>0</v>
      </c>
      <c r="BE129" s="3431">
        <f t="shared" si="250"/>
        <v>0</v>
      </c>
      <c r="BF129" s="3431">
        <f t="shared" si="250"/>
        <v>0</v>
      </c>
      <c r="BG129" s="3431">
        <f t="shared" si="250"/>
        <v>0</v>
      </c>
      <c r="BH129" s="3431">
        <f t="shared" si="250"/>
        <v>0</v>
      </c>
      <c r="BI129" s="3431">
        <f t="shared" si="250"/>
        <v>0</v>
      </c>
      <c r="BJ129" s="3431">
        <f t="shared" si="250"/>
        <v>0</v>
      </c>
      <c r="BK129" s="3431">
        <f t="shared" si="250"/>
        <v>0</v>
      </c>
      <c r="BL129" s="3431">
        <f t="shared" si="250"/>
        <v>0</v>
      </c>
      <c r="BM129" s="3431">
        <f t="shared" si="250"/>
        <v>0</v>
      </c>
      <c r="BN129" s="3431">
        <f t="shared" si="161"/>
        <v>0</v>
      </c>
      <c r="BO129" s="1037"/>
      <c r="BP129" s="3431">
        <f t="shared" ref="BP129:CA129" si="251">SUM(BP130:BP130)</f>
        <v>0</v>
      </c>
      <c r="BQ129" s="3431">
        <f t="shared" si="251"/>
        <v>0</v>
      </c>
      <c r="BR129" s="3431">
        <f t="shared" si="251"/>
        <v>0</v>
      </c>
      <c r="BS129" s="3431">
        <f t="shared" si="251"/>
        <v>0</v>
      </c>
      <c r="BT129" s="3431">
        <f t="shared" si="251"/>
        <v>0</v>
      </c>
      <c r="BU129" s="3431">
        <f t="shared" si="251"/>
        <v>0</v>
      </c>
      <c r="BV129" s="3431">
        <f t="shared" si="251"/>
        <v>0</v>
      </c>
      <c r="BW129" s="3431">
        <f t="shared" si="251"/>
        <v>0</v>
      </c>
      <c r="BX129" s="3431">
        <f t="shared" si="251"/>
        <v>0</v>
      </c>
      <c r="BY129" s="3431">
        <f t="shared" si="251"/>
        <v>0</v>
      </c>
      <c r="BZ129" s="3431">
        <f t="shared" si="251"/>
        <v>0</v>
      </c>
      <c r="CA129" s="3431">
        <f t="shared" si="251"/>
        <v>0</v>
      </c>
      <c r="CB129" s="3431">
        <f t="shared" si="162"/>
        <v>0</v>
      </c>
      <c r="CC129" s="1037"/>
      <c r="CD129" s="3431">
        <f t="shared" ref="CD129:CO129" si="252">SUM(CD130:CD130)</f>
        <v>0</v>
      </c>
      <c r="CE129" s="3431">
        <f t="shared" si="252"/>
        <v>9000</v>
      </c>
      <c r="CF129" s="3431">
        <f t="shared" si="252"/>
        <v>0</v>
      </c>
      <c r="CG129" s="3431">
        <f t="shared" si="252"/>
        <v>13500</v>
      </c>
      <c r="CH129" s="3431">
        <f t="shared" si="252"/>
        <v>0</v>
      </c>
      <c r="CI129" s="3431">
        <f t="shared" si="252"/>
        <v>13500</v>
      </c>
      <c r="CJ129" s="3431">
        <f t="shared" si="252"/>
        <v>0</v>
      </c>
      <c r="CK129" s="3431">
        <f t="shared" si="252"/>
        <v>9000</v>
      </c>
      <c r="CL129" s="3431">
        <f t="shared" si="252"/>
        <v>0</v>
      </c>
      <c r="CM129" s="3431">
        <f t="shared" si="252"/>
        <v>0</v>
      </c>
      <c r="CN129" s="3431">
        <f t="shared" si="252"/>
        <v>0</v>
      </c>
      <c r="CO129" s="3431">
        <f t="shared" si="252"/>
        <v>0</v>
      </c>
      <c r="CP129" s="3431">
        <f t="shared" si="164"/>
        <v>45000</v>
      </c>
      <c r="CQ129" s="1037"/>
      <c r="CR129" s="3431">
        <f t="shared" ref="CR129:DC129" si="253">SUM(CR130:CR130)</f>
        <v>0</v>
      </c>
      <c r="CS129" s="3431">
        <f t="shared" si="253"/>
        <v>0</v>
      </c>
      <c r="CT129" s="3431">
        <f t="shared" si="253"/>
        <v>0</v>
      </c>
      <c r="CU129" s="3431">
        <f t="shared" si="253"/>
        <v>0</v>
      </c>
      <c r="CV129" s="3431">
        <f t="shared" si="253"/>
        <v>0</v>
      </c>
      <c r="CW129" s="3431">
        <f t="shared" si="253"/>
        <v>0</v>
      </c>
      <c r="CX129" s="3431">
        <f t="shared" si="253"/>
        <v>0</v>
      </c>
      <c r="CY129" s="3431">
        <f t="shared" si="253"/>
        <v>0</v>
      </c>
      <c r="CZ129" s="3431">
        <f t="shared" si="253"/>
        <v>0</v>
      </c>
      <c r="DA129" s="3431">
        <f t="shared" si="253"/>
        <v>0</v>
      </c>
      <c r="DB129" s="3431">
        <f t="shared" si="253"/>
        <v>0</v>
      </c>
      <c r="DC129" s="3431">
        <f t="shared" si="253"/>
        <v>0</v>
      </c>
      <c r="DD129" s="3431">
        <f t="shared" si="165"/>
        <v>0</v>
      </c>
      <c r="DE129" s="1037"/>
      <c r="DF129" s="3431">
        <f>SUM(DF130:DF130)</f>
        <v>0</v>
      </c>
      <c r="DG129" s="3431">
        <f>SUM(DG130:DG130)</f>
        <v>0</v>
      </c>
      <c r="DH129" s="3431">
        <f>SUM(DH130:DH130)</f>
        <v>0</v>
      </c>
      <c r="DI129" s="3431">
        <f t="shared" si="163"/>
        <v>0</v>
      </c>
      <c r="DJ129" s="3432">
        <f t="shared" si="135"/>
        <v>45000</v>
      </c>
      <c r="DK129" s="3414"/>
      <c r="DL129" s="3546">
        <f t="shared" si="129"/>
        <v>0</v>
      </c>
      <c r="DM129" s="3414"/>
      <c r="DN129" s="2725" t="s">
        <v>1175</v>
      </c>
      <c r="DO129" s="2726" t="s">
        <v>1175</v>
      </c>
      <c r="DP129" s="2726"/>
      <c r="DQ129" s="2726" t="s">
        <v>1175</v>
      </c>
      <c r="DR129" s="2726" t="str">
        <f t="shared" si="166"/>
        <v>1</v>
      </c>
      <c r="DS129" s="1037"/>
      <c r="DT129" s="1037"/>
      <c r="DU129" s="3414"/>
      <c r="DV129" s="3414"/>
      <c r="DW129" s="3414"/>
      <c r="DX129" s="3414"/>
      <c r="DY129" s="3414"/>
      <c r="DZ129" s="3414"/>
    </row>
    <row r="130" spans="1:130" s="2050" customFormat="1" ht="30" hidden="1" outlineLevel="4" collapsed="1">
      <c r="A130" s="3393"/>
      <c r="B130" s="3433"/>
      <c r="C130" s="3309" t="s">
        <v>825</v>
      </c>
      <c r="D130" s="3310" t="s">
        <v>825</v>
      </c>
      <c r="E130" s="3434"/>
      <c r="F130" s="3435" t="s">
        <v>825</v>
      </c>
      <c r="G130" s="3436"/>
      <c r="H130" s="3437" t="s">
        <v>1351</v>
      </c>
      <c r="I130" s="3359"/>
      <c r="J130" s="3359"/>
      <c r="K130" s="1037"/>
      <c r="L130" s="3359" t="s">
        <v>216</v>
      </c>
      <c r="M130" s="3360"/>
      <c r="N130" s="3360"/>
      <c r="O130" s="3360"/>
      <c r="P130" s="3360"/>
      <c r="Q130" s="3360"/>
      <c r="R130" s="3360"/>
      <c r="S130" s="3360"/>
      <c r="T130" s="3360"/>
      <c r="U130" s="3360"/>
      <c r="V130" s="1037"/>
      <c r="W130" s="3351" t="s">
        <v>763</v>
      </c>
      <c r="X130" s="3292" t="s">
        <v>1075</v>
      </c>
      <c r="Y130" s="3351" t="s">
        <v>1289</v>
      </c>
      <c r="Z130" s="3339">
        <v>79</v>
      </c>
      <c r="AA130" s="3292"/>
      <c r="AB130" s="3362"/>
      <c r="AC130" s="1037"/>
      <c r="AD130" s="3359" t="s">
        <v>1179</v>
      </c>
      <c r="AE130" s="3395">
        <v>1</v>
      </c>
      <c r="AF130" s="3395">
        <v>9</v>
      </c>
      <c r="AG130" s="3395"/>
      <c r="AH130" s="3451">
        <v>45000</v>
      </c>
      <c r="AI130" s="3441">
        <f>AE130*AH130</f>
        <v>45000</v>
      </c>
      <c r="AJ130" s="3330"/>
      <c r="AK130" s="1037"/>
      <c r="AL130" s="3441">
        <f>+AI130</f>
        <v>45000</v>
      </c>
      <c r="AM130" s="3441"/>
      <c r="AN130" s="3442">
        <f>+AL130+AM130</f>
        <v>45000</v>
      </c>
      <c r="AO130" s="1037"/>
      <c r="AP130" s="3386"/>
      <c r="AQ130" s="3386"/>
      <c r="AR130" s="3386"/>
      <c r="AS130" s="3386"/>
      <c r="AT130" s="3386"/>
      <c r="AU130" s="3386"/>
      <c r="AV130" s="3386"/>
      <c r="AW130" s="3386"/>
      <c r="AX130" s="3386"/>
      <c r="AY130" s="3386"/>
      <c r="AZ130" s="3397">
        <f t="shared" si="160"/>
        <v>0</v>
      </c>
      <c r="BA130" s="1037"/>
      <c r="BB130" s="3386"/>
      <c r="BC130" s="3386"/>
      <c r="BD130" s="3386"/>
      <c r="BE130" s="3386"/>
      <c r="BF130" s="3386"/>
      <c r="BG130" s="3386"/>
      <c r="BH130" s="3386"/>
      <c r="BI130" s="3386"/>
      <c r="BJ130" s="3386"/>
      <c r="BK130" s="3386"/>
      <c r="BL130" s="3386"/>
      <c r="BM130" s="3386"/>
      <c r="BN130" s="3389">
        <f t="shared" si="161"/>
        <v>0</v>
      </c>
      <c r="BO130" s="1037"/>
      <c r="BP130" s="3386"/>
      <c r="BQ130" s="3386"/>
      <c r="BR130" s="3387"/>
      <c r="BS130" s="3386"/>
      <c r="BT130" s="3386"/>
      <c r="BU130" s="3387"/>
      <c r="BV130" s="3387"/>
      <c r="BW130" s="3387"/>
      <c r="BX130" s="3387"/>
      <c r="BY130" s="3387"/>
      <c r="BZ130" s="3387"/>
      <c r="CA130" s="3387"/>
      <c r="CB130" s="3390">
        <f t="shared" si="162"/>
        <v>0</v>
      </c>
      <c r="CC130" s="1037"/>
      <c r="CD130" s="3387"/>
      <c r="CE130" s="3387">
        <f>+$AI130*20%</f>
        <v>9000</v>
      </c>
      <c r="CF130" s="3387"/>
      <c r="CG130" s="3387">
        <f>+$AI130*30%</f>
        <v>13500</v>
      </c>
      <c r="CH130" s="3387"/>
      <c r="CI130" s="3387">
        <f>+$AI130*30%</f>
        <v>13500</v>
      </c>
      <c r="CJ130" s="3387"/>
      <c r="CK130" s="3387">
        <f>+$AI130*20%</f>
        <v>9000</v>
      </c>
      <c r="CL130" s="3386"/>
      <c r="CM130" s="3386"/>
      <c r="CN130" s="3386"/>
      <c r="CO130" s="3386"/>
      <c r="CP130" s="3389">
        <f t="shared" si="164"/>
        <v>45000</v>
      </c>
      <c r="CQ130" s="1037"/>
      <c r="CR130" s="3386"/>
      <c r="CS130" s="3386"/>
      <c r="CT130" s="3386"/>
      <c r="CU130" s="3386"/>
      <c r="CV130" s="3386"/>
      <c r="CW130" s="3386"/>
      <c r="CX130" s="3386"/>
      <c r="CY130" s="3386"/>
      <c r="CZ130" s="3386"/>
      <c r="DA130" s="3386"/>
      <c r="DB130" s="3386"/>
      <c r="DC130" s="3386"/>
      <c r="DD130" s="3391">
        <f t="shared" si="165"/>
        <v>0</v>
      </c>
      <c r="DE130" s="1037"/>
      <c r="DF130" s="3386"/>
      <c r="DG130" s="3386"/>
      <c r="DH130" s="3386"/>
      <c r="DI130" s="3391">
        <f t="shared" si="163"/>
        <v>0</v>
      </c>
      <c r="DJ130" s="3392">
        <f t="shared" si="135"/>
        <v>45000</v>
      </c>
      <c r="DK130" s="3393"/>
      <c r="DL130" s="3546">
        <f t="shared" si="129"/>
        <v>0</v>
      </c>
      <c r="DM130" s="3393"/>
      <c r="DN130" s="2740" t="s">
        <v>1346</v>
      </c>
      <c r="DO130" s="2740" t="s">
        <v>1347</v>
      </c>
      <c r="DP130" s="2740" t="s">
        <v>1115</v>
      </c>
      <c r="DQ130" s="2740" t="s">
        <v>4</v>
      </c>
      <c r="DR130" s="2740" t="str">
        <f t="shared" si="166"/>
        <v>1</v>
      </c>
      <c r="DS130" s="1037"/>
      <c r="DT130" s="1037"/>
      <c r="DU130" s="3393"/>
      <c r="DV130" s="3393"/>
      <c r="DW130" s="3393"/>
      <c r="DX130" s="3393"/>
      <c r="DY130" s="3393"/>
      <c r="DZ130" s="3393"/>
    </row>
    <row r="131" spans="1:130" s="2051" customFormat="1" ht="31.25" hidden="1" customHeight="1" outlineLevel="3">
      <c r="A131" s="3414"/>
      <c r="B131" s="3422"/>
      <c r="C131" s="3306" t="s">
        <v>827</v>
      </c>
      <c r="D131" s="2941" t="s">
        <v>827</v>
      </c>
      <c r="E131" s="3367"/>
      <c r="F131" s="3423" t="s">
        <v>827</v>
      </c>
      <c r="G131" s="3424"/>
      <c r="H131" s="3425" t="s">
        <v>828</v>
      </c>
      <c r="I131" s="3426"/>
      <c r="J131" s="3426"/>
      <c r="K131" s="1037"/>
      <c r="L131" s="3427"/>
      <c r="M131" s="3428"/>
      <c r="N131" s="3428"/>
      <c r="O131" s="3428"/>
      <c r="P131" s="3428"/>
      <c r="Q131" s="3428"/>
      <c r="R131" s="3428"/>
      <c r="S131" s="3428"/>
      <c r="T131" s="3428"/>
      <c r="U131" s="3428"/>
      <c r="V131" s="1037"/>
      <c r="W131" s="3427"/>
      <c r="X131" s="3427"/>
      <c r="Y131" s="3427"/>
      <c r="Z131" s="3427"/>
      <c r="AA131" s="3427"/>
      <c r="AB131" s="3426"/>
      <c r="AC131" s="1037"/>
      <c r="AD131" s="3429"/>
      <c r="AE131" s="3427"/>
      <c r="AF131" s="3427"/>
      <c r="AG131" s="3427"/>
      <c r="AH131" s="3430"/>
      <c r="AI131" s="3430">
        <f>SUM(AI132:AI133)</f>
        <v>60000</v>
      </c>
      <c r="AJ131" s="3430"/>
      <c r="AK131" s="1037"/>
      <c r="AL131" s="3430">
        <f>SUM(AL132:AL133)</f>
        <v>60000</v>
      </c>
      <c r="AM131" s="3430">
        <f>SUM(AM132:AM132)</f>
        <v>0</v>
      </c>
      <c r="AN131" s="3430">
        <f t="shared" si="124"/>
        <v>60000</v>
      </c>
      <c r="AO131" s="1037"/>
      <c r="AP131" s="3431">
        <f t="shared" ref="AP131:AY131" si="254">SUM(AP132:AP132)</f>
        <v>0</v>
      </c>
      <c r="AQ131" s="3431">
        <f t="shared" si="254"/>
        <v>0</v>
      </c>
      <c r="AR131" s="3431">
        <f t="shared" si="254"/>
        <v>0</v>
      </c>
      <c r="AS131" s="3431">
        <f t="shared" si="254"/>
        <v>0</v>
      </c>
      <c r="AT131" s="3431">
        <f t="shared" si="254"/>
        <v>0</v>
      </c>
      <c r="AU131" s="3431">
        <f t="shared" si="254"/>
        <v>0</v>
      </c>
      <c r="AV131" s="3431">
        <f t="shared" si="254"/>
        <v>0</v>
      </c>
      <c r="AW131" s="3431">
        <f t="shared" si="254"/>
        <v>0</v>
      </c>
      <c r="AX131" s="3431">
        <f t="shared" si="254"/>
        <v>0</v>
      </c>
      <c r="AY131" s="3431">
        <f t="shared" si="254"/>
        <v>0</v>
      </c>
      <c r="AZ131" s="3431">
        <f>SUM(AP131:AY131)</f>
        <v>0</v>
      </c>
      <c r="BA131" s="1037"/>
      <c r="BB131" s="3431">
        <f>SUM(BB132:BB133)</f>
        <v>0</v>
      </c>
      <c r="BC131" s="3431">
        <f t="shared" ref="BC131:BM131" si="255">SUM(BC132:BC133)</f>
        <v>0</v>
      </c>
      <c r="BD131" s="3431">
        <f t="shared" si="255"/>
        <v>0</v>
      </c>
      <c r="BE131" s="3431">
        <f t="shared" si="255"/>
        <v>0</v>
      </c>
      <c r="BF131" s="3431">
        <f t="shared" si="255"/>
        <v>0</v>
      </c>
      <c r="BG131" s="3431">
        <f t="shared" si="255"/>
        <v>0</v>
      </c>
      <c r="BH131" s="3431">
        <f t="shared" si="255"/>
        <v>0</v>
      </c>
      <c r="BI131" s="3431">
        <f t="shared" si="255"/>
        <v>0</v>
      </c>
      <c r="BJ131" s="3431">
        <f t="shared" si="255"/>
        <v>0</v>
      </c>
      <c r="BK131" s="3431">
        <f t="shared" si="255"/>
        <v>0</v>
      </c>
      <c r="BL131" s="3431">
        <f t="shared" si="255"/>
        <v>0</v>
      </c>
      <c r="BM131" s="3431">
        <f t="shared" si="255"/>
        <v>0</v>
      </c>
      <c r="BN131" s="3431">
        <f>SUM(BB131:BM131)</f>
        <v>0</v>
      </c>
      <c r="BO131" s="1037"/>
      <c r="BP131" s="3431">
        <f>SUM(BP132:BP133)</f>
        <v>0</v>
      </c>
      <c r="BQ131" s="3431">
        <f t="shared" ref="BQ131:CA131" si="256">SUM(BQ132:BQ133)</f>
        <v>0</v>
      </c>
      <c r="BR131" s="3431">
        <f t="shared" si="256"/>
        <v>0</v>
      </c>
      <c r="BS131" s="3431">
        <f t="shared" si="256"/>
        <v>0</v>
      </c>
      <c r="BT131" s="3431">
        <f t="shared" si="256"/>
        <v>6000</v>
      </c>
      <c r="BU131" s="3431">
        <f t="shared" si="256"/>
        <v>0</v>
      </c>
      <c r="BV131" s="3431">
        <f t="shared" si="256"/>
        <v>0</v>
      </c>
      <c r="BW131" s="3431">
        <f t="shared" si="256"/>
        <v>6000</v>
      </c>
      <c r="BX131" s="3431">
        <f t="shared" si="256"/>
        <v>33000</v>
      </c>
      <c r="BY131" s="3431">
        <f t="shared" si="256"/>
        <v>0</v>
      </c>
      <c r="BZ131" s="3431">
        <f t="shared" si="256"/>
        <v>9000</v>
      </c>
      <c r="CA131" s="3431">
        <f t="shared" si="256"/>
        <v>0</v>
      </c>
      <c r="CB131" s="3452">
        <f t="shared" si="162"/>
        <v>54000</v>
      </c>
      <c r="CC131" s="1037"/>
      <c r="CD131" s="3452">
        <f t="shared" ref="CD131:CO131" si="257">SUM(CD132:CD132)</f>
        <v>0</v>
      </c>
      <c r="CE131" s="3452">
        <f t="shared" si="257"/>
        <v>6000</v>
      </c>
      <c r="CF131" s="3452">
        <f t="shared" si="257"/>
        <v>0</v>
      </c>
      <c r="CG131" s="3452">
        <f t="shared" si="257"/>
        <v>0</v>
      </c>
      <c r="CH131" s="3452">
        <f t="shared" si="257"/>
        <v>0</v>
      </c>
      <c r="CI131" s="3452">
        <f t="shared" si="257"/>
        <v>0</v>
      </c>
      <c r="CJ131" s="3452">
        <f t="shared" si="257"/>
        <v>0</v>
      </c>
      <c r="CK131" s="3452">
        <f t="shared" si="257"/>
        <v>0</v>
      </c>
      <c r="CL131" s="3452">
        <f t="shared" si="257"/>
        <v>0</v>
      </c>
      <c r="CM131" s="3452">
        <f t="shared" si="257"/>
        <v>0</v>
      </c>
      <c r="CN131" s="3452">
        <f t="shared" si="257"/>
        <v>0</v>
      </c>
      <c r="CO131" s="3452">
        <f t="shared" si="257"/>
        <v>0</v>
      </c>
      <c r="CP131" s="3452">
        <f t="shared" si="164"/>
        <v>6000</v>
      </c>
      <c r="CQ131" s="1037"/>
      <c r="CR131" s="3431">
        <f t="shared" ref="CR131:DC131" si="258">SUM(CR132:CR132)</f>
        <v>0</v>
      </c>
      <c r="CS131" s="3431">
        <f t="shared" si="258"/>
        <v>0</v>
      </c>
      <c r="CT131" s="3431">
        <f t="shared" si="258"/>
        <v>0</v>
      </c>
      <c r="CU131" s="3431">
        <f t="shared" si="258"/>
        <v>0</v>
      </c>
      <c r="CV131" s="3431">
        <f t="shared" si="258"/>
        <v>0</v>
      </c>
      <c r="CW131" s="3431">
        <f t="shared" si="258"/>
        <v>0</v>
      </c>
      <c r="CX131" s="3431">
        <f t="shared" si="258"/>
        <v>0</v>
      </c>
      <c r="CY131" s="3431">
        <f t="shared" si="258"/>
        <v>0</v>
      </c>
      <c r="CZ131" s="3431">
        <f t="shared" si="258"/>
        <v>0</v>
      </c>
      <c r="DA131" s="3431">
        <f t="shared" si="258"/>
        <v>0</v>
      </c>
      <c r="DB131" s="3431">
        <f t="shared" si="258"/>
        <v>0</v>
      </c>
      <c r="DC131" s="3431">
        <f t="shared" si="258"/>
        <v>0</v>
      </c>
      <c r="DD131" s="3431">
        <f t="shared" si="165"/>
        <v>0</v>
      </c>
      <c r="DE131" s="1037"/>
      <c r="DF131" s="3431">
        <f>SUM(DF132:DF132)</f>
        <v>0</v>
      </c>
      <c r="DG131" s="3431">
        <f>SUM(DG132:DG132)</f>
        <v>0</v>
      </c>
      <c r="DH131" s="3431">
        <f>SUM(DH132:DH132)</f>
        <v>0</v>
      </c>
      <c r="DI131" s="3431">
        <f t="shared" si="163"/>
        <v>0</v>
      </c>
      <c r="DJ131" s="3432">
        <f>+AZ131+BN131+CB131+CP131+DD131+DI131</f>
        <v>60000</v>
      </c>
      <c r="DK131" s="3414"/>
      <c r="DL131" s="3546">
        <f t="shared" si="129"/>
        <v>0</v>
      </c>
      <c r="DM131" s="3414"/>
      <c r="DN131" s="2725" t="s">
        <v>1175</v>
      </c>
      <c r="DO131" s="2726" t="s">
        <v>1175</v>
      </c>
      <c r="DP131" s="2726"/>
      <c r="DQ131" s="2726" t="s">
        <v>1175</v>
      </c>
      <c r="DR131" s="2726" t="str">
        <f t="shared" si="166"/>
        <v>1</v>
      </c>
      <c r="DS131" s="1037"/>
      <c r="DT131" s="1037"/>
      <c r="DU131" s="3414"/>
      <c r="DV131" s="3414"/>
      <c r="DW131" s="3414"/>
      <c r="DX131" s="3414"/>
      <c r="DY131" s="3414"/>
      <c r="DZ131" s="3414"/>
    </row>
    <row r="132" spans="1:130" s="2051" customFormat="1" ht="15" hidden="1" outlineLevel="4">
      <c r="A132" s="3393"/>
      <c r="B132" s="3865"/>
      <c r="C132" s="3309" t="s">
        <v>829</v>
      </c>
      <c r="D132" s="3310" t="s">
        <v>829</v>
      </c>
      <c r="E132" s="3367"/>
      <c r="F132" s="3435" t="s">
        <v>829</v>
      </c>
      <c r="G132" s="3436"/>
      <c r="H132" s="3437" t="s">
        <v>1352</v>
      </c>
      <c r="I132" s="3359"/>
      <c r="J132" s="3359"/>
      <c r="K132" s="1037"/>
      <c r="L132" s="3359" t="s">
        <v>216</v>
      </c>
      <c r="M132" s="3360"/>
      <c r="N132" s="3360"/>
      <c r="O132" s="3360"/>
      <c r="P132" s="3360"/>
      <c r="Q132" s="3360"/>
      <c r="R132" s="3360"/>
      <c r="S132" s="3360"/>
      <c r="T132" s="3360"/>
      <c r="U132" s="3360"/>
      <c r="V132" s="1037"/>
      <c r="W132" s="3351" t="s">
        <v>763</v>
      </c>
      <c r="X132" s="3292" t="s">
        <v>1075</v>
      </c>
      <c r="Y132" s="3351" t="s">
        <v>1340</v>
      </c>
      <c r="Z132" s="3339" t="s">
        <v>1353</v>
      </c>
      <c r="AA132" s="3292"/>
      <c r="AB132" s="3362"/>
      <c r="AC132" s="1037"/>
      <c r="AD132" s="3355" t="s">
        <v>1179</v>
      </c>
      <c r="AE132" s="3439">
        <v>1</v>
      </c>
      <c r="AF132" s="3439">
        <v>16</v>
      </c>
      <c r="AG132" s="3439"/>
      <c r="AH132" s="3451">
        <v>30000</v>
      </c>
      <c r="AI132" s="3441">
        <f>AE132*AH132</f>
        <v>30000</v>
      </c>
      <c r="AJ132" s="3867"/>
      <c r="AK132" s="1037"/>
      <c r="AL132" s="3440">
        <f>+AI132</f>
        <v>30000</v>
      </c>
      <c r="AM132" s="3857"/>
      <c r="AN132" s="3440">
        <f t="shared" si="124"/>
        <v>30000</v>
      </c>
      <c r="AO132" s="1037"/>
      <c r="AP132" s="3857"/>
      <c r="AQ132" s="3857"/>
      <c r="AR132" s="3857"/>
      <c r="AS132" s="3857"/>
      <c r="AT132" s="3857"/>
      <c r="AU132" s="3857"/>
      <c r="AV132" s="3857"/>
      <c r="AW132" s="3857"/>
      <c r="AX132" s="3857"/>
      <c r="AY132" s="3857"/>
      <c r="AZ132" s="3440">
        <f>SUM(AP132:AY132)</f>
        <v>0</v>
      </c>
      <c r="BA132" s="1037"/>
      <c r="BB132" s="3371"/>
      <c r="BC132" s="3371"/>
      <c r="BD132" s="3371"/>
      <c r="BE132" s="3371"/>
      <c r="BF132" s="3371"/>
      <c r="BG132" s="3371"/>
      <c r="BH132" s="3371"/>
      <c r="BI132" s="3371"/>
      <c r="BJ132" s="3371"/>
      <c r="BK132" s="3371"/>
      <c r="BL132" s="3371"/>
      <c r="BM132" s="3371"/>
      <c r="BN132" s="3371">
        <f t="shared" si="161"/>
        <v>0</v>
      </c>
      <c r="BO132" s="1037"/>
      <c r="BP132" s="3371"/>
      <c r="BQ132" s="3371"/>
      <c r="BR132" s="3371"/>
      <c r="BS132" s="3371"/>
      <c r="BT132" s="3371">
        <f>+$AL132*20%</f>
        <v>6000</v>
      </c>
      <c r="BU132" s="3371"/>
      <c r="BV132" s="3371"/>
      <c r="BW132" s="3371"/>
      <c r="BX132" s="3371">
        <f>+$AL132*30%</f>
        <v>9000</v>
      </c>
      <c r="BY132" s="3371"/>
      <c r="BZ132" s="3371">
        <f>+$AL132*30%</f>
        <v>9000</v>
      </c>
      <c r="CA132" s="3371"/>
      <c r="CB132" s="3371">
        <f t="shared" si="162"/>
        <v>24000</v>
      </c>
      <c r="CC132" s="1037"/>
      <c r="CD132" s="3453"/>
      <c r="CE132" s="3371">
        <f>+$AL132*20%</f>
        <v>6000</v>
      </c>
      <c r="CF132" s="3453"/>
      <c r="CG132" s="3453"/>
      <c r="CH132" s="3453"/>
      <c r="CI132" s="3453"/>
      <c r="CJ132" s="3453"/>
      <c r="CK132" s="3453"/>
      <c r="CL132" s="3453"/>
      <c r="CM132" s="3453"/>
      <c r="CN132" s="3453"/>
      <c r="CO132" s="3453"/>
      <c r="CP132" s="3453">
        <f t="shared" si="164"/>
        <v>6000</v>
      </c>
      <c r="CQ132" s="1037"/>
      <c r="CR132" s="3850"/>
      <c r="CS132" s="3850"/>
      <c r="CT132" s="3850"/>
      <c r="CU132" s="3850"/>
      <c r="CV132" s="3850"/>
      <c r="CW132" s="3850"/>
      <c r="CX132" s="3850"/>
      <c r="CY132" s="3850"/>
      <c r="CZ132" s="3850"/>
      <c r="DA132" s="3850"/>
      <c r="DB132" s="3850"/>
      <c r="DC132" s="3850"/>
      <c r="DD132" s="3440">
        <f t="shared" si="165"/>
        <v>0</v>
      </c>
      <c r="DE132" s="1037"/>
      <c r="DF132" s="3850"/>
      <c r="DG132" s="3850"/>
      <c r="DH132" s="3850"/>
      <c r="DI132" s="3440">
        <f t="shared" si="163"/>
        <v>0</v>
      </c>
      <c r="DJ132" s="3454">
        <f>+AZ132+BN132+CB132+CP132+DD132+DI132</f>
        <v>30000</v>
      </c>
      <c r="DK132" s="3852"/>
      <c r="DL132" s="3548">
        <f>+AN132-DJ132</f>
        <v>0</v>
      </c>
      <c r="DM132" s="3393"/>
      <c r="DN132" s="3833" t="s">
        <v>1346</v>
      </c>
      <c r="DO132" s="3833" t="s">
        <v>1347</v>
      </c>
      <c r="DP132" s="3833" t="s">
        <v>1115</v>
      </c>
      <c r="DQ132" s="3833" t="s">
        <v>4</v>
      </c>
      <c r="DR132" s="3833" t="str">
        <f t="shared" si="166"/>
        <v>1</v>
      </c>
      <c r="DS132" s="1037"/>
      <c r="DT132" s="1037"/>
      <c r="DU132" s="3393"/>
      <c r="DV132" s="3393"/>
      <c r="DW132" s="3393"/>
      <c r="DX132" s="3393"/>
      <c r="DY132" s="3393"/>
      <c r="DZ132" s="3393"/>
    </row>
    <row r="133" spans="1:130" s="2050" customFormat="1" ht="15" hidden="1" outlineLevel="4">
      <c r="A133" s="3393"/>
      <c r="B133" s="3866"/>
      <c r="C133" s="3309"/>
      <c r="D133" s="3310" t="s">
        <v>1354</v>
      </c>
      <c r="E133" s="3367"/>
      <c r="F133" s="3435" t="s">
        <v>1354</v>
      </c>
      <c r="G133" s="3436"/>
      <c r="H133" s="3437" t="s">
        <v>831</v>
      </c>
      <c r="I133" s="3359"/>
      <c r="J133" s="3359"/>
      <c r="K133" s="1037"/>
      <c r="L133" s="3359"/>
      <c r="M133" s="3360"/>
      <c r="N133" s="3360"/>
      <c r="O133" s="3360"/>
      <c r="P133" s="3360"/>
      <c r="Q133" s="3360"/>
      <c r="R133" s="3360"/>
      <c r="S133" s="3360"/>
      <c r="T133" s="3360"/>
      <c r="U133" s="3360"/>
      <c r="V133" s="1037"/>
      <c r="W133" s="3351" t="s">
        <v>802</v>
      </c>
      <c r="X133" s="3292" t="s">
        <v>1075</v>
      </c>
      <c r="Y133" s="3351" t="s">
        <v>1340</v>
      </c>
      <c r="Z133" s="3455" t="s">
        <v>1355</v>
      </c>
      <c r="AA133" s="3292"/>
      <c r="AB133" s="3362"/>
      <c r="AC133" s="1037"/>
      <c r="AD133" s="3355" t="s">
        <v>1179</v>
      </c>
      <c r="AE133" s="3439">
        <v>1</v>
      </c>
      <c r="AF133" s="3386"/>
      <c r="AG133" s="3386"/>
      <c r="AH133" s="3352">
        <v>30000</v>
      </c>
      <c r="AI133" s="3440">
        <f>AE133*AH133</f>
        <v>30000</v>
      </c>
      <c r="AJ133" s="3868"/>
      <c r="AK133" s="1037"/>
      <c r="AL133" s="3440">
        <f>+AI133</f>
        <v>30000</v>
      </c>
      <c r="AM133" s="3859"/>
      <c r="AN133" s="3440">
        <f t="shared" si="124"/>
        <v>30000</v>
      </c>
      <c r="AO133" s="1037"/>
      <c r="AP133" s="3859"/>
      <c r="AQ133" s="3859"/>
      <c r="AR133" s="3859"/>
      <c r="AS133" s="3859"/>
      <c r="AT133" s="3859"/>
      <c r="AU133" s="3859"/>
      <c r="AV133" s="3859"/>
      <c r="AW133" s="3859"/>
      <c r="AX133" s="3859"/>
      <c r="AY133" s="3859"/>
      <c r="AZ133" s="3450">
        <f t="shared" si="160"/>
        <v>0</v>
      </c>
      <c r="BA133" s="1037"/>
      <c r="BB133" s="3395"/>
      <c r="BC133" s="3395"/>
      <c r="BD133" s="3395"/>
      <c r="BE133" s="3395"/>
      <c r="BF133" s="3395"/>
      <c r="BG133" s="3395"/>
      <c r="BH133" s="3395"/>
      <c r="BI133" s="3395"/>
      <c r="BJ133" s="3395"/>
      <c r="BK133" s="3395"/>
      <c r="BL133" s="3395"/>
      <c r="BM133" s="3395"/>
      <c r="BN133" s="3395">
        <f t="shared" si="161"/>
        <v>0</v>
      </c>
      <c r="BO133" s="1037"/>
      <c r="BP133" s="3395"/>
      <c r="BQ133" s="3395"/>
      <c r="BR133" s="3395"/>
      <c r="BS133" s="3395"/>
      <c r="BT133" s="3395"/>
      <c r="BU133" s="3395"/>
      <c r="BV133" s="3395"/>
      <c r="BW133" s="3395">
        <f>+$AI$133*0.2</f>
        <v>6000</v>
      </c>
      <c r="BX133" s="3395">
        <f>+$AI$133*0.8</f>
        <v>24000</v>
      </c>
      <c r="BY133" s="3395"/>
      <c r="BZ133" s="3395"/>
      <c r="CA133" s="3395"/>
      <c r="CB133" s="3395">
        <f>SUM(BP133:CA133)</f>
        <v>30000</v>
      </c>
      <c r="CC133" s="1037"/>
      <c r="CD133" s="3456"/>
      <c r="CE133" s="3456"/>
      <c r="CF133" s="3456"/>
      <c r="CG133" s="3456"/>
      <c r="CH133" s="3456"/>
      <c r="CI133" s="3456"/>
      <c r="CJ133" s="3456"/>
      <c r="CK133" s="3456"/>
      <c r="CL133" s="3456"/>
      <c r="CM133" s="3456"/>
      <c r="CN133" s="3456"/>
      <c r="CO133" s="3456"/>
      <c r="CP133" s="3456">
        <f t="shared" si="164"/>
        <v>0</v>
      </c>
      <c r="CQ133" s="1037"/>
      <c r="CR133" s="3851"/>
      <c r="CS133" s="3851"/>
      <c r="CT133" s="3851"/>
      <c r="CU133" s="3851"/>
      <c r="CV133" s="3851"/>
      <c r="CW133" s="3851"/>
      <c r="CX133" s="3851"/>
      <c r="CY133" s="3851"/>
      <c r="CZ133" s="3851"/>
      <c r="DA133" s="3851"/>
      <c r="DB133" s="3851"/>
      <c r="DC133" s="3851"/>
      <c r="DD133" s="3450">
        <f t="shared" si="165"/>
        <v>0</v>
      </c>
      <c r="DE133" s="1037"/>
      <c r="DF133" s="3851"/>
      <c r="DG133" s="3851"/>
      <c r="DH133" s="3851"/>
      <c r="DI133" s="3450">
        <f t="shared" si="163"/>
        <v>0</v>
      </c>
      <c r="DJ133" s="3454">
        <f>+AZ133+BN133+CB133+CP133+DD133+DI133</f>
        <v>30000</v>
      </c>
      <c r="DK133" s="3852"/>
      <c r="DL133" s="3548">
        <f>+AN133-DJ133</f>
        <v>0</v>
      </c>
      <c r="DM133" s="3393"/>
      <c r="DN133" s="3834"/>
      <c r="DO133" s="3834"/>
      <c r="DP133" s="3834"/>
      <c r="DQ133" s="3834"/>
      <c r="DR133" s="3834" t="str">
        <f t="shared" si="166"/>
        <v>1</v>
      </c>
      <c r="DS133" s="1037"/>
      <c r="DT133" s="1037"/>
      <c r="DU133" s="3393"/>
      <c r="DV133" s="3393"/>
      <c r="DW133" s="3393"/>
      <c r="DX133" s="3393"/>
      <c r="DY133" s="3393"/>
      <c r="DZ133" s="3393"/>
    </row>
    <row r="134" spans="1:130" s="2050" customFormat="1" ht="15" hidden="1" outlineLevel="3">
      <c r="A134" s="3414"/>
      <c r="B134" s="3422"/>
      <c r="C134" s="3306" t="s">
        <v>832</v>
      </c>
      <c r="D134" s="2941" t="s">
        <v>832</v>
      </c>
      <c r="E134" s="3367"/>
      <c r="F134" s="3423" t="s">
        <v>832</v>
      </c>
      <c r="G134" s="3424"/>
      <c r="H134" s="3425" t="s">
        <v>833</v>
      </c>
      <c r="I134" s="3426"/>
      <c r="J134" s="3426"/>
      <c r="K134" s="1037"/>
      <c r="L134" s="3427"/>
      <c r="M134" s="3428"/>
      <c r="N134" s="3428"/>
      <c r="O134" s="3428"/>
      <c r="P134" s="3428"/>
      <c r="Q134" s="3428"/>
      <c r="R134" s="3428"/>
      <c r="S134" s="3428"/>
      <c r="T134" s="3428"/>
      <c r="U134" s="3428"/>
      <c r="V134" s="1037"/>
      <c r="W134" s="3427" t="s">
        <v>763</v>
      </c>
      <c r="X134" s="3427" t="s">
        <v>1075</v>
      </c>
      <c r="Y134" s="3427" t="s">
        <v>1340</v>
      </c>
      <c r="Z134" s="3430">
        <v>81</v>
      </c>
      <c r="AA134" s="3427"/>
      <c r="AB134" s="3451"/>
      <c r="AC134" s="1037"/>
      <c r="AD134" s="3429" t="s">
        <v>1179</v>
      </c>
      <c r="AE134" s="3427">
        <v>1</v>
      </c>
      <c r="AF134" s="3427"/>
      <c r="AG134" s="3427"/>
      <c r="AH134" s="3430">
        <v>40000</v>
      </c>
      <c r="AI134" s="3430">
        <f>+AH134*AE134</f>
        <v>40000</v>
      </c>
      <c r="AJ134" s="3430"/>
      <c r="AK134" s="1037"/>
      <c r="AL134" s="3430">
        <f>+AI134</f>
        <v>40000</v>
      </c>
      <c r="AM134" s="3430"/>
      <c r="AN134" s="3430">
        <f>+AL134+AM134</f>
        <v>40000</v>
      </c>
      <c r="AO134" s="1037"/>
      <c r="AP134" s="3431"/>
      <c r="AQ134" s="3431"/>
      <c r="AR134" s="3431"/>
      <c r="AS134" s="3431"/>
      <c r="AT134" s="3431"/>
      <c r="AU134" s="3431"/>
      <c r="AV134" s="3431"/>
      <c r="AW134" s="3431"/>
      <c r="AX134" s="3431"/>
      <c r="AY134" s="3431"/>
      <c r="AZ134" s="3431">
        <f t="shared" si="160"/>
        <v>0</v>
      </c>
      <c r="BA134" s="1037"/>
      <c r="BB134" s="3431"/>
      <c r="BC134" s="3431"/>
      <c r="BD134" s="3431"/>
      <c r="BE134" s="3431"/>
      <c r="BF134" s="3431"/>
      <c r="BG134" s="3431"/>
      <c r="BH134" s="3431"/>
      <c r="BI134" s="3431"/>
      <c r="BJ134" s="3431"/>
      <c r="BK134" s="3431"/>
      <c r="BL134" s="3431"/>
      <c r="BM134" s="3431"/>
      <c r="BN134" s="3431">
        <f t="shared" si="161"/>
        <v>0</v>
      </c>
      <c r="BO134" s="1037"/>
      <c r="BP134" s="3431"/>
      <c r="BQ134" s="3431"/>
      <c r="BR134" s="3431"/>
      <c r="BS134" s="3431"/>
      <c r="BT134" s="3452"/>
      <c r="BU134" s="3452"/>
      <c r="BV134" s="3452"/>
      <c r="BW134" s="3452"/>
      <c r="BX134" s="3452"/>
      <c r="BY134" s="3452"/>
      <c r="BZ134" s="3452"/>
      <c r="CA134" s="3452"/>
      <c r="CB134" s="3452">
        <f>SUM(BP134:CA134)</f>
        <v>0</v>
      </c>
      <c r="CC134" s="1037"/>
      <c r="CD134" s="3452"/>
      <c r="CE134" s="3452"/>
      <c r="CF134" s="3452"/>
      <c r="CG134" s="3452">
        <f>+$AL134*20%</f>
        <v>8000</v>
      </c>
      <c r="CH134" s="3452"/>
      <c r="CI134" s="3452"/>
      <c r="CJ134" s="3452">
        <f>+$AL134*30%</f>
        <v>12000</v>
      </c>
      <c r="CK134" s="3452"/>
      <c r="CL134" s="3452">
        <f>+$AL134*30%</f>
        <v>12000</v>
      </c>
      <c r="CM134" s="3452"/>
      <c r="CN134" s="3452">
        <f>+$AL134*20%</f>
        <v>8000</v>
      </c>
      <c r="CO134" s="3452"/>
      <c r="CP134" s="3452">
        <f t="shared" ref="CP134:CP141" si="259">SUM(CD134:CO134)</f>
        <v>40000</v>
      </c>
      <c r="CQ134" s="1037"/>
      <c r="CR134" s="3431"/>
      <c r="CS134" s="3431"/>
      <c r="CT134" s="3431"/>
      <c r="CU134" s="3452"/>
      <c r="CV134" s="3431"/>
      <c r="CW134" s="3431"/>
      <c r="CX134" s="3431"/>
      <c r="CY134" s="3431"/>
      <c r="CZ134" s="3431"/>
      <c r="DA134" s="3431"/>
      <c r="DB134" s="3431"/>
      <c r="DC134" s="3431"/>
      <c r="DD134" s="3431">
        <f t="shared" si="165"/>
        <v>0</v>
      </c>
      <c r="DE134" s="1037"/>
      <c r="DF134" s="3431"/>
      <c r="DG134" s="3431"/>
      <c r="DH134" s="3431"/>
      <c r="DI134" s="3431">
        <f t="shared" si="163"/>
        <v>0</v>
      </c>
      <c r="DJ134" s="3432">
        <f t="shared" si="135"/>
        <v>40000</v>
      </c>
      <c r="DK134" s="3414"/>
      <c r="DL134" s="3546">
        <f t="shared" si="129"/>
        <v>0</v>
      </c>
      <c r="DM134" s="3414"/>
      <c r="DN134" s="2725" t="s">
        <v>1346</v>
      </c>
      <c r="DO134" s="2726" t="s">
        <v>1347</v>
      </c>
      <c r="DP134" s="2726" t="s">
        <v>1115</v>
      </c>
      <c r="DQ134" s="2726" t="s">
        <v>4</v>
      </c>
      <c r="DR134" s="2726" t="str">
        <f t="shared" si="166"/>
        <v>1</v>
      </c>
      <c r="DS134" s="1037"/>
      <c r="DT134" s="1037"/>
      <c r="DU134" s="3414"/>
      <c r="DV134" s="3414"/>
      <c r="DW134" s="3414"/>
      <c r="DX134" s="3414"/>
      <c r="DY134" s="3414"/>
      <c r="DZ134" s="3414"/>
    </row>
    <row r="135" spans="1:130" s="2313" customFormat="1" ht="17" hidden="1" customHeight="1" outlineLevel="2">
      <c r="A135" s="3414"/>
      <c r="B135" s="3415"/>
      <c r="C135" s="3303" t="s">
        <v>508</v>
      </c>
      <c r="D135" s="2940" t="s">
        <v>508</v>
      </c>
      <c r="E135" s="3367"/>
      <c r="F135" s="3304" t="s">
        <v>508</v>
      </c>
      <c r="G135" s="3416"/>
      <c r="H135" s="3305" t="s">
        <v>368</v>
      </c>
      <c r="I135" s="3417" t="s">
        <v>4</v>
      </c>
      <c r="J135" s="3417" t="s">
        <v>1356</v>
      </c>
      <c r="K135" s="1037"/>
      <c r="L135" s="3303" t="s">
        <v>364</v>
      </c>
      <c r="M135" s="3303">
        <v>0</v>
      </c>
      <c r="N135" s="3303">
        <v>2022</v>
      </c>
      <c r="O135" s="3303" t="s">
        <v>157</v>
      </c>
      <c r="P135" s="3303" t="s">
        <v>157</v>
      </c>
      <c r="Q135" s="3303" t="e">
        <v>#REF!</v>
      </c>
      <c r="R135" s="3303" t="s">
        <v>369</v>
      </c>
      <c r="S135" s="3303" t="s">
        <v>370</v>
      </c>
      <c r="T135" s="3303" t="s">
        <v>157</v>
      </c>
      <c r="U135" s="3303">
        <v>2</v>
      </c>
      <c r="V135" s="1037"/>
      <c r="W135" s="3418"/>
      <c r="X135" s="3418"/>
      <c r="Y135" s="3418"/>
      <c r="Z135" s="3419"/>
      <c r="AA135" s="3418"/>
      <c r="AB135" s="3346"/>
      <c r="AC135" s="1037"/>
      <c r="AD135" s="3417"/>
      <c r="AE135" s="3382"/>
      <c r="AF135" s="3382"/>
      <c r="AG135" s="3382"/>
      <c r="AH135" s="3417"/>
      <c r="AI135" s="3417">
        <f>+AI136+AI140</f>
        <v>500031</v>
      </c>
      <c r="AJ135" s="3417"/>
      <c r="AK135" s="1037"/>
      <c r="AL135" s="3417">
        <f>+AL136+AL140</f>
        <v>500031</v>
      </c>
      <c r="AM135" s="3417">
        <f>+AM136+AM140</f>
        <v>0</v>
      </c>
      <c r="AN135" s="3417">
        <f t="shared" ref="AN135:AN141" si="260">+AL135+AM135</f>
        <v>500031</v>
      </c>
      <c r="AO135" s="1037"/>
      <c r="AP135" s="3417">
        <f t="shared" ref="AP135:AY135" si="261">AP136+AP140</f>
        <v>0</v>
      </c>
      <c r="AQ135" s="3417">
        <f t="shared" si="261"/>
        <v>0</v>
      </c>
      <c r="AR135" s="3417">
        <f t="shared" si="261"/>
        <v>0</v>
      </c>
      <c r="AS135" s="3417">
        <f t="shared" si="261"/>
        <v>0</v>
      </c>
      <c r="AT135" s="3417">
        <f t="shared" si="261"/>
        <v>0</v>
      </c>
      <c r="AU135" s="3417">
        <f t="shared" si="261"/>
        <v>0</v>
      </c>
      <c r="AV135" s="3417">
        <f t="shared" si="261"/>
        <v>0</v>
      </c>
      <c r="AW135" s="3417">
        <f t="shared" si="261"/>
        <v>0</v>
      </c>
      <c r="AX135" s="3417">
        <f t="shared" si="261"/>
        <v>0</v>
      </c>
      <c r="AY135" s="3417">
        <f t="shared" si="261"/>
        <v>0</v>
      </c>
      <c r="AZ135" s="3417">
        <f t="shared" ref="AZ135:AZ141" si="262">SUM(AP135:AY135)</f>
        <v>0</v>
      </c>
      <c r="BA135" s="1037"/>
      <c r="BB135" s="3417">
        <f t="shared" ref="BB135:BM135" si="263">BB136+BB140</f>
        <v>0</v>
      </c>
      <c r="BC135" s="3417">
        <f t="shared" si="263"/>
        <v>0</v>
      </c>
      <c r="BD135" s="3417">
        <f t="shared" si="263"/>
        <v>0</v>
      </c>
      <c r="BE135" s="3417">
        <f t="shared" si="263"/>
        <v>0</v>
      </c>
      <c r="BF135" s="3417">
        <f t="shared" si="263"/>
        <v>0</v>
      </c>
      <c r="BG135" s="3417">
        <f t="shared" si="263"/>
        <v>0</v>
      </c>
      <c r="BH135" s="3417">
        <f t="shared" si="263"/>
        <v>0</v>
      </c>
      <c r="BI135" s="3417">
        <f t="shared" si="263"/>
        <v>0</v>
      </c>
      <c r="BJ135" s="3417">
        <f t="shared" si="263"/>
        <v>0</v>
      </c>
      <c r="BK135" s="3417">
        <f t="shared" si="263"/>
        <v>0</v>
      </c>
      <c r="BL135" s="3417">
        <f t="shared" si="263"/>
        <v>0</v>
      </c>
      <c r="BM135" s="3417">
        <f t="shared" si="263"/>
        <v>0</v>
      </c>
      <c r="BN135" s="3417">
        <f t="shared" ref="BN135:BN141" si="264">SUM(BB135:BM135)</f>
        <v>0</v>
      </c>
      <c r="BO135" s="1037"/>
      <c r="BP135" s="3417">
        <f t="shared" ref="BP135:CA135" si="265">BP136+BP140</f>
        <v>0</v>
      </c>
      <c r="BQ135" s="3417">
        <f t="shared" si="265"/>
        <v>0</v>
      </c>
      <c r="BR135" s="3417">
        <f t="shared" si="265"/>
        <v>0</v>
      </c>
      <c r="BS135" s="3417">
        <f t="shared" si="265"/>
        <v>0</v>
      </c>
      <c r="BT135" s="3417">
        <f t="shared" si="265"/>
        <v>38356.200000000004</v>
      </c>
      <c r="BU135" s="3417">
        <f t="shared" si="265"/>
        <v>0</v>
      </c>
      <c r="BV135" s="3417">
        <f t="shared" si="265"/>
        <v>0</v>
      </c>
      <c r="BW135" s="3417">
        <f t="shared" si="265"/>
        <v>38356.200000000004</v>
      </c>
      <c r="BX135" s="3417">
        <f t="shared" si="265"/>
        <v>0</v>
      </c>
      <c r="BY135" s="3417">
        <f t="shared" si="265"/>
        <v>57534.299999999996</v>
      </c>
      <c r="BZ135" s="3417">
        <f t="shared" si="265"/>
        <v>0</v>
      </c>
      <c r="CA135" s="3417">
        <f t="shared" si="265"/>
        <v>0</v>
      </c>
      <c r="CB135" s="3417">
        <f t="shared" ref="CB135:CB141" si="266">SUM(BP135:CA135)</f>
        <v>134246.70000000001</v>
      </c>
      <c r="CC135" s="1037"/>
      <c r="CD135" s="3417">
        <f t="shared" ref="CD135:CO135" si="267">CD136+CD140</f>
        <v>0</v>
      </c>
      <c r="CE135" s="3417">
        <f t="shared" si="267"/>
        <v>0</v>
      </c>
      <c r="CF135" s="3417">
        <f t="shared" si="267"/>
        <v>0</v>
      </c>
      <c r="CG135" s="3417">
        <f t="shared" si="267"/>
        <v>57534.299999999996</v>
      </c>
      <c r="CH135" s="3417">
        <f t="shared" si="267"/>
        <v>0</v>
      </c>
      <c r="CI135" s="3417">
        <f t="shared" si="267"/>
        <v>0</v>
      </c>
      <c r="CJ135" s="3417">
        <f t="shared" si="267"/>
        <v>0</v>
      </c>
      <c r="CK135" s="3417">
        <f t="shared" si="267"/>
        <v>61650</v>
      </c>
      <c r="CL135" s="3417">
        <f t="shared" si="267"/>
        <v>0</v>
      </c>
      <c r="CM135" s="3417">
        <f t="shared" si="267"/>
        <v>0</v>
      </c>
      <c r="CN135" s="3417">
        <f t="shared" si="267"/>
        <v>92475</v>
      </c>
      <c r="CO135" s="3417">
        <f t="shared" si="267"/>
        <v>0</v>
      </c>
      <c r="CP135" s="3417">
        <f t="shared" si="259"/>
        <v>211659.3</v>
      </c>
      <c r="CQ135" s="1037"/>
      <c r="CR135" s="3417">
        <f t="shared" ref="CR135:DC135" si="268">CR136+CR140</f>
        <v>0</v>
      </c>
      <c r="CS135" s="3417">
        <f t="shared" si="268"/>
        <v>92475</v>
      </c>
      <c r="CT135" s="3417">
        <f t="shared" si="268"/>
        <v>0</v>
      </c>
      <c r="CU135" s="3417">
        <f t="shared" si="268"/>
        <v>0</v>
      </c>
      <c r="CV135" s="3417">
        <f t="shared" si="268"/>
        <v>61650</v>
      </c>
      <c r="CW135" s="3417">
        <f t="shared" si="268"/>
        <v>0</v>
      </c>
      <c r="CX135" s="3417">
        <f t="shared" si="268"/>
        <v>0</v>
      </c>
      <c r="CY135" s="3417">
        <f t="shared" si="268"/>
        <v>0</v>
      </c>
      <c r="CZ135" s="3417">
        <f t="shared" si="268"/>
        <v>0</v>
      </c>
      <c r="DA135" s="3417">
        <f t="shared" si="268"/>
        <v>0</v>
      </c>
      <c r="DB135" s="3417">
        <f t="shared" si="268"/>
        <v>0</v>
      </c>
      <c r="DC135" s="3417">
        <f t="shared" si="268"/>
        <v>0</v>
      </c>
      <c r="DD135" s="3417">
        <f t="shared" ref="DD135:DD141" si="269">SUM(CR135:DC135)</f>
        <v>154125</v>
      </c>
      <c r="DE135" s="1037"/>
      <c r="DF135" s="3417">
        <f>DF136+DF140</f>
        <v>0</v>
      </c>
      <c r="DG135" s="3417">
        <f>DG136+DG140</f>
        <v>0</v>
      </c>
      <c r="DH135" s="3417">
        <f>DH136+DH140</f>
        <v>0</v>
      </c>
      <c r="DI135" s="3420">
        <f t="shared" ref="DI135:DI141" si="270">SUM(DF135:DH135)</f>
        <v>0</v>
      </c>
      <c r="DJ135" s="3421">
        <f t="shared" si="135"/>
        <v>500031</v>
      </c>
      <c r="DK135" s="3414"/>
      <c r="DL135" s="3546">
        <f t="shared" si="129"/>
        <v>0</v>
      </c>
      <c r="DM135" s="3414"/>
      <c r="DN135" s="2723" t="s">
        <v>1175</v>
      </c>
      <c r="DO135" s="2724" t="s">
        <v>1175</v>
      </c>
      <c r="DP135" s="2724"/>
      <c r="DQ135" s="2724" t="s">
        <v>1175</v>
      </c>
      <c r="DR135" s="2724" t="str">
        <f t="shared" si="166"/>
        <v>1</v>
      </c>
      <c r="DS135" s="1037"/>
      <c r="DT135" s="1037"/>
      <c r="DU135" s="3414"/>
      <c r="DV135" s="3414"/>
      <c r="DW135" s="3414"/>
      <c r="DX135" s="3414"/>
      <c r="DY135" s="3414"/>
      <c r="DZ135" s="3414"/>
    </row>
    <row r="136" spans="1:130" s="2054" customFormat="1" ht="15" hidden="1" outlineLevel="3">
      <c r="A136" s="3365"/>
      <c r="B136" s="3366"/>
      <c r="C136" s="3309" t="s">
        <v>834</v>
      </c>
      <c r="D136" s="3310" t="s">
        <v>834</v>
      </c>
      <c r="E136" s="3367"/>
      <c r="F136" s="3368" t="s">
        <v>834</v>
      </c>
      <c r="G136" s="3369"/>
      <c r="H136" s="3457" t="s">
        <v>835</v>
      </c>
      <c r="I136" s="3370"/>
      <c r="J136" s="3370"/>
      <c r="K136" s="2858"/>
      <c r="L136" s="3371" t="s">
        <v>1357</v>
      </c>
      <c r="M136" s="3371"/>
      <c r="N136" s="3371"/>
      <c r="O136" s="3371"/>
      <c r="P136" s="3371"/>
      <c r="Q136" s="3371"/>
      <c r="R136" s="3371"/>
      <c r="S136" s="3371"/>
      <c r="T136" s="3371"/>
      <c r="U136" s="3371"/>
      <c r="V136" s="2858"/>
      <c r="W136" s="3371"/>
      <c r="X136" s="3371"/>
      <c r="Y136" s="3371"/>
      <c r="Z136" s="3339"/>
      <c r="AA136" s="3371"/>
      <c r="AB136" s="3371"/>
      <c r="AC136" s="2858"/>
      <c r="AD136" s="3372"/>
      <c r="AE136" s="3371"/>
      <c r="AF136" s="3371"/>
      <c r="AG136" s="3371"/>
      <c r="AH136" s="3370"/>
      <c r="AI136" s="3370">
        <f>+AI137</f>
        <v>191781</v>
      </c>
      <c r="AJ136" s="3370"/>
      <c r="AK136" s="2858"/>
      <c r="AL136" s="3370">
        <f>+AL137</f>
        <v>191781</v>
      </c>
      <c r="AM136" s="3370">
        <f>+AM137</f>
        <v>0</v>
      </c>
      <c r="AN136" s="3370">
        <f t="shared" si="260"/>
        <v>191781</v>
      </c>
      <c r="AO136" s="2858"/>
      <c r="AP136" s="3371">
        <f t="shared" ref="AP136:AY136" si="271">AP137</f>
        <v>0</v>
      </c>
      <c r="AQ136" s="3371">
        <f t="shared" si="271"/>
        <v>0</v>
      </c>
      <c r="AR136" s="3371">
        <f t="shared" si="271"/>
        <v>0</v>
      </c>
      <c r="AS136" s="3371">
        <f t="shared" si="271"/>
        <v>0</v>
      </c>
      <c r="AT136" s="3371">
        <f t="shared" si="271"/>
        <v>0</v>
      </c>
      <c r="AU136" s="3371">
        <f t="shared" si="271"/>
        <v>0</v>
      </c>
      <c r="AV136" s="3371">
        <f t="shared" si="271"/>
        <v>0</v>
      </c>
      <c r="AW136" s="3371">
        <f t="shared" si="271"/>
        <v>0</v>
      </c>
      <c r="AX136" s="3371">
        <f t="shared" si="271"/>
        <v>0</v>
      </c>
      <c r="AY136" s="3371">
        <f t="shared" si="271"/>
        <v>0</v>
      </c>
      <c r="AZ136" s="3371">
        <f t="shared" si="262"/>
        <v>0</v>
      </c>
      <c r="BA136" s="1037"/>
      <c r="BB136" s="3371">
        <f t="shared" ref="BB136:BM136" si="272">BB137</f>
        <v>0</v>
      </c>
      <c r="BC136" s="3371">
        <f t="shared" si="272"/>
        <v>0</v>
      </c>
      <c r="BD136" s="3371">
        <f t="shared" si="272"/>
        <v>0</v>
      </c>
      <c r="BE136" s="3371">
        <f t="shared" si="272"/>
        <v>0</v>
      </c>
      <c r="BF136" s="3371">
        <f t="shared" si="272"/>
        <v>0</v>
      </c>
      <c r="BG136" s="3371">
        <f t="shared" si="272"/>
        <v>0</v>
      </c>
      <c r="BH136" s="3371">
        <f t="shared" si="272"/>
        <v>0</v>
      </c>
      <c r="BI136" s="3371">
        <f t="shared" si="272"/>
        <v>0</v>
      </c>
      <c r="BJ136" s="3371">
        <f t="shared" si="272"/>
        <v>0</v>
      </c>
      <c r="BK136" s="3371">
        <f t="shared" si="272"/>
        <v>0</v>
      </c>
      <c r="BL136" s="3371">
        <f t="shared" si="272"/>
        <v>0</v>
      </c>
      <c r="BM136" s="3371">
        <f t="shared" si="272"/>
        <v>0</v>
      </c>
      <c r="BN136" s="3371">
        <f t="shared" si="264"/>
        <v>0</v>
      </c>
      <c r="BO136" s="2858"/>
      <c r="BP136" s="3371">
        <f t="shared" ref="BP136:CA136" si="273">BP137</f>
        <v>0</v>
      </c>
      <c r="BQ136" s="3371">
        <f t="shared" si="273"/>
        <v>0</v>
      </c>
      <c r="BR136" s="3371">
        <f t="shared" si="273"/>
        <v>0</v>
      </c>
      <c r="BS136" s="3371">
        <f t="shared" si="273"/>
        <v>0</v>
      </c>
      <c r="BT136" s="3371">
        <f t="shared" si="273"/>
        <v>38356.200000000004</v>
      </c>
      <c r="BU136" s="3371">
        <f t="shared" si="273"/>
        <v>0</v>
      </c>
      <c r="BV136" s="3371">
        <f t="shared" si="273"/>
        <v>0</v>
      </c>
      <c r="BW136" s="3371">
        <f t="shared" si="273"/>
        <v>38356.200000000004</v>
      </c>
      <c r="BX136" s="3371">
        <f t="shared" si="273"/>
        <v>0</v>
      </c>
      <c r="BY136" s="3371">
        <f t="shared" si="273"/>
        <v>57534.299999999996</v>
      </c>
      <c r="BZ136" s="3371">
        <f t="shared" si="273"/>
        <v>0</v>
      </c>
      <c r="CA136" s="3371">
        <f t="shared" si="273"/>
        <v>0</v>
      </c>
      <c r="CB136" s="3371">
        <f t="shared" si="266"/>
        <v>134246.70000000001</v>
      </c>
      <c r="CC136" s="2858"/>
      <c r="CD136" s="3371">
        <f t="shared" ref="CD136:CO136" si="274">CD137</f>
        <v>0</v>
      </c>
      <c r="CE136" s="3371">
        <f t="shared" si="274"/>
        <v>0</v>
      </c>
      <c r="CF136" s="3371">
        <f t="shared" si="274"/>
        <v>0</v>
      </c>
      <c r="CG136" s="3371">
        <f t="shared" si="274"/>
        <v>57534.299999999996</v>
      </c>
      <c r="CH136" s="3371">
        <f t="shared" si="274"/>
        <v>0</v>
      </c>
      <c r="CI136" s="3371">
        <f t="shared" si="274"/>
        <v>0</v>
      </c>
      <c r="CJ136" s="3371">
        <f t="shared" si="274"/>
        <v>0</v>
      </c>
      <c r="CK136" s="3371">
        <f t="shared" si="274"/>
        <v>0</v>
      </c>
      <c r="CL136" s="3371">
        <f t="shared" si="274"/>
        <v>0</v>
      </c>
      <c r="CM136" s="3371">
        <f t="shared" si="274"/>
        <v>0</v>
      </c>
      <c r="CN136" s="3371">
        <f t="shared" si="274"/>
        <v>0</v>
      </c>
      <c r="CO136" s="3371">
        <f t="shared" si="274"/>
        <v>0</v>
      </c>
      <c r="CP136" s="3458">
        <f t="shared" si="259"/>
        <v>57534.299999999996</v>
      </c>
      <c r="CQ136" s="2858"/>
      <c r="CR136" s="3371">
        <f t="shared" ref="CR136:DC136" si="275">CR137</f>
        <v>0</v>
      </c>
      <c r="CS136" s="3371">
        <f t="shared" si="275"/>
        <v>0</v>
      </c>
      <c r="CT136" s="3371">
        <f t="shared" si="275"/>
        <v>0</v>
      </c>
      <c r="CU136" s="3371">
        <f t="shared" si="275"/>
        <v>0</v>
      </c>
      <c r="CV136" s="3371">
        <f t="shared" si="275"/>
        <v>0</v>
      </c>
      <c r="CW136" s="3371">
        <f t="shared" si="275"/>
        <v>0</v>
      </c>
      <c r="CX136" s="3371">
        <f t="shared" si="275"/>
        <v>0</v>
      </c>
      <c r="CY136" s="3371">
        <f t="shared" si="275"/>
        <v>0</v>
      </c>
      <c r="CZ136" s="3371">
        <f t="shared" si="275"/>
        <v>0</v>
      </c>
      <c r="DA136" s="3371">
        <f t="shared" si="275"/>
        <v>0</v>
      </c>
      <c r="DB136" s="3371">
        <f t="shared" si="275"/>
        <v>0</v>
      </c>
      <c r="DC136" s="3371">
        <f t="shared" si="275"/>
        <v>0</v>
      </c>
      <c r="DD136" s="3370">
        <f t="shared" si="269"/>
        <v>0</v>
      </c>
      <c r="DE136" s="2858"/>
      <c r="DF136" s="3371">
        <f>DF137</f>
        <v>0</v>
      </c>
      <c r="DG136" s="3371">
        <f>DG137</f>
        <v>0</v>
      </c>
      <c r="DH136" s="3371">
        <f>DH137</f>
        <v>0</v>
      </c>
      <c r="DI136" s="3457">
        <f t="shared" si="270"/>
        <v>0</v>
      </c>
      <c r="DJ136" s="3459">
        <f t="shared" si="135"/>
        <v>191781</v>
      </c>
      <c r="DK136" s="3365"/>
      <c r="DL136" s="3545">
        <f t="shared" si="129"/>
        <v>0</v>
      </c>
      <c r="DM136" s="3365"/>
      <c r="DN136" s="2716" t="s">
        <v>1175</v>
      </c>
      <c r="DO136" s="2740" t="s">
        <v>1175</v>
      </c>
      <c r="DP136" s="2740"/>
      <c r="DQ136" s="2740" t="s">
        <v>1175</v>
      </c>
      <c r="DR136" s="2740" t="str">
        <f t="shared" si="166"/>
        <v>1</v>
      </c>
      <c r="DS136" s="2858"/>
      <c r="DT136" s="2858"/>
      <c r="DU136" s="3365"/>
      <c r="DV136" s="3365"/>
      <c r="DW136" s="3365"/>
      <c r="DX136" s="3365"/>
      <c r="DY136" s="3365"/>
      <c r="DZ136" s="3365"/>
    </row>
    <row r="137" spans="1:130" s="2054" customFormat="1" ht="15" hidden="1" outlineLevel="3">
      <c r="A137" s="3375"/>
      <c r="B137" s="3433"/>
      <c r="C137" s="3309"/>
      <c r="D137" s="3310" t="s">
        <v>1358</v>
      </c>
      <c r="E137" s="3377"/>
      <c r="F137" s="3368" t="s">
        <v>1358</v>
      </c>
      <c r="G137" s="3379" t="s">
        <v>1279</v>
      </c>
      <c r="H137" s="3460" t="s">
        <v>1359</v>
      </c>
      <c r="I137" s="3359"/>
      <c r="J137" s="3359"/>
      <c r="K137" s="1037"/>
      <c r="L137" s="3359" t="s">
        <v>1360</v>
      </c>
      <c r="M137" s="3403"/>
      <c r="N137" s="3403"/>
      <c r="O137" s="3403"/>
      <c r="P137" s="3403"/>
      <c r="Q137" s="3403"/>
      <c r="R137" s="3403"/>
      <c r="S137" s="3403"/>
      <c r="T137" s="3403"/>
      <c r="U137" s="3403"/>
      <c r="V137" s="1037"/>
      <c r="W137" s="3461"/>
      <c r="X137" s="3292"/>
      <c r="Y137" s="3292"/>
      <c r="Z137" s="3455"/>
      <c r="AA137" s="3292"/>
      <c r="AB137" s="3360"/>
      <c r="AC137" s="1037"/>
      <c r="AD137" s="3359"/>
      <c r="AE137" s="3395"/>
      <c r="AF137" s="3395"/>
      <c r="AG137" s="3395"/>
      <c r="AH137" s="3451"/>
      <c r="AI137" s="3385">
        <f>SUM(AI138:AI139)</f>
        <v>191781</v>
      </c>
      <c r="AJ137" s="3405"/>
      <c r="AK137" s="1037"/>
      <c r="AL137" s="3385">
        <f>SUM(AL138:AL139)</f>
        <v>191781</v>
      </c>
      <c r="AM137" s="3385">
        <f>SUM(AM138:AM139)</f>
        <v>0</v>
      </c>
      <c r="AN137" s="3406">
        <f t="shared" si="260"/>
        <v>191781</v>
      </c>
      <c r="AO137" s="1037"/>
      <c r="AP137" s="3385">
        <f t="shared" ref="AP137:AY137" si="276">SUM(AP138:AP139)</f>
        <v>0</v>
      </c>
      <c r="AQ137" s="3385">
        <f t="shared" si="276"/>
        <v>0</v>
      </c>
      <c r="AR137" s="3385">
        <f t="shared" si="276"/>
        <v>0</v>
      </c>
      <c r="AS137" s="3385">
        <f t="shared" si="276"/>
        <v>0</v>
      </c>
      <c r="AT137" s="3385">
        <f t="shared" si="276"/>
        <v>0</v>
      </c>
      <c r="AU137" s="3385">
        <f t="shared" si="276"/>
        <v>0</v>
      </c>
      <c r="AV137" s="3385">
        <f t="shared" si="276"/>
        <v>0</v>
      </c>
      <c r="AW137" s="3385">
        <f t="shared" si="276"/>
        <v>0</v>
      </c>
      <c r="AX137" s="3385">
        <f t="shared" si="276"/>
        <v>0</v>
      </c>
      <c r="AY137" s="3385">
        <f t="shared" si="276"/>
        <v>0</v>
      </c>
      <c r="AZ137" s="3462">
        <f t="shared" si="262"/>
        <v>0</v>
      </c>
      <c r="BA137" s="1037"/>
      <c r="BB137" s="3385">
        <f t="shared" ref="BB137:BM137" si="277">SUM(BB138:BB139)</f>
        <v>0</v>
      </c>
      <c r="BC137" s="3385">
        <f t="shared" si="277"/>
        <v>0</v>
      </c>
      <c r="BD137" s="3385">
        <f t="shared" si="277"/>
        <v>0</v>
      </c>
      <c r="BE137" s="3385">
        <f t="shared" si="277"/>
        <v>0</v>
      </c>
      <c r="BF137" s="3385">
        <f t="shared" si="277"/>
        <v>0</v>
      </c>
      <c r="BG137" s="3385">
        <f t="shared" si="277"/>
        <v>0</v>
      </c>
      <c r="BH137" s="3385">
        <f t="shared" si="277"/>
        <v>0</v>
      </c>
      <c r="BI137" s="3385">
        <f t="shared" si="277"/>
        <v>0</v>
      </c>
      <c r="BJ137" s="3385">
        <f t="shared" si="277"/>
        <v>0</v>
      </c>
      <c r="BK137" s="3385">
        <f t="shared" si="277"/>
        <v>0</v>
      </c>
      <c r="BL137" s="3385">
        <f t="shared" si="277"/>
        <v>0</v>
      </c>
      <c r="BM137" s="3385">
        <f t="shared" si="277"/>
        <v>0</v>
      </c>
      <c r="BN137" s="3462">
        <f t="shared" si="264"/>
        <v>0</v>
      </c>
      <c r="BO137" s="1037"/>
      <c r="BP137" s="3385">
        <f t="shared" ref="BP137:CA137" si="278">SUM(BP138:BP139)</f>
        <v>0</v>
      </c>
      <c r="BQ137" s="3385">
        <f>SUM(BQ138:BQ139)</f>
        <v>0</v>
      </c>
      <c r="BR137" s="3385">
        <f t="shared" si="278"/>
        <v>0</v>
      </c>
      <c r="BS137" s="3385">
        <f t="shared" si="278"/>
        <v>0</v>
      </c>
      <c r="BT137" s="3385">
        <f>SUM(BT138:BT139)</f>
        <v>38356.200000000004</v>
      </c>
      <c r="BU137" s="3385">
        <f t="shared" si="278"/>
        <v>0</v>
      </c>
      <c r="BV137" s="3385">
        <f t="shared" si="278"/>
        <v>0</v>
      </c>
      <c r="BW137" s="3385">
        <f t="shared" si="278"/>
        <v>38356.200000000004</v>
      </c>
      <c r="BX137" s="3385">
        <f t="shared" si="278"/>
        <v>0</v>
      </c>
      <c r="BY137" s="3385">
        <f t="shared" si="278"/>
        <v>57534.299999999996</v>
      </c>
      <c r="BZ137" s="3385">
        <f t="shared" si="278"/>
        <v>0</v>
      </c>
      <c r="CA137" s="3385">
        <f t="shared" si="278"/>
        <v>0</v>
      </c>
      <c r="CB137" s="3463">
        <f>SUM(BP137:CA137)</f>
        <v>134246.70000000001</v>
      </c>
      <c r="CC137" s="1037"/>
      <c r="CD137" s="3385">
        <f t="shared" ref="CD137:CO137" si="279">SUM(CD138:CD139)</f>
        <v>0</v>
      </c>
      <c r="CE137" s="3385">
        <f t="shared" si="279"/>
        <v>0</v>
      </c>
      <c r="CF137" s="3385">
        <f t="shared" si="279"/>
        <v>0</v>
      </c>
      <c r="CG137" s="3385">
        <f t="shared" si="279"/>
        <v>57534.299999999996</v>
      </c>
      <c r="CH137" s="3385">
        <f t="shared" si="279"/>
        <v>0</v>
      </c>
      <c r="CI137" s="3385">
        <f t="shared" si="279"/>
        <v>0</v>
      </c>
      <c r="CJ137" s="3385">
        <f t="shared" si="279"/>
        <v>0</v>
      </c>
      <c r="CK137" s="3385">
        <f t="shared" si="279"/>
        <v>0</v>
      </c>
      <c r="CL137" s="3385">
        <f t="shared" si="279"/>
        <v>0</v>
      </c>
      <c r="CM137" s="3385">
        <f t="shared" si="279"/>
        <v>0</v>
      </c>
      <c r="CN137" s="3385">
        <f t="shared" si="279"/>
        <v>0</v>
      </c>
      <c r="CO137" s="3385">
        <f t="shared" si="279"/>
        <v>0</v>
      </c>
      <c r="CP137" s="3464">
        <f t="shared" si="259"/>
        <v>57534.299999999996</v>
      </c>
      <c r="CQ137" s="1037"/>
      <c r="CR137" s="3385">
        <f t="shared" ref="CR137:DC137" si="280">SUM(CR138:CR139)</f>
        <v>0</v>
      </c>
      <c r="CS137" s="3385">
        <f t="shared" si="280"/>
        <v>0</v>
      </c>
      <c r="CT137" s="3385">
        <f t="shared" si="280"/>
        <v>0</v>
      </c>
      <c r="CU137" s="3385">
        <f t="shared" si="280"/>
        <v>0</v>
      </c>
      <c r="CV137" s="3385">
        <f t="shared" si="280"/>
        <v>0</v>
      </c>
      <c r="CW137" s="3385">
        <f t="shared" si="280"/>
        <v>0</v>
      </c>
      <c r="CX137" s="3385">
        <f t="shared" si="280"/>
        <v>0</v>
      </c>
      <c r="CY137" s="3385">
        <f t="shared" si="280"/>
        <v>0</v>
      </c>
      <c r="CZ137" s="3385">
        <f t="shared" si="280"/>
        <v>0</v>
      </c>
      <c r="DA137" s="3385">
        <f t="shared" si="280"/>
        <v>0</v>
      </c>
      <c r="DB137" s="3385">
        <f t="shared" si="280"/>
        <v>0</v>
      </c>
      <c r="DC137" s="3385">
        <f t="shared" si="280"/>
        <v>0</v>
      </c>
      <c r="DD137" s="3437">
        <f t="shared" si="269"/>
        <v>0</v>
      </c>
      <c r="DE137" s="1037"/>
      <c r="DF137" s="3385">
        <f>SUM(DF138:DF139)</f>
        <v>0</v>
      </c>
      <c r="DG137" s="3385">
        <f>SUM(DG138:DG139)</f>
        <v>0</v>
      </c>
      <c r="DH137" s="3385">
        <f>SUM(DH138:DH139)</f>
        <v>0</v>
      </c>
      <c r="DI137" s="3460">
        <f t="shared" si="270"/>
        <v>0</v>
      </c>
      <c r="DJ137" s="3465">
        <f t="shared" si="135"/>
        <v>191781</v>
      </c>
      <c r="DK137" s="3393"/>
      <c r="DL137" s="3546">
        <f t="shared" si="129"/>
        <v>0</v>
      </c>
      <c r="DM137" s="3375"/>
      <c r="DN137" s="2716" t="s">
        <v>1175</v>
      </c>
      <c r="DO137" s="2740" t="s">
        <v>1175</v>
      </c>
      <c r="DP137" s="2740"/>
      <c r="DQ137" s="2740" t="s">
        <v>1175</v>
      </c>
      <c r="DR137" s="2740" t="str">
        <f t="shared" si="166"/>
        <v>1</v>
      </c>
      <c r="DS137" s="1037"/>
      <c r="DT137" s="1037"/>
      <c r="DU137" s="3375"/>
      <c r="DV137" s="3375"/>
      <c r="DW137" s="3375"/>
      <c r="DX137" s="3375"/>
      <c r="DY137" s="3375"/>
      <c r="DZ137" s="3375"/>
    </row>
    <row r="138" spans="1:130" s="2054" customFormat="1" ht="46.25" hidden="1" customHeight="1" outlineLevel="3">
      <c r="A138" s="3375"/>
      <c r="B138" s="3433"/>
      <c r="C138" s="3309"/>
      <c r="D138" s="3310" t="s">
        <v>1361</v>
      </c>
      <c r="E138" s="3377"/>
      <c r="F138" s="3435" t="s">
        <v>1361</v>
      </c>
      <c r="G138" s="3379" t="s">
        <v>1279</v>
      </c>
      <c r="H138" s="3460" t="s">
        <v>1362</v>
      </c>
      <c r="I138" s="3359"/>
      <c r="J138" s="3359"/>
      <c r="K138" s="1037"/>
      <c r="L138" s="3359"/>
      <c r="M138" s="3403"/>
      <c r="N138" s="3403"/>
      <c r="O138" s="3403"/>
      <c r="P138" s="3403"/>
      <c r="Q138" s="3403"/>
      <c r="R138" s="3403"/>
      <c r="S138" s="3403"/>
      <c r="T138" s="3403"/>
      <c r="U138" s="3403"/>
      <c r="V138" s="1037"/>
      <c r="W138" s="3461"/>
      <c r="X138" s="3292"/>
      <c r="Y138" s="3292"/>
      <c r="Z138" s="3455"/>
      <c r="AA138" s="3292"/>
      <c r="AB138" s="3360"/>
      <c r="AC138" s="1037"/>
      <c r="AD138" s="3359"/>
      <c r="AE138" s="3395"/>
      <c r="AF138" s="3395"/>
      <c r="AG138" s="3395"/>
      <c r="AH138" s="3451"/>
      <c r="AI138" s="3385"/>
      <c r="AJ138" s="3405"/>
      <c r="AK138" s="1037"/>
      <c r="AL138" s="3385"/>
      <c r="AM138" s="3385"/>
      <c r="AN138" s="3406">
        <f t="shared" si="260"/>
        <v>0</v>
      </c>
      <c r="AO138" s="1037"/>
      <c r="AP138" s="3395"/>
      <c r="AQ138" s="3395"/>
      <c r="AR138" s="3395"/>
      <c r="AS138" s="3395"/>
      <c r="AT138" s="3395"/>
      <c r="AU138" s="3395"/>
      <c r="AV138" s="3395"/>
      <c r="AW138" s="3395"/>
      <c r="AX138" s="3395"/>
      <c r="AY138" s="3395"/>
      <c r="AZ138" s="3462">
        <f t="shared" si="262"/>
        <v>0</v>
      </c>
      <c r="BA138" s="1037"/>
      <c r="BB138" s="3395" t="s">
        <v>157</v>
      </c>
      <c r="BC138" s="3395"/>
      <c r="BD138" s="3395"/>
      <c r="BE138" s="3395"/>
      <c r="BF138" s="3395"/>
      <c r="BG138" s="3395"/>
      <c r="BH138" s="3395"/>
      <c r="BI138" s="3395"/>
      <c r="BJ138" s="3395"/>
      <c r="BK138" s="3395"/>
      <c r="BL138" s="3395"/>
      <c r="BM138" s="3395"/>
      <c r="BN138" s="3462">
        <f t="shared" si="264"/>
        <v>0</v>
      </c>
      <c r="BO138" s="1037"/>
      <c r="BP138" s="3395"/>
      <c r="BQ138" s="3395"/>
      <c r="BR138" s="3395"/>
      <c r="BS138" s="3395"/>
      <c r="BT138" s="3395"/>
      <c r="BU138" s="3395"/>
      <c r="BV138" s="3395"/>
      <c r="BW138" s="3395"/>
      <c r="BX138" s="3395"/>
      <c r="BY138" s="3395"/>
      <c r="BZ138" s="3395"/>
      <c r="CA138" s="3395"/>
      <c r="CB138" s="3463">
        <f t="shared" si="266"/>
        <v>0</v>
      </c>
      <c r="CC138" s="1037"/>
      <c r="CD138" s="3395"/>
      <c r="CE138" s="3395"/>
      <c r="CF138" s="3395"/>
      <c r="CG138" s="3395"/>
      <c r="CH138" s="3395"/>
      <c r="CI138" s="3395"/>
      <c r="CJ138" s="3395"/>
      <c r="CK138" s="3395"/>
      <c r="CL138" s="3395"/>
      <c r="CM138" s="3395"/>
      <c r="CN138" s="3395"/>
      <c r="CO138" s="3395"/>
      <c r="CP138" s="3464">
        <f t="shared" si="259"/>
        <v>0</v>
      </c>
      <c r="CQ138" s="1037"/>
      <c r="CR138" s="3395"/>
      <c r="CS138" s="3395"/>
      <c r="CT138" s="3395"/>
      <c r="CU138" s="3395"/>
      <c r="CV138" s="3395"/>
      <c r="CW138" s="3395"/>
      <c r="CX138" s="3395"/>
      <c r="CY138" s="3395"/>
      <c r="CZ138" s="3395"/>
      <c r="DA138" s="3395"/>
      <c r="DB138" s="3395"/>
      <c r="DC138" s="3395"/>
      <c r="DD138" s="3437">
        <f t="shared" si="269"/>
        <v>0</v>
      </c>
      <c r="DE138" s="1037"/>
      <c r="DF138" s="3395"/>
      <c r="DG138" s="3395"/>
      <c r="DH138" s="3395"/>
      <c r="DI138" s="3460">
        <f t="shared" si="270"/>
        <v>0</v>
      </c>
      <c r="DJ138" s="3465">
        <f t="shared" si="135"/>
        <v>0</v>
      </c>
      <c r="DK138" s="3393"/>
      <c r="DL138" s="3546">
        <f t="shared" ref="DL138:DL178" si="281">+AN138-DJ138</f>
        <v>0</v>
      </c>
      <c r="DM138" s="3375"/>
      <c r="DN138" s="2716" t="s">
        <v>1175</v>
      </c>
      <c r="DO138" s="2740" t="s">
        <v>1175</v>
      </c>
      <c r="DP138" s="2740"/>
      <c r="DQ138" s="2740" t="s">
        <v>1175</v>
      </c>
      <c r="DR138" s="2740" t="str">
        <f t="shared" si="166"/>
        <v>1</v>
      </c>
      <c r="DS138" s="1037"/>
      <c r="DT138" s="1037"/>
      <c r="DU138" s="3375"/>
      <c r="DV138" s="3375"/>
      <c r="DW138" s="3375"/>
      <c r="DX138" s="3375"/>
      <c r="DY138" s="3375"/>
      <c r="DZ138" s="3375"/>
    </row>
    <row r="139" spans="1:130" s="2313" customFormat="1" ht="90" hidden="1" outlineLevel="3">
      <c r="A139" s="3375"/>
      <c r="B139" s="3433"/>
      <c r="C139" s="3309" t="s">
        <v>1358</v>
      </c>
      <c r="D139" s="3310" t="s">
        <v>836</v>
      </c>
      <c r="E139" s="3377"/>
      <c r="F139" s="3435" t="s">
        <v>836</v>
      </c>
      <c r="G139" s="3379" t="s">
        <v>1279</v>
      </c>
      <c r="H139" s="3460" t="s">
        <v>837</v>
      </c>
      <c r="I139" s="3359"/>
      <c r="J139" s="3359"/>
      <c r="K139" s="1037"/>
      <c r="L139" s="3359"/>
      <c r="M139" s="3403"/>
      <c r="N139" s="3403"/>
      <c r="O139" s="3403"/>
      <c r="P139" s="3403"/>
      <c r="Q139" s="3403"/>
      <c r="R139" s="3403"/>
      <c r="S139" s="3403"/>
      <c r="T139" s="3403"/>
      <c r="U139" s="3403"/>
      <c r="V139" s="1037"/>
      <c r="W139" s="3371" t="s">
        <v>838</v>
      </c>
      <c r="X139" s="3371" t="s">
        <v>1075</v>
      </c>
      <c r="Y139" s="3371" t="s">
        <v>1198</v>
      </c>
      <c r="Z139" s="3339">
        <v>23</v>
      </c>
      <c r="AA139" s="3292"/>
      <c r="AB139" s="3360"/>
      <c r="AC139" s="1037"/>
      <c r="AD139" s="3359" t="s">
        <v>1179</v>
      </c>
      <c r="AE139" s="3395">
        <v>1</v>
      </c>
      <c r="AF139" s="3395"/>
      <c r="AG139" s="3395"/>
      <c r="AH139" s="3533">
        <f>120000+71750+31</f>
        <v>191781</v>
      </c>
      <c r="AI139" s="3385">
        <f>AE139*AH139</f>
        <v>191781</v>
      </c>
      <c r="AJ139" s="3405" t="s">
        <v>1299</v>
      </c>
      <c r="AK139" s="1037"/>
      <c r="AL139" s="3385">
        <f>+AI139</f>
        <v>191781</v>
      </c>
      <c r="AM139" s="3385"/>
      <c r="AN139" s="3406">
        <f t="shared" si="260"/>
        <v>191781</v>
      </c>
      <c r="AO139" s="1037"/>
      <c r="AP139" s="3395"/>
      <c r="AQ139" s="3395"/>
      <c r="AR139" s="3395"/>
      <c r="AS139" s="3395"/>
      <c r="AT139" s="3395"/>
      <c r="AU139" s="3395"/>
      <c r="AV139" s="3395"/>
      <c r="AW139" s="3395"/>
      <c r="AX139" s="3395"/>
      <c r="AY139" s="3395"/>
      <c r="AZ139" s="3462">
        <f t="shared" si="262"/>
        <v>0</v>
      </c>
      <c r="BA139" s="1037"/>
      <c r="BB139" s="3395"/>
      <c r="BC139" s="3395"/>
      <c r="BD139" s="3395"/>
      <c r="BE139" s="3395"/>
      <c r="BF139" s="3395"/>
      <c r="BG139" s="3466"/>
      <c r="BH139" s="3466"/>
      <c r="BI139" s="3466"/>
      <c r="BJ139" s="3466"/>
      <c r="BK139" s="3466"/>
      <c r="BL139" s="3466"/>
      <c r="BM139" s="3466"/>
      <c r="BN139" s="3462">
        <f t="shared" si="264"/>
        <v>0</v>
      </c>
      <c r="BO139" s="1037"/>
      <c r="BP139" s="3395"/>
      <c r="BQ139" s="3466"/>
      <c r="BR139" s="3466"/>
      <c r="BS139" s="3466"/>
      <c r="BT139" s="3395">
        <f>+$AL139*20%</f>
        <v>38356.200000000004</v>
      </c>
      <c r="BU139" s="3466"/>
      <c r="BV139" s="3466"/>
      <c r="BW139" s="3395">
        <f>+$AL139*20%</f>
        <v>38356.200000000004</v>
      </c>
      <c r="BX139" s="3466"/>
      <c r="BY139" s="3466">
        <f>+$AL139*30%</f>
        <v>57534.299999999996</v>
      </c>
      <c r="BZ139" s="3466"/>
      <c r="CA139" s="3395"/>
      <c r="CB139" s="3463">
        <f>SUM(BP139:CA139)</f>
        <v>134246.70000000001</v>
      </c>
      <c r="CC139" s="1037"/>
      <c r="CD139" s="3466"/>
      <c r="CE139" s="3395"/>
      <c r="CF139" s="3466"/>
      <c r="CG139" s="3466">
        <f>+$AL139*30%</f>
        <v>57534.299999999996</v>
      </c>
      <c r="CH139" s="3395"/>
      <c r="CI139" s="3395"/>
      <c r="CJ139" s="3395"/>
      <c r="CK139" s="3395"/>
      <c r="CL139" s="3395"/>
      <c r="CM139" s="3395"/>
      <c r="CN139" s="3395"/>
      <c r="CO139" s="3395"/>
      <c r="CP139" s="3464">
        <f t="shared" si="259"/>
        <v>57534.299999999996</v>
      </c>
      <c r="CQ139" s="1037"/>
      <c r="CR139" s="3395"/>
      <c r="CS139" s="3395"/>
      <c r="CT139" s="3395"/>
      <c r="CU139" s="3395"/>
      <c r="CV139" s="3395"/>
      <c r="CW139" s="3395"/>
      <c r="CX139" s="3395"/>
      <c r="CY139" s="3395"/>
      <c r="CZ139" s="3395"/>
      <c r="DA139" s="3395"/>
      <c r="DB139" s="3395"/>
      <c r="DC139" s="3395"/>
      <c r="DD139" s="3437">
        <f t="shared" si="269"/>
        <v>0</v>
      </c>
      <c r="DE139" s="1037"/>
      <c r="DF139" s="3395"/>
      <c r="DG139" s="3395"/>
      <c r="DH139" s="3395"/>
      <c r="DI139" s="3460">
        <f t="shared" si="270"/>
        <v>0</v>
      </c>
      <c r="DJ139" s="3465">
        <f t="shared" ref="DJ139:DJ160" si="282">+AZ139+BN139+CB139+CP139+DD139+DI139</f>
        <v>191781</v>
      </c>
      <c r="DK139" s="3393"/>
      <c r="DL139" s="3546">
        <f t="shared" si="281"/>
        <v>0</v>
      </c>
      <c r="DM139" s="3375"/>
      <c r="DN139" s="2716" t="s">
        <v>1283</v>
      </c>
      <c r="DO139" s="2736" t="s">
        <v>1284</v>
      </c>
      <c r="DP139" s="2736" t="s">
        <v>1117</v>
      </c>
      <c r="DQ139" s="2736" t="s">
        <v>4</v>
      </c>
      <c r="DR139" s="2736" t="str">
        <f t="shared" si="166"/>
        <v>1</v>
      </c>
      <c r="DS139" s="1037"/>
      <c r="DT139" s="1037"/>
      <c r="DU139" s="3375"/>
      <c r="DV139" s="3375"/>
      <c r="DW139" s="3375"/>
      <c r="DX139" s="3375"/>
      <c r="DY139" s="3375"/>
      <c r="DZ139" s="3375"/>
    </row>
    <row r="140" spans="1:130" s="2054" customFormat="1" ht="15" hidden="1" outlineLevel="3">
      <c r="A140" s="3365"/>
      <c r="B140" s="3366"/>
      <c r="C140" s="3309" t="s">
        <v>839</v>
      </c>
      <c r="D140" s="3310" t="s">
        <v>839</v>
      </c>
      <c r="E140" s="3367"/>
      <c r="F140" s="3368" t="s">
        <v>839</v>
      </c>
      <c r="G140" s="3369"/>
      <c r="H140" s="3457" t="s">
        <v>840</v>
      </c>
      <c r="I140" s="3370"/>
      <c r="J140" s="3370"/>
      <c r="K140" s="2858"/>
      <c r="L140" s="3371"/>
      <c r="M140" s="3371"/>
      <c r="N140" s="3371"/>
      <c r="O140" s="3371"/>
      <c r="P140" s="3371"/>
      <c r="Q140" s="3371"/>
      <c r="R140" s="3371"/>
      <c r="S140" s="3371"/>
      <c r="T140" s="3371"/>
      <c r="U140" s="3371"/>
      <c r="V140" s="2858"/>
      <c r="W140" s="3371"/>
      <c r="X140" s="3371"/>
      <c r="Y140" s="3371"/>
      <c r="Z140" s="3339"/>
      <c r="AA140" s="3371"/>
      <c r="AB140" s="3371"/>
      <c r="AC140" s="2858"/>
      <c r="AD140" s="3372"/>
      <c r="AE140" s="3371"/>
      <c r="AF140" s="3371"/>
      <c r="AG140" s="3371"/>
      <c r="AH140" s="3370"/>
      <c r="AI140" s="3370">
        <f>+AI141</f>
        <v>308250</v>
      </c>
      <c r="AJ140" s="3370"/>
      <c r="AK140" s="2858"/>
      <c r="AL140" s="3370">
        <f>+AL141</f>
        <v>308250</v>
      </c>
      <c r="AM140" s="3370">
        <f>+AM141</f>
        <v>0</v>
      </c>
      <c r="AN140" s="3370">
        <f t="shared" si="260"/>
        <v>308250</v>
      </c>
      <c r="AO140" s="2858"/>
      <c r="AP140" s="3371">
        <f t="shared" ref="AP140:AY140" si="283">AP141</f>
        <v>0</v>
      </c>
      <c r="AQ140" s="3371">
        <f t="shared" si="283"/>
        <v>0</v>
      </c>
      <c r="AR140" s="3371">
        <f t="shared" si="283"/>
        <v>0</v>
      </c>
      <c r="AS140" s="3371">
        <f t="shared" si="283"/>
        <v>0</v>
      </c>
      <c r="AT140" s="3371">
        <f t="shared" si="283"/>
        <v>0</v>
      </c>
      <c r="AU140" s="3371">
        <f t="shared" si="283"/>
        <v>0</v>
      </c>
      <c r="AV140" s="3371">
        <f t="shared" si="283"/>
        <v>0</v>
      </c>
      <c r="AW140" s="3371">
        <f t="shared" si="283"/>
        <v>0</v>
      </c>
      <c r="AX140" s="3371">
        <f t="shared" si="283"/>
        <v>0</v>
      </c>
      <c r="AY140" s="3371">
        <f t="shared" si="283"/>
        <v>0</v>
      </c>
      <c r="AZ140" s="3371">
        <f t="shared" si="262"/>
        <v>0</v>
      </c>
      <c r="BA140" s="1037"/>
      <c r="BB140" s="3371">
        <f t="shared" ref="BB140:BM140" si="284">BB141</f>
        <v>0</v>
      </c>
      <c r="BC140" s="3371">
        <f t="shared" si="284"/>
        <v>0</v>
      </c>
      <c r="BD140" s="3371">
        <f t="shared" si="284"/>
        <v>0</v>
      </c>
      <c r="BE140" s="3371">
        <f t="shared" si="284"/>
        <v>0</v>
      </c>
      <c r="BF140" s="3371">
        <f t="shared" si="284"/>
        <v>0</v>
      </c>
      <c r="BG140" s="3371">
        <f t="shared" si="284"/>
        <v>0</v>
      </c>
      <c r="BH140" s="3371">
        <f t="shared" si="284"/>
        <v>0</v>
      </c>
      <c r="BI140" s="3371">
        <f t="shared" si="284"/>
        <v>0</v>
      </c>
      <c r="BJ140" s="3371">
        <f t="shared" si="284"/>
        <v>0</v>
      </c>
      <c r="BK140" s="3371">
        <f t="shared" si="284"/>
        <v>0</v>
      </c>
      <c r="BL140" s="3371">
        <f t="shared" si="284"/>
        <v>0</v>
      </c>
      <c r="BM140" s="3371">
        <f t="shared" si="284"/>
        <v>0</v>
      </c>
      <c r="BN140" s="3371">
        <f t="shared" si="264"/>
        <v>0</v>
      </c>
      <c r="BO140" s="2858"/>
      <c r="BP140" s="3371">
        <f t="shared" ref="BP140:CA140" si="285">BP141</f>
        <v>0</v>
      </c>
      <c r="BQ140" s="3371">
        <f t="shared" si="285"/>
        <v>0</v>
      </c>
      <c r="BR140" s="3371">
        <f t="shared" si="285"/>
        <v>0</v>
      </c>
      <c r="BS140" s="3371">
        <f t="shared" si="285"/>
        <v>0</v>
      </c>
      <c r="BT140" s="3371">
        <f t="shared" si="285"/>
        <v>0</v>
      </c>
      <c r="BU140" s="3371">
        <f t="shared" si="285"/>
        <v>0</v>
      </c>
      <c r="BV140" s="3371">
        <f t="shared" si="285"/>
        <v>0</v>
      </c>
      <c r="BW140" s="3371">
        <f t="shared" si="285"/>
        <v>0</v>
      </c>
      <c r="BX140" s="3371">
        <f t="shared" si="285"/>
        <v>0</v>
      </c>
      <c r="BY140" s="3371">
        <f t="shared" si="285"/>
        <v>0</v>
      </c>
      <c r="BZ140" s="3371">
        <f t="shared" si="285"/>
        <v>0</v>
      </c>
      <c r="CA140" s="3371">
        <f t="shared" si="285"/>
        <v>0</v>
      </c>
      <c r="CB140" s="3371">
        <f t="shared" si="266"/>
        <v>0</v>
      </c>
      <c r="CC140" s="2858"/>
      <c r="CD140" s="3371">
        <f t="shared" ref="CD140:CO140" si="286">CD141</f>
        <v>0</v>
      </c>
      <c r="CE140" s="3371">
        <f t="shared" si="286"/>
        <v>0</v>
      </c>
      <c r="CF140" s="3371">
        <f t="shared" si="286"/>
        <v>0</v>
      </c>
      <c r="CG140" s="3371">
        <f t="shared" si="286"/>
        <v>0</v>
      </c>
      <c r="CH140" s="3371">
        <f t="shared" si="286"/>
        <v>0</v>
      </c>
      <c r="CI140" s="3371">
        <f t="shared" si="286"/>
        <v>0</v>
      </c>
      <c r="CJ140" s="3371">
        <f>CJ141</f>
        <v>0</v>
      </c>
      <c r="CK140" s="3371">
        <f t="shared" si="286"/>
        <v>61650</v>
      </c>
      <c r="CL140" s="3371">
        <f t="shared" si="286"/>
        <v>0</v>
      </c>
      <c r="CM140" s="3371">
        <f t="shared" si="286"/>
        <v>0</v>
      </c>
      <c r="CN140" s="3371">
        <f t="shared" si="286"/>
        <v>92475</v>
      </c>
      <c r="CO140" s="3371">
        <f t="shared" si="286"/>
        <v>0</v>
      </c>
      <c r="CP140" s="3371">
        <f t="shared" si="259"/>
        <v>154125</v>
      </c>
      <c r="CQ140" s="2858"/>
      <c r="CR140" s="3371">
        <f t="shared" ref="CR140:DC140" si="287">CR141</f>
        <v>0</v>
      </c>
      <c r="CS140" s="3371">
        <f t="shared" si="287"/>
        <v>92475</v>
      </c>
      <c r="CT140" s="3371">
        <f t="shared" si="287"/>
        <v>0</v>
      </c>
      <c r="CU140" s="3371">
        <f t="shared" si="287"/>
        <v>0</v>
      </c>
      <c r="CV140" s="3371">
        <f t="shared" si="287"/>
        <v>61650</v>
      </c>
      <c r="CW140" s="3371">
        <f t="shared" si="287"/>
        <v>0</v>
      </c>
      <c r="CX140" s="3371">
        <f t="shared" si="287"/>
        <v>0</v>
      </c>
      <c r="CY140" s="3371">
        <f t="shared" si="287"/>
        <v>0</v>
      </c>
      <c r="CZ140" s="3371">
        <f t="shared" si="287"/>
        <v>0</v>
      </c>
      <c r="DA140" s="3371">
        <f t="shared" si="287"/>
        <v>0</v>
      </c>
      <c r="DB140" s="3371">
        <f t="shared" si="287"/>
        <v>0</v>
      </c>
      <c r="DC140" s="3371">
        <f t="shared" si="287"/>
        <v>0</v>
      </c>
      <c r="DD140" s="3371">
        <f t="shared" si="269"/>
        <v>154125</v>
      </c>
      <c r="DE140" s="2858"/>
      <c r="DF140" s="3371">
        <f>DF141</f>
        <v>0</v>
      </c>
      <c r="DG140" s="3371">
        <f>DG141</f>
        <v>0</v>
      </c>
      <c r="DH140" s="3371">
        <f>DH141</f>
        <v>0</v>
      </c>
      <c r="DI140" s="3457">
        <f t="shared" si="270"/>
        <v>0</v>
      </c>
      <c r="DJ140" s="3459">
        <f t="shared" si="282"/>
        <v>308250</v>
      </c>
      <c r="DK140" s="3365"/>
      <c r="DL140" s="3545">
        <f t="shared" si="281"/>
        <v>0</v>
      </c>
      <c r="DM140" s="3365"/>
      <c r="DN140" s="2716" t="s">
        <v>1175</v>
      </c>
      <c r="DO140" s="2739" t="s">
        <v>1175</v>
      </c>
      <c r="DP140" s="2739"/>
      <c r="DQ140" s="2739" t="s">
        <v>1175</v>
      </c>
      <c r="DR140" s="2739" t="str">
        <f t="shared" si="166"/>
        <v>1</v>
      </c>
      <c r="DS140" s="2858"/>
      <c r="DT140" s="2858"/>
      <c r="DU140" s="3365"/>
      <c r="DV140" s="3365"/>
      <c r="DW140" s="3365"/>
      <c r="DX140" s="3365"/>
      <c r="DY140" s="3365"/>
      <c r="DZ140" s="3365"/>
    </row>
    <row r="141" spans="1:130" s="2051" customFormat="1" ht="15" hidden="1" outlineLevel="3">
      <c r="A141" s="3375"/>
      <c r="B141" s="3433"/>
      <c r="C141" s="3309" t="s">
        <v>841</v>
      </c>
      <c r="D141" s="3310" t="s">
        <v>841</v>
      </c>
      <c r="E141" s="3377"/>
      <c r="F141" s="3435" t="s">
        <v>841</v>
      </c>
      <c r="G141" s="3379"/>
      <c r="H141" s="3460" t="s">
        <v>842</v>
      </c>
      <c r="I141" s="3359"/>
      <c r="J141" s="3359"/>
      <c r="K141" s="1037"/>
      <c r="L141" s="3359"/>
      <c r="M141" s="3403"/>
      <c r="N141" s="3403"/>
      <c r="O141" s="3403"/>
      <c r="P141" s="3403"/>
      <c r="Q141" s="3403"/>
      <c r="R141" s="3403"/>
      <c r="S141" s="3403"/>
      <c r="T141" s="3403"/>
      <c r="U141" s="3403"/>
      <c r="V141" s="1037"/>
      <c r="W141" s="3467" t="s">
        <v>853</v>
      </c>
      <c r="X141" s="3467"/>
      <c r="Y141" s="3292"/>
      <c r="Z141" s="3339">
        <v>82</v>
      </c>
      <c r="AA141" s="3467"/>
      <c r="AB141" s="3360"/>
      <c r="AC141" s="1037"/>
      <c r="AD141" s="3359" t="s">
        <v>1179</v>
      </c>
      <c r="AE141" s="3395">
        <v>1</v>
      </c>
      <c r="AF141" s="3395"/>
      <c r="AG141" s="3395"/>
      <c r="AH141" s="3359">
        <f>380000-71750</f>
        <v>308250</v>
      </c>
      <c r="AI141" s="3385">
        <f>AE141*AH141</f>
        <v>308250</v>
      </c>
      <c r="AJ141" s="3405"/>
      <c r="AK141" s="1037"/>
      <c r="AL141" s="3385">
        <f>+AI141</f>
        <v>308250</v>
      </c>
      <c r="AM141" s="3385"/>
      <c r="AN141" s="3406">
        <f t="shared" si="260"/>
        <v>308250</v>
      </c>
      <c r="AO141" s="1037"/>
      <c r="AP141" s="3395"/>
      <c r="AQ141" s="3395"/>
      <c r="AR141" s="3395"/>
      <c r="AS141" s="3395"/>
      <c r="AT141" s="3395"/>
      <c r="AU141" s="3395"/>
      <c r="AV141" s="3395"/>
      <c r="AW141" s="3395"/>
      <c r="AX141" s="3395"/>
      <c r="AY141" s="3395"/>
      <c r="AZ141" s="3462">
        <f t="shared" si="262"/>
        <v>0</v>
      </c>
      <c r="BA141" s="1037"/>
      <c r="BB141" s="3395"/>
      <c r="BC141" s="3395"/>
      <c r="BD141" s="3395"/>
      <c r="BE141" s="3395"/>
      <c r="BF141" s="3395"/>
      <c r="BG141" s="3395"/>
      <c r="BH141" s="3395"/>
      <c r="BI141" s="3395"/>
      <c r="BJ141" s="3395"/>
      <c r="BK141" s="3395"/>
      <c r="BL141" s="3395"/>
      <c r="BM141" s="3395"/>
      <c r="BN141" s="3462">
        <f t="shared" si="264"/>
        <v>0</v>
      </c>
      <c r="BO141" s="1037"/>
      <c r="BP141" s="3395"/>
      <c r="BQ141" s="3395"/>
      <c r="BR141" s="3395"/>
      <c r="BS141" s="3466"/>
      <c r="BT141" s="3395"/>
      <c r="BU141" s="3466"/>
      <c r="BV141" s="3466"/>
      <c r="BW141" s="3466"/>
      <c r="BX141" s="3466"/>
      <c r="BY141" s="3466"/>
      <c r="BZ141" s="3466"/>
      <c r="CA141" s="3466"/>
      <c r="CB141" s="3463">
        <f t="shared" si="266"/>
        <v>0</v>
      </c>
      <c r="CC141" s="1037"/>
      <c r="CD141" s="3466"/>
      <c r="CE141" s="3466"/>
      <c r="CF141" s="3466"/>
      <c r="CG141" s="3466"/>
      <c r="CH141" s="3466"/>
      <c r="CI141" s="3466"/>
      <c r="CJ141" s="3466"/>
      <c r="CK141" s="3466">
        <f>+$AL141*20%</f>
        <v>61650</v>
      </c>
      <c r="CL141" s="3466"/>
      <c r="CM141" s="3466"/>
      <c r="CN141" s="3466">
        <f>+$AL141*30%</f>
        <v>92475</v>
      </c>
      <c r="CO141" s="3466"/>
      <c r="CP141" s="3464">
        <f t="shared" si="259"/>
        <v>154125</v>
      </c>
      <c r="CQ141" s="1037"/>
      <c r="CR141" s="3395"/>
      <c r="CS141" s="3466">
        <f>+$AL141*30%</f>
        <v>92475</v>
      </c>
      <c r="CT141" s="3395"/>
      <c r="CU141" s="3395"/>
      <c r="CV141" s="3395">
        <f>+$AL141*20%</f>
        <v>61650</v>
      </c>
      <c r="CW141" s="3466"/>
      <c r="CX141" s="3395"/>
      <c r="CY141" s="3395"/>
      <c r="CZ141" s="3395"/>
      <c r="DA141" s="3395"/>
      <c r="DB141" s="3395"/>
      <c r="DC141" s="3395"/>
      <c r="DD141" s="3437">
        <f t="shared" si="269"/>
        <v>154125</v>
      </c>
      <c r="DE141" s="1037"/>
      <c r="DF141" s="3395"/>
      <c r="DG141" s="3395"/>
      <c r="DH141" s="3395"/>
      <c r="DI141" s="3460">
        <f t="shared" si="270"/>
        <v>0</v>
      </c>
      <c r="DJ141" s="3465">
        <f t="shared" si="282"/>
        <v>308250</v>
      </c>
      <c r="DK141" s="3393"/>
      <c r="DL141" s="3546">
        <f t="shared" si="281"/>
        <v>0</v>
      </c>
      <c r="DM141" s="3375"/>
      <c r="DN141" s="2716" t="s">
        <v>1283</v>
      </c>
      <c r="DO141" s="2736" t="s">
        <v>1284</v>
      </c>
      <c r="DP141" s="2736" t="s">
        <v>1117</v>
      </c>
      <c r="DQ141" s="2736" t="s">
        <v>4</v>
      </c>
      <c r="DR141" s="2736" t="str">
        <f t="shared" si="166"/>
        <v>1</v>
      </c>
      <c r="DS141" s="1037"/>
      <c r="DT141" s="1037"/>
      <c r="DU141" s="3375"/>
      <c r="DV141" s="3375"/>
      <c r="DW141" s="3375"/>
      <c r="DX141" s="3375"/>
      <c r="DY141" s="3375"/>
      <c r="DZ141" s="3375"/>
    </row>
    <row r="142" spans="1:130" s="153" customFormat="1" hidden="1" outlineLevel="2">
      <c r="A142" s="3393"/>
      <c r="B142" s="3433"/>
      <c r="C142" s="3309"/>
      <c r="D142" s="3310"/>
      <c r="E142" s="3377"/>
      <c r="F142" s="3435"/>
      <c r="G142" s="3379"/>
      <c r="H142" s="3437"/>
      <c r="I142" s="3359"/>
      <c r="J142" s="3359"/>
      <c r="K142" s="1037"/>
      <c r="L142" s="3353"/>
      <c r="M142" s="3353"/>
      <c r="N142" s="3353"/>
      <c r="O142" s="3353"/>
      <c r="P142" s="3353"/>
      <c r="Q142" s="3353"/>
      <c r="R142" s="3353"/>
      <c r="S142" s="3353"/>
      <c r="T142" s="3353"/>
      <c r="U142" s="3353"/>
      <c r="V142" s="1037"/>
      <c r="W142" s="3353"/>
      <c r="X142" s="3353"/>
      <c r="Y142" s="3353"/>
      <c r="Z142" s="3345"/>
      <c r="AA142" s="3353"/>
      <c r="AB142" s="3354"/>
      <c r="AC142" s="1037"/>
      <c r="AD142" s="3359"/>
      <c r="AE142" s="3395"/>
      <c r="AF142" s="3395"/>
      <c r="AG142" s="3395"/>
      <c r="AH142" s="3385"/>
      <c r="AI142" s="3385"/>
      <c r="AJ142" s="3468"/>
      <c r="AK142" s="1037"/>
      <c r="AL142" s="3385"/>
      <c r="AM142" s="3385"/>
      <c r="AN142" s="3406">
        <f>+AL142+AM142</f>
        <v>0</v>
      </c>
      <c r="AO142" s="1037"/>
      <c r="AP142" s="3395"/>
      <c r="AQ142" s="3395"/>
      <c r="AR142" s="3395"/>
      <c r="AS142" s="3395"/>
      <c r="AT142" s="3395"/>
      <c r="AU142" s="3395"/>
      <c r="AV142" s="3395"/>
      <c r="AW142" s="3395"/>
      <c r="AX142" s="3395"/>
      <c r="AY142" s="3395"/>
      <c r="AZ142" s="3462">
        <f t="shared" si="160"/>
        <v>0</v>
      </c>
      <c r="BA142" s="1037"/>
      <c r="BB142" s="3395"/>
      <c r="BC142" s="3395"/>
      <c r="BD142" s="3395"/>
      <c r="BE142" s="3395"/>
      <c r="BF142" s="3395"/>
      <c r="BG142" s="3395"/>
      <c r="BH142" s="3395"/>
      <c r="BI142" s="3395"/>
      <c r="BJ142" s="3395"/>
      <c r="BK142" s="3395"/>
      <c r="BL142" s="3395"/>
      <c r="BM142" s="3395"/>
      <c r="BN142" s="3462">
        <f t="shared" si="161"/>
        <v>0</v>
      </c>
      <c r="BO142" s="1037"/>
      <c r="BP142" s="3395"/>
      <c r="BQ142" s="3395"/>
      <c r="BR142" s="3395"/>
      <c r="BS142" s="3395"/>
      <c r="BT142" s="3395"/>
      <c r="BU142" s="3395"/>
      <c r="BV142" s="3395"/>
      <c r="BW142" s="3395"/>
      <c r="BX142" s="3395"/>
      <c r="BY142" s="3395"/>
      <c r="BZ142" s="3395"/>
      <c r="CA142" s="3395"/>
      <c r="CB142" s="3462">
        <f t="shared" si="162"/>
        <v>0</v>
      </c>
      <c r="CC142" s="1037"/>
      <c r="CD142" s="3395"/>
      <c r="CE142" s="3395"/>
      <c r="CF142" s="3395"/>
      <c r="CG142" s="3395"/>
      <c r="CH142" s="3395"/>
      <c r="CI142" s="3395"/>
      <c r="CJ142" s="3395"/>
      <c r="CK142" s="3395"/>
      <c r="CL142" s="3395"/>
      <c r="CM142" s="3395"/>
      <c r="CN142" s="3395"/>
      <c r="CO142" s="3395"/>
      <c r="CP142" s="3464">
        <f t="shared" si="164"/>
        <v>0</v>
      </c>
      <c r="CQ142" s="1037"/>
      <c r="CR142" s="3395"/>
      <c r="CS142" s="3395"/>
      <c r="CT142" s="3395"/>
      <c r="CU142" s="3395"/>
      <c r="CV142" s="3395"/>
      <c r="CW142" s="3395"/>
      <c r="CX142" s="3395"/>
      <c r="CY142" s="3395"/>
      <c r="CZ142" s="3395"/>
      <c r="DA142" s="3395"/>
      <c r="DB142" s="3395"/>
      <c r="DC142" s="3395"/>
      <c r="DD142" s="3469">
        <f t="shared" si="165"/>
        <v>0</v>
      </c>
      <c r="DE142" s="1037"/>
      <c r="DF142" s="3395"/>
      <c r="DG142" s="3395"/>
      <c r="DH142" s="3395"/>
      <c r="DI142" s="3469">
        <f t="shared" si="163"/>
        <v>0</v>
      </c>
      <c r="DJ142" s="3470">
        <f t="shared" si="282"/>
        <v>0</v>
      </c>
      <c r="DK142" s="3393"/>
      <c r="DL142" s="3546">
        <f t="shared" si="281"/>
        <v>0</v>
      </c>
      <c r="DM142" s="3393"/>
      <c r="DN142" s="2749" t="s">
        <v>1175</v>
      </c>
      <c r="DO142" s="2747" t="s">
        <v>1175</v>
      </c>
      <c r="DP142" s="2747"/>
      <c r="DQ142" s="2747" t="s">
        <v>1175</v>
      </c>
      <c r="DR142" s="2747" t="str">
        <f t="shared" si="166"/>
        <v/>
      </c>
      <c r="DS142" s="1037"/>
      <c r="DT142" s="1037"/>
      <c r="DU142" s="3393"/>
      <c r="DV142" s="3393"/>
      <c r="DW142" s="3393"/>
      <c r="DX142" s="3393"/>
      <c r="DY142" s="3393"/>
      <c r="DZ142" s="3393"/>
    </row>
    <row r="143" spans="1:130" s="153" customFormat="1" ht="19.25" hidden="1" customHeight="1" outlineLevel="1">
      <c r="B143" s="2826"/>
      <c r="C143" s="3298"/>
      <c r="D143" s="2939" t="s">
        <v>511</v>
      </c>
      <c r="E143" s="2827"/>
      <c r="F143" s="3471" t="s">
        <v>511</v>
      </c>
      <c r="G143" s="2828"/>
      <c r="H143" s="3472" t="s">
        <v>29</v>
      </c>
      <c r="I143" s="3472" t="s">
        <v>4</v>
      </c>
      <c r="J143" s="427"/>
      <c r="K143" s="1037"/>
      <c r="L143" s="425"/>
      <c r="M143" s="425"/>
      <c r="N143" s="3301"/>
      <c r="O143" s="3301"/>
      <c r="P143" s="3301"/>
      <c r="Q143" s="3301"/>
      <c r="R143" s="3301"/>
      <c r="S143" s="3301"/>
      <c r="T143" s="3301"/>
      <c r="U143" s="3301"/>
      <c r="V143" s="1037"/>
      <c r="W143" s="850"/>
      <c r="X143" s="850"/>
      <c r="Y143" s="850"/>
      <c r="Z143" s="850"/>
      <c r="AA143" s="850"/>
      <c r="AB143" s="431"/>
      <c r="AC143" s="1037"/>
      <c r="AD143" s="426"/>
      <c r="AE143" s="425"/>
      <c r="AF143" s="425"/>
      <c r="AG143" s="425"/>
      <c r="AH143" s="433"/>
      <c r="AI143" s="433">
        <f>+AI144</f>
        <v>8000000.0000799997</v>
      </c>
      <c r="AJ143" s="685"/>
      <c r="AK143" s="1037"/>
      <c r="AL143" s="433">
        <f>+AL144</f>
        <v>8000000.0000799997</v>
      </c>
      <c r="AM143" s="433">
        <f>+AM144</f>
        <v>0</v>
      </c>
      <c r="AN143" s="433">
        <f>+AL143+AM143</f>
        <v>8000000.0000799997</v>
      </c>
      <c r="AO143" s="1037"/>
      <c r="AP143" s="433">
        <f t="shared" ref="AP143:DA143" si="288">+AP144</f>
        <v>0</v>
      </c>
      <c r="AQ143" s="433">
        <f t="shared" si="288"/>
        <v>0</v>
      </c>
      <c r="AR143" s="433">
        <f t="shared" si="288"/>
        <v>0</v>
      </c>
      <c r="AS143" s="433">
        <f t="shared" si="288"/>
        <v>0</v>
      </c>
      <c r="AT143" s="433">
        <f t="shared" si="288"/>
        <v>0</v>
      </c>
      <c r="AU143" s="433">
        <f t="shared" si="288"/>
        <v>0</v>
      </c>
      <c r="AV143" s="433">
        <f t="shared" si="288"/>
        <v>0</v>
      </c>
      <c r="AW143" s="433">
        <f t="shared" si="288"/>
        <v>0</v>
      </c>
      <c r="AX143" s="433">
        <f t="shared" si="288"/>
        <v>0</v>
      </c>
      <c r="AY143" s="433">
        <f t="shared" si="288"/>
        <v>0</v>
      </c>
      <c r="AZ143" s="433">
        <f t="shared" si="288"/>
        <v>0</v>
      </c>
      <c r="BA143" s="1037">
        <f t="shared" si="288"/>
        <v>0</v>
      </c>
      <c r="BB143" s="433">
        <f t="shared" si="288"/>
        <v>0</v>
      </c>
      <c r="BC143" s="433">
        <f t="shared" si="288"/>
        <v>0</v>
      </c>
      <c r="BD143" s="433">
        <f t="shared" si="288"/>
        <v>0</v>
      </c>
      <c r="BE143" s="433">
        <f t="shared" si="288"/>
        <v>0</v>
      </c>
      <c r="BF143" s="433">
        <f t="shared" si="288"/>
        <v>4997</v>
      </c>
      <c r="BG143" s="433">
        <f t="shared" si="288"/>
        <v>14995</v>
      </c>
      <c r="BH143" s="433">
        <f t="shared" si="288"/>
        <v>14995</v>
      </c>
      <c r="BI143" s="433">
        <f t="shared" si="288"/>
        <v>14995</v>
      </c>
      <c r="BJ143" s="433">
        <f t="shared" si="288"/>
        <v>9995</v>
      </c>
      <c r="BK143" s="433">
        <f t="shared" si="288"/>
        <v>9995.1666399999995</v>
      </c>
      <c r="BL143" s="433">
        <f t="shared" si="288"/>
        <v>0</v>
      </c>
      <c r="BM143" s="433">
        <f t="shared" si="288"/>
        <v>0</v>
      </c>
      <c r="BN143" s="433">
        <f>+BN144</f>
        <v>69972.166639999996</v>
      </c>
      <c r="BO143" s="485">
        <f t="shared" si="288"/>
        <v>0</v>
      </c>
      <c r="BP143" s="433">
        <f t="shared" si="288"/>
        <v>0</v>
      </c>
      <c r="BQ143" s="433">
        <f t="shared" si="288"/>
        <v>0</v>
      </c>
      <c r="BR143" s="433">
        <f t="shared" si="288"/>
        <v>0</v>
      </c>
      <c r="BS143" s="433">
        <f t="shared" si="288"/>
        <v>0</v>
      </c>
      <c r="BT143" s="433">
        <f t="shared" si="288"/>
        <v>6710.2619199999999</v>
      </c>
      <c r="BU143" s="433">
        <f t="shared" si="288"/>
        <v>52642.261919999997</v>
      </c>
      <c r="BV143" s="433">
        <f t="shared" si="288"/>
        <v>16710.261920000001</v>
      </c>
      <c r="BW143" s="433">
        <f t="shared" si="288"/>
        <v>16710.261920000001</v>
      </c>
      <c r="BX143" s="433">
        <f t="shared" si="288"/>
        <v>16710.261920000001</v>
      </c>
      <c r="BY143" s="433">
        <f t="shared" si="288"/>
        <v>16710.261920000001</v>
      </c>
      <c r="BZ143" s="433">
        <f t="shared" si="288"/>
        <v>16710.261920000001</v>
      </c>
      <c r="CA143" s="433">
        <f t="shared" si="288"/>
        <v>10000</v>
      </c>
      <c r="CB143" s="433">
        <f>+CB144</f>
        <v>152903.83343999999</v>
      </c>
      <c r="CC143" s="485">
        <f t="shared" si="288"/>
        <v>0</v>
      </c>
      <c r="CD143" s="433">
        <f t="shared" si="288"/>
        <v>10000</v>
      </c>
      <c r="CE143" s="433">
        <f t="shared" si="288"/>
        <v>647415.2666666666</v>
      </c>
      <c r="CF143" s="433">
        <f t="shared" si="288"/>
        <v>66466.666666666657</v>
      </c>
      <c r="CG143" s="433">
        <f t="shared" si="288"/>
        <v>66466.666666666657</v>
      </c>
      <c r="CH143" s="433">
        <f t="shared" si="288"/>
        <v>66466.666666666657</v>
      </c>
      <c r="CI143" s="433">
        <f t="shared" si="288"/>
        <v>647415.2666666666</v>
      </c>
      <c r="CJ143" s="433">
        <f t="shared" si="288"/>
        <v>56466.666666666664</v>
      </c>
      <c r="CK143" s="433">
        <f t="shared" si="288"/>
        <v>56466.666666666664</v>
      </c>
      <c r="CL143" s="433">
        <f t="shared" si="288"/>
        <v>56466.666666666664</v>
      </c>
      <c r="CM143" s="433">
        <f t="shared" si="288"/>
        <v>1218363.8666666667</v>
      </c>
      <c r="CN143" s="433">
        <f t="shared" si="288"/>
        <v>56466.666666666664</v>
      </c>
      <c r="CO143" s="433">
        <f t="shared" si="288"/>
        <v>302474.26666666666</v>
      </c>
      <c r="CP143" s="433">
        <f t="shared" si="288"/>
        <v>3250935.3333333335</v>
      </c>
      <c r="CQ143" s="485">
        <f t="shared" si="288"/>
        <v>0</v>
      </c>
      <c r="CR143" s="433">
        <f t="shared" si="288"/>
        <v>56466.666666666664</v>
      </c>
      <c r="CS143" s="433">
        <f t="shared" si="288"/>
        <v>1653912.4</v>
      </c>
      <c r="CT143" s="433">
        <f t="shared" si="288"/>
        <v>0</v>
      </c>
      <c r="CU143" s="433">
        <f t="shared" si="288"/>
        <v>0</v>
      </c>
      <c r="CV143" s="433">
        <f t="shared" si="288"/>
        <v>492015.2</v>
      </c>
      <c r="CW143" s="433">
        <f t="shared" si="288"/>
        <v>1161897.2</v>
      </c>
      <c r="CX143" s="433">
        <f t="shared" si="288"/>
        <v>0</v>
      </c>
      <c r="CY143" s="433">
        <f t="shared" si="288"/>
        <v>0</v>
      </c>
      <c r="CZ143" s="433">
        <f t="shared" si="288"/>
        <v>0</v>
      </c>
      <c r="DA143" s="433">
        <f t="shared" si="288"/>
        <v>1161897.2</v>
      </c>
      <c r="DB143" s="433">
        <f t="shared" ref="DB143:DI143" si="289">+DB144</f>
        <v>0</v>
      </c>
      <c r="DC143" s="433">
        <f t="shared" si="289"/>
        <v>0</v>
      </c>
      <c r="DD143" s="433">
        <f>+DD144</f>
        <v>4526188.666666667</v>
      </c>
      <c r="DE143" s="485">
        <f t="shared" si="289"/>
        <v>0</v>
      </c>
      <c r="DF143" s="433">
        <f t="shared" si="289"/>
        <v>0</v>
      </c>
      <c r="DG143" s="433">
        <f t="shared" si="289"/>
        <v>0</v>
      </c>
      <c r="DH143" s="433">
        <f t="shared" si="289"/>
        <v>0</v>
      </c>
      <c r="DI143" s="3081">
        <f t="shared" si="289"/>
        <v>0</v>
      </c>
      <c r="DJ143" s="3128">
        <f>+AZ143+BN143+CB143+CP143+DD143+DI143</f>
        <v>8000000.0000800006</v>
      </c>
      <c r="DL143" s="3317">
        <f t="shared" si="281"/>
        <v>0</v>
      </c>
      <c r="DN143" s="2721" t="s">
        <v>1175</v>
      </c>
      <c r="DO143" s="2722" t="s">
        <v>1175</v>
      </c>
      <c r="DP143" s="2722"/>
      <c r="DQ143" s="2722" t="s">
        <v>1175</v>
      </c>
      <c r="DR143" s="2722" t="str">
        <f t="shared" si="166"/>
        <v>1</v>
      </c>
      <c r="DS143" s="1037"/>
      <c r="DT143" s="1037"/>
    </row>
    <row r="144" spans="1:130" s="879" customFormat="1" ht="32.5" hidden="1" customHeight="1" outlineLevel="2">
      <c r="A144" s="153"/>
      <c r="B144" s="2829"/>
      <c r="C144" s="3303" t="s">
        <v>512</v>
      </c>
      <c r="D144" s="2940" t="s">
        <v>512</v>
      </c>
      <c r="E144" s="2830"/>
      <c r="F144" s="3304" t="s">
        <v>512</v>
      </c>
      <c r="G144" s="2831"/>
      <c r="H144" s="3305" t="s">
        <v>373</v>
      </c>
      <c r="I144" s="3305" t="s">
        <v>4</v>
      </c>
      <c r="J144" s="106" t="s">
        <v>1363</v>
      </c>
      <c r="K144" s="1037"/>
      <c r="L144" s="358" t="s">
        <v>364</v>
      </c>
      <c r="M144" s="358">
        <v>0</v>
      </c>
      <c r="N144" s="358">
        <v>2022</v>
      </c>
      <c r="O144" s="358" t="s">
        <v>157</v>
      </c>
      <c r="P144" s="358" t="s">
        <v>157</v>
      </c>
      <c r="Q144" s="358" t="s">
        <v>157</v>
      </c>
      <c r="R144" s="358">
        <v>2</v>
      </c>
      <c r="S144" s="358">
        <v>2</v>
      </c>
      <c r="T144" s="358">
        <v>1</v>
      </c>
      <c r="U144" s="358">
        <v>5</v>
      </c>
      <c r="V144" s="1037"/>
      <c r="W144" s="358"/>
      <c r="X144" s="358"/>
      <c r="Y144" s="358"/>
      <c r="Z144" s="358"/>
      <c r="AA144" s="358"/>
      <c r="AB144" s="174"/>
      <c r="AC144" s="1037"/>
      <c r="AD144" s="106"/>
      <c r="AE144" s="172"/>
      <c r="AF144" s="172"/>
      <c r="AG144" s="172"/>
      <c r="AH144" s="176"/>
      <c r="AI144" s="176">
        <f>+AI145+AI149+AI150+AI167+AI161+AI176</f>
        <v>8000000.0000799997</v>
      </c>
      <c r="AJ144" s="686"/>
      <c r="AK144" s="1037"/>
      <c r="AL144" s="176">
        <f>+AL145+AL149+AL150+AL167+AL176+AL161</f>
        <v>8000000.0000799997</v>
      </c>
      <c r="AM144" s="176">
        <f>+AM145+AM149+AM150+AM167+AM176</f>
        <v>0</v>
      </c>
      <c r="AN144" s="176">
        <f>+AL144+AM144</f>
        <v>8000000.0000799997</v>
      </c>
      <c r="AO144" s="1037"/>
      <c r="AP144" s="176">
        <f>+AP145+AP149+AP150+AP167+AP176+AP161</f>
        <v>0</v>
      </c>
      <c r="AQ144" s="176">
        <f t="shared" ref="AQ144:AY144" si="290">+AQ145+AQ149+AQ150+AQ167+AQ176+AQ161</f>
        <v>0</v>
      </c>
      <c r="AR144" s="176">
        <f t="shared" si="290"/>
        <v>0</v>
      </c>
      <c r="AS144" s="176">
        <f t="shared" si="290"/>
        <v>0</v>
      </c>
      <c r="AT144" s="176">
        <f t="shared" si="290"/>
        <v>0</v>
      </c>
      <c r="AU144" s="176">
        <f t="shared" si="290"/>
        <v>0</v>
      </c>
      <c r="AV144" s="176">
        <f t="shared" si="290"/>
        <v>0</v>
      </c>
      <c r="AW144" s="176">
        <f t="shared" si="290"/>
        <v>0</v>
      </c>
      <c r="AX144" s="176">
        <f t="shared" si="290"/>
        <v>0</v>
      </c>
      <c r="AY144" s="176">
        <f t="shared" si="290"/>
        <v>0</v>
      </c>
      <c r="AZ144" s="176">
        <f>+AZ145+AZ149+AZ150+AZ167+AZ176+AZ161</f>
        <v>0</v>
      </c>
      <c r="BA144" s="1037">
        <f>+BA145+BA149+BA150+BA167+BA176</f>
        <v>0</v>
      </c>
      <c r="BB144" s="176">
        <f>+BB145+BB149+BB150+BB167+BB176+BB161</f>
        <v>0</v>
      </c>
      <c r="BC144" s="176">
        <f t="shared" ref="BC144:BM144" si="291">+BC145+BC149+BC150+BC167+BC176+BC161</f>
        <v>0</v>
      </c>
      <c r="BD144" s="176">
        <f t="shared" si="291"/>
        <v>0</v>
      </c>
      <c r="BE144" s="176">
        <f t="shared" si="291"/>
        <v>0</v>
      </c>
      <c r="BF144" s="176">
        <f t="shared" si="291"/>
        <v>4997</v>
      </c>
      <c r="BG144" s="176">
        <f t="shared" si="291"/>
        <v>14995</v>
      </c>
      <c r="BH144" s="176">
        <f t="shared" si="291"/>
        <v>14995</v>
      </c>
      <c r="BI144" s="176">
        <f t="shared" si="291"/>
        <v>14995</v>
      </c>
      <c r="BJ144" s="176">
        <f t="shared" si="291"/>
        <v>9995</v>
      </c>
      <c r="BK144" s="176">
        <f t="shared" si="291"/>
        <v>9995.1666399999995</v>
      </c>
      <c r="BL144" s="176">
        <f t="shared" si="291"/>
        <v>0</v>
      </c>
      <c r="BM144" s="176">
        <f t="shared" si="291"/>
        <v>0</v>
      </c>
      <c r="BN144" s="176">
        <f>+BN145+BN149+BN150+BN167+BN176+BN161</f>
        <v>69972.166639999996</v>
      </c>
      <c r="BO144" s="485">
        <f>+BO145+BO149+BO150+BO167+BO176</f>
        <v>0</v>
      </c>
      <c r="BP144" s="176">
        <f>+BP145+BP149+BP150+BP167+BP176+BP161</f>
        <v>0</v>
      </c>
      <c r="BQ144" s="176">
        <f t="shared" ref="BQ144:CA144" si="292">+BQ145+BQ149+BQ150+BQ167+BQ176+BQ161</f>
        <v>0</v>
      </c>
      <c r="BR144" s="176">
        <f t="shared" si="292"/>
        <v>0</v>
      </c>
      <c r="BS144" s="176">
        <f t="shared" si="292"/>
        <v>0</v>
      </c>
      <c r="BT144" s="176">
        <f t="shared" si="292"/>
        <v>6710.2619199999999</v>
      </c>
      <c r="BU144" s="176">
        <f t="shared" si="292"/>
        <v>52642.261919999997</v>
      </c>
      <c r="BV144" s="176">
        <f t="shared" si="292"/>
        <v>16710.261920000001</v>
      </c>
      <c r="BW144" s="176">
        <f t="shared" si="292"/>
        <v>16710.261920000001</v>
      </c>
      <c r="BX144" s="176">
        <f t="shared" si="292"/>
        <v>16710.261920000001</v>
      </c>
      <c r="BY144" s="176">
        <f t="shared" si="292"/>
        <v>16710.261920000001</v>
      </c>
      <c r="BZ144" s="176">
        <f t="shared" si="292"/>
        <v>16710.261920000001</v>
      </c>
      <c r="CA144" s="176">
        <f t="shared" si="292"/>
        <v>10000</v>
      </c>
      <c r="CB144" s="176">
        <f>+CB145+CB149+CB150+CB167+CB176+CB161</f>
        <v>152903.83343999999</v>
      </c>
      <c r="CC144" s="485">
        <f>+CC145+CC149+CC150+CC167+CC176</f>
        <v>0</v>
      </c>
      <c r="CD144" s="176">
        <f>+CD145+CD149+CD150+CD167+CD176+CD161</f>
        <v>10000</v>
      </c>
      <c r="CE144" s="176">
        <f t="shared" ref="CE144:CO144" si="293">+CE145+CE149+CE150+CE167+CE176+CE161</f>
        <v>647415.2666666666</v>
      </c>
      <c r="CF144" s="176">
        <f t="shared" si="293"/>
        <v>66466.666666666657</v>
      </c>
      <c r="CG144" s="176">
        <f t="shared" si="293"/>
        <v>66466.666666666657</v>
      </c>
      <c r="CH144" s="176">
        <f t="shared" si="293"/>
        <v>66466.666666666657</v>
      </c>
      <c r="CI144" s="176">
        <f t="shared" si="293"/>
        <v>647415.2666666666</v>
      </c>
      <c r="CJ144" s="176">
        <f t="shared" si="293"/>
        <v>56466.666666666664</v>
      </c>
      <c r="CK144" s="176">
        <f t="shared" si="293"/>
        <v>56466.666666666664</v>
      </c>
      <c r="CL144" s="176">
        <f t="shared" si="293"/>
        <v>56466.666666666664</v>
      </c>
      <c r="CM144" s="176">
        <f>+CM145+CM149+CM150+CM167+CM176+CM161</f>
        <v>1218363.8666666667</v>
      </c>
      <c r="CN144" s="176">
        <f>+CN145+CN149+CN150+CN167+CN176+CN161</f>
        <v>56466.666666666664</v>
      </c>
      <c r="CO144" s="176">
        <f t="shared" si="293"/>
        <v>302474.26666666666</v>
      </c>
      <c r="CP144" s="176">
        <f>+CP145+CP149+CP150+CP167+CP176+CP161</f>
        <v>3250935.3333333335</v>
      </c>
      <c r="CQ144" s="485">
        <f>+CQ145+CQ149+CQ150+CQ167+CQ176</f>
        <v>0</v>
      </c>
      <c r="CR144" s="176">
        <f>+CR145+CR149+CR150+CR167+CR176+CR161</f>
        <v>56466.666666666664</v>
      </c>
      <c r="CS144" s="176">
        <f t="shared" ref="CS144:DC144" si="294">+CS145+CS149+CS150+CS167+CS176+CS161</f>
        <v>1653912.4</v>
      </c>
      <c r="CT144" s="176">
        <f t="shared" si="294"/>
        <v>0</v>
      </c>
      <c r="CU144" s="176">
        <f t="shared" si="294"/>
        <v>0</v>
      </c>
      <c r="CV144" s="176">
        <f t="shared" si="294"/>
        <v>492015.2</v>
      </c>
      <c r="CW144" s="176">
        <f t="shared" si="294"/>
        <v>1161897.2</v>
      </c>
      <c r="CX144" s="176">
        <f t="shared" si="294"/>
        <v>0</v>
      </c>
      <c r="CY144" s="176">
        <f t="shared" si="294"/>
        <v>0</v>
      </c>
      <c r="CZ144" s="176">
        <f t="shared" si="294"/>
        <v>0</v>
      </c>
      <c r="DA144" s="176">
        <f t="shared" si="294"/>
        <v>1161897.2</v>
      </c>
      <c r="DB144" s="176">
        <f t="shared" si="294"/>
        <v>0</v>
      </c>
      <c r="DC144" s="176">
        <f t="shared" si="294"/>
        <v>0</v>
      </c>
      <c r="DD144" s="176">
        <f>+DD145+DD149+DD150+DD167+DD176+DD161</f>
        <v>4526188.666666667</v>
      </c>
      <c r="DE144" s="485">
        <f>+DE145+DE149+DE150+DE167+DE176</f>
        <v>0</v>
      </c>
      <c r="DF144" s="176">
        <f>+DF145+DF149+DF150+DF167+DF176+DF161</f>
        <v>0</v>
      </c>
      <c r="DG144" s="176">
        <f>+DG145+DG149+DG150+DG167+DG176+DG161</f>
        <v>0</v>
      </c>
      <c r="DH144" s="176">
        <f>+DH145+DH149+DH150+DH167+DH176+DH161</f>
        <v>0</v>
      </c>
      <c r="DI144" s="3082">
        <f>+DI145+DI149+DI150+DI167+DI176+DI161</f>
        <v>0</v>
      </c>
      <c r="DJ144" s="3116">
        <f>+AZ144+BN144+CB144+CP144+DD144+DI144</f>
        <v>8000000.0000800006</v>
      </c>
      <c r="DK144" s="153"/>
      <c r="DL144" s="3317">
        <f t="shared" si="281"/>
        <v>0</v>
      </c>
      <c r="DM144" s="153"/>
      <c r="DN144" s="2723" t="s">
        <v>1175</v>
      </c>
      <c r="DO144" s="2724" t="s">
        <v>1175</v>
      </c>
      <c r="DP144" s="2724"/>
      <c r="DQ144" s="2724" t="s">
        <v>1175</v>
      </c>
      <c r="DR144" s="2724" t="str">
        <f t="shared" si="166"/>
        <v>1</v>
      </c>
      <c r="DS144" s="1037"/>
      <c r="DT144" s="1037"/>
      <c r="DU144" s="153"/>
      <c r="DV144" s="153"/>
      <c r="DW144" s="153"/>
      <c r="DX144" s="153"/>
      <c r="DY144" s="153"/>
      <c r="DZ144" s="153"/>
    </row>
    <row r="145" spans="1:130" s="879" customFormat="1" ht="30" hidden="1" outlineLevel="3">
      <c r="B145" s="2853"/>
      <c r="C145" s="3309" t="s">
        <v>843</v>
      </c>
      <c r="D145" s="3310" t="s">
        <v>843</v>
      </c>
      <c r="E145" s="588"/>
      <c r="F145" s="3310" t="s">
        <v>843</v>
      </c>
      <c r="G145" s="2838" t="s">
        <v>1279</v>
      </c>
      <c r="H145" s="3311" t="s">
        <v>844</v>
      </c>
      <c r="I145" s="3312"/>
      <c r="J145" s="103"/>
      <c r="K145" s="1037"/>
      <c r="L145" s="364"/>
      <c r="M145" s="364"/>
      <c r="N145" s="3329"/>
      <c r="O145" s="3329"/>
      <c r="P145" s="3329"/>
      <c r="Q145" s="3329"/>
      <c r="R145" s="3329"/>
      <c r="S145" s="3329"/>
      <c r="T145" s="3329"/>
      <c r="U145" s="3329"/>
      <c r="V145" s="1037"/>
      <c r="W145" s="852"/>
      <c r="X145" s="852"/>
      <c r="Y145" s="852"/>
      <c r="Z145" s="852"/>
      <c r="AA145" s="852"/>
      <c r="AB145" s="530"/>
      <c r="AC145" s="1037"/>
      <c r="AD145" s="759"/>
      <c r="AE145" s="763"/>
      <c r="AF145" s="531"/>
      <c r="AG145" s="531"/>
      <c r="AH145" s="1933"/>
      <c r="AI145" s="1933">
        <f>SUM(AI146:AI148)</f>
        <v>2955715.0000399998</v>
      </c>
      <c r="AJ145" s="2869"/>
      <c r="AK145" s="1037"/>
      <c r="AL145" s="1933">
        <f>SUM(AL146:AL148)</f>
        <v>2955715.0000399998</v>
      </c>
      <c r="AM145" s="1933">
        <f>SUM(AM146:AM148)</f>
        <v>0</v>
      </c>
      <c r="AN145" s="485">
        <f>AL145+AM145</f>
        <v>2955715.0000399998</v>
      </c>
      <c r="AO145" s="1037"/>
      <c r="AP145" s="1933">
        <f t="shared" ref="AP145:AY145" si="295">SUM(AP146:AP148)</f>
        <v>0</v>
      </c>
      <c r="AQ145" s="1933">
        <f t="shared" si="295"/>
        <v>0</v>
      </c>
      <c r="AR145" s="1933">
        <f t="shared" si="295"/>
        <v>0</v>
      </c>
      <c r="AS145" s="1933">
        <f t="shared" si="295"/>
        <v>0</v>
      </c>
      <c r="AT145" s="1933">
        <f t="shared" si="295"/>
        <v>0</v>
      </c>
      <c r="AU145" s="1933">
        <f t="shared" si="295"/>
        <v>0</v>
      </c>
      <c r="AV145" s="1933">
        <f t="shared" si="295"/>
        <v>0</v>
      </c>
      <c r="AW145" s="1933">
        <f t="shared" si="295"/>
        <v>0</v>
      </c>
      <c r="AX145" s="1933">
        <f t="shared" si="295"/>
        <v>0</v>
      </c>
      <c r="AY145" s="1933">
        <f t="shared" si="295"/>
        <v>0</v>
      </c>
      <c r="AZ145" s="2073">
        <f t="shared" si="160"/>
        <v>0</v>
      </c>
      <c r="BA145" s="1037"/>
      <c r="BB145" s="1933">
        <f t="shared" ref="BB145:BM145" si="296">SUM(BB146:BB148)</f>
        <v>0</v>
      </c>
      <c r="BC145" s="1933">
        <f t="shared" si="296"/>
        <v>0</v>
      </c>
      <c r="BD145" s="1933">
        <f t="shared" si="296"/>
        <v>0</v>
      </c>
      <c r="BE145" s="1933">
        <f t="shared" si="296"/>
        <v>0</v>
      </c>
      <c r="BF145" s="1933">
        <f t="shared" si="296"/>
        <v>2498.5</v>
      </c>
      <c r="BG145" s="1933">
        <f t="shared" si="296"/>
        <v>4997.5</v>
      </c>
      <c r="BH145" s="1933">
        <f t="shared" si="296"/>
        <v>4997.5</v>
      </c>
      <c r="BI145" s="1933">
        <f t="shared" si="296"/>
        <v>4997.5</v>
      </c>
      <c r="BJ145" s="1933">
        <f t="shared" si="296"/>
        <v>4997.5</v>
      </c>
      <c r="BK145" s="1933">
        <f t="shared" si="296"/>
        <v>4997.5833199999997</v>
      </c>
      <c r="BL145" s="1933">
        <f t="shared" si="296"/>
        <v>0</v>
      </c>
      <c r="BM145" s="1933">
        <f t="shared" si="296"/>
        <v>0</v>
      </c>
      <c r="BN145" s="2073">
        <f t="shared" si="161"/>
        <v>27486.083319999998</v>
      </c>
      <c r="BO145" s="1037"/>
      <c r="BP145" s="1933">
        <f>SUM(BP146:BP148)</f>
        <v>0</v>
      </c>
      <c r="BQ145" s="1933">
        <f t="shared" ref="BQ145:CA145" si="297">SUM(BQ146:BQ148)</f>
        <v>0</v>
      </c>
      <c r="BR145" s="1933">
        <f t="shared" si="297"/>
        <v>0</v>
      </c>
      <c r="BS145" s="1933">
        <f t="shared" si="297"/>
        <v>0</v>
      </c>
      <c r="BT145" s="1933">
        <f t="shared" si="297"/>
        <v>3355.13096</v>
      </c>
      <c r="BU145" s="1933">
        <f t="shared" si="297"/>
        <v>3355.13096</v>
      </c>
      <c r="BV145" s="1933">
        <f t="shared" si="297"/>
        <v>3355.13096</v>
      </c>
      <c r="BW145" s="1933">
        <f t="shared" si="297"/>
        <v>3355.13096</v>
      </c>
      <c r="BX145" s="1933">
        <f t="shared" si="297"/>
        <v>3355.13096</v>
      </c>
      <c r="BY145" s="1933">
        <f>SUM(BY146:BY148)</f>
        <v>3355.13096</v>
      </c>
      <c r="BZ145" s="1933">
        <f t="shared" si="297"/>
        <v>3355.13096</v>
      </c>
      <c r="CA145" s="1933">
        <f t="shared" si="297"/>
        <v>0</v>
      </c>
      <c r="CB145" s="2073">
        <f>SUM(BP145:CA145)</f>
        <v>23485.916719999997</v>
      </c>
      <c r="CC145" s="1037"/>
      <c r="CD145" s="1933">
        <f t="shared" ref="CD145:CO145" si="298">SUM(CD146:CD148)</f>
        <v>0</v>
      </c>
      <c r="CE145" s="1933">
        <f t="shared" si="298"/>
        <v>290474.3</v>
      </c>
      <c r="CF145" s="1933">
        <f t="shared" si="298"/>
        <v>0</v>
      </c>
      <c r="CG145" s="1933">
        <f t="shared" si="298"/>
        <v>0</v>
      </c>
      <c r="CH145" s="1933">
        <f t="shared" si="298"/>
        <v>0</v>
      </c>
      <c r="CI145" s="1933">
        <f>SUM(CI146:CI148)</f>
        <v>290474.3</v>
      </c>
      <c r="CJ145" s="1933">
        <f t="shared" si="298"/>
        <v>0</v>
      </c>
      <c r="CK145" s="1933">
        <f t="shared" si="298"/>
        <v>0</v>
      </c>
      <c r="CL145" s="1933">
        <f t="shared" si="298"/>
        <v>0</v>
      </c>
      <c r="CM145" s="1933">
        <f t="shared" si="298"/>
        <v>580948.6</v>
      </c>
      <c r="CN145" s="1933">
        <f t="shared" si="298"/>
        <v>0</v>
      </c>
      <c r="CO145" s="1933">
        <f t="shared" si="298"/>
        <v>0</v>
      </c>
      <c r="CP145" s="2073">
        <f>SUM(CD145:CO145)</f>
        <v>1161897.2</v>
      </c>
      <c r="CQ145" s="1037"/>
      <c r="CR145" s="1933">
        <f t="shared" ref="CR145:DC145" si="299">SUM(CR146:CR148)</f>
        <v>0</v>
      </c>
      <c r="CS145" s="1933">
        <f t="shared" si="299"/>
        <v>580948.6</v>
      </c>
      <c r="CT145" s="1933">
        <f t="shared" si="299"/>
        <v>0</v>
      </c>
      <c r="CU145" s="1933">
        <f t="shared" si="299"/>
        <v>0</v>
      </c>
      <c r="CV145" s="1933">
        <f t="shared" si="299"/>
        <v>0</v>
      </c>
      <c r="CW145" s="1933">
        <f t="shared" si="299"/>
        <v>580948.6</v>
      </c>
      <c r="CX145" s="1933">
        <f t="shared" si="299"/>
        <v>0</v>
      </c>
      <c r="CY145" s="1933">
        <f t="shared" si="299"/>
        <v>0</v>
      </c>
      <c r="CZ145" s="1933">
        <f t="shared" si="299"/>
        <v>0</v>
      </c>
      <c r="DA145" s="1933">
        <f t="shared" si="299"/>
        <v>580948.6</v>
      </c>
      <c r="DB145" s="1933">
        <f t="shared" si="299"/>
        <v>0</v>
      </c>
      <c r="DC145" s="1933">
        <f t="shared" si="299"/>
        <v>0</v>
      </c>
      <c r="DD145" s="2073">
        <f t="shared" si="165"/>
        <v>1742845.7999999998</v>
      </c>
      <c r="DE145" s="1037"/>
      <c r="DF145" s="1933">
        <f>SUM(DF146:DF148)</f>
        <v>0</v>
      </c>
      <c r="DG145" s="1933">
        <f>SUM(DG146:DG148)</f>
        <v>0</v>
      </c>
      <c r="DH145" s="1933">
        <f>SUM(DH146:DH148)</f>
        <v>0</v>
      </c>
      <c r="DI145" s="2073">
        <f t="shared" si="163"/>
        <v>0</v>
      </c>
      <c r="DJ145" s="3131">
        <f t="shared" si="282"/>
        <v>2955715.0000399998</v>
      </c>
      <c r="DL145" s="1027">
        <f t="shared" si="281"/>
        <v>0</v>
      </c>
      <c r="DN145" s="2750" t="s">
        <v>1175</v>
      </c>
      <c r="DO145" s="2751" t="s">
        <v>1175</v>
      </c>
      <c r="DP145" s="2751"/>
      <c r="DQ145" s="2751" t="s">
        <v>1175</v>
      </c>
      <c r="DR145" s="2751" t="str">
        <f t="shared" si="166"/>
        <v>1</v>
      </c>
      <c r="DS145" s="1037"/>
      <c r="DT145" s="1037"/>
    </row>
    <row r="146" spans="1:130" s="879" customFormat="1" ht="45" hidden="1" outlineLevel="3">
      <c r="B146" s="2853"/>
      <c r="C146" s="3309" t="s">
        <v>845</v>
      </c>
      <c r="D146" s="3310" t="s">
        <v>845</v>
      </c>
      <c r="E146" s="588"/>
      <c r="F146" s="2969" t="s">
        <v>845</v>
      </c>
      <c r="G146" s="2838" t="s">
        <v>1279</v>
      </c>
      <c r="H146" s="2986" t="s">
        <v>846</v>
      </c>
      <c r="I146" s="3312"/>
      <c r="J146" s="103"/>
      <c r="K146" s="1037"/>
      <c r="L146" s="364"/>
      <c r="M146" s="364"/>
      <c r="N146" s="3329"/>
      <c r="O146" s="3329"/>
      <c r="P146" s="3329"/>
      <c r="Q146" s="3329"/>
      <c r="R146" s="3329"/>
      <c r="S146" s="3329"/>
      <c r="T146" s="3329"/>
      <c r="U146" s="3329"/>
      <c r="V146" s="1037"/>
      <c r="W146" s="1207" t="s">
        <v>763</v>
      </c>
      <c r="X146" s="1207" t="s">
        <v>1075</v>
      </c>
      <c r="Y146" s="1207" t="s">
        <v>1187</v>
      </c>
      <c r="Z146" s="1207" t="s">
        <v>847</v>
      </c>
      <c r="AA146" s="1207" t="s">
        <v>1364</v>
      </c>
      <c r="AB146" s="530"/>
      <c r="AC146" s="1037"/>
      <c r="AD146" s="759" t="s">
        <v>1189</v>
      </c>
      <c r="AE146" s="763">
        <v>6</v>
      </c>
      <c r="AF146" s="531"/>
      <c r="AG146" s="531"/>
      <c r="AH146" s="1933">
        <f>(5000/2)-1.5</f>
        <v>2498.5</v>
      </c>
      <c r="AI146" s="1933">
        <f>+AH146*AE146</f>
        <v>14991</v>
      </c>
      <c r="AJ146" s="2869"/>
      <c r="AK146" s="1037"/>
      <c r="AL146" s="1933">
        <f t="shared" ref="AL146:AM148" si="300">AI146</f>
        <v>14991</v>
      </c>
      <c r="AM146" s="1933">
        <f t="shared" si="300"/>
        <v>0</v>
      </c>
      <c r="AN146" s="485">
        <f>AL146+AM146</f>
        <v>14991</v>
      </c>
      <c r="AO146" s="1037"/>
      <c r="AP146" s="1194"/>
      <c r="AQ146" s="1194"/>
      <c r="AR146" s="1194"/>
      <c r="AS146" s="1194"/>
      <c r="AT146" s="1194"/>
      <c r="AU146" s="1194"/>
      <c r="AV146" s="1194"/>
      <c r="AW146" s="1194"/>
      <c r="AX146" s="1194"/>
      <c r="AY146" s="1194"/>
      <c r="AZ146" s="2027">
        <f t="shared" si="160"/>
        <v>0</v>
      </c>
      <c r="BA146" s="1037"/>
      <c r="BB146" s="1194"/>
      <c r="BC146" s="1194"/>
      <c r="BD146" s="1194"/>
      <c r="BE146" s="1194"/>
      <c r="BF146" s="1194">
        <f t="shared" ref="BF146:BK146" si="301">+$AH146</f>
        <v>2498.5</v>
      </c>
      <c r="BG146" s="1194">
        <f t="shared" si="301"/>
        <v>2498.5</v>
      </c>
      <c r="BH146" s="1194">
        <f t="shared" si="301"/>
        <v>2498.5</v>
      </c>
      <c r="BI146" s="1194">
        <f t="shared" si="301"/>
        <v>2498.5</v>
      </c>
      <c r="BJ146" s="1194">
        <f t="shared" si="301"/>
        <v>2498.5</v>
      </c>
      <c r="BK146" s="1194">
        <f t="shared" si="301"/>
        <v>2498.5</v>
      </c>
      <c r="BL146" s="1194"/>
      <c r="BM146" s="1194"/>
      <c r="BN146" s="2027">
        <f t="shared" si="161"/>
        <v>14991</v>
      </c>
      <c r="BO146" s="1037"/>
      <c r="BP146" s="1194"/>
      <c r="BQ146" s="1194"/>
      <c r="BR146" s="1194"/>
      <c r="BS146" s="1194"/>
      <c r="BT146" s="1194"/>
      <c r="BU146" s="1194"/>
      <c r="BV146" s="1194"/>
      <c r="BW146" s="1194"/>
      <c r="BX146" s="1194"/>
      <c r="BY146" s="1194"/>
      <c r="BZ146" s="1194"/>
      <c r="CA146" s="1194"/>
      <c r="CB146" s="2027">
        <f t="shared" si="162"/>
        <v>0</v>
      </c>
      <c r="CC146" s="1037"/>
      <c r="CD146" s="1194"/>
      <c r="CE146" s="1194"/>
      <c r="CF146" s="1194"/>
      <c r="CG146" s="1194"/>
      <c r="CH146" s="1194"/>
      <c r="CI146" s="1194"/>
      <c r="CJ146" s="1194"/>
      <c r="CK146" s="1194"/>
      <c r="CL146" s="1194"/>
      <c r="CM146" s="1194"/>
      <c r="CN146" s="1194"/>
      <c r="CO146" s="1194"/>
      <c r="CP146" s="2033">
        <f t="shared" si="164"/>
        <v>0</v>
      </c>
      <c r="CQ146" s="1037"/>
      <c r="CR146" s="1194"/>
      <c r="CS146" s="1194"/>
      <c r="CT146" s="1194"/>
      <c r="CU146" s="1194"/>
      <c r="CV146" s="1194"/>
      <c r="CW146" s="1194"/>
      <c r="CX146" s="1194"/>
      <c r="CY146" s="1194"/>
      <c r="CZ146" s="1194"/>
      <c r="DA146" s="1194"/>
      <c r="DB146" s="1194"/>
      <c r="DC146" s="1194"/>
      <c r="DD146" s="2073">
        <f t="shared" si="165"/>
        <v>0</v>
      </c>
      <c r="DE146" s="1037"/>
      <c r="DF146" s="1194"/>
      <c r="DG146" s="1194"/>
      <c r="DH146" s="1194"/>
      <c r="DI146" s="2073">
        <f t="shared" si="163"/>
        <v>0</v>
      </c>
      <c r="DJ146" s="3131">
        <f t="shared" si="282"/>
        <v>14991</v>
      </c>
      <c r="DL146" s="1027">
        <f t="shared" si="281"/>
        <v>0</v>
      </c>
      <c r="DN146" s="2731" t="s">
        <v>1180</v>
      </c>
      <c r="DO146" s="2730" t="s">
        <v>1181</v>
      </c>
      <c r="DP146" s="2736" t="s">
        <v>1117</v>
      </c>
      <c r="DQ146" s="2730" t="s">
        <v>4</v>
      </c>
      <c r="DR146" s="2730" t="str">
        <f t="shared" si="166"/>
        <v>1</v>
      </c>
      <c r="DS146" s="1037"/>
      <c r="DT146" s="1037"/>
    </row>
    <row r="147" spans="1:130" s="879" customFormat="1" ht="45" hidden="1" outlineLevel="3">
      <c r="B147" s="2853"/>
      <c r="C147" s="3309" t="s">
        <v>848</v>
      </c>
      <c r="D147" s="3310" t="s">
        <v>848</v>
      </c>
      <c r="E147" s="588"/>
      <c r="F147" s="2970" t="s">
        <v>848</v>
      </c>
      <c r="G147" s="2838" t="s">
        <v>1279</v>
      </c>
      <c r="H147" s="2752" t="s">
        <v>849</v>
      </c>
      <c r="I147" s="3312"/>
      <c r="J147" s="103"/>
      <c r="K147" s="1037"/>
      <c r="L147" s="364"/>
      <c r="M147" s="364"/>
      <c r="N147" s="3329"/>
      <c r="O147" s="3329"/>
      <c r="P147" s="3329"/>
      <c r="Q147" s="3329"/>
      <c r="R147" s="3329"/>
      <c r="S147" s="3329"/>
      <c r="T147" s="3329"/>
      <c r="U147" s="3329"/>
      <c r="V147" s="1037"/>
      <c r="W147" s="1207" t="s">
        <v>763</v>
      </c>
      <c r="X147" s="1207" t="s">
        <v>1075</v>
      </c>
      <c r="Y147" s="1207" t="s">
        <v>1187</v>
      </c>
      <c r="Z147" s="1207" t="s">
        <v>850</v>
      </c>
      <c r="AA147" s="1207" t="s">
        <v>1365</v>
      </c>
      <c r="AB147" s="530"/>
      <c r="AC147" s="1037"/>
      <c r="AD147" s="759" t="s">
        <v>1189</v>
      </c>
      <c r="AE147" s="763">
        <v>12</v>
      </c>
      <c r="AF147" s="531"/>
      <c r="AG147" s="531"/>
      <c r="AH147" s="1933">
        <v>2998.4166700000001</v>
      </c>
      <c r="AI147" s="1933">
        <f>+AH147*AE147</f>
        <v>35981.000039999999</v>
      </c>
      <c r="AJ147" s="2869"/>
      <c r="AK147" s="1037"/>
      <c r="AL147" s="1933">
        <f t="shared" si="300"/>
        <v>35981.000039999999</v>
      </c>
      <c r="AM147" s="1933">
        <f t="shared" si="300"/>
        <v>0</v>
      </c>
      <c r="AN147" s="485">
        <f>AL147+AM147</f>
        <v>35981.000039999999</v>
      </c>
      <c r="AO147" s="1037"/>
      <c r="AP147" s="1194"/>
      <c r="AQ147" s="1194"/>
      <c r="AR147" s="1194"/>
      <c r="AS147" s="1194"/>
      <c r="AT147" s="1194"/>
      <c r="AU147" s="1194"/>
      <c r="AV147" s="1194"/>
      <c r="AW147" s="1194"/>
      <c r="AX147" s="1194"/>
      <c r="AY147" s="1194"/>
      <c r="AZ147" s="2027">
        <f t="shared" si="160"/>
        <v>0</v>
      </c>
      <c r="BA147" s="1037"/>
      <c r="BB147" s="1194"/>
      <c r="BC147" s="1194"/>
      <c r="BD147" s="1194"/>
      <c r="BE147" s="1194"/>
      <c r="BF147" s="1194"/>
      <c r="BG147" s="1194">
        <v>2499</v>
      </c>
      <c r="BH147" s="1194">
        <v>2499</v>
      </c>
      <c r="BI147" s="1194">
        <v>2499</v>
      </c>
      <c r="BJ147" s="1194">
        <v>2499</v>
      </c>
      <c r="BK147" s="1194">
        <f>2499+0.08332</f>
        <v>2499.0833200000002</v>
      </c>
      <c r="BL147" s="1194"/>
      <c r="BM147" s="1194"/>
      <c r="BN147" s="2027">
        <f t="shared" si="161"/>
        <v>12495.08332</v>
      </c>
      <c r="BO147" s="1037"/>
      <c r="BP147" s="1194"/>
      <c r="BQ147" s="1194"/>
      <c r="BR147" s="1194"/>
      <c r="BS147" s="1194"/>
      <c r="BT147" s="1194">
        <f>+$AH147+356.71429</f>
        <v>3355.13096</v>
      </c>
      <c r="BU147" s="1194">
        <f t="shared" ref="BU147:BZ147" si="302">+$AH147+356.71429</f>
        <v>3355.13096</v>
      </c>
      <c r="BV147" s="1194">
        <f t="shared" si="302"/>
        <v>3355.13096</v>
      </c>
      <c r="BW147" s="1194">
        <f t="shared" si="302"/>
        <v>3355.13096</v>
      </c>
      <c r="BX147" s="1194">
        <f t="shared" si="302"/>
        <v>3355.13096</v>
      </c>
      <c r="BY147" s="1194">
        <f t="shared" si="302"/>
        <v>3355.13096</v>
      </c>
      <c r="BZ147" s="1194">
        <f t="shared" si="302"/>
        <v>3355.13096</v>
      </c>
      <c r="CA147" s="1194"/>
      <c r="CB147" s="2027">
        <f t="shared" si="162"/>
        <v>23485.916719999997</v>
      </c>
      <c r="CC147" s="1037"/>
      <c r="CD147" s="1194"/>
      <c r="CE147" s="1194"/>
      <c r="CF147" s="1194"/>
      <c r="CG147" s="1194"/>
      <c r="CH147" s="1194"/>
      <c r="CI147" s="1194"/>
      <c r="CJ147" s="1194"/>
      <c r="CK147" s="1194"/>
      <c r="CL147" s="1194"/>
      <c r="CM147" s="1194"/>
      <c r="CN147" s="1194"/>
      <c r="CO147" s="1194"/>
      <c r="CP147" s="2033">
        <f t="shared" si="164"/>
        <v>0</v>
      </c>
      <c r="CQ147" s="1037"/>
      <c r="CR147" s="1194"/>
      <c r="CS147" s="1194"/>
      <c r="CT147" s="1194"/>
      <c r="CU147" s="1194"/>
      <c r="CV147" s="1194"/>
      <c r="CW147" s="1194"/>
      <c r="CX147" s="1194"/>
      <c r="CY147" s="1194"/>
      <c r="CZ147" s="1194"/>
      <c r="DA147" s="1194"/>
      <c r="DB147" s="1194"/>
      <c r="DC147" s="1194"/>
      <c r="DD147" s="2073">
        <f t="shared" si="165"/>
        <v>0</v>
      </c>
      <c r="DE147" s="1037"/>
      <c r="DF147" s="1194"/>
      <c r="DG147" s="1194"/>
      <c r="DH147" s="1194"/>
      <c r="DI147" s="2073">
        <f t="shared" si="163"/>
        <v>0</v>
      </c>
      <c r="DJ147" s="3131">
        <f t="shared" si="282"/>
        <v>35981.000039999999</v>
      </c>
      <c r="DL147" s="3181">
        <f t="shared" si="281"/>
        <v>0</v>
      </c>
      <c r="DN147" s="2731" t="s">
        <v>1180</v>
      </c>
      <c r="DO147" s="2730" t="s">
        <v>1181</v>
      </c>
      <c r="DP147" s="2736" t="s">
        <v>1117</v>
      </c>
      <c r="DQ147" s="2730" t="s">
        <v>4</v>
      </c>
      <c r="DR147" s="2730" t="str">
        <f t="shared" si="166"/>
        <v>1</v>
      </c>
      <c r="DS147" s="1037"/>
      <c r="DT147" s="1037"/>
    </row>
    <row r="148" spans="1:130" ht="45" hidden="1" outlineLevel="3">
      <c r="A148" s="879"/>
      <c r="B148" s="2853"/>
      <c r="C148" s="3309" t="s">
        <v>851</v>
      </c>
      <c r="D148" s="3310" t="s">
        <v>851</v>
      </c>
      <c r="E148" s="588"/>
      <c r="F148" s="2970" t="s">
        <v>851</v>
      </c>
      <c r="G148" s="2838" t="s">
        <v>1279</v>
      </c>
      <c r="H148" s="2752" t="s">
        <v>1366</v>
      </c>
      <c r="I148" s="3312"/>
      <c r="J148" s="103"/>
      <c r="L148" s="364"/>
      <c r="M148" s="364"/>
      <c r="N148" s="3329"/>
      <c r="O148" s="3329"/>
      <c r="P148" s="3329"/>
      <c r="Q148" s="3329"/>
      <c r="R148" s="3329"/>
      <c r="S148" s="3329"/>
      <c r="T148" s="3329"/>
      <c r="U148" s="3329"/>
      <c r="W148" s="1207" t="s">
        <v>853</v>
      </c>
      <c r="X148" s="1207" t="s">
        <v>1075</v>
      </c>
      <c r="Y148" s="2987" t="s">
        <v>1193</v>
      </c>
      <c r="Z148" s="1513">
        <v>25</v>
      </c>
      <c r="AA148" s="1207" t="s">
        <v>1367</v>
      </c>
      <c r="AB148" s="530"/>
      <c r="AD148" s="759" t="s">
        <v>1179</v>
      </c>
      <c r="AE148" s="763">
        <v>1</v>
      </c>
      <c r="AF148" s="531"/>
      <c r="AG148" s="531"/>
      <c r="AH148" s="2928">
        <f>((4300000+1509484)/2) + 1</f>
        <v>2904743</v>
      </c>
      <c r="AI148" s="1933">
        <f>+AH148*AE148</f>
        <v>2904743</v>
      </c>
      <c r="AJ148" s="2869"/>
      <c r="AL148" s="1933">
        <f t="shared" si="300"/>
        <v>2904743</v>
      </c>
      <c r="AM148" s="1933">
        <f t="shared" si="300"/>
        <v>0</v>
      </c>
      <c r="AN148" s="485">
        <f>AL148+AM148</f>
        <v>2904743</v>
      </c>
      <c r="AP148" s="1194"/>
      <c r="AQ148" s="1194"/>
      <c r="AR148" s="1194"/>
      <c r="AS148" s="1194"/>
      <c r="AT148" s="1194"/>
      <c r="AU148" s="1194"/>
      <c r="AV148" s="1194"/>
      <c r="AW148" s="1194"/>
      <c r="AX148" s="1194"/>
      <c r="AY148" s="1194"/>
      <c r="AZ148" s="2027">
        <f t="shared" si="160"/>
        <v>0</v>
      </c>
      <c r="BB148" s="1194"/>
      <c r="BC148" s="1194"/>
      <c r="BD148" s="1194"/>
      <c r="BE148" s="1194"/>
      <c r="BF148" s="1194"/>
      <c r="BG148" s="1194"/>
      <c r="BH148" s="1194"/>
      <c r="BI148" s="1194"/>
      <c r="BJ148" s="1194"/>
      <c r="BK148" s="1194"/>
      <c r="BL148" s="1194"/>
      <c r="BM148" s="1194"/>
      <c r="BN148" s="2027">
        <f t="shared" si="161"/>
        <v>0</v>
      </c>
      <c r="BP148" s="1194"/>
      <c r="BQ148" s="1194"/>
      <c r="BR148" s="1194"/>
      <c r="BS148" s="1194"/>
      <c r="BT148" s="1194"/>
      <c r="BU148" s="1194"/>
      <c r="BV148" s="1194"/>
      <c r="BW148" s="1194"/>
      <c r="BX148" s="1194"/>
      <c r="BY148" s="1194"/>
      <c r="BZ148" s="1194"/>
      <c r="CA148" s="1194"/>
      <c r="CB148" s="2027">
        <f t="shared" si="162"/>
        <v>0</v>
      </c>
      <c r="CD148" s="1194"/>
      <c r="CE148" s="3106">
        <f>+$AL$148*10%</f>
        <v>290474.3</v>
      </c>
      <c r="CF148" s="1194"/>
      <c r="CG148" s="1194"/>
      <c r="CH148" s="1194"/>
      <c r="CI148" s="3106">
        <f>+$AL$148*10%</f>
        <v>290474.3</v>
      </c>
      <c r="CJ148" s="1194"/>
      <c r="CK148" s="1194"/>
      <c r="CL148" s="1194"/>
      <c r="CM148" s="3106">
        <f>+$AL$148*20%</f>
        <v>580948.6</v>
      </c>
      <c r="CN148" s="1194"/>
      <c r="CO148" s="1194"/>
      <c r="CP148" s="2027">
        <f>SUM(CD148:CO148)</f>
        <v>1161897.2</v>
      </c>
      <c r="CR148" s="1194"/>
      <c r="CS148" s="1194">
        <f>+$AL$148*20%</f>
        <v>580948.6</v>
      </c>
      <c r="CT148" s="1194"/>
      <c r="CU148" s="1194"/>
      <c r="CV148" s="1194"/>
      <c r="CW148" s="1194">
        <f>+$AL$148*20%</f>
        <v>580948.6</v>
      </c>
      <c r="CX148" s="1194"/>
      <c r="CY148" s="1194"/>
      <c r="CZ148" s="1194"/>
      <c r="DA148" s="1194">
        <f>+$AL$148*20%</f>
        <v>580948.6</v>
      </c>
      <c r="DB148" s="1194"/>
      <c r="DC148" s="1194"/>
      <c r="DD148" s="2027">
        <f t="shared" si="165"/>
        <v>1742845.7999999998</v>
      </c>
      <c r="DF148" s="1194"/>
      <c r="DG148" s="1194"/>
      <c r="DH148" s="1194"/>
      <c r="DI148" s="2073">
        <f t="shared" si="163"/>
        <v>0</v>
      </c>
      <c r="DJ148" s="3131">
        <f t="shared" si="282"/>
        <v>2904743</v>
      </c>
      <c r="DK148" s="879"/>
      <c r="DL148" s="1027">
        <f t="shared" si="281"/>
        <v>0</v>
      </c>
      <c r="DM148" s="879"/>
      <c r="DN148" s="2731" t="s">
        <v>1180</v>
      </c>
      <c r="DO148" s="2730" t="s">
        <v>1181</v>
      </c>
      <c r="DP148" s="2736" t="s">
        <v>1117</v>
      </c>
      <c r="DQ148" s="2730" t="s">
        <v>4</v>
      </c>
      <c r="DR148" s="2730" t="str">
        <f t="shared" si="166"/>
        <v>1</v>
      </c>
      <c r="DS148" s="1037"/>
      <c r="DT148" s="1037"/>
      <c r="DU148" s="879"/>
      <c r="DV148" s="879"/>
      <c r="DW148" s="879"/>
      <c r="DX148" s="879"/>
      <c r="DY148" s="879"/>
      <c r="DZ148" s="879"/>
    </row>
    <row r="149" spans="1:130" s="153" customFormat="1" ht="15" hidden="1" outlineLevel="3">
      <c r="A149" s="108"/>
      <c r="B149" s="2860"/>
      <c r="C149" s="3309"/>
      <c r="D149" s="3310" t="s">
        <v>1368</v>
      </c>
      <c r="E149" s="588"/>
      <c r="F149" s="3310" t="s">
        <v>1368</v>
      </c>
      <c r="G149" s="2838"/>
      <c r="H149" s="3311" t="s">
        <v>1369</v>
      </c>
      <c r="I149" s="3312"/>
      <c r="J149" s="103"/>
      <c r="K149" s="1037"/>
      <c r="L149" s="364"/>
      <c r="M149" s="364"/>
      <c r="N149" s="3329"/>
      <c r="O149" s="3329"/>
      <c r="P149" s="3329"/>
      <c r="Q149" s="3329"/>
      <c r="R149" s="3329"/>
      <c r="S149" s="3329"/>
      <c r="T149" s="3329"/>
      <c r="U149" s="3329"/>
      <c r="V149" s="1037"/>
      <c r="W149" s="364"/>
      <c r="X149" s="956"/>
      <c r="Y149" s="852"/>
      <c r="Z149" s="957"/>
      <c r="AA149" s="364"/>
      <c r="AB149" s="181"/>
      <c r="AC149" s="1037"/>
      <c r="AD149" s="711"/>
      <c r="AE149" s="712"/>
      <c r="AF149" s="179"/>
      <c r="AG149" s="179"/>
      <c r="AH149" s="1048"/>
      <c r="AI149" s="1329">
        <f>+AH149*AE149</f>
        <v>0</v>
      </c>
      <c r="AJ149" s="1399"/>
      <c r="AK149" s="1037"/>
      <c r="AL149" s="1048"/>
      <c r="AM149" s="1048"/>
      <c r="AN149" s="1053">
        <f t="shared" ref="AN149:AN155" si="303">+AL149+AM149</f>
        <v>0</v>
      </c>
      <c r="AO149" s="1037"/>
      <c r="AP149" s="1015"/>
      <c r="AQ149" s="1015"/>
      <c r="AR149" s="1015"/>
      <c r="AS149" s="1015"/>
      <c r="AT149" s="1015"/>
      <c r="AU149" s="1015"/>
      <c r="AV149" s="1015"/>
      <c r="AW149" s="1015"/>
      <c r="AX149" s="1015"/>
      <c r="AY149" s="1015"/>
      <c r="AZ149" s="2026">
        <f t="shared" si="160"/>
        <v>0</v>
      </c>
      <c r="BA149" s="1037"/>
      <c r="BB149" s="1015"/>
      <c r="BC149" s="1015"/>
      <c r="BD149" s="1015"/>
      <c r="BE149" s="1015"/>
      <c r="BF149" s="1015"/>
      <c r="BG149" s="1015"/>
      <c r="BH149" s="1015"/>
      <c r="BI149" s="1015"/>
      <c r="BJ149" s="1015"/>
      <c r="BK149" s="1015"/>
      <c r="BL149" s="1015"/>
      <c r="BM149" s="1015"/>
      <c r="BN149" s="2026">
        <f t="shared" si="161"/>
        <v>0</v>
      </c>
      <c r="BO149" s="1037"/>
      <c r="BP149" s="1015"/>
      <c r="BQ149" s="1015"/>
      <c r="BR149" s="1015"/>
      <c r="BS149" s="1015"/>
      <c r="BT149" s="1015"/>
      <c r="BU149" s="1015"/>
      <c r="BV149" s="1015"/>
      <c r="BW149" s="1015"/>
      <c r="BX149" s="1015"/>
      <c r="BY149" s="1015"/>
      <c r="BZ149" s="1015"/>
      <c r="CA149" s="1015"/>
      <c r="CB149" s="2026">
        <f t="shared" si="162"/>
        <v>0</v>
      </c>
      <c r="CC149" s="1037"/>
      <c r="CD149" s="1015"/>
      <c r="CE149" s="1015"/>
      <c r="CF149" s="1015"/>
      <c r="CG149" s="1015"/>
      <c r="CH149" s="1015"/>
      <c r="CI149" s="1015"/>
      <c r="CJ149" s="1015"/>
      <c r="CK149" s="1015"/>
      <c r="CL149" s="1015"/>
      <c r="CM149" s="1015"/>
      <c r="CN149" s="1015"/>
      <c r="CO149" s="1015"/>
      <c r="CP149" s="2026">
        <f t="shared" si="164"/>
        <v>0</v>
      </c>
      <c r="CQ149" s="1037"/>
      <c r="CR149" s="1015"/>
      <c r="CS149" s="1015"/>
      <c r="CT149" s="1015"/>
      <c r="CU149" s="1015"/>
      <c r="CV149" s="1015"/>
      <c r="CW149" s="1015"/>
      <c r="CX149" s="1015"/>
      <c r="CY149" s="1015"/>
      <c r="CZ149" s="1015"/>
      <c r="DA149" s="1015"/>
      <c r="DB149" s="1015"/>
      <c r="DC149" s="1015"/>
      <c r="DD149" s="2046">
        <f t="shared" si="165"/>
        <v>0</v>
      </c>
      <c r="DE149" s="1037"/>
      <c r="DF149" s="1015"/>
      <c r="DG149" s="1015"/>
      <c r="DH149" s="1015"/>
      <c r="DI149" s="2046">
        <f t="shared" si="163"/>
        <v>0</v>
      </c>
      <c r="DJ149" s="3132">
        <f t="shared" si="282"/>
        <v>0</v>
      </c>
      <c r="DK149" s="108"/>
      <c r="DL149" s="1027">
        <f t="shared" si="281"/>
        <v>0</v>
      </c>
      <c r="DM149" s="108"/>
      <c r="DN149" s="2753" t="s">
        <v>1175</v>
      </c>
      <c r="DO149" s="2754" t="s">
        <v>1175</v>
      </c>
      <c r="DP149" s="2754"/>
      <c r="DQ149" s="2754" t="s">
        <v>1175</v>
      </c>
      <c r="DR149" s="2754" t="str">
        <f t="shared" si="166"/>
        <v>1</v>
      </c>
      <c r="DS149" s="1037"/>
      <c r="DT149" s="1037"/>
      <c r="DU149" s="108"/>
      <c r="DV149" s="108"/>
      <c r="DW149" s="108"/>
      <c r="DX149" s="108"/>
      <c r="DY149" s="108"/>
      <c r="DZ149" s="108"/>
    </row>
    <row r="150" spans="1:130" ht="41.5" hidden="1" customHeight="1" outlineLevel="3" collapsed="1">
      <c r="A150" s="153"/>
      <c r="B150" s="2839"/>
      <c r="C150" s="3306" t="s">
        <v>857</v>
      </c>
      <c r="D150" s="2942" t="s">
        <v>854</v>
      </c>
      <c r="E150" s="588"/>
      <c r="F150" s="2942" t="s">
        <v>854</v>
      </c>
      <c r="G150" s="2852" t="s">
        <v>1279</v>
      </c>
      <c r="H150" s="2936" t="s">
        <v>855</v>
      </c>
      <c r="I150" s="3316"/>
      <c r="J150" s="399"/>
      <c r="L150" s="851"/>
      <c r="M150" s="851"/>
      <c r="N150" s="3347"/>
      <c r="O150" s="3347"/>
      <c r="P150" s="3347"/>
      <c r="Q150" s="3347"/>
      <c r="R150" s="3347"/>
      <c r="S150" s="3347"/>
      <c r="T150" s="3347"/>
      <c r="U150" s="3347"/>
      <c r="W150" s="2933"/>
      <c r="X150" s="2932"/>
      <c r="Y150" s="2933"/>
      <c r="Z150" s="2926"/>
      <c r="AA150" s="2926"/>
      <c r="AB150" s="2927"/>
      <c r="AD150" s="2840"/>
      <c r="AE150" s="397"/>
      <c r="AF150" s="397"/>
      <c r="AG150" s="397"/>
      <c r="AH150" s="398"/>
      <c r="AI150" s="992">
        <v>617600</v>
      </c>
      <c r="AJ150" s="680"/>
      <c r="AL150" s="398">
        <f>+AI150</f>
        <v>617600</v>
      </c>
      <c r="AM150" s="398">
        <f>SUM(AM151:AM154)</f>
        <v>0</v>
      </c>
      <c r="AN150" s="398">
        <f t="shared" si="303"/>
        <v>617600</v>
      </c>
      <c r="AP150" s="992">
        <f t="shared" ref="AP150:AY150" si="304">SUM(AP151:AP154)</f>
        <v>0</v>
      </c>
      <c r="AQ150" s="992">
        <f t="shared" si="304"/>
        <v>0</v>
      </c>
      <c r="AR150" s="992">
        <f t="shared" si="304"/>
        <v>0</v>
      </c>
      <c r="AS150" s="992">
        <f t="shared" si="304"/>
        <v>0</v>
      </c>
      <c r="AT150" s="992">
        <f t="shared" si="304"/>
        <v>0</v>
      </c>
      <c r="AU150" s="992">
        <f t="shared" si="304"/>
        <v>0</v>
      </c>
      <c r="AV150" s="992">
        <f t="shared" si="304"/>
        <v>0</v>
      </c>
      <c r="AW150" s="992">
        <f t="shared" si="304"/>
        <v>0</v>
      </c>
      <c r="AX150" s="992">
        <f t="shared" si="304"/>
        <v>0</v>
      </c>
      <c r="AY150" s="992">
        <f t="shared" si="304"/>
        <v>0</v>
      </c>
      <c r="AZ150" s="992">
        <f>SUM(AP150:AY150)</f>
        <v>0</v>
      </c>
      <c r="BB150" s="1294">
        <f>SUM(BB151:BB154)</f>
        <v>0</v>
      </c>
      <c r="BC150" s="1294">
        <f>SUM(BC151:BC154)</f>
        <v>0</v>
      </c>
      <c r="BD150" s="1294">
        <f>SUM(BD151:BD154)</f>
        <v>0</v>
      </c>
      <c r="BE150" s="1294"/>
      <c r="BF150" s="1294">
        <f>SUM(BF151:BF154)</f>
        <v>0</v>
      </c>
      <c r="BG150" s="1294">
        <f>SUM(BG151:BG154)</f>
        <v>0</v>
      </c>
      <c r="BH150" s="1294"/>
      <c r="BI150" s="1294">
        <f>SUM(BI151:BI154)</f>
        <v>0</v>
      </c>
      <c r="BJ150" s="1294">
        <f>SUM(BJ151:BJ154)</f>
        <v>0</v>
      </c>
      <c r="BK150" s="1294">
        <f>SUM(BK151:BK154)</f>
        <v>0</v>
      </c>
      <c r="BL150" s="1294">
        <f>SUM(BL151:BL154)</f>
        <v>0</v>
      </c>
      <c r="BM150" s="1294"/>
      <c r="BN150" s="994">
        <f t="shared" si="161"/>
        <v>0</v>
      </c>
      <c r="BP150" s="3430"/>
      <c r="BQ150" s="3430"/>
      <c r="BR150" s="3430">
        <f>SUM(BR151:BR154)</f>
        <v>0</v>
      </c>
      <c r="BS150" s="3430"/>
      <c r="BT150" s="3430"/>
      <c r="BU150" s="3430"/>
      <c r="BV150" s="3430"/>
      <c r="BW150" s="3430"/>
      <c r="BX150" s="3430"/>
      <c r="BY150" s="3430"/>
      <c r="BZ150" s="3473"/>
      <c r="CA150" s="3430"/>
      <c r="CB150" s="994">
        <f>SUM(BP150:CA150)</f>
        <v>0</v>
      </c>
      <c r="CD150" s="1294"/>
      <c r="CE150" s="1294">
        <f t="shared" ref="CE150:CO150" si="305">+$AI$150/12</f>
        <v>51466.666666666664</v>
      </c>
      <c r="CF150" s="1294">
        <f t="shared" si="305"/>
        <v>51466.666666666664</v>
      </c>
      <c r="CG150" s="1294">
        <f t="shared" si="305"/>
        <v>51466.666666666664</v>
      </c>
      <c r="CH150" s="1294">
        <f t="shared" si="305"/>
        <v>51466.666666666664</v>
      </c>
      <c r="CI150" s="1294">
        <f t="shared" si="305"/>
        <v>51466.666666666664</v>
      </c>
      <c r="CJ150" s="1294">
        <f t="shared" si="305"/>
        <v>51466.666666666664</v>
      </c>
      <c r="CK150" s="1294">
        <f t="shared" si="305"/>
        <v>51466.666666666664</v>
      </c>
      <c r="CL150" s="1294">
        <f t="shared" si="305"/>
        <v>51466.666666666664</v>
      </c>
      <c r="CM150" s="1294">
        <f t="shared" si="305"/>
        <v>51466.666666666664</v>
      </c>
      <c r="CN150" s="1294">
        <f t="shared" si="305"/>
        <v>51466.666666666664</v>
      </c>
      <c r="CO150" s="1294">
        <f t="shared" si="305"/>
        <v>51466.666666666664</v>
      </c>
      <c r="CP150" s="994">
        <f>SUM(CD150:CO150)</f>
        <v>566133.33333333337</v>
      </c>
      <c r="CR150" s="1294">
        <f t="shared" ref="CR150" si="306">+$AI$150/12</f>
        <v>51466.666666666664</v>
      </c>
      <c r="CS150" s="1294"/>
      <c r="CT150" s="1294"/>
      <c r="CU150" s="1294"/>
      <c r="CV150" s="1294"/>
      <c r="CW150" s="1294"/>
      <c r="CX150" s="1294"/>
      <c r="CY150" s="1294"/>
      <c r="CZ150" s="1294"/>
      <c r="DA150" s="1294"/>
      <c r="DB150" s="1294"/>
      <c r="DC150" s="1294"/>
      <c r="DD150" s="994">
        <f t="shared" si="165"/>
        <v>51466.666666666664</v>
      </c>
      <c r="DF150" s="1294"/>
      <c r="DG150" s="1294"/>
      <c r="DH150" s="992">
        <f>SUM(DH151:DH154)</f>
        <v>0</v>
      </c>
      <c r="DI150" s="3083">
        <f>SUM(DF150:DH150)</f>
        <v>0</v>
      </c>
      <c r="DJ150" s="3122">
        <f>+AZ150+BN150+CB150+CP150+DD150+DI150</f>
        <v>617600</v>
      </c>
      <c r="DK150" s="153"/>
      <c r="DL150" s="1027">
        <f t="shared" si="281"/>
        <v>0</v>
      </c>
      <c r="DM150" s="153"/>
      <c r="DN150" s="2725" t="s">
        <v>1180</v>
      </c>
      <c r="DO150" s="2726" t="s">
        <v>1181</v>
      </c>
      <c r="DP150" s="2726" t="s">
        <v>1117</v>
      </c>
      <c r="DQ150" s="2726" t="s">
        <v>4</v>
      </c>
      <c r="DR150" s="2726" t="str">
        <f t="shared" si="166"/>
        <v>1</v>
      </c>
      <c r="DS150" s="1037"/>
      <c r="DT150" s="1037"/>
      <c r="DU150" s="153"/>
      <c r="DV150" s="153"/>
      <c r="DW150" s="153"/>
      <c r="DX150" s="153"/>
      <c r="DY150" s="153"/>
      <c r="DZ150" s="153"/>
    </row>
    <row r="151" spans="1:130" ht="27.5" hidden="1" customHeight="1" outlineLevel="4">
      <c r="B151" s="2860"/>
      <c r="C151" s="3309"/>
      <c r="D151" s="3310" t="s">
        <v>857</v>
      </c>
      <c r="E151" s="588"/>
      <c r="F151" s="2971" t="s">
        <v>857</v>
      </c>
      <c r="G151" s="2923"/>
      <c r="H151" s="2991" t="s">
        <v>1370</v>
      </c>
      <c r="I151" s="3474"/>
      <c r="J151" s="103"/>
      <c r="L151" s="364"/>
      <c r="M151" s="364"/>
      <c r="N151" s="3345"/>
      <c r="O151" s="3345"/>
      <c r="P151" s="3345"/>
      <c r="Q151" s="3345"/>
      <c r="R151" s="3345"/>
      <c r="S151" s="3345"/>
      <c r="T151" s="3345"/>
      <c r="U151" s="3345"/>
      <c r="W151" s="3799" t="s">
        <v>853</v>
      </c>
      <c r="X151" s="3799" t="s">
        <v>1071</v>
      </c>
      <c r="Y151" s="3853" t="s">
        <v>1193</v>
      </c>
      <c r="Z151" s="3821" t="s">
        <v>859</v>
      </c>
      <c r="AA151" s="3799" t="s">
        <v>1371</v>
      </c>
      <c r="AB151" s="3799"/>
      <c r="AD151" s="711" t="s">
        <v>1372</v>
      </c>
      <c r="AE151" s="712"/>
      <c r="AF151" s="179"/>
      <c r="AG151" s="179"/>
      <c r="AH151" s="1032"/>
      <c r="AI151" s="1032">
        <f>AE151*AF151*AH151</f>
        <v>0</v>
      </c>
      <c r="AJ151" s="1530"/>
      <c r="AL151" s="1032">
        <f>+AI151</f>
        <v>0</v>
      </c>
      <c r="AM151" s="1032">
        <v>0</v>
      </c>
      <c r="AN151" s="1041">
        <f t="shared" si="303"/>
        <v>0</v>
      </c>
      <c r="AP151" s="986"/>
      <c r="AQ151" s="986"/>
      <c r="AR151" s="986"/>
      <c r="AS151" s="986"/>
      <c r="AT151" s="986"/>
      <c r="AU151" s="986"/>
      <c r="AV151" s="986"/>
      <c r="AW151" s="986"/>
      <c r="AX151" s="986"/>
      <c r="AY151" s="986"/>
      <c r="AZ151" s="2011">
        <f t="shared" si="160"/>
        <v>0</v>
      </c>
      <c r="BB151" s="986"/>
      <c r="BC151" s="986"/>
      <c r="BD151" s="986"/>
      <c r="BE151" s="986"/>
      <c r="BF151" s="986"/>
      <c r="BG151" s="986"/>
      <c r="BH151" s="986"/>
      <c r="BI151" s="986"/>
      <c r="BJ151" s="986"/>
      <c r="BK151" s="986"/>
      <c r="BL151" s="986"/>
      <c r="BM151" s="986"/>
      <c r="BN151" s="2011">
        <f t="shared" si="161"/>
        <v>0</v>
      </c>
      <c r="BP151" s="3430"/>
      <c r="BQ151" s="3430"/>
      <c r="BR151" s="3430"/>
      <c r="BS151" s="3430"/>
      <c r="BT151" s="3430"/>
      <c r="BU151" s="3430"/>
      <c r="BV151" s="3430"/>
      <c r="BW151" s="3430"/>
      <c r="BX151" s="3430"/>
      <c r="BY151" s="3430"/>
      <c r="BZ151" s="3430"/>
      <c r="CA151" s="3430"/>
      <c r="CB151" s="2011">
        <f t="shared" si="162"/>
        <v>0</v>
      </c>
      <c r="CD151" s="986"/>
      <c r="CE151" s="986"/>
      <c r="CF151" s="986"/>
      <c r="CG151" s="986"/>
      <c r="CH151" s="986"/>
      <c r="CI151" s="986"/>
      <c r="CJ151" s="986"/>
      <c r="CK151" s="986"/>
      <c r="CL151" s="986"/>
      <c r="CM151" s="986"/>
      <c r="CN151" s="986"/>
      <c r="CO151" s="986"/>
      <c r="CP151" s="2011">
        <f t="shared" si="164"/>
        <v>0</v>
      </c>
      <c r="CR151" s="986"/>
      <c r="CS151" s="986"/>
      <c r="CT151" s="986"/>
      <c r="CU151" s="986"/>
      <c r="CV151" s="986"/>
      <c r="CW151" s="986"/>
      <c r="CX151" s="986"/>
      <c r="CY151" s="986"/>
      <c r="CZ151" s="986"/>
      <c r="DA151" s="986"/>
      <c r="DB151" s="986"/>
      <c r="DC151" s="986"/>
      <c r="DD151" s="1498">
        <f t="shared" si="165"/>
        <v>0</v>
      </c>
      <c r="DF151" s="986"/>
      <c r="DG151" s="986"/>
      <c r="DH151" s="986"/>
      <c r="DI151" s="1498">
        <f t="shared" si="163"/>
        <v>0</v>
      </c>
      <c r="DJ151" s="3127">
        <f>+AZ151+BN151+CB151+CP151+DD151+DI151</f>
        <v>0</v>
      </c>
      <c r="DL151" s="1027">
        <f t="shared" si="281"/>
        <v>0</v>
      </c>
      <c r="DN151" s="2749" t="s">
        <v>1175</v>
      </c>
      <c r="DO151" s="2747" t="s">
        <v>1175</v>
      </c>
      <c r="DP151" s="2747"/>
      <c r="DQ151" s="2747" t="s">
        <v>1175</v>
      </c>
      <c r="DR151" s="2747" t="str">
        <f t="shared" si="166"/>
        <v>1</v>
      </c>
      <c r="DS151" s="1037"/>
      <c r="DT151" s="1037"/>
    </row>
    <row r="152" spans="1:130" ht="30" hidden="1" outlineLevel="4">
      <c r="B152" s="2860"/>
      <c r="C152" s="3309"/>
      <c r="D152" s="3310" t="s">
        <v>860</v>
      </c>
      <c r="E152" s="588"/>
      <c r="F152" s="2971" t="s">
        <v>860</v>
      </c>
      <c r="G152" s="2923"/>
      <c r="H152" s="2992" t="s">
        <v>1373</v>
      </c>
      <c r="I152" s="3474"/>
      <c r="J152" s="103"/>
      <c r="L152" s="364"/>
      <c r="M152" s="364"/>
      <c r="N152" s="3345"/>
      <c r="O152" s="3345"/>
      <c r="P152" s="3345"/>
      <c r="Q152" s="3345"/>
      <c r="R152" s="3345"/>
      <c r="S152" s="3345"/>
      <c r="T152" s="3345"/>
      <c r="U152" s="3345"/>
      <c r="W152" s="3800"/>
      <c r="X152" s="3800"/>
      <c r="Y152" s="3854"/>
      <c r="Z152" s="3822"/>
      <c r="AA152" s="3800"/>
      <c r="AB152" s="3800"/>
      <c r="AD152" s="711" t="s">
        <v>1374</v>
      </c>
      <c r="AE152" s="712"/>
      <c r="AF152" s="179"/>
      <c r="AG152" s="179"/>
      <c r="AH152" s="1032"/>
      <c r="AI152" s="1032">
        <f>AE152*AF152*AH152</f>
        <v>0</v>
      </c>
      <c r="AJ152" s="1530"/>
      <c r="AL152" s="1032">
        <f>+AI152</f>
        <v>0</v>
      </c>
      <c r="AM152" s="1032">
        <v>0</v>
      </c>
      <c r="AN152" s="1041">
        <f t="shared" si="303"/>
        <v>0</v>
      </c>
      <c r="AP152" s="986"/>
      <c r="AQ152" s="986"/>
      <c r="AR152" s="986"/>
      <c r="AS152" s="986"/>
      <c r="AT152" s="986"/>
      <c r="AU152" s="986"/>
      <c r="AV152" s="986"/>
      <c r="AW152" s="986"/>
      <c r="AX152" s="986"/>
      <c r="AY152" s="986"/>
      <c r="AZ152" s="2011">
        <f t="shared" si="160"/>
        <v>0</v>
      </c>
      <c r="BB152" s="986"/>
      <c r="BC152" s="986"/>
      <c r="BD152" s="986"/>
      <c r="BE152" s="986"/>
      <c r="BF152" s="986"/>
      <c r="BG152" s="986"/>
      <c r="BH152" s="986"/>
      <c r="BI152" s="986"/>
      <c r="BJ152" s="986"/>
      <c r="BK152" s="986"/>
      <c r="BL152" s="986"/>
      <c r="BM152" s="986"/>
      <c r="BN152" s="2011">
        <f t="shared" si="161"/>
        <v>0</v>
      </c>
      <c r="BP152" s="3430"/>
      <c r="BQ152" s="3430"/>
      <c r="BR152" s="3430"/>
      <c r="BS152" s="3430"/>
      <c r="BT152" s="3430"/>
      <c r="BU152" s="3430"/>
      <c r="BV152" s="3430"/>
      <c r="BW152" s="3430"/>
      <c r="BX152" s="3430"/>
      <c r="BY152" s="3430"/>
      <c r="BZ152" s="3430"/>
      <c r="CA152" s="3430"/>
      <c r="CB152" s="2011">
        <f t="shared" si="162"/>
        <v>0</v>
      </c>
      <c r="CD152" s="986"/>
      <c r="CE152" s="986"/>
      <c r="CF152" s="986"/>
      <c r="CG152" s="986"/>
      <c r="CH152" s="986"/>
      <c r="CI152" s="986"/>
      <c r="CJ152" s="986"/>
      <c r="CK152" s="986"/>
      <c r="CL152" s="986"/>
      <c r="CM152" s="986"/>
      <c r="CN152" s="986"/>
      <c r="CO152" s="986"/>
      <c r="CP152" s="2011">
        <f t="shared" si="164"/>
        <v>0</v>
      </c>
      <c r="CR152" s="986"/>
      <c r="CS152" s="986"/>
      <c r="CT152" s="986"/>
      <c r="CU152" s="986"/>
      <c r="CV152" s="986"/>
      <c r="CW152" s="986"/>
      <c r="CX152" s="986"/>
      <c r="CY152" s="986"/>
      <c r="CZ152" s="986"/>
      <c r="DA152" s="986"/>
      <c r="DB152" s="986"/>
      <c r="DC152" s="986"/>
      <c r="DD152" s="1498">
        <f t="shared" si="165"/>
        <v>0</v>
      </c>
      <c r="DF152" s="986"/>
      <c r="DG152" s="986"/>
      <c r="DH152" s="986"/>
      <c r="DI152" s="1498">
        <f t="shared" si="163"/>
        <v>0</v>
      </c>
      <c r="DJ152" s="3127">
        <f t="shared" si="282"/>
        <v>0</v>
      </c>
      <c r="DL152" s="1027">
        <f t="shared" si="281"/>
        <v>0</v>
      </c>
      <c r="DN152" s="2749" t="s">
        <v>1175</v>
      </c>
      <c r="DO152" s="2747" t="s">
        <v>1175</v>
      </c>
      <c r="DP152" s="2747"/>
      <c r="DQ152" s="2747" t="s">
        <v>1175</v>
      </c>
      <c r="DR152" s="2747" t="str">
        <f t="shared" si="166"/>
        <v>1</v>
      </c>
      <c r="DS152" s="1037"/>
      <c r="DT152" s="1037"/>
    </row>
    <row r="153" spans="1:130" ht="30" hidden="1" outlineLevel="4">
      <c r="B153" s="2860"/>
      <c r="C153" s="3309"/>
      <c r="D153" s="3310" t="s">
        <v>862</v>
      </c>
      <c r="E153" s="588"/>
      <c r="F153" s="2971" t="s">
        <v>862</v>
      </c>
      <c r="G153" s="2923"/>
      <c r="H153" s="2992" t="s">
        <v>1375</v>
      </c>
      <c r="I153" s="3474"/>
      <c r="J153" s="103"/>
      <c r="L153" s="364"/>
      <c r="M153" s="364"/>
      <c r="N153" s="3345"/>
      <c r="O153" s="3345"/>
      <c r="P153" s="3345"/>
      <c r="Q153" s="3345"/>
      <c r="R153" s="3345"/>
      <c r="S153" s="3345"/>
      <c r="T153" s="3345"/>
      <c r="U153" s="3345"/>
      <c r="W153" s="3800"/>
      <c r="X153" s="3800"/>
      <c r="Y153" s="3854"/>
      <c r="Z153" s="3822"/>
      <c r="AA153" s="3800"/>
      <c r="AB153" s="3800"/>
      <c r="AD153" s="711" t="s">
        <v>1372</v>
      </c>
      <c r="AE153" s="712"/>
      <c r="AF153" s="179"/>
      <c r="AG153" s="179"/>
      <c r="AH153" s="1032"/>
      <c r="AI153" s="1032">
        <f>AE153*AF153*AH153</f>
        <v>0</v>
      </c>
      <c r="AJ153" s="1530"/>
      <c r="AL153" s="1032">
        <f>+AI153</f>
        <v>0</v>
      </c>
      <c r="AM153" s="1032">
        <v>0</v>
      </c>
      <c r="AN153" s="1041">
        <f t="shared" si="303"/>
        <v>0</v>
      </c>
      <c r="AP153" s="986"/>
      <c r="AQ153" s="986"/>
      <c r="AR153" s="986"/>
      <c r="AS153" s="986"/>
      <c r="AT153" s="986"/>
      <c r="AU153" s="986"/>
      <c r="AV153" s="986"/>
      <c r="AW153" s="986"/>
      <c r="AX153" s="986"/>
      <c r="AY153" s="986"/>
      <c r="AZ153" s="2011">
        <f t="shared" si="160"/>
        <v>0</v>
      </c>
      <c r="BB153" s="986"/>
      <c r="BC153" s="986"/>
      <c r="BD153" s="986"/>
      <c r="BE153" s="986"/>
      <c r="BF153" s="986"/>
      <c r="BG153" s="986"/>
      <c r="BH153" s="986"/>
      <c r="BI153" s="986"/>
      <c r="BJ153" s="986"/>
      <c r="BK153" s="986"/>
      <c r="BL153" s="986"/>
      <c r="BM153" s="986"/>
      <c r="BN153" s="2011">
        <f t="shared" si="161"/>
        <v>0</v>
      </c>
      <c r="BP153" s="3430"/>
      <c r="BQ153" s="3430"/>
      <c r="BR153" s="3430"/>
      <c r="BS153" s="3430"/>
      <c r="BT153" s="3430"/>
      <c r="BU153" s="3430"/>
      <c r="BV153" s="3430"/>
      <c r="BW153" s="3430"/>
      <c r="BX153" s="3430"/>
      <c r="BY153" s="3430"/>
      <c r="BZ153" s="3430"/>
      <c r="CA153" s="3430"/>
      <c r="CB153" s="2011">
        <f t="shared" si="162"/>
        <v>0</v>
      </c>
      <c r="CD153" s="986"/>
      <c r="CE153" s="986"/>
      <c r="CF153" s="986"/>
      <c r="CG153" s="986"/>
      <c r="CH153" s="986"/>
      <c r="CI153" s="986"/>
      <c r="CJ153" s="986"/>
      <c r="CK153" s="986"/>
      <c r="CL153" s="986"/>
      <c r="CM153" s="986"/>
      <c r="CN153" s="986"/>
      <c r="CO153" s="986"/>
      <c r="CP153" s="2011">
        <f t="shared" si="164"/>
        <v>0</v>
      </c>
      <c r="CR153" s="986"/>
      <c r="CS153" s="986"/>
      <c r="CT153" s="986"/>
      <c r="CU153" s="986"/>
      <c r="CV153" s="986"/>
      <c r="CW153" s="986"/>
      <c r="CX153" s="986"/>
      <c r="CY153" s="986"/>
      <c r="CZ153" s="986"/>
      <c r="DA153" s="986"/>
      <c r="DB153" s="986"/>
      <c r="DC153" s="986"/>
      <c r="DD153" s="1498">
        <f t="shared" si="165"/>
        <v>0</v>
      </c>
      <c r="DF153" s="986"/>
      <c r="DG153" s="986"/>
      <c r="DH153" s="986"/>
      <c r="DI153" s="1498">
        <f t="shared" si="163"/>
        <v>0</v>
      </c>
      <c r="DJ153" s="3127">
        <f>+AZ153+BN153+CB153+CP153+DD153+DI153</f>
        <v>0</v>
      </c>
      <c r="DL153" s="1027">
        <f t="shared" si="281"/>
        <v>0</v>
      </c>
      <c r="DN153" s="2749" t="s">
        <v>1175</v>
      </c>
      <c r="DO153" s="2747" t="s">
        <v>1175</v>
      </c>
      <c r="DP153" s="2747"/>
      <c r="DQ153" s="2747" t="s">
        <v>1175</v>
      </c>
      <c r="DR153" s="2747" t="str">
        <f t="shared" si="166"/>
        <v>1</v>
      </c>
      <c r="DS153" s="1037"/>
      <c r="DT153" s="1037"/>
    </row>
    <row r="154" spans="1:130" ht="30" hidden="1" outlineLevel="4">
      <c r="B154" s="2860"/>
      <c r="C154" s="3309"/>
      <c r="D154" s="3310" t="s">
        <v>864</v>
      </c>
      <c r="E154" s="588"/>
      <c r="F154" s="2971" t="s">
        <v>864</v>
      </c>
      <c r="G154" s="2923"/>
      <c r="H154" s="2992" t="s">
        <v>937</v>
      </c>
      <c r="I154" s="3474"/>
      <c r="J154" s="103"/>
      <c r="L154" s="364"/>
      <c r="M154" s="364"/>
      <c r="N154" s="3345"/>
      <c r="O154" s="3345"/>
      <c r="P154" s="3345"/>
      <c r="Q154" s="3345"/>
      <c r="R154" s="3345"/>
      <c r="S154" s="3345"/>
      <c r="T154" s="3345"/>
      <c r="U154" s="3345"/>
      <c r="W154" s="3800"/>
      <c r="X154" s="3800"/>
      <c r="Y154" s="3854"/>
      <c r="Z154" s="3822"/>
      <c r="AA154" s="3800"/>
      <c r="AB154" s="3800"/>
      <c r="AD154" s="711" t="s">
        <v>1374</v>
      </c>
      <c r="AE154" s="712"/>
      <c r="AF154" s="179"/>
      <c r="AG154" s="179"/>
      <c r="AH154" s="1032"/>
      <c r="AI154" s="1032">
        <f>AE154*AF154*AH154</f>
        <v>0</v>
      </c>
      <c r="AJ154" s="1530"/>
      <c r="AL154" s="1032">
        <f>+AI154</f>
        <v>0</v>
      </c>
      <c r="AM154" s="1032">
        <v>0</v>
      </c>
      <c r="AN154" s="1041">
        <f t="shared" si="303"/>
        <v>0</v>
      </c>
      <c r="AP154" s="986"/>
      <c r="AQ154" s="986"/>
      <c r="AR154" s="986"/>
      <c r="AS154" s="986"/>
      <c r="AT154" s="986"/>
      <c r="AU154" s="986"/>
      <c r="AV154" s="986"/>
      <c r="AW154" s="986"/>
      <c r="AX154" s="986"/>
      <c r="AY154" s="986"/>
      <c r="AZ154" s="2011">
        <f t="shared" si="160"/>
        <v>0</v>
      </c>
      <c r="BB154" s="986"/>
      <c r="BC154" s="986"/>
      <c r="BD154" s="986"/>
      <c r="BE154" s="986"/>
      <c r="BF154" s="986"/>
      <c r="BG154" s="986"/>
      <c r="BH154" s="986"/>
      <c r="BI154" s="986"/>
      <c r="BJ154" s="986"/>
      <c r="BK154" s="986"/>
      <c r="BL154" s="986"/>
      <c r="BM154" s="986"/>
      <c r="BN154" s="2011">
        <f t="shared" si="161"/>
        <v>0</v>
      </c>
      <c r="BP154" s="3430"/>
      <c r="BQ154" s="3430"/>
      <c r="BR154" s="3430"/>
      <c r="BS154" s="3430"/>
      <c r="BT154" s="3430"/>
      <c r="BU154" s="3430"/>
      <c r="BV154" s="3430"/>
      <c r="BW154" s="3430"/>
      <c r="BX154" s="3430"/>
      <c r="BY154" s="3430"/>
      <c r="BZ154" s="3430"/>
      <c r="CA154" s="3430"/>
      <c r="CB154" s="2011">
        <f t="shared" si="162"/>
        <v>0</v>
      </c>
      <c r="CD154" s="986"/>
      <c r="CE154" s="986"/>
      <c r="CF154" s="986"/>
      <c r="CG154" s="986"/>
      <c r="CH154" s="986"/>
      <c r="CI154" s="986"/>
      <c r="CJ154" s="986"/>
      <c r="CK154" s="986"/>
      <c r="CL154" s="986"/>
      <c r="CM154" s="986"/>
      <c r="CN154" s="986"/>
      <c r="CO154" s="986"/>
      <c r="CP154" s="2011">
        <f t="shared" si="164"/>
        <v>0</v>
      </c>
      <c r="CR154" s="986"/>
      <c r="CS154" s="986"/>
      <c r="CT154" s="986"/>
      <c r="CU154" s="986"/>
      <c r="CV154" s="986"/>
      <c r="CW154" s="986"/>
      <c r="CX154" s="986"/>
      <c r="CY154" s="986"/>
      <c r="CZ154" s="986"/>
      <c r="DA154" s="986"/>
      <c r="DB154" s="986"/>
      <c r="DC154" s="986"/>
      <c r="DD154" s="1498">
        <f t="shared" si="165"/>
        <v>0</v>
      </c>
      <c r="DF154" s="986"/>
      <c r="DG154" s="986"/>
      <c r="DH154" s="986"/>
      <c r="DI154" s="1498">
        <f t="shared" si="163"/>
        <v>0</v>
      </c>
      <c r="DJ154" s="3127">
        <f t="shared" si="282"/>
        <v>0</v>
      </c>
      <c r="DL154" s="1027">
        <f t="shared" si="281"/>
        <v>0</v>
      </c>
      <c r="DN154" s="2749" t="s">
        <v>1175</v>
      </c>
      <c r="DO154" s="2747" t="s">
        <v>1175</v>
      </c>
      <c r="DP154" s="2747"/>
      <c r="DQ154" s="2747" t="s">
        <v>1175</v>
      </c>
      <c r="DR154" s="2747" t="str">
        <f t="shared" si="166"/>
        <v>1</v>
      </c>
      <c r="DS154" s="1037"/>
      <c r="DT154" s="1037"/>
    </row>
    <row r="155" spans="1:130" ht="30" hidden="1" outlineLevel="4">
      <c r="B155" s="2860"/>
      <c r="C155" s="3309"/>
      <c r="D155" s="3310" t="s">
        <v>866</v>
      </c>
      <c r="E155" s="588"/>
      <c r="F155" s="2971" t="s">
        <v>866</v>
      </c>
      <c r="G155" s="2923"/>
      <c r="H155" s="2992" t="s">
        <v>1376</v>
      </c>
      <c r="I155" s="3474"/>
      <c r="J155" s="103"/>
      <c r="L155" s="364"/>
      <c r="M155" s="364"/>
      <c r="N155" s="3345"/>
      <c r="O155" s="3345"/>
      <c r="P155" s="3345"/>
      <c r="Q155" s="3345"/>
      <c r="R155" s="3345"/>
      <c r="S155" s="3345"/>
      <c r="T155" s="3345"/>
      <c r="U155" s="3345"/>
      <c r="W155" s="3800"/>
      <c r="X155" s="3800"/>
      <c r="Y155" s="3854"/>
      <c r="Z155" s="3822"/>
      <c r="AA155" s="3800"/>
      <c r="AB155" s="3800"/>
      <c r="AD155" s="711" t="s">
        <v>1372</v>
      </c>
      <c r="AE155" s="712"/>
      <c r="AF155" s="179"/>
      <c r="AG155" s="179"/>
      <c r="AH155" s="1032"/>
      <c r="AI155" s="1032">
        <f t="shared" ref="AI155:AI160" si="307">AE155*AF155*AH155</f>
        <v>0</v>
      </c>
      <c r="AJ155" s="1530"/>
      <c r="AL155" s="1032"/>
      <c r="AM155" s="1032"/>
      <c r="AN155" s="1041">
        <f t="shared" si="303"/>
        <v>0</v>
      </c>
      <c r="AP155" s="986"/>
      <c r="AQ155" s="986"/>
      <c r="AR155" s="986"/>
      <c r="AS155" s="986"/>
      <c r="AT155" s="986"/>
      <c r="AU155" s="986"/>
      <c r="AV155" s="986"/>
      <c r="AW155" s="986"/>
      <c r="AX155" s="986"/>
      <c r="AY155" s="986"/>
      <c r="AZ155" s="2011">
        <f t="shared" si="160"/>
        <v>0</v>
      </c>
      <c r="BB155" s="986"/>
      <c r="BC155" s="986"/>
      <c r="BD155" s="986"/>
      <c r="BE155" s="986"/>
      <c r="BF155" s="986"/>
      <c r="BG155" s="986"/>
      <c r="BH155" s="986"/>
      <c r="BI155" s="986"/>
      <c r="BJ155" s="986"/>
      <c r="BK155" s="986"/>
      <c r="BL155" s="986"/>
      <c r="BM155" s="986"/>
      <c r="BN155" s="2011">
        <f t="shared" si="161"/>
        <v>0</v>
      </c>
      <c r="BP155" s="3430"/>
      <c r="BQ155" s="3430"/>
      <c r="BR155" s="3430"/>
      <c r="BS155" s="3430"/>
      <c r="BT155" s="3430"/>
      <c r="BU155" s="3430"/>
      <c r="BV155" s="3430"/>
      <c r="BW155" s="3430"/>
      <c r="BX155" s="3430"/>
      <c r="BY155" s="3430"/>
      <c r="BZ155" s="3430"/>
      <c r="CA155" s="3430"/>
      <c r="CB155" s="2011">
        <f t="shared" si="162"/>
        <v>0</v>
      </c>
      <c r="CD155" s="986"/>
      <c r="CE155" s="986"/>
      <c r="CF155" s="986"/>
      <c r="CG155" s="986"/>
      <c r="CH155" s="986"/>
      <c r="CI155" s="986"/>
      <c r="CJ155" s="986"/>
      <c r="CK155" s="986"/>
      <c r="CL155" s="986"/>
      <c r="CM155" s="986"/>
      <c r="CN155" s="986"/>
      <c r="CO155" s="986"/>
      <c r="CP155" s="2011">
        <f t="shared" si="164"/>
        <v>0</v>
      </c>
      <c r="CR155" s="986"/>
      <c r="CS155" s="986"/>
      <c r="CT155" s="986"/>
      <c r="CU155" s="986"/>
      <c r="CV155" s="986"/>
      <c r="CW155" s="986"/>
      <c r="CX155" s="986"/>
      <c r="CY155" s="986"/>
      <c r="CZ155" s="986"/>
      <c r="DA155" s="986"/>
      <c r="DB155" s="986"/>
      <c r="DC155" s="986"/>
      <c r="DD155" s="1498">
        <f t="shared" si="165"/>
        <v>0</v>
      </c>
      <c r="DF155" s="986"/>
      <c r="DG155" s="986"/>
      <c r="DH155" s="986"/>
      <c r="DI155" s="1498">
        <f t="shared" si="163"/>
        <v>0</v>
      </c>
      <c r="DJ155" s="3127">
        <f t="shared" si="282"/>
        <v>0</v>
      </c>
      <c r="DL155" s="1027">
        <f t="shared" si="281"/>
        <v>0</v>
      </c>
      <c r="DN155" s="2749" t="s">
        <v>1175</v>
      </c>
      <c r="DO155" s="2747" t="s">
        <v>1175</v>
      </c>
      <c r="DP155" s="2747"/>
      <c r="DQ155" s="2747" t="s">
        <v>1175</v>
      </c>
      <c r="DR155" s="2747" t="str">
        <f t="shared" si="166"/>
        <v>1</v>
      </c>
      <c r="DS155" s="1037"/>
      <c r="DT155" s="1037"/>
    </row>
    <row r="156" spans="1:130" ht="30" hidden="1" outlineLevel="4">
      <c r="B156" s="2860"/>
      <c r="C156" s="3309"/>
      <c r="D156" s="3310" t="s">
        <v>868</v>
      </c>
      <c r="E156" s="588"/>
      <c r="F156" s="2971" t="s">
        <v>868</v>
      </c>
      <c r="G156" s="2923"/>
      <c r="H156" s="2992" t="s">
        <v>1377</v>
      </c>
      <c r="I156" s="3474"/>
      <c r="J156" s="103"/>
      <c r="L156" s="364"/>
      <c r="M156" s="364"/>
      <c r="N156" s="3345"/>
      <c r="O156" s="3345"/>
      <c r="P156" s="3345"/>
      <c r="Q156" s="3345"/>
      <c r="R156" s="3345"/>
      <c r="S156" s="3345"/>
      <c r="T156" s="3345"/>
      <c r="U156" s="3345"/>
      <c r="W156" s="3800"/>
      <c r="X156" s="3800"/>
      <c r="Y156" s="3854"/>
      <c r="Z156" s="3822"/>
      <c r="AA156" s="3800"/>
      <c r="AB156" s="3800"/>
      <c r="AD156" s="711" t="s">
        <v>1372</v>
      </c>
      <c r="AE156" s="712"/>
      <c r="AF156" s="179"/>
      <c r="AG156" s="179"/>
      <c r="AH156" s="1032"/>
      <c r="AI156" s="1032">
        <f t="shared" si="307"/>
        <v>0</v>
      </c>
      <c r="AJ156" s="1530"/>
      <c r="AL156" s="1032"/>
      <c r="AM156" s="1032"/>
      <c r="AN156" s="1041"/>
      <c r="AP156" s="986"/>
      <c r="AQ156" s="986"/>
      <c r="AR156" s="986"/>
      <c r="AS156" s="986"/>
      <c r="AT156" s="986"/>
      <c r="AU156" s="986"/>
      <c r="AV156" s="986"/>
      <c r="AW156" s="986"/>
      <c r="AX156" s="986"/>
      <c r="AY156" s="986"/>
      <c r="AZ156" s="2011">
        <f t="shared" si="160"/>
        <v>0</v>
      </c>
      <c r="BB156" s="986"/>
      <c r="BC156" s="986"/>
      <c r="BD156" s="986"/>
      <c r="BE156" s="986"/>
      <c r="BF156" s="986"/>
      <c r="BG156" s="986"/>
      <c r="BH156" s="986"/>
      <c r="BI156" s="986"/>
      <c r="BJ156" s="986"/>
      <c r="BK156" s="986"/>
      <c r="BL156" s="986"/>
      <c r="BM156" s="986"/>
      <c r="BN156" s="2011">
        <f t="shared" si="161"/>
        <v>0</v>
      </c>
      <c r="BP156" s="3430"/>
      <c r="BQ156" s="3430"/>
      <c r="BR156" s="3430"/>
      <c r="BS156" s="3430"/>
      <c r="BT156" s="3430"/>
      <c r="BU156" s="3430"/>
      <c r="BV156" s="3430"/>
      <c r="BW156" s="3430"/>
      <c r="BX156" s="3430"/>
      <c r="BY156" s="3430"/>
      <c r="BZ156" s="3430"/>
      <c r="CA156" s="3430"/>
      <c r="CB156" s="2011">
        <f>SUM(BP156:CA156)</f>
        <v>0</v>
      </c>
      <c r="CD156" s="986"/>
      <c r="CE156" s="986"/>
      <c r="CF156" s="986"/>
      <c r="CG156" s="986"/>
      <c r="CH156" s="986"/>
      <c r="CI156" s="986"/>
      <c r="CJ156" s="986"/>
      <c r="CK156" s="986"/>
      <c r="CL156" s="986"/>
      <c r="CM156" s="986"/>
      <c r="CN156" s="986"/>
      <c r="CO156" s="986"/>
      <c r="CP156" s="2011">
        <f t="shared" si="164"/>
        <v>0</v>
      </c>
      <c r="CR156" s="986"/>
      <c r="CS156" s="986"/>
      <c r="CT156" s="986"/>
      <c r="CU156" s="986"/>
      <c r="CV156" s="986"/>
      <c r="CW156" s="986"/>
      <c r="CX156" s="986"/>
      <c r="CY156" s="986"/>
      <c r="CZ156" s="986"/>
      <c r="DA156" s="986"/>
      <c r="DB156" s="986"/>
      <c r="DC156" s="986"/>
      <c r="DD156" s="1498">
        <f t="shared" si="165"/>
        <v>0</v>
      </c>
      <c r="DF156" s="986"/>
      <c r="DG156" s="986"/>
      <c r="DH156" s="986"/>
      <c r="DI156" s="1498">
        <f t="shared" si="163"/>
        <v>0</v>
      </c>
      <c r="DJ156" s="3127">
        <f t="shared" si="282"/>
        <v>0</v>
      </c>
      <c r="DL156" s="1027">
        <f t="shared" si="281"/>
        <v>0</v>
      </c>
      <c r="DN156" s="2749" t="s">
        <v>1175</v>
      </c>
      <c r="DO156" s="2747" t="s">
        <v>1175</v>
      </c>
      <c r="DP156" s="2747"/>
      <c r="DQ156" s="2747" t="s">
        <v>1175</v>
      </c>
      <c r="DR156" s="2747" t="str">
        <f t="shared" si="166"/>
        <v>1</v>
      </c>
      <c r="DS156" s="1037"/>
      <c r="DT156" s="1037"/>
    </row>
    <row r="157" spans="1:130" ht="30" hidden="1" outlineLevel="4">
      <c r="B157" s="2860"/>
      <c r="C157" s="3309"/>
      <c r="D157" s="3310" t="s">
        <v>870</v>
      </c>
      <c r="E157" s="588"/>
      <c r="F157" s="2971" t="s">
        <v>870</v>
      </c>
      <c r="G157" s="2923"/>
      <c r="H157" s="2992" t="s">
        <v>1378</v>
      </c>
      <c r="I157" s="3474"/>
      <c r="J157" s="103"/>
      <c r="L157" s="364"/>
      <c r="M157" s="364"/>
      <c r="N157" s="3345"/>
      <c r="O157" s="3345"/>
      <c r="P157" s="3345"/>
      <c r="Q157" s="3345"/>
      <c r="R157" s="3345"/>
      <c r="S157" s="3345"/>
      <c r="T157" s="3345"/>
      <c r="U157" s="3345"/>
      <c r="W157" s="3800"/>
      <c r="X157" s="3800"/>
      <c r="Y157" s="3854"/>
      <c r="Z157" s="3822"/>
      <c r="AA157" s="3800"/>
      <c r="AB157" s="3800"/>
      <c r="AD157" s="711" t="s">
        <v>1374</v>
      </c>
      <c r="AE157" s="712"/>
      <c r="AF157" s="179"/>
      <c r="AG157" s="179"/>
      <c r="AH157" s="1032"/>
      <c r="AI157" s="1032">
        <f t="shared" si="307"/>
        <v>0</v>
      </c>
      <c r="AJ157" s="1530"/>
      <c r="AL157" s="1032"/>
      <c r="AM157" s="1032"/>
      <c r="AN157" s="1041"/>
      <c r="AP157" s="986"/>
      <c r="AQ157" s="986"/>
      <c r="AR157" s="986"/>
      <c r="AS157" s="986"/>
      <c r="AT157" s="986"/>
      <c r="AU157" s="986"/>
      <c r="AV157" s="986"/>
      <c r="AW157" s="986"/>
      <c r="AX157" s="986"/>
      <c r="AY157" s="986"/>
      <c r="AZ157" s="2011"/>
      <c r="BB157" s="986"/>
      <c r="BC157" s="986"/>
      <c r="BD157" s="986"/>
      <c r="BE157" s="986"/>
      <c r="BF157" s="986"/>
      <c r="BG157" s="986"/>
      <c r="BH157" s="986"/>
      <c r="BI157" s="986"/>
      <c r="BJ157" s="986"/>
      <c r="BK157" s="986"/>
      <c r="BL157" s="986"/>
      <c r="BM157" s="986"/>
      <c r="BN157" s="2011"/>
      <c r="BP157" s="3430"/>
      <c r="BQ157" s="3430"/>
      <c r="BR157" s="3430"/>
      <c r="BS157" s="3430"/>
      <c r="BT157" s="3430"/>
      <c r="BU157" s="3430"/>
      <c r="BV157" s="3430"/>
      <c r="BW157" s="3430"/>
      <c r="BX157" s="3430"/>
      <c r="BY157" s="3430"/>
      <c r="BZ157" s="3430"/>
      <c r="CA157" s="3430"/>
      <c r="CB157" s="2011"/>
      <c r="CD157" s="986"/>
      <c r="CE157" s="986"/>
      <c r="CF157" s="986"/>
      <c r="CG157" s="986"/>
      <c r="CH157" s="986"/>
      <c r="CI157" s="986"/>
      <c r="CJ157" s="986"/>
      <c r="CK157" s="986"/>
      <c r="CL157" s="986"/>
      <c r="CM157" s="986"/>
      <c r="CN157" s="986"/>
      <c r="CO157" s="986"/>
      <c r="CP157" s="2011"/>
      <c r="CR157" s="986"/>
      <c r="CS157" s="986"/>
      <c r="CT157" s="986"/>
      <c r="CU157" s="986"/>
      <c r="CV157" s="986"/>
      <c r="CW157" s="986"/>
      <c r="CX157" s="986"/>
      <c r="CY157" s="986"/>
      <c r="CZ157" s="986"/>
      <c r="DA157" s="986"/>
      <c r="DB157" s="986"/>
      <c r="DC157" s="986"/>
      <c r="DD157" s="1498"/>
      <c r="DF157" s="986"/>
      <c r="DG157" s="986"/>
      <c r="DH157" s="986"/>
      <c r="DI157" s="1498">
        <f t="shared" ref="DI157:DI160" si="308">SUM(DF157:DH157)</f>
        <v>0</v>
      </c>
      <c r="DJ157" s="3127">
        <f t="shared" si="282"/>
        <v>0</v>
      </c>
      <c r="DL157" s="1027">
        <f t="shared" si="281"/>
        <v>0</v>
      </c>
      <c r="DN157" s="2749"/>
      <c r="DO157" s="2747"/>
      <c r="DP157" s="2747"/>
      <c r="DQ157" s="2747"/>
      <c r="DR157" s="2747"/>
      <c r="DS157" s="1037"/>
      <c r="DT157" s="1037"/>
    </row>
    <row r="158" spans="1:130" ht="30" hidden="1" outlineLevel="4">
      <c r="B158" s="2860"/>
      <c r="C158" s="3309"/>
      <c r="D158" s="3310" t="s">
        <v>1379</v>
      </c>
      <c r="E158" s="588"/>
      <c r="F158" s="2971" t="s">
        <v>1379</v>
      </c>
      <c r="G158" s="2923"/>
      <c r="H158" s="2992" t="s">
        <v>871</v>
      </c>
      <c r="I158" s="3474"/>
      <c r="J158" s="103"/>
      <c r="L158" s="364"/>
      <c r="M158" s="364"/>
      <c r="N158" s="3345"/>
      <c r="O158" s="3345"/>
      <c r="P158" s="3345"/>
      <c r="Q158" s="3345"/>
      <c r="R158" s="3345"/>
      <c r="S158" s="3345"/>
      <c r="T158" s="3345"/>
      <c r="U158" s="3345"/>
      <c r="W158" s="3800"/>
      <c r="X158" s="3800"/>
      <c r="Y158" s="3854"/>
      <c r="Z158" s="3822"/>
      <c r="AA158" s="3800"/>
      <c r="AB158" s="3800"/>
      <c r="AD158" s="711" t="s">
        <v>1374</v>
      </c>
      <c r="AE158" s="712"/>
      <c r="AF158" s="179"/>
      <c r="AG158" s="179"/>
      <c r="AH158" s="1032"/>
      <c r="AI158" s="1032">
        <f t="shared" si="307"/>
        <v>0</v>
      </c>
      <c r="AJ158" s="1530"/>
      <c r="AL158" s="1032"/>
      <c r="AM158" s="1032"/>
      <c r="AN158" s="1041"/>
      <c r="AP158" s="986"/>
      <c r="AQ158" s="986"/>
      <c r="AR158" s="986"/>
      <c r="AS158" s="986"/>
      <c r="AT158" s="986"/>
      <c r="AU158" s="986"/>
      <c r="AV158" s="986"/>
      <c r="AW158" s="986"/>
      <c r="AX158" s="986"/>
      <c r="AY158" s="986"/>
      <c r="AZ158" s="2011"/>
      <c r="BB158" s="986"/>
      <c r="BC158" s="986"/>
      <c r="BD158" s="986"/>
      <c r="BE158" s="986"/>
      <c r="BF158" s="986"/>
      <c r="BG158" s="986"/>
      <c r="BH158" s="986"/>
      <c r="BI158" s="986"/>
      <c r="BJ158" s="986"/>
      <c r="BK158" s="986"/>
      <c r="BL158" s="986"/>
      <c r="BM158" s="986"/>
      <c r="BN158" s="2011"/>
      <c r="BP158" s="3430"/>
      <c r="BQ158" s="3430"/>
      <c r="BR158" s="3430"/>
      <c r="BS158" s="3430"/>
      <c r="BT158" s="3430"/>
      <c r="BU158" s="3430"/>
      <c r="BV158" s="3430"/>
      <c r="BW158" s="3430"/>
      <c r="BX158" s="3430"/>
      <c r="BY158" s="3430"/>
      <c r="BZ158" s="3430"/>
      <c r="CA158" s="3430"/>
      <c r="CB158" s="2011"/>
      <c r="CD158" s="986"/>
      <c r="CE158" s="986"/>
      <c r="CF158" s="986"/>
      <c r="CG158" s="986"/>
      <c r="CH158" s="986"/>
      <c r="CI158" s="986"/>
      <c r="CJ158" s="986"/>
      <c r="CK158" s="986"/>
      <c r="CL158" s="986"/>
      <c r="CM158" s="986"/>
      <c r="CN158" s="986"/>
      <c r="CO158" s="986"/>
      <c r="CP158" s="2011"/>
      <c r="CR158" s="986"/>
      <c r="CS158" s="986"/>
      <c r="CT158" s="986"/>
      <c r="CU158" s="986"/>
      <c r="CV158" s="986"/>
      <c r="CW158" s="986"/>
      <c r="CX158" s="986"/>
      <c r="CY158" s="986"/>
      <c r="CZ158" s="986"/>
      <c r="DA158" s="986"/>
      <c r="DB158" s="986"/>
      <c r="DC158" s="986"/>
      <c r="DD158" s="1498"/>
      <c r="DF158" s="986"/>
      <c r="DG158" s="986"/>
      <c r="DH158" s="986"/>
      <c r="DI158" s="1498">
        <f t="shared" si="308"/>
        <v>0</v>
      </c>
      <c r="DJ158" s="3127">
        <f t="shared" si="282"/>
        <v>0</v>
      </c>
      <c r="DL158" s="1027">
        <f t="shared" si="281"/>
        <v>0</v>
      </c>
      <c r="DN158" s="2749"/>
      <c r="DO158" s="2747"/>
      <c r="DP158" s="2747"/>
      <c r="DQ158" s="2747"/>
      <c r="DR158" s="2747"/>
      <c r="DS158" s="1037"/>
      <c r="DT158" s="1037"/>
    </row>
    <row r="159" spans="1:130" ht="30" hidden="1" outlineLevel="4">
      <c r="B159" s="2860"/>
      <c r="C159" s="3309"/>
      <c r="D159" s="3310"/>
      <c r="E159" s="588"/>
      <c r="F159" s="2971" t="s">
        <v>1380</v>
      </c>
      <c r="G159" s="2923"/>
      <c r="H159" s="2992" t="s">
        <v>1381</v>
      </c>
      <c r="I159" s="3474"/>
      <c r="J159" s="103"/>
      <c r="L159" s="364"/>
      <c r="M159" s="364"/>
      <c r="N159" s="3345"/>
      <c r="O159" s="3345"/>
      <c r="P159" s="3345"/>
      <c r="Q159" s="3345"/>
      <c r="R159" s="3345"/>
      <c r="S159" s="3345"/>
      <c r="T159" s="3345"/>
      <c r="U159" s="3345"/>
      <c r="W159" s="3800"/>
      <c r="X159" s="3800"/>
      <c r="Y159" s="3854"/>
      <c r="Z159" s="3822"/>
      <c r="AA159" s="3800"/>
      <c r="AB159" s="3800"/>
      <c r="AD159" s="711" t="s">
        <v>1372</v>
      </c>
      <c r="AE159" s="712"/>
      <c r="AF159" s="179"/>
      <c r="AG159" s="179"/>
      <c r="AH159" s="1032"/>
      <c r="AI159" s="1032">
        <f t="shared" si="307"/>
        <v>0</v>
      </c>
      <c r="AJ159" s="1530"/>
      <c r="AL159" s="1032"/>
      <c r="AM159" s="1032"/>
      <c r="AN159" s="1041"/>
      <c r="AP159" s="986"/>
      <c r="AQ159" s="986"/>
      <c r="AR159" s="986"/>
      <c r="AS159" s="986"/>
      <c r="AT159" s="986"/>
      <c r="AU159" s="986"/>
      <c r="AV159" s="986"/>
      <c r="AW159" s="986"/>
      <c r="AX159" s="986"/>
      <c r="AY159" s="986"/>
      <c r="AZ159" s="2011"/>
      <c r="BB159" s="986"/>
      <c r="BC159" s="986"/>
      <c r="BD159" s="986"/>
      <c r="BE159" s="986"/>
      <c r="BF159" s="986"/>
      <c r="BG159" s="986"/>
      <c r="BH159" s="986"/>
      <c r="BI159" s="986"/>
      <c r="BJ159" s="986"/>
      <c r="BK159" s="986"/>
      <c r="BL159" s="986"/>
      <c r="BM159" s="986"/>
      <c r="BN159" s="2011"/>
      <c r="BP159" s="3430"/>
      <c r="BQ159" s="3430"/>
      <c r="BR159" s="3430"/>
      <c r="BS159" s="3430"/>
      <c r="BT159" s="3430"/>
      <c r="BU159" s="3430"/>
      <c r="BV159" s="3430"/>
      <c r="BW159" s="3430"/>
      <c r="BX159" s="3430"/>
      <c r="BY159" s="3430"/>
      <c r="BZ159" s="3430"/>
      <c r="CA159" s="3430"/>
      <c r="CB159" s="2011"/>
      <c r="CD159" s="986"/>
      <c r="CE159" s="986"/>
      <c r="CF159" s="986"/>
      <c r="CG159" s="986"/>
      <c r="CH159" s="986"/>
      <c r="CI159" s="986"/>
      <c r="CJ159" s="986"/>
      <c r="CK159" s="986"/>
      <c r="CL159" s="986"/>
      <c r="CM159" s="986"/>
      <c r="CN159" s="986"/>
      <c r="CO159" s="986"/>
      <c r="CP159" s="2011"/>
      <c r="CR159" s="986"/>
      <c r="CS159" s="986"/>
      <c r="CT159" s="986"/>
      <c r="CU159" s="986"/>
      <c r="CV159" s="986"/>
      <c r="CW159" s="986"/>
      <c r="CX159" s="986"/>
      <c r="CY159" s="986"/>
      <c r="CZ159" s="986"/>
      <c r="DA159" s="986"/>
      <c r="DB159" s="986"/>
      <c r="DC159" s="986"/>
      <c r="DD159" s="1498"/>
      <c r="DF159" s="986"/>
      <c r="DG159" s="986"/>
      <c r="DH159" s="986"/>
      <c r="DI159" s="1498">
        <f t="shared" si="308"/>
        <v>0</v>
      </c>
      <c r="DJ159" s="3127">
        <f t="shared" si="282"/>
        <v>0</v>
      </c>
      <c r="DL159" s="1027">
        <f t="shared" si="281"/>
        <v>0</v>
      </c>
      <c r="DN159" s="2749"/>
      <c r="DO159" s="2747"/>
      <c r="DP159" s="2747"/>
      <c r="DQ159" s="2747"/>
      <c r="DR159" s="2747"/>
      <c r="DS159" s="1037"/>
      <c r="DT159" s="1037"/>
    </row>
    <row r="160" spans="1:130" s="153" customFormat="1" ht="30" hidden="1" outlineLevel="4" collapsed="1">
      <c r="A160" s="108"/>
      <c r="B160" s="2860"/>
      <c r="C160" s="3309"/>
      <c r="D160" s="3310" t="s">
        <v>1380</v>
      </c>
      <c r="E160" s="588"/>
      <c r="F160" s="2971" t="s">
        <v>1382</v>
      </c>
      <c r="G160" s="2923"/>
      <c r="H160" s="2992" t="s">
        <v>1383</v>
      </c>
      <c r="I160" s="3474"/>
      <c r="J160" s="103"/>
      <c r="K160" s="1037"/>
      <c r="L160" s="364"/>
      <c r="M160" s="364"/>
      <c r="N160" s="3345"/>
      <c r="O160" s="3345"/>
      <c r="P160" s="3345"/>
      <c r="Q160" s="3345"/>
      <c r="R160" s="3345"/>
      <c r="S160" s="3345"/>
      <c r="T160" s="3345"/>
      <c r="U160" s="3345"/>
      <c r="V160" s="1037"/>
      <c r="W160" s="3801"/>
      <c r="X160" s="3801"/>
      <c r="Y160" s="3855"/>
      <c r="Z160" s="3856"/>
      <c r="AA160" s="3801"/>
      <c r="AB160" s="3801"/>
      <c r="AC160" s="1037"/>
      <c r="AD160" s="711" t="s">
        <v>1374</v>
      </c>
      <c r="AE160" s="712"/>
      <c r="AF160" s="179"/>
      <c r="AG160" s="179"/>
      <c r="AH160" s="1032"/>
      <c r="AI160" s="1032">
        <f t="shared" si="307"/>
        <v>0</v>
      </c>
      <c r="AJ160" s="1530"/>
      <c r="AK160" s="1037"/>
      <c r="AL160" s="1032"/>
      <c r="AM160" s="1032"/>
      <c r="AN160" s="1041"/>
      <c r="AO160" s="1037"/>
      <c r="AP160" s="986"/>
      <c r="AQ160" s="986"/>
      <c r="AR160" s="986"/>
      <c r="AS160" s="986"/>
      <c r="AT160" s="986"/>
      <c r="AU160" s="986"/>
      <c r="AV160" s="986"/>
      <c r="AW160" s="986"/>
      <c r="AX160" s="986"/>
      <c r="AY160" s="986"/>
      <c r="AZ160" s="2011"/>
      <c r="BA160" s="1037"/>
      <c r="BB160" s="986"/>
      <c r="BC160" s="986"/>
      <c r="BD160" s="986"/>
      <c r="BE160" s="986"/>
      <c r="BF160" s="986"/>
      <c r="BG160" s="986"/>
      <c r="BH160" s="986"/>
      <c r="BI160" s="986"/>
      <c r="BJ160" s="986"/>
      <c r="BK160" s="986"/>
      <c r="BL160" s="986"/>
      <c r="BM160" s="986"/>
      <c r="BN160" s="2011"/>
      <c r="BO160" s="1037"/>
      <c r="BP160" s="3430"/>
      <c r="BQ160" s="3430"/>
      <c r="BR160" s="3430"/>
      <c r="BS160" s="3430"/>
      <c r="BT160" s="3430"/>
      <c r="BU160" s="3430"/>
      <c r="BV160" s="3430"/>
      <c r="BW160" s="3430"/>
      <c r="BX160" s="3430"/>
      <c r="BY160" s="3430"/>
      <c r="BZ160" s="3430"/>
      <c r="CA160" s="3430"/>
      <c r="CB160" s="2011"/>
      <c r="CC160" s="1037"/>
      <c r="CD160" s="986"/>
      <c r="CE160" s="986"/>
      <c r="CF160" s="986"/>
      <c r="CG160" s="986"/>
      <c r="CH160" s="986"/>
      <c r="CI160" s="986"/>
      <c r="CJ160" s="986"/>
      <c r="CK160" s="986"/>
      <c r="CL160" s="986"/>
      <c r="CM160" s="986"/>
      <c r="CN160" s="986"/>
      <c r="CO160" s="986"/>
      <c r="CP160" s="2011"/>
      <c r="CQ160" s="1037"/>
      <c r="CR160" s="986"/>
      <c r="CS160" s="986"/>
      <c r="CT160" s="986"/>
      <c r="CU160" s="986"/>
      <c r="CV160" s="986"/>
      <c r="CW160" s="986"/>
      <c r="CX160" s="986"/>
      <c r="CY160" s="986"/>
      <c r="CZ160" s="986"/>
      <c r="DA160" s="986"/>
      <c r="DB160" s="986"/>
      <c r="DC160" s="986"/>
      <c r="DD160" s="1498"/>
      <c r="DE160" s="1037"/>
      <c r="DF160" s="986"/>
      <c r="DG160" s="986"/>
      <c r="DH160" s="986"/>
      <c r="DI160" s="1498">
        <f t="shared" si="308"/>
        <v>0</v>
      </c>
      <c r="DJ160" s="3127">
        <f t="shared" si="282"/>
        <v>0</v>
      </c>
      <c r="DK160" s="108"/>
      <c r="DL160" s="1027">
        <f t="shared" si="281"/>
        <v>0</v>
      </c>
      <c r="DM160" s="108"/>
      <c r="DN160" s="2749"/>
      <c r="DO160" s="2747"/>
      <c r="DP160" s="2747"/>
      <c r="DQ160" s="2747"/>
      <c r="DR160" s="2747"/>
      <c r="DS160" s="1037"/>
      <c r="DT160" s="1037"/>
      <c r="DU160" s="108"/>
      <c r="DV160" s="108"/>
      <c r="DW160" s="108"/>
      <c r="DX160" s="108"/>
      <c r="DY160" s="108"/>
      <c r="DZ160" s="108"/>
    </row>
    <row r="161" spans="1:130" hidden="1" outlineLevel="3">
      <c r="A161" s="153"/>
      <c r="B161" s="2839"/>
      <c r="C161" s="3306"/>
      <c r="D161" s="2942"/>
      <c r="E161" s="588"/>
      <c r="F161" s="2942"/>
      <c r="G161" s="2852"/>
      <c r="H161" s="2936" t="s">
        <v>1384</v>
      </c>
      <c r="I161" s="3316"/>
      <c r="J161" s="399"/>
      <c r="L161" s="851"/>
      <c r="M161" s="851"/>
      <c r="N161" s="3347"/>
      <c r="O161" s="3347"/>
      <c r="P161" s="3347"/>
      <c r="Q161" s="3347"/>
      <c r="R161" s="3347"/>
      <c r="S161" s="3347"/>
      <c r="T161" s="3347"/>
      <c r="U161" s="3347"/>
      <c r="W161" s="2933"/>
      <c r="X161" s="2932"/>
      <c r="Y161" s="2933"/>
      <c r="Z161" s="2926"/>
      <c r="AA161" s="2926"/>
      <c r="AB161" s="2927"/>
      <c r="AD161" s="2840"/>
      <c r="AE161" s="397"/>
      <c r="AF161" s="397"/>
      <c r="AG161" s="397"/>
      <c r="AH161" s="398"/>
      <c r="AI161" s="992">
        <f>+AI164+AI163+AI162</f>
        <v>180000</v>
      </c>
      <c r="AJ161" s="680"/>
      <c r="AL161" s="398">
        <f>+AI161</f>
        <v>180000</v>
      </c>
      <c r="AM161" s="398"/>
      <c r="AN161" s="398">
        <f>+AL161+AM161</f>
        <v>180000</v>
      </c>
      <c r="AP161" s="992"/>
      <c r="AQ161" s="992"/>
      <c r="AR161" s="992"/>
      <c r="AS161" s="992"/>
      <c r="AT161" s="992"/>
      <c r="AU161" s="992"/>
      <c r="AV161" s="992"/>
      <c r="AW161" s="992"/>
      <c r="AX161" s="992"/>
      <c r="AY161" s="992"/>
      <c r="AZ161" s="992">
        <f>SUM(AP161:AY161)</f>
        <v>0</v>
      </c>
      <c r="BB161" s="1294">
        <f t="shared" ref="BB161:BM161" si="309">+BB162+BB164+BB163</f>
        <v>0</v>
      </c>
      <c r="BC161" s="1294">
        <f t="shared" si="309"/>
        <v>0</v>
      </c>
      <c r="BD161" s="1294">
        <f t="shared" si="309"/>
        <v>0</v>
      </c>
      <c r="BE161" s="1294">
        <f t="shared" si="309"/>
        <v>0</v>
      </c>
      <c r="BF161" s="1294">
        <f t="shared" si="309"/>
        <v>0</v>
      </c>
      <c r="BG161" s="1294">
        <f t="shared" si="309"/>
        <v>0</v>
      </c>
      <c r="BH161" s="1294">
        <f t="shared" si="309"/>
        <v>0</v>
      </c>
      <c r="BI161" s="1294">
        <f t="shared" si="309"/>
        <v>0</v>
      </c>
      <c r="BJ161" s="1294">
        <f t="shared" si="309"/>
        <v>0</v>
      </c>
      <c r="BK161" s="1294">
        <f t="shared" si="309"/>
        <v>0</v>
      </c>
      <c r="BL161" s="1294">
        <f t="shared" si="309"/>
        <v>0</v>
      </c>
      <c r="BM161" s="1294">
        <f t="shared" si="309"/>
        <v>0</v>
      </c>
      <c r="BN161" s="994">
        <f>SUM(BB161:BM161)</f>
        <v>0</v>
      </c>
      <c r="BP161" s="3430">
        <f>+BP162+BP164+BP163</f>
        <v>0</v>
      </c>
      <c r="BQ161" s="3430">
        <f t="shared" ref="BQ161:BZ161" si="310">+BQ162+BQ164+BQ163</f>
        <v>0</v>
      </c>
      <c r="BR161" s="3430">
        <f t="shared" si="310"/>
        <v>0</v>
      </c>
      <c r="BS161" s="3430">
        <f t="shared" si="310"/>
        <v>0</v>
      </c>
      <c r="BT161" s="3430">
        <f t="shared" si="310"/>
        <v>0</v>
      </c>
      <c r="BU161" s="3430">
        <f>+BU162+BU164+BU163</f>
        <v>0</v>
      </c>
      <c r="BV161" s="3430">
        <f t="shared" si="310"/>
        <v>10000</v>
      </c>
      <c r="BW161" s="3430">
        <f t="shared" si="310"/>
        <v>10000</v>
      </c>
      <c r="BX161" s="3430">
        <f t="shared" si="310"/>
        <v>10000</v>
      </c>
      <c r="BY161" s="3430">
        <f t="shared" si="310"/>
        <v>10000</v>
      </c>
      <c r="BZ161" s="3430">
        <f t="shared" si="310"/>
        <v>10000</v>
      </c>
      <c r="CA161" s="3430">
        <f>+CA162+CA164+CA163</f>
        <v>10000</v>
      </c>
      <c r="CB161" s="994">
        <f>SUM(BP161:CA161)</f>
        <v>60000</v>
      </c>
      <c r="CD161" s="1294">
        <f t="shared" ref="CD161:CO161" si="311">+CD162+CD164+CD163</f>
        <v>10000</v>
      </c>
      <c r="CE161" s="1294">
        <f t="shared" si="311"/>
        <v>15000</v>
      </c>
      <c r="CF161" s="1294">
        <f t="shared" si="311"/>
        <v>15000</v>
      </c>
      <c r="CG161" s="1294">
        <f t="shared" si="311"/>
        <v>15000</v>
      </c>
      <c r="CH161" s="1294">
        <f t="shared" si="311"/>
        <v>15000</v>
      </c>
      <c r="CI161" s="1294">
        <f t="shared" si="311"/>
        <v>15000</v>
      </c>
      <c r="CJ161" s="1294">
        <f t="shared" si="311"/>
        <v>5000</v>
      </c>
      <c r="CK161" s="1294">
        <f t="shared" si="311"/>
        <v>5000</v>
      </c>
      <c r="CL161" s="1294">
        <f t="shared" si="311"/>
        <v>5000</v>
      </c>
      <c r="CM161" s="1294">
        <f t="shared" si="311"/>
        <v>5000</v>
      </c>
      <c r="CN161" s="1294">
        <f t="shared" si="311"/>
        <v>5000</v>
      </c>
      <c r="CO161" s="1294">
        <f t="shared" si="311"/>
        <v>5000</v>
      </c>
      <c r="CP161" s="994">
        <f>SUM(CD161:CO161)</f>
        <v>115000</v>
      </c>
      <c r="CR161" s="1294">
        <f t="shared" ref="CR161:DC161" si="312">+CR162+CR164+CR163</f>
        <v>5000</v>
      </c>
      <c r="CS161" s="1294">
        <f t="shared" si="312"/>
        <v>0</v>
      </c>
      <c r="CT161" s="1294">
        <f t="shared" si="312"/>
        <v>0</v>
      </c>
      <c r="CU161" s="1294">
        <f t="shared" si="312"/>
        <v>0</v>
      </c>
      <c r="CV161" s="1294">
        <f t="shared" si="312"/>
        <v>0</v>
      </c>
      <c r="CW161" s="1294">
        <f t="shared" si="312"/>
        <v>0</v>
      </c>
      <c r="CX161" s="1294">
        <f t="shared" si="312"/>
        <v>0</v>
      </c>
      <c r="CY161" s="1294">
        <f t="shared" si="312"/>
        <v>0</v>
      </c>
      <c r="CZ161" s="1294">
        <f t="shared" si="312"/>
        <v>0</v>
      </c>
      <c r="DA161" s="1294">
        <f t="shared" si="312"/>
        <v>0</v>
      </c>
      <c r="DB161" s="1294">
        <f t="shared" si="312"/>
        <v>0</v>
      </c>
      <c r="DC161" s="1294">
        <f t="shared" si="312"/>
        <v>0</v>
      </c>
      <c r="DD161" s="994">
        <f>SUM(CR161:DC161)</f>
        <v>5000</v>
      </c>
      <c r="DF161" s="1294">
        <f>+DF162+DF164+DF163</f>
        <v>0</v>
      </c>
      <c r="DG161" s="1294">
        <f>+DG162+DG164+DG163</f>
        <v>0</v>
      </c>
      <c r="DH161" s="1294">
        <f>+DH162+DH164+DH163</f>
        <v>0</v>
      </c>
      <c r="DI161" s="3083">
        <f>SUM(DF161:DH161)</f>
        <v>0</v>
      </c>
      <c r="DJ161" s="3122">
        <f>+AZ161+BN161+CB161+CP161+DD161+DI161</f>
        <v>180000</v>
      </c>
      <c r="DK161" s="153"/>
      <c r="DL161" s="1027">
        <f>+AN161-DJ161</f>
        <v>0</v>
      </c>
      <c r="DM161" s="153"/>
      <c r="DN161" s="2725"/>
      <c r="DO161" s="2726"/>
      <c r="DP161" s="2726"/>
      <c r="DQ161" s="2726"/>
      <c r="DR161" s="2726"/>
      <c r="DS161" s="1037"/>
      <c r="DT161" s="1037"/>
      <c r="DU161" s="153"/>
      <c r="DV161" s="153"/>
      <c r="DW161" s="153"/>
      <c r="DX161" s="153"/>
      <c r="DY161" s="153"/>
      <c r="DZ161" s="153"/>
    </row>
    <row r="162" spans="1:130" ht="75" hidden="1" outlineLevel="4">
      <c r="B162" s="2860"/>
      <c r="C162" s="3309"/>
      <c r="D162" s="3475"/>
      <c r="E162" s="588"/>
      <c r="F162" s="3015" t="s">
        <v>1385</v>
      </c>
      <c r="G162" s="2923"/>
      <c r="H162" s="2992" t="s">
        <v>1386</v>
      </c>
      <c r="I162" s="3474"/>
      <c r="J162" s="103"/>
      <c r="L162" s="364"/>
      <c r="M162" s="364"/>
      <c r="N162" s="3345"/>
      <c r="O162" s="3345"/>
      <c r="P162" s="3345"/>
      <c r="Q162" s="3345"/>
      <c r="R162" s="3345"/>
      <c r="S162" s="3345"/>
      <c r="T162" s="3345"/>
      <c r="U162" s="3345"/>
      <c r="W162" s="1481" t="s">
        <v>763</v>
      </c>
      <c r="X162" s="1481" t="s">
        <v>1075</v>
      </c>
      <c r="Y162" s="1481" t="s">
        <v>1187</v>
      </c>
      <c r="Z162" s="1481" t="s">
        <v>1387</v>
      </c>
      <c r="AA162" s="1481" t="s">
        <v>1388</v>
      </c>
      <c r="AB162" s="1481"/>
      <c r="AD162" s="711" t="s">
        <v>1189</v>
      </c>
      <c r="AE162" s="712">
        <v>1</v>
      </c>
      <c r="AF162" s="179">
        <v>12</v>
      </c>
      <c r="AG162" s="179"/>
      <c r="AH162" s="1032">
        <v>5000</v>
      </c>
      <c r="AI162" s="1032">
        <f>+AE162*AF162*AH162</f>
        <v>60000</v>
      </c>
      <c r="AJ162" s="1763" t="s">
        <v>1389</v>
      </c>
      <c r="AL162" s="1032">
        <f>+AI162</f>
        <v>60000</v>
      </c>
      <c r="AM162" s="1032"/>
      <c r="AN162" s="1041">
        <f>+AL162+AM162</f>
        <v>60000</v>
      </c>
      <c r="AP162" s="986"/>
      <c r="AQ162" s="986"/>
      <c r="AR162" s="986"/>
      <c r="AS162" s="986"/>
      <c r="AT162" s="986"/>
      <c r="AU162" s="986"/>
      <c r="AV162" s="986"/>
      <c r="AW162" s="986"/>
      <c r="AX162" s="986"/>
      <c r="AY162" s="986"/>
      <c r="AZ162" s="2011"/>
      <c r="BB162" s="986"/>
      <c r="BC162" s="986"/>
      <c r="BD162" s="986"/>
      <c r="BE162" s="986"/>
      <c r="BF162" s="986"/>
      <c r="BG162" s="986"/>
      <c r="BH162" s="986"/>
      <c r="BI162" s="986"/>
      <c r="BJ162" s="986"/>
      <c r="BK162" s="986"/>
      <c r="BL162" s="986"/>
      <c r="BM162" s="986"/>
      <c r="BN162" s="2011"/>
      <c r="BP162" s="986"/>
      <c r="BQ162" s="986"/>
      <c r="BR162" s="986"/>
      <c r="BS162" s="986"/>
      <c r="BT162" s="986"/>
      <c r="BU162" s="986"/>
      <c r="BV162" s="986"/>
      <c r="BW162" s="986"/>
      <c r="BX162" s="986"/>
      <c r="BY162" s="986"/>
      <c r="BZ162" s="986"/>
      <c r="CA162" s="986"/>
      <c r="CB162" s="2011">
        <f>SUM(BP162:CA162)</f>
        <v>0</v>
      </c>
      <c r="CD162" s="986"/>
      <c r="CE162" s="986">
        <f t="shared" ref="CE162:CO162" si="313">+$AH$162</f>
        <v>5000</v>
      </c>
      <c r="CF162" s="986">
        <f t="shared" si="313"/>
        <v>5000</v>
      </c>
      <c r="CG162" s="986">
        <f t="shared" si="313"/>
        <v>5000</v>
      </c>
      <c r="CH162" s="986">
        <f t="shared" si="313"/>
        <v>5000</v>
      </c>
      <c r="CI162" s="986">
        <f t="shared" si="313"/>
        <v>5000</v>
      </c>
      <c r="CJ162" s="986">
        <f t="shared" si="313"/>
        <v>5000</v>
      </c>
      <c r="CK162" s="986">
        <f t="shared" si="313"/>
        <v>5000</v>
      </c>
      <c r="CL162" s="986">
        <f t="shared" si="313"/>
        <v>5000</v>
      </c>
      <c r="CM162" s="986">
        <f t="shared" si="313"/>
        <v>5000</v>
      </c>
      <c r="CN162" s="986">
        <f t="shared" si="313"/>
        <v>5000</v>
      </c>
      <c r="CO162" s="986">
        <f t="shared" si="313"/>
        <v>5000</v>
      </c>
      <c r="CP162" s="2011">
        <f>SUM(CD162:CO162)</f>
        <v>55000</v>
      </c>
      <c r="CR162" s="986">
        <v>5000</v>
      </c>
      <c r="CS162" s="986"/>
      <c r="CT162" s="986"/>
      <c r="CU162" s="986"/>
      <c r="CV162" s="986"/>
      <c r="CW162" s="986"/>
      <c r="CX162" s="986"/>
      <c r="CY162" s="986"/>
      <c r="CZ162" s="986"/>
      <c r="DA162" s="986"/>
      <c r="DB162" s="986"/>
      <c r="DC162" s="986"/>
      <c r="DD162" s="1498">
        <f>+SUM(CR162:DC162)</f>
        <v>5000</v>
      </c>
      <c r="DF162" s="986"/>
      <c r="DG162" s="986"/>
      <c r="DH162" s="986"/>
      <c r="DI162" s="2008"/>
      <c r="DJ162" s="3127">
        <f>+AZ162+BN162+CB162+CP162+DD162+DI162</f>
        <v>60000</v>
      </c>
      <c r="DL162" s="1027">
        <f t="shared" si="281"/>
        <v>0</v>
      </c>
      <c r="DN162" s="2749"/>
      <c r="DO162" s="2747"/>
      <c r="DP162" s="2747"/>
      <c r="DQ162" s="2747"/>
      <c r="DR162" s="2747"/>
      <c r="DS162" s="1037"/>
      <c r="DT162" s="1037"/>
    </row>
    <row r="163" spans="1:130" ht="75" hidden="1" outlineLevel="4">
      <c r="B163" s="2860"/>
      <c r="C163" s="3309"/>
      <c r="D163" s="3475"/>
      <c r="E163" s="588"/>
      <c r="F163" s="3015" t="s">
        <v>1390</v>
      </c>
      <c r="G163" s="2923"/>
      <c r="H163" s="2992" t="s">
        <v>1391</v>
      </c>
      <c r="I163" s="3474"/>
      <c r="J163" s="103"/>
      <c r="L163" s="364"/>
      <c r="M163" s="364"/>
      <c r="N163" s="3345"/>
      <c r="O163" s="3345"/>
      <c r="P163" s="3345"/>
      <c r="Q163" s="3345"/>
      <c r="R163" s="3345"/>
      <c r="S163" s="3345"/>
      <c r="T163" s="3345"/>
      <c r="U163" s="3345"/>
      <c r="W163" s="1481" t="s">
        <v>763</v>
      </c>
      <c r="X163" s="1481" t="s">
        <v>1075</v>
      </c>
      <c r="Y163" s="1481" t="s">
        <v>1187</v>
      </c>
      <c r="Z163" s="1481" t="s">
        <v>1392</v>
      </c>
      <c r="AA163" s="1481" t="s">
        <v>1388</v>
      </c>
      <c r="AB163" s="1481" t="s">
        <v>1393</v>
      </c>
      <c r="AD163" s="711" t="s">
        <v>1189</v>
      </c>
      <c r="AE163" s="712">
        <v>1</v>
      </c>
      <c r="AF163" s="179">
        <v>12</v>
      </c>
      <c r="AG163" s="179"/>
      <c r="AH163" s="1032">
        <v>0</v>
      </c>
      <c r="AI163" s="1032">
        <f>+AE163*AF163*AH163</f>
        <v>0</v>
      </c>
      <c r="AJ163" s="1763" t="s">
        <v>1389</v>
      </c>
      <c r="AL163" s="1032">
        <f>+AI163</f>
        <v>0</v>
      </c>
      <c r="AM163" s="1032"/>
      <c r="AN163" s="1041">
        <f>+AL163+AM163</f>
        <v>0</v>
      </c>
      <c r="AP163" s="986"/>
      <c r="AQ163" s="986"/>
      <c r="AR163" s="986"/>
      <c r="AS163" s="986"/>
      <c r="AT163" s="986"/>
      <c r="AU163" s="986"/>
      <c r="AV163" s="986"/>
      <c r="AW163" s="986"/>
      <c r="AX163" s="986"/>
      <c r="AY163" s="986"/>
      <c r="AZ163" s="2011"/>
      <c r="BB163" s="986"/>
      <c r="BC163" s="986"/>
      <c r="BD163" s="986"/>
      <c r="BE163" s="986"/>
      <c r="BF163" s="986"/>
      <c r="BG163" s="986"/>
      <c r="BH163" s="986"/>
      <c r="BI163" s="986"/>
      <c r="BJ163" s="986"/>
      <c r="BK163" s="986"/>
      <c r="BL163" s="986"/>
      <c r="BM163" s="986"/>
      <c r="BN163" s="2011"/>
      <c r="BP163" s="986"/>
      <c r="BQ163" s="986"/>
      <c r="BR163" s="986"/>
      <c r="BS163" s="986"/>
      <c r="BT163" s="986"/>
      <c r="BU163" s="986"/>
      <c r="BV163" s="986"/>
      <c r="BW163" s="986"/>
      <c r="BX163" s="986"/>
      <c r="BY163" s="986"/>
      <c r="BZ163" s="986"/>
      <c r="CA163" s="986"/>
      <c r="CB163" s="2011">
        <f>SUM(BP163:CA163)</f>
        <v>0</v>
      </c>
      <c r="CD163" s="986"/>
      <c r="CE163" s="986">
        <f t="shared" ref="CE163:CO163" si="314">+$AH$163</f>
        <v>0</v>
      </c>
      <c r="CF163" s="986">
        <f t="shared" si="314"/>
        <v>0</v>
      </c>
      <c r="CG163" s="986">
        <f t="shared" si="314"/>
        <v>0</v>
      </c>
      <c r="CH163" s="986">
        <f t="shared" si="314"/>
        <v>0</v>
      </c>
      <c r="CI163" s="986">
        <f t="shared" si="314"/>
        <v>0</v>
      </c>
      <c r="CJ163" s="986">
        <f t="shared" si="314"/>
        <v>0</v>
      </c>
      <c r="CK163" s="986">
        <f t="shared" si="314"/>
        <v>0</v>
      </c>
      <c r="CL163" s="986">
        <f t="shared" si="314"/>
        <v>0</v>
      </c>
      <c r="CM163" s="986">
        <f t="shared" si="314"/>
        <v>0</v>
      </c>
      <c r="CN163" s="986">
        <f t="shared" si="314"/>
        <v>0</v>
      </c>
      <c r="CO163" s="986">
        <f t="shared" si="314"/>
        <v>0</v>
      </c>
      <c r="CP163" s="2011">
        <f>SUM(CD163:CO163)</f>
        <v>0</v>
      </c>
      <c r="CR163" s="986">
        <f t="shared" ref="CR163" si="315">+$AH$163</f>
        <v>0</v>
      </c>
      <c r="CS163" s="986"/>
      <c r="CT163" s="986"/>
      <c r="CU163" s="986"/>
      <c r="CV163" s="986"/>
      <c r="CW163" s="986"/>
      <c r="CX163" s="986"/>
      <c r="CY163" s="986"/>
      <c r="CZ163" s="986"/>
      <c r="DA163" s="986"/>
      <c r="DB163" s="986"/>
      <c r="DC163" s="986"/>
      <c r="DD163" s="1498">
        <f t="shared" ref="DD163:DD164" si="316">+SUM(CR163:DC163)</f>
        <v>0</v>
      </c>
      <c r="DF163" s="986"/>
      <c r="DG163" s="986"/>
      <c r="DH163" s="986"/>
      <c r="DI163" s="2008">
        <f t="shared" ref="DI163" si="317">SUM(CW163:DH163)</f>
        <v>0</v>
      </c>
      <c r="DJ163" s="3127">
        <f>+AZ163+BN163+CB163+CP163+DD163+DI163</f>
        <v>0</v>
      </c>
      <c r="DL163" s="1027">
        <f t="shared" si="281"/>
        <v>0</v>
      </c>
      <c r="DN163" s="2749"/>
      <c r="DO163" s="2747"/>
      <c r="DP163" s="2747"/>
      <c r="DQ163" s="2747"/>
      <c r="DR163" s="2747"/>
      <c r="DS163" s="1037"/>
      <c r="DT163" s="1037"/>
    </row>
    <row r="164" spans="1:130" s="2050" customFormat="1" ht="33" hidden="1" customHeight="1" outlineLevel="4" collapsed="1">
      <c r="A164" s="108"/>
      <c r="B164" s="2860"/>
      <c r="C164" s="3309"/>
      <c r="D164" s="3475"/>
      <c r="E164" s="588"/>
      <c r="F164" s="3015" t="s">
        <v>1394</v>
      </c>
      <c r="G164" s="2923"/>
      <c r="H164" s="2992" t="s">
        <v>1395</v>
      </c>
      <c r="I164" s="3474"/>
      <c r="J164" s="103"/>
      <c r="K164" s="1037"/>
      <c r="L164" s="364"/>
      <c r="M164" s="364"/>
      <c r="N164" s="3345"/>
      <c r="O164" s="3345"/>
      <c r="P164" s="3345"/>
      <c r="Q164" s="3345"/>
      <c r="R164" s="3345"/>
      <c r="S164" s="3345"/>
      <c r="T164" s="3345"/>
      <c r="U164" s="3345"/>
      <c r="V164" s="1037"/>
      <c r="W164" s="1481" t="s">
        <v>763</v>
      </c>
      <c r="X164" s="1481" t="s">
        <v>1075</v>
      </c>
      <c r="Y164" s="1481" t="s">
        <v>1187</v>
      </c>
      <c r="Z164" s="1481" t="s">
        <v>1396</v>
      </c>
      <c r="AA164" s="1481" t="s">
        <v>1388</v>
      </c>
      <c r="AB164" s="1481"/>
      <c r="AC164" s="1037"/>
      <c r="AD164" s="711" t="s">
        <v>1189</v>
      </c>
      <c r="AE164" s="712">
        <v>2</v>
      </c>
      <c r="AF164" s="179">
        <v>12</v>
      </c>
      <c r="AG164" s="179"/>
      <c r="AH164" s="1032">
        <v>5000</v>
      </c>
      <c r="AI164" s="1032">
        <f>+AE164*AF164*AH164</f>
        <v>120000</v>
      </c>
      <c r="AJ164" s="1530"/>
      <c r="AK164" s="1037"/>
      <c r="AL164" s="1032">
        <f>+AI164</f>
        <v>120000</v>
      </c>
      <c r="AM164" s="1032"/>
      <c r="AN164" s="1041">
        <f>+AL164+AM164</f>
        <v>120000</v>
      </c>
      <c r="AO164" s="1037"/>
      <c r="AP164" s="986"/>
      <c r="AQ164" s="986"/>
      <c r="AR164" s="986"/>
      <c r="AS164" s="986"/>
      <c r="AT164" s="986"/>
      <c r="AU164" s="986"/>
      <c r="AV164" s="986"/>
      <c r="AW164" s="986"/>
      <c r="AX164" s="986"/>
      <c r="AY164" s="986"/>
      <c r="AZ164" s="2011"/>
      <c r="BA164" s="1037"/>
      <c r="BB164" s="986"/>
      <c r="BC164" s="986"/>
      <c r="BD164" s="986"/>
      <c r="BE164" s="986"/>
      <c r="BF164" s="986"/>
      <c r="BG164" s="986"/>
      <c r="BH164" s="986"/>
      <c r="BI164" s="986"/>
      <c r="BJ164" s="986"/>
      <c r="BK164" s="986"/>
      <c r="BL164" s="986"/>
      <c r="BM164" s="986"/>
      <c r="BN164" s="2011"/>
      <c r="BO164" s="1037"/>
      <c r="BP164" s="986"/>
      <c r="BQ164" s="986"/>
      <c r="BR164" s="986"/>
      <c r="BS164" s="986"/>
      <c r="BT164" s="986"/>
      <c r="BU164" s="986"/>
      <c r="BV164" s="986">
        <f t="shared" ref="BV164:CA164" si="318">+$AH$164*$AE$164</f>
        <v>10000</v>
      </c>
      <c r="BW164" s="986">
        <f t="shared" si="318"/>
        <v>10000</v>
      </c>
      <c r="BX164" s="986">
        <f t="shared" si="318"/>
        <v>10000</v>
      </c>
      <c r="BY164" s="986">
        <f t="shared" si="318"/>
        <v>10000</v>
      </c>
      <c r="BZ164" s="986">
        <f t="shared" si="318"/>
        <v>10000</v>
      </c>
      <c r="CA164" s="986">
        <f t="shared" si="318"/>
        <v>10000</v>
      </c>
      <c r="CB164" s="2011">
        <f>SUM(BP164:CA164)</f>
        <v>60000</v>
      </c>
      <c r="CC164" s="1037"/>
      <c r="CD164" s="986">
        <f>+$AH$164*$AE$164</f>
        <v>10000</v>
      </c>
      <c r="CE164" s="986">
        <f>+$AH$164*$AE$164</f>
        <v>10000</v>
      </c>
      <c r="CF164" s="986">
        <f t="shared" ref="CF164:CH164" si="319">+$AH$164*$AE$164</f>
        <v>10000</v>
      </c>
      <c r="CG164" s="986">
        <f t="shared" si="319"/>
        <v>10000</v>
      </c>
      <c r="CH164" s="986">
        <f t="shared" si="319"/>
        <v>10000</v>
      </c>
      <c r="CI164" s="986">
        <f>+$AH$164*$AE$164</f>
        <v>10000</v>
      </c>
      <c r="CJ164" s="986"/>
      <c r="CK164" s="986"/>
      <c r="CL164" s="986"/>
      <c r="CM164" s="986"/>
      <c r="CN164" s="986"/>
      <c r="CO164" s="986"/>
      <c r="CP164" s="2011">
        <f>SUM(CD164:CO164)</f>
        <v>60000</v>
      </c>
      <c r="CQ164" s="1037"/>
      <c r="CR164" s="986"/>
      <c r="CS164" s="986"/>
      <c r="CT164" s="986"/>
      <c r="CU164" s="986"/>
      <c r="CV164" s="986"/>
      <c r="CW164" s="986"/>
      <c r="CX164" s="986"/>
      <c r="CY164" s="986"/>
      <c r="CZ164" s="986"/>
      <c r="DA164" s="986"/>
      <c r="DB164" s="986"/>
      <c r="DC164" s="986"/>
      <c r="DD164" s="1498">
        <f t="shared" si="316"/>
        <v>0</v>
      </c>
      <c r="DE164" s="1037"/>
      <c r="DF164" s="986"/>
      <c r="DG164" s="986"/>
      <c r="DH164" s="986"/>
      <c r="DI164" s="2008">
        <f>SUM(CW164:DH164)</f>
        <v>0</v>
      </c>
      <c r="DJ164" s="3127">
        <f>+AZ164+BN164+CB164+CP164+DD164+DI164</f>
        <v>120000</v>
      </c>
      <c r="DK164" s="108"/>
      <c r="DL164" s="1027">
        <f t="shared" si="281"/>
        <v>0</v>
      </c>
      <c r="DM164" s="108"/>
      <c r="DN164" s="2749"/>
      <c r="DO164" s="2747"/>
      <c r="DP164" s="2747"/>
      <c r="DQ164" s="2747"/>
      <c r="DR164" s="2747"/>
      <c r="DS164" s="1037"/>
      <c r="DT164" s="1037"/>
      <c r="DU164" s="108"/>
      <c r="DV164" s="108"/>
      <c r="DW164" s="108"/>
      <c r="DX164" s="108"/>
      <c r="DY164" s="108"/>
      <c r="DZ164" s="108"/>
    </row>
    <row r="165" spans="1:130" s="879" customFormat="1" ht="33.5" hidden="1" customHeight="1" outlineLevel="4">
      <c r="A165" s="108"/>
      <c r="B165" s="2860"/>
      <c r="C165" s="3309"/>
      <c r="D165" s="3475"/>
      <c r="E165" s="588"/>
      <c r="F165" s="3015"/>
      <c r="G165" s="2923"/>
      <c r="H165" s="2992" t="s">
        <v>1397</v>
      </c>
      <c r="I165" s="3474"/>
      <c r="J165" s="103"/>
      <c r="K165" s="1037"/>
      <c r="L165" s="364"/>
      <c r="M165" s="364"/>
      <c r="N165" s="3345"/>
      <c r="O165" s="3345"/>
      <c r="P165" s="3345"/>
      <c r="Q165" s="3345"/>
      <c r="R165" s="3345"/>
      <c r="S165" s="3345"/>
      <c r="T165" s="3345"/>
      <c r="U165" s="3345"/>
      <c r="V165" s="1037"/>
      <c r="W165" s="1481"/>
      <c r="X165" s="1481"/>
      <c r="Y165" s="1481"/>
      <c r="Z165" s="1481"/>
      <c r="AA165" s="1481"/>
      <c r="AB165" s="1481"/>
      <c r="AC165" s="1037"/>
      <c r="AD165" s="711"/>
      <c r="AE165" s="712"/>
      <c r="AF165" s="179"/>
      <c r="AG165" s="179"/>
      <c r="AH165" s="1032"/>
      <c r="AI165" s="1032"/>
      <c r="AJ165" s="1530"/>
      <c r="AK165" s="1037"/>
      <c r="AL165" s="1032"/>
      <c r="AM165" s="1032"/>
      <c r="AN165" s="1041"/>
      <c r="AO165" s="1037"/>
      <c r="AP165" s="986"/>
      <c r="AQ165" s="986"/>
      <c r="AR165" s="986"/>
      <c r="AS165" s="986"/>
      <c r="AT165" s="986"/>
      <c r="AU165" s="986"/>
      <c r="AV165" s="986"/>
      <c r="AW165" s="986"/>
      <c r="AX165" s="986"/>
      <c r="AY165" s="986"/>
      <c r="AZ165" s="2011"/>
      <c r="BA165" s="1037"/>
      <c r="BB165" s="986"/>
      <c r="BC165" s="986"/>
      <c r="BD165" s="986"/>
      <c r="BE165" s="986"/>
      <c r="BF165" s="986"/>
      <c r="BG165" s="986"/>
      <c r="BH165" s="986"/>
      <c r="BI165" s="986"/>
      <c r="BJ165" s="986"/>
      <c r="BK165" s="986"/>
      <c r="BL165" s="986"/>
      <c r="BM165" s="986"/>
      <c r="BN165" s="2011"/>
      <c r="BO165" s="1037"/>
      <c r="BP165" s="986"/>
      <c r="BQ165" s="986"/>
      <c r="BR165" s="986"/>
      <c r="BS165" s="986"/>
      <c r="BT165" s="986"/>
      <c r="BU165" s="986"/>
      <c r="BV165" s="986"/>
      <c r="BW165" s="986"/>
      <c r="BX165" s="986"/>
      <c r="BY165" s="986"/>
      <c r="BZ165" s="986"/>
      <c r="CA165" s="986"/>
      <c r="CB165" s="2011"/>
      <c r="CC165" s="1037"/>
      <c r="CD165" s="986"/>
      <c r="CE165" s="986"/>
      <c r="CF165" s="986"/>
      <c r="CG165" s="986"/>
      <c r="CH165" s="986"/>
      <c r="CI165" s="986"/>
      <c r="CJ165" s="986"/>
      <c r="CK165" s="986"/>
      <c r="CL165" s="986"/>
      <c r="CM165" s="986"/>
      <c r="CN165" s="986"/>
      <c r="CO165" s="986"/>
      <c r="CP165" s="2011"/>
      <c r="CQ165" s="1037"/>
      <c r="CR165" s="986"/>
      <c r="CS165" s="986"/>
      <c r="CT165" s="986"/>
      <c r="CU165" s="986"/>
      <c r="CV165" s="986"/>
      <c r="CW165" s="986"/>
      <c r="CX165" s="986"/>
      <c r="CY165" s="986"/>
      <c r="CZ165" s="986"/>
      <c r="DA165" s="986"/>
      <c r="DB165" s="986"/>
      <c r="DC165" s="986"/>
      <c r="DD165" s="1498"/>
      <c r="DE165" s="1037"/>
      <c r="DF165" s="986"/>
      <c r="DG165" s="986"/>
      <c r="DH165" s="986"/>
      <c r="DI165" s="2008"/>
      <c r="DJ165" s="3476"/>
      <c r="DK165" s="108"/>
      <c r="DL165" s="1027"/>
      <c r="DM165" s="108"/>
      <c r="DN165" s="2749"/>
      <c r="DO165" s="2747"/>
      <c r="DP165" s="2747"/>
      <c r="DQ165" s="2747"/>
      <c r="DR165" s="2747"/>
      <c r="DS165" s="1037"/>
      <c r="DT165" s="1037"/>
      <c r="DU165" s="108"/>
      <c r="DV165" s="108"/>
      <c r="DW165" s="108"/>
      <c r="DX165" s="108"/>
      <c r="DY165" s="108"/>
      <c r="DZ165" s="108"/>
    </row>
    <row r="166" spans="1:130" s="879" customFormat="1" ht="15" hidden="1" outlineLevel="4">
      <c r="A166" s="108"/>
      <c r="B166" s="2860"/>
      <c r="C166" s="3309"/>
      <c r="D166" s="3475"/>
      <c r="E166" s="588"/>
      <c r="F166" s="3015"/>
      <c r="G166" s="2923"/>
      <c r="H166" s="2992" t="s">
        <v>1398</v>
      </c>
      <c r="I166" s="3474"/>
      <c r="J166" s="103"/>
      <c r="K166" s="1037"/>
      <c r="L166" s="364"/>
      <c r="M166" s="364"/>
      <c r="N166" s="3345"/>
      <c r="O166" s="3345"/>
      <c r="P166" s="3345"/>
      <c r="Q166" s="3345"/>
      <c r="R166" s="3345"/>
      <c r="S166" s="3345"/>
      <c r="T166" s="3345"/>
      <c r="U166" s="3345"/>
      <c r="V166" s="1037"/>
      <c r="W166" s="1481"/>
      <c r="X166" s="1481"/>
      <c r="Y166" s="1481"/>
      <c r="Z166" s="1481"/>
      <c r="AA166" s="1481"/>
      <c r="AB166" s="1481"/>
      <c r="AC166" s="1037"/>
      <c r="AD166" s="711"/>
      <c r="AE166" s="712"/>
      <c r="AF166" s="179"/>
      <c r="AG166" s="179"/>
      <c r="AH166" s="1032"/>
      <c r="AI166" s="1032"/>
      <c r="AJ166" s="1530"/>
      <c r="AK166" s="1037"/>
      <c r="AL166" s="1032"/>
      <c r="AM166" s="1032"/>
      <c r="AN166" s="1041"/>
      <c r="AO166" s="1037"/>
      <c r="AP166" s="986"/>
      <c r="AQ166" s="986"/>
      <c r="AR166" s="986"/>
      <c r="AS166" s="986"/>
      <c r="AT166" s="986"/>
      <c r="AU166" s="986"/>
      <c r="AV166" s="986"/>
      <c r="AW166" s="986"/>
      <c r="AX166" s="986"/>
      <c r="AY166" s="986"/>
      <c r="AZ166" s="2011"/>
      <c r="BA166" s="1037"/>
      <c r="BB166" s="986"/>
      <c r="BC166" s="986"/>
      <c r="BD166" s="986"/>
      <c r="BE166" s="986"/>
      <c r="BF166" s="986"/>
      <c r="BG166" s="986"/>
      <c r="BH166" s="986"/>
      <c r="BI166" s="986"/>
      <c r="BJ166" s="986"/>
      <c r="BK166" s="986"/>
      <c r="BL166" s="986"/>
      <c r="BM166" s="986"/>
      <c r="BN166" s="2011"/>
      <c r="BO166" s="1037"/>
      <c r="BP166" s="986"/>
      <c r="BQ166" s="986"/>
      <c r="BR166" s="986"/>
      <c r="BS166" s="986"/>
      <c r="BT166" s="986"/>
      <c r="BU166" s="986"/>
      <c r="BV166" s="986"/>
      <c r="BW166" s="986"/>
      <c r="BX166" s="986"/>
      <c r="BY166" s="986"/>
      <c r="BZ166" s="986"/>
      <c r="CA166" s="986"/>
      <c r="CB166" s="2011"/>
      <c r="CC166" s="1037"/>
      <c r="CD166" s="986"/>
      <c r="CE166" s="986"/>
      <c r="CF166" s="986"/>
      <c r="CG166" s="986"/>
      <c r="CH166" s="986"/>
      <c r="CI166" s="986"/>
      <c r="CJ166" s="986"/>
      <c r="CK166" s="986"/>
      <c r="CL166" s="986"/>
      <c r="CM166" s="986"/>
      <c r="CN166" s="986"/>
      <c r="CO166" s="986"/>
      <c r="CP166" s="2011"/>
      <c r="CQ166" s="1037"/>
      <c r="CR166" s="986"/>
      <c r="CS166" s="986"/>
      <c r="CT166" s="986"/>
      <c r="CU166" s="986"/>
      <c r="CV166" s="986"/>
      <c r="CW166" s="986"/>
      <c r="CX166" s="986"/>
      <c r="CY166" s="986"/>
      <c r="CZ166" s="986"/>
      <c r="DA166" s="986"/>
      <c r="DB166" s="986"/>
      <c r="DC166" s="986"/>
      <c r="DD166" s="1498"/>
      <c r="DE166" s="1037"/>
      <c r="DF166" s="986"/>
      <c r="DG166" s="986"/>
      <c r="DH166" s="986"/>
      <c r="DI166" s="2008"/>
      <c r="DJ166" s="3476"/>
      <c r="DK166" s="108"/>
      <c r="DL166" s="3297"/>
      <c r="DM166" s="108"/>
      <c r="DN166" s="2749"/>
      <c r="DO166" s="2747"/>
      <c r="DP166" s="2747"/>
      <c r="DQ166" s="2747"/>
      <c r="DR166" s="2747"/>
      <c r="DS166" s="1037"/>
      <c r="DT166" s="1037"/>
      <c r="DU166" s="108"/>
      <c r="DV166" s="108"/>
      <c r="DW166" s="108"/>
      <c r="DX166" s="108"/>
      <c r="DY166" s="108"/>
      <c r="DZ166" s="108"/>
    </row>
    <row r="167" spans="1:130" s="879" customFormat="1" ht="210" hidden="1" outlineLevel="3" collapsed="1">
      <c r="A167" s="3414"/>
      <c r="B167" s="3422"/>
      <c r="C167" s="3306" t="s">
        <v>872</v>
      </c>
      <c r="D167" s="2942" t="s">
        <v>872</v>
      </c>
      <c r="E167" s="3477"/>
      <c r="F167" s="3478" t="s">
        <v>872</v>
      </c>
      <c r="G167" s="3479"/>
      <c r="H167" s="3480" t="s">
        <v>873</v>
      </c>
      <c r="I167" s="3426" t="s">
        <v>4</v>
      </c>
      <c r="J167" s="3426" t="s">
        <v>1399</v>
      </c>
      <c r="K167" s="1037"/>
      <c r="L167" s="3427" t="e">
        <v>#REF!</v>
      </c>
      <c r="M167" s="3428" t="e">
        <v>#REF!</v>
      </c>
      <c r="N167" s="3428" t="e">
        <v>#REF!</v>
      </c>
      <c r="O167" s="3428" t="e">
        <v>#REF!</v>
      </c>
      <c r="P167" s="3428" t="e">
        <v>#REF!</v>
      </c>
      <c r="Q167" s="3428" t="e">
        <v>#REF!</v>
      </c>
      <c r="R167" s="3428" t="e">
        <v>#REF!</v>
      </c>
      <c r="S167" s="3428" t="e">
        <v>#REF!</v>
      </c>
      <c r="T167" s="3428" t="e">
        <v>#REF!</v>
      </c>
      <c r="U167" s="3428" t="e">
        <v>#REF!</v>
      </c>
      <c r="V167" s="1037"/>
      <c r="W167" s="3428"/>
      <c r="X167" s="3427"/>
      <c r="Y167" s="3427"/>
      <c r="Z167" s="3347"/>
      <c r="AA167" s="3427"/>
      <c r="AB167" s="3426"/>
      <c r="AC167" s="1037"/>
      <c r="AD167" s="3429"/>
      <c r="AE167" s="3427"/>
      <c r="AF167" s="3427"/>
      <c r="AG167" s="3427"/>
      <c r="AH167" s="3430"/>
      <c r="AI167" s="3430">
        <f>+AI168+AI169+AI171</f>
        <v>2970715.0000399998</v>
      </c>
      <c r="AJ167" s="3430" t="s">
        <v>1400</v>
      </c>
      <c r="AK167" s="1037"/>
      <c r="AL167" s="3430">
        <f>+AL168+AL169+AL171</f>
        <v>2970715.0000399998</v>
      </c>
      <c r="AM167" s="3430">
        <f>+AM168+AM169+AM171</f>
        <v>0</v>
      </c>
      <c r="AN167" s="3430">
        <f>+AL167+AM167</f>
        <v>2970715.0000399998</v>
      </c>
      <c r="AO167" s="1037"/>
      <c r="AP167" s="3430">
        <f t="shared" ref="AP167:DA167" si="320">+AP168+AP169+AP171</f>
        <v>0</v>
      </c>
      <c r="AQ167" s="3430">
        <f t="shared" si="320"/>
        <v>0</v>
      </c>
      <c r="AR167" s="3430">
        <f t="shared" si="320"/>
        <v>0</v>
      </c>
      <c r="AS167" s="3430">
        <f t="shared" si="320"/>
        <v>0</v>
      </c>
      <c r="AT167" s="3430">
        <f t="shared" si="320"/>
        <v>0</v>
      </c>
      <c r="AU167" s="3430">
        <f t="shared" si="320"/>
        <v>0</v>
      </c>
      <c r="AV167" s="3430">
        <f t="shared" si="320"/>
        <v>0</v>
      </c>
      <c r="AW167" s="3430">
        <f t="shared" si="320"/>
        <v>0</v>
      </c>
      <c r="AX167" s="3430">
        <f t="shared" si="320"/>
        <v>0</v>
      </c>
      <c r="AY167" s="3430">
        <f t="shared" si="320"/>
        <v>0</v>
      </c>
      <c r="AZ167" s="3430">
        <f t="shared" si="320"/>
        <v>0</v>
      </c>
      <c r="BA167" s="1037">
        <f t="shared" si="320"/>
        <v>0</v>
      </c>
      <c r="BB167" s="3430">
        <f t="shared" si="320"/>
        <v>0</v>
      </c>
      <c r="BC167" s="3430">
        <f t="shared" si="320"/>
        <v>0</v>
      </c>
      <c r="BD167" s="3430">
        <f>+BD168+BD169+BD171</f>
        <v>0</v>
      </c>
      <c r="BE167" s="3430">
        <f t="shared" si="320"/>
        <v>0</v>
      </c>
      <c r="BF167" s="3430">
        <f t="shared" si="320"/>
        <v>2498.5</v>
      </c>
      <c r="BG167" s="3430">
        <f t="shared" si="320"/>
        <v>9997.5</v>
      </c>
      <c r="BH167" s="3430">
        <f t="shared" si="320"/>
        <v>9997.5</v>
      </c>
      <c r="BI167" s="3430">
        <f t="shared" si="320"/>
        <v>9997.5</v>
      </c>
      <c r="BJ167" s="3430">
        <f t="shared" si="320"/>
        <v>4997.5</v>
      </c>
      <c r="BK167" s="3430">
        <f t="shared" si="320"/>
        <v>4997.5833199999997</v>
      </c>
      <c r="BL167" s="3430">
        <f t="shared" si="320"/>
        <v>0</v>
      </c>
      <c r="BM167" s="3430">
        <f t="shared" si="320"/>
        <v>0</v>
      </c>
      <c r="BN167" s="3430">
        <f t="shared" si="320"/>
        <v>42486.083319999998</v>
      </c>
      <c r="BO167" s="3370">
        <f t="shared" si="320"/>
        <v>0</v>
      </c>
      <c r="BP167" s="3430">
        <f t="shared" si="320"/>
        <v>0</v>
      </c>
      <c r="BQ167" s="3430">
        <f t="shared" si="320"/>
        <v>0</v>
      </c>
      <c r="BR167" s="3430">
        <f t="shared" si="320"/>
        <v>0</v>
      </c>
      <c r="BS167" s="3430">
        <f t="shared" si="320"/>
        <v>0</v>
      </c>
      <c r="BT167" s="3430">
        <f t="shared" si="320"/>
        <v>3355.13096</v>
      </c>
      <c r="BU167" s="3430">
        <f t="shared" si="320"/>
        <v>3355.13096</v>
      </c>
      <c r="BV167" s="3430">
        <f t="shared" si="320"/>
        <v>3355.13096</v>
      </c>
      <c r="BW167" s="3430">
        <f t="shared" si="320"/>
        <v>3355.13096</v>
      </c>
      <c r="BX167" s="3430">
        <f t="shared" si="320"/>
        <v>3355.13096</v>
      </c>
      <c r="BY167" s="3430">
        <f t="shared" si="320"/>
        <v>3355.13096</v>
      </c>
      <c r="BZ167" s="3430">
        <f t="shared" si="320"/>
        <v>3355.13096</v>
      </c>
      <c r="CA167" s="3430">
        <f t="shared" si="320"/>
        <v>0</v>
      </c>
      <c r="CB167" s="3430">
        <f>+CB168+CB169+CB171</f>
        <v>23485.916719999997</v>
      </c>
      <c r="CC167" s="3370">
        <f t="shared" si="320"/>
        <v>0</v>
      </c>
      <c r="CD167" s="3430">
        <f t="shared" si="320"/>
        <v>0</v>
      </c>
      <c r="CE167" s="3430">
        <f t="shared" si="320"/>
        <v>290474.3</v>
      </c>
      <c r="CF167" s="3430">
        <f t="shared" si="320"/>
        <v>0</v>
      </c>
      <c r="CG167" s="3430">
        <f t="shared" si="320"/>
        <v>0</v>
      </c>
      <c r="CH167" s="3430">
        <f t="shared" si="320"/>
        <v>0</v>
      </c>
      <c r="CI167" s="3430">
        <f t="shared" si="320"/>
        <v>290474.3</v>
      </c>
      <c r="CJ167" s="3430">
        <f t="shared" si="320"/>
        <v>0</v>
      </c>
      <c r="CK167" s="3430">
        <f t="shared" si="320"/>
        <v>0</v>
      </c>
      <c r="CL167" s="3430">
        <f t="shared" si="320"/>
        <v>0</v>
      </c>
      <c r="CM167" s="3430">
        <f t="shared" si="320"/>
        <v>580948.6</v>
      </c>
      <c r="CN167" s="3430">
        <f t="shared" si="320"/>
        <v>0</v>
      </c>
      <c r="CO167" s="3430">
        <f t="shared" si="320"/>
        <v>0</v>
      </c>
      <c r="CP167" s="3430">
        <f>+CP168+CP169+CP171</f>
        <v>1161897.2</v>
      </c>
      <c r="CQ167" s="3370">
        <f t="shared" si="320"/>
        <v>0</v>
      </c>
      <c r="CR167" s="3430">
        <f t="shared" si="320"/>
        <v>0</v>
      </c>
      <c r="CS167" s="3430">
        <f t="shared" si="320"/>
        <v>580948.6</v>
      </c>
      <c r="CT167" s="3430">
        <f t="shared" si="320"/>
        <v>0</v>
      </c>
      <c r="CU167" s="3430">
        <f t="shared" si="320"/>
        <v>0</v>
      </c>
      <c r="CV167" s="3430">
        <f t="shared" si="320"/>
        <v>0</v>
      </c>
      <c r="CW167" s="3430">
        <f t="shared" si="320"/>
        <v>580948.6</v>
      </c>
      <c r="CX167" s="3430">
        <f t="shared" si="320"/>
        <v>0</v>
      </c>
      <c r="CY167" s="3430">
        <f t="shared" si="320"/>
        <v>0</v>
      </c>
      <c r="CZ167" s="3430">
        <f t="shared" si="320"/>
        <v>0</v>
      </c>
      <c r="DA167" s="3430">
        <f t="shared" si="320"/>
        <v>580948.6</v>
      </c>
      <c r="DB167" s="3430">
        <f t="shared" ref="DB167:DI167" si="321">+DB168+DB169+DB171</f>
        <v>0</v>
      </c>
      <c r="DC167" s="3430">
        <f t="shared" si="321"/>
        <v>0</v>
      </c>
      <c r="DD167" s="3430">
        <f t="shared" si="321"/>
        <v>1742845.7999999998</v>
      </c>
      <c r="DE167" s="3370">
        <f t="shared" si="321"/>
        <v>0</v>
      </c>
      <c r="DF167" s="3430">
        <f t="shared" si="321"/>
        <v>0</v>
      </c>
      <c r="DG167" s="3430">
        <f t="shared" si="321"/>
        <v>0</v>
      </c>
      <c r="DH167" s="3430">
        <f t="shared" si="321"/>
        <v>0</v>
      </c>
      <c r="DI167" s="3481">
        <f t="shared" si="321"/>
        <v>0</v>
      </c>
      <c r="DJ167" s="3432">
        <f t="shared" ref="DJ167:DJ178" si="322">+AZ167+BN167+CB167+CP167+DD167+DI167</f>
        <v>2970715.0000399998</v>
      </c>
      <c r="DK167" s="3414"/>
      <c r="DL167" s="3297">
        <f t="shared" si="281"/>
        <v>0</v>
      </c>
      <c r="DM167" s="3414"/>
      <c r="DN167" s="2725" t="s">
        <v>1175</v>
      </c>
      <c r="DO167" s="2726" t="s">
        <v>1175</v>
      </c>
      <c r="DP167" s="2726"/>
      <c r="DQ167" s="2726" t="s">
        <v>1175</v>
      </c>
      <c r="DR167" s="2726" t="str">
        <f t="shared" ref="DR167:DR213" si="323">MID(D167,1,1)</f>
        <v>1</v>
      </c>
      <c r="DS167" s="1037"/>
      <c r="DT167" s="1037"/>
      <c r="DU167" s="3414"/>
      <c r="DV167" s="3414"/>
      <c r="DW167" s="3414"/>
      <c r="DX167" s="3414"/>
      <c r="DY167" s="3414"/>
      <c r="DZ167" s="3414"/>
    </row>
    <row r="168" spans="1:130" s="2050" customFormat="1" ht="90" hidden="1" outlineLevel="4" collapsed="1">
      <c r="A168" s="879"/>
      <c r="B168" s="2860"/>
      <c r="C168" s="3309"/>
      <c r="D168" s="3310" t="s">
        <v>874</v>
      </c>
      <c r="E168" s="588"/>
      <c r="F168" s="3325" t="s">
        <v>874</v>
      </c>
      <c r="G168" s="2838"/>
      <c r="H168" s="3332" t="s">
        <v>875</v>
      </c>
      <c r="I168" s="3319"/>
      <c r="J168" s="103"/>
      <c r="K168" s="1037"/>
      <c r="L168" s="364"/>
      <c r="M168" s="364"/>
      <c r="N168" s="3345"/>
      <c r="O168" s="3345"/>
      <c r="P168" s="3345"/>
      <c r="Q168" s="3345"/>
      <c r="R168" s="3345"/>
      <c r="S168" s="3345"/>
      <c r="T168" s="3345"/>
      <c r="U168" s="3345"/>
      <c r="V168" s="1037"/>
      <c r="W168" s="853" t="s">
        <v>876</v>
      </c>
      <c r="X168" s="853"/>
      <c r="Y168" s="853"/>
      <c r="Z168" s="853"/>
      <c r="AA168" s="853"/>
      <c r="AB168" s="436" t="s">
        <v>1401</v>
      </c>
      <c r="AC168" s="1037"/>
      <c r="AD168" s="711"/>
      <c r="AE168" s="712"/>
      <c r="AF168" s="179"/>
      <c r="AG168" s="179"/>
      <c r="AH168" s="725"/>
      <c r="AI168" s="725">
        <f>+AH168+AE168</f>
        <v>0</v>
      </c>
      <c r="AJ168" s="1928" t="s">
        <v>1402</v>
      </c>
      <c r="AK168" s="1037"/>
      <c r="AL168" s="725">
        <f>+AI168</f>
        <v>0</v>
      </c>
      <c r="AM168" s="725"/>
      <c r="AN168" s="485">
        <f t="shared" ref="AN168:AN174" si="324">AL168+AM168</f>
        <v>0</v>
      </c>
      <c r="AO168" s="1037"/>
      <c r="AP168" s="983"/>
      <c r="AQ168" s="983"/>
      <c r="AR168" s="983"/>
      <c r="AS168" s="983"/>
      <c r="AT168" s="983"/>
      <c r="AU168" s="983"/>
      <c r="AV168" s="983"/>
      <c r="AW168" s="983"/>
      <c r="AX168" s="983"/>
      <c r="AY168" s="983"/>
      <c r="AZ168" s="2018">
        <f t="shared" ref="AZ168:AZ213" si="325">SUM(AP168:AY168)</f>
        <v>0</v>
      </c>
      <c r="BA168" s="1037"/>
      <c r="BB168" s="983"/>
      <c r="BC168" s="983"/>
      <c r="BD168" s="983"/>
      <c r="BE168" s="983"/>
      <c r="BF168" s="983"/>
      <c r="BG168" s="983"/>
      <c r="BH168" s="983"/>
      <c r="BI168" s="983"/>
      <c r="BJ168" s="983"/>
      <c r="BK168" s="983"/>
      <c r="BL168" s="983"/>
      <c r="BM168" s="983"/>
      <c r="BN168" s="2018">
        <f t="shared" ref="BN168:BN213" si="326">SUM(BB168:BM168)</f>
        <v>0</v>
      </c>
      <c r="BO168" s="1037"/>
      <c r="BP168" s="983"/>
      <c r="BQ168" s="983"/>
      <c r="BR168" s="983"/>
      <c r="BS168" s="983"/>
      <c r="BT168" s="983"/>
      <c r="BU168" s="983"/>
      <c r="BV168" s="983"/>
      <c r="BW168" s="983"/>
      <c r="BX168" s="983"/>
      <c r="BY168" s="983"/>
      <c r="BZ168" s="983"/>
      <c r="CA168" s="983"/>
      <c r="CB168" s="2018">
        <f t="shared" ref="CB168:CB213" si="327">SUM(BP168:CA168)</f>
        <v>0</v>
      </c>
      <c r="CC168" s="1037"/>
      <c r="CD168" s="983"/>
      <c r="CE168" s="983"/>
      <c r="CF168" s="983"/>
      <c r="CG168" s="983"/>
      <c r="CH168" s="983"/>
      <c r="CI168" s="983"/>
      <c r="CJ168" s="983"/>
      <c r="CK168" s="983"/>
      <c r="CL168" s="983"/>
      <c r="CM168" s="983"/>
      <c r="CN168" s="983"/>
      <c r="CO168" s="983"/>
      <c r="CP168" s="2034">
        <f t="shared" ref="CP168:CP212" si="328">SUM(CD168:CO168)</f>
        <v>0</v>
      </c>
      <c r="CQ168" s="1037"/>
      <c r="CR168" s="983"/>
      <c r="CS168" s="983"/>
      <c r="CT168" s="983"/>
      <c r="CU168" s="983"/>
      <c r="CV168" s="983"/>
      <c r="CW168" s="983"/>
      <c r="CX168" s="983"/>
      <c r="CY168" s="983"/>
      <c r="CZ168" s="983"/>
      <c r="DA168" s="983"/>
      <c r="DB168" s="983"/>
      <c r="DC168" s="983"/>
      <c r="DD168" s="2012">
        <f t="shared" ref="DD168:DD213" si="329">SUM(CR168:DC168)</f>
        <v>0</v>
      </c>
      <c r="DE168" s="1037"/>
      <c r="DF168" s="983"/>
      <c r="DG168" s="983"/>
      <c r="DH168" s="983"/>
      <c r="DI168" s="2012">
        <f t="shared" ref="DI168:DI213" si="330">SUM(DF168:DH168)</f>
        <v>0</v>
      </c>
      <c r="DJ168" s="3133">
        <f t="shared" si="322"/>
        <v>0</v>
      </c>
      <c r="DK168" s="879"/>
      <c r="DL168" s="3297">
        <f t="shared" si="281"/>
        <v>0</v>
      </c>
      <c r="DM168" s="879"/>
      <c r="DN168" s="2755" t="s">
        <v>1175</v>
      </c>
      <c r="DO168" s="2756" t="s">
        <v>1175</v>
      </c>
      <c r="DP168" s="2756"/>
      <c r="DQ168" s="2756" t="s">
        <v>1175</v>
      </c>
      <c r="DR168" s="2756" t="str">
        <f t="shared" si="323"/>
        <v>1</v>
      </c>
      <c r="DS168" s="1037"/>
      <c r="DT168" s="1037"/>
      <c r="DU168" s="879"/>
      <c r="DV168" s="879"/>
      <c r="DW168" s="879"/>
      <c r="DX168" s="879"/>
      <c r="DY168" s="879"/>
      <c r="DZ168" s="879"/>
    </row>
    <row r="169" spans="1:130" s="879" customFormat="1" ht="15" hidden="1" outlineLevel="3" collapsed="1">
      <c r="B169" s="3422"/>
      <c r="C169" s="3306"/>
      <c r="D169" s="2942" t="s">
        <v>877</v>
      </c>
      <c r="E169" s="3477"/>
      <c r="F169" s="3423" t="s">
        <v>877</v>
      </c>
      <c r="G169" s="3479"/>
      <c r="H169" s="3430" t="s">
        <v>878</v>
      </c>
      <c r="I169" s="3319"/>
      <c r="J169" s="103"/>
      <c r="K169" s="1037"/>
      <c r="L169" s="364"/>
      <c r="M169" s="364"/>
      <c r="N169" s="3345"/>
      <c r="O169" s="3345"/>
      <c r="P169" s="3345"/>
      <c r="Q169" s="3345"/>
      <c r="R169" s="3345"/>
      <c r="S169" s="3345"/>
      <c r="T169" s="3345"/>
      <c r="U169" s="3345"/>
      <c r="V169" s="1037"/>
      <c r="W169" s="853"/>
      <c r="X169" s="853"/>
      <c r="Y169" s="853"/>
      <c r="Z169" s="853"/>
      <c r="AA169" s="853"/>
      <c r="AB169" s="436"/>
      <c r="AC169" s="1037"/>
      <c r="AD169" s="711"/>
      <c r="AE169" s="712"/>
      <c r="AF169" s="179"/>
      <c r="AG169" s="179"/>
      <c r="AH169" s="725"/>
      <c r="AI169" s="725">
        <f>SUM(AI170)</f>
        <v>15000</v>
      </c>
      <c r="AJ169" s="1928"/>
      <c r="AK169" s="1037"/>
      <c r="AL169" s="725">
        <f>+AI169</f>
        <v>15000</v>
      </c>
      <c r="AM169" s="725">
        <f>+AJ169</f>
        <v>0</v>
      </c>
      <c r="AN169" s="485">
        <f t="shared" si="324"/>
        <v>15000</v>
      </c>
      <c r="AO169" s="1037"/>
      <c r="AP169" s="986">
        <f t="shared" ref="AP169:AY169" si="331">SUM(AP170)</f>
        <v>0</v>
      </c>
      <c r="AQ169" s="986">
        <f t="shared" si="331"/>
        <v>0</v>
      </c>
      <c r="AR169" s="986">
        <f t="shared" si="331"/>
        <v>0</v>
      </c>
      <c r="AS169" s="986">
        <f t="shared" si="331"/>
        <v>0</v>
      </c>
      <c r="AT169" s="986">
        <f t="shared" si="331"/>
        <v>0</v>
      </c>
      <c r="AU169" s="986">
        <f t="shared" si="331"/>
        <v>0</v>
      </c>
      <c r="AV169" s="986">
        <f t="shared" si="331"/>
        <v>0</v>
      </c>
      <c r="AW169" s="986">
        <f t="shared" si="331"/>
        <v>0</v>
      </c>
      <c r="AX169" s="986">
        <f t="shared" si="331"/>
        <v>0</v>
      </c>
      <c r="AY169" s="986">
        <f t="shared" si="331"/>
        <v>0</v>
      </c>
      <c r="AZ169" s="2011">
        <f t="shared" si="325"/>
        <v>0</v>
      </c>
      <c r="BA169" s="1037"/>
      <c r="BB169" s="986">
        <f t="shared" ref="BB169:BM169" si="332">SUM(BB170)</f>
        <v>0</v>
      </c>
      <c r="BC169" s="986">
        <f t="shared" si="332"/>
        <v>0</v>
      </c>
      <c r="BD169" s="986">
        <f t="shared" si="332"/>
        <v>0</v>
      </c>
      <c r="BE169" s="986">
        <f t="shared" si="332"/>
        <v>0</v>
      </c>
      <c r="BF169" s="986">
        <f t="shared" si="332"/>
        <v>0</v>
      </c>
      <c r="BG169" s="986">
        <f t="shared" si="332"/>
        <v>5000</v>
      </c>
      <c r="BH169" s="986">
        <f t="shared" si="332"/>
        <v>5000</v>
      </c>
      <c r="BI169" s="986">
        <f t="shared" si="332"/>
        <v>5000</v>
      </c>
      <c r="BJ169" s="986">
        <f t="shared" si="332"/>
        <v>0</v>
      </c>
      <c r="BK169" s="986">
        <f t="shared" si="332"/>
        <v>0</v>
      </c>
      <c r="BL169" s="986">
        <f t="shared" si="332"/>
        <v>0</v>
      </c>
      <c r="BM169" s="986">
        <f t="shared" si="332"/>
        <v>0</v>
      </c>
      <c r="BN169" s="2011">
        <f t="shared" si="326"/>
        <v>15000</v>
      </c>
      <c r="BO169" s="1037"/>
      <c r="BP169" s="986">
        <f t="shared" ref="BP169:CA169" si="333">SUM(BP170)</f>
        <v>0</v>
      </c>
      <c r="BQ169" s="986">
        <f t="shared" si="333"/>
        <v>0</v>
      </c>
      <c r="BR169" s="986">
        <f t="shared" si="333"/>
        <v>0</v>
      </c>
      <c r="BS169" s="986">
        <f t="shared" si="333"/>
        <v>0</v>
      </c>
      <c r="BT169" s="986">
        <f t="shared" si="333"/>
        <v>0</v>
      </c>
      <c r="BU169" s="986">
        <f t="shared" si="333"/>
        <v>0</v>
      </c>
      <c r="BV169" s="986">
        <f t="shared" si="333"/>
        <v>0</v>
      </c>
      <c r="BW169" s="986">
        <f t="shared" si="333"/>
        <v>0</v>
      </c>
      <c r="BX169" s="986">
        <f t="shared" si="333"/>
        <v>0</v>
      </c>
      <c r="BY169" s="986">
        <f t="shared" si="333"/>
        <v>0</v>
      </c>
      <c r="BZ169" s="986">
        <f t="shared" si="333"/>
        <v>0</v>
      </c>
      <c r="CA169" s="986">
        <f t="shared" si="333"/>
        <v>0</v>
      </c>
      <c r="CB169" s="2011">
        <f t="shared" si="327"/>
        <v>0</v>
      </c>
      <c r="CC169" s="1037"/>
      <c r="CD169" s="986">
        <f t="shared" ref="CD169:CO169" si="334">SUM(CD170)</f>
        <v>0</v>
      </c>
      <c r="CE169" s="986">
        <f t="shared" si="334"/>
        <v>0</v>
      </c>
      <c r="CF169" s="986">
        <f t="shared" si="334"/>
        <v>0</v>
      </c>
      <c r="CG169" s="986">
        <f t="shared" si="334"/>
        <v>0</v>
      </c>
      <c r="CH169" s="986">
        <f t="shared" si="334"/>
        <v>0</v>
      </c>
      <c r="CI169" s="986">
        <f t="shared" si="334"/>
        <v>0</v>
      </c>
      <c r="CJ169" s="986">
        <f t="shared" si="334"/>
        <v>0</v>
      </c>
      <c r="CK169" s="986">
        <f t="shared" si="334"/>
        <v>0</v>
      </c>
      <c r="CL169" s="986">
        <f t="shared" si="334"/>
        <v>0</v>
      </c>
      <c r="CM169" s="986">
        <f t="shared" si="334"/>
        <v>0</v>
      </c>
      <c r="CN169" s="986">
        <f t="shared" si="334"/>
        <v>0</v>
      </c>
      <c r="CO169" s="986">
        <f t="shared" si="334"/>
        <v>0</v>
      </c>
      <c r="CP169" s="2011">
        <f t="shared" si="328"/>
        <v>0</v>
      </c>
      <c r="CQ169" s="1037"/>
      <c r="CR169" s="986">
        <f t="shared" ref="CR169:DC169" si="335">SUM(CR170)</f>
        <v>0</v>
      </c>
      <c r="CS169" s="986">
        <f t="shared" si="335"/>
        <v>0</v>
      </c>
      <c r="CT169" s="986">
        <f t="shared" si="335"/>
        <v>0</v>
      </c>
      <c r="CU169" s="986">
        <f t="shared" si="335"/>
        <v>0</v>
      </c>
      <c r="CV169" s="986">
        <f t="shared" si="335"/>
        <v>0</v>
      </c>
      <c r="CW169" s="986">
        <f t="shared" si="335"/>
        <v>0</v>
      </c>
      <c r="CX169" s="986">
        <f t="shared" si="335"/>
        <v>0</v>
      </c>
      <c r="CY169" s="986">
        <f t="shared" si="335"/>
        <v>0</v>
      </c>
      <c r="CZ169" s="986">
        <f t="shared" si="335"/>
        <v>0</v>
      </c>
      <c r="DA169" s="986">
        <f t="shared" si="335"/>
        <v>0</v>
      </c>
      <c r="DB169" s="986">
        <f t="shared" si="335"/>
        <v>0</v>
      </c>
      <c r="DC169" s="986">
        <f t="shared" si="335"/>
        <v>0</v>
      </c>
      <c r="DD169" s="2011">
        <f t="shared" si="329"/>
        <v>0</v>
      </c>
      <c r="DE169" s="1037"/>
      <c r="DF169" s="986">
        <f>SUM(DF170)</f>
        <v>0</v>
      </c>
      <c r="DG169" s="986">
        <f>SUM(DG170)</f>
        <v>0</v>
      </c>
      <c r="DH169" s="986">
        <f>SUM(DH170)</f>
        <v>0</v>
      </c>
      <c r="DI169" s="2008">
        <f t="shared" si="330"/>
        <v>0</v>
      </c>
      <c r="DJ169" s="3121">
        <f t="shared" si="322"/>
        <v>15000</v>
      </c>
      <c r="DK169" s="108"/>
      <c r="DL169" s="3297">
        <f t="shared" si="281"/>
        <v>0</v>
      </c>
      <c r="DN169" s="2743" t="s">
        <v>1175</v>
      </c>
      <c r="DO169" s="2744" t="s">
        <v>1175</v>
      </c>
      <c r="DP169" s="2744"/>
      <c r="DQ169" s="2744" t="s">
        <v>1175</v>
      </c>
      <c r="DR169" s="2744" t="str">
        <f t="shared" si="323"/>
        <v>1</v>
      </c>
      <c r="DS169" s="1037"/>
      <c r="DT169" s="1037"/>
    </row>
    <row r="170" spans="1:130" s="879" customFormat="1" ht="60" hidden="1" outlineLevel="4">
      <c r="B170" s="2853"/>
      <c r="C170" s="3309" t="s">
        <v>877</v>
      </c>
      <c r="D170" s="3310" t="s">
        <v>879</v>
      </c>
      <c r="E170" s="588"/>
      <c r="F170" s="3310" t="s">
        <v>879</v>
      </c>
      <c r="G170" s="2838" t="s">
        <v>1279</v>
      </c>
      <c r="H170" s="3327" t="s">
        <v>880</v>
      </c>
      <c r="I170" s="3312"/>
      <c r="J170" s="103"/>
      <c r="K170" s="1037"/>
      <c r="L170" s="364"/>
      <c r="M170" s="364"/>
      <c r="N170" s="3329"/>
      <c r="O170" s="3329"/>
      <c r="P170" s="3329"/>
      <c r="Q170" s="3329"/>
      <c r="R170" s="3329"/>
      <c r="S170" s="3329"/>
      <c r="T170" s="3329"/>
      <c r="U170" s="3329"/>
      <c r="V170" s="1037"/>
      <c r="W170" s="1207" t="s">
        <v>763</v>
      </c>
      <c r="X170" s="1207" t="s">
        <v>1075</v>
      </c>
      <c r="Y170" s="1207" t="s">
        <v>1187</v>
      </c>
      <c r="Z170" s="1207">
        <v>27</v>
      </c>
      <c r="AA170" s="1207" t="s">
        <v>1403</v>
      </c>
      <c r="AB170" s="1481"/>
      <c r="AC170" s="1037"/>
      <c r="AD170" s="759" t="s">
        <v>1189</v>
      </c>
      <c r="AE170" s="763">
        <f>1*3</f>
        <v>3</v>
      </c>
      <c r="AF170" s="531"/>
      <c r="AG170" s="531"/>
      <c r="AH170" s="1933">
        <v>5000</v>
      </c>
      <c r="AI170" s="1933">
        <f>+AH170*AE170</f>
        <v>15000</v>
      </c>
      <c r="AJ170" s="2869"/>
      <c r="AK170" s="1037"/>
      <c r="AL170" s="1933">
        <f>AI170</f>
        <v>15000</v>
      </c>
      <c r="AM170" s="1933">
        <f>AJ170</f>
        <v>0</v>
      </c>
      <c r="AN170" s="485">
        <f t="shared" si="324"/>
        <v>15000</v>
      </c>
      <c r="AO170" s="1037"/>
      <c r="AP170" s="1194"/>
      <c r="AQ170" s="1194"/>
      <c r="AR170" s="1194"/>
      <c r="AS170" s="1194"/>
      <c r="AT170" s="1194"/>
      <c r="AU170" s="1194"/>
      <c r="AV170" s="1194"/>
      <c r="AW170" s="1194"/>
      <c r="AX170" s="1194"/>
      <c r="AY170" s="1194"/>
      <c r="AZ170" s="2027">
        <f t="shared" si="325"/>
        <v>0</v>
      </c>
      <c r="BA170" s="1037"/>
      <c r="BB170" s="1194"/>
      <c r="BC170" s="1194"/>
      <c r="BD170" s="1194"/>
      <c r="BE170" s="1194"/>
      <c r="BF170" s="1194"/>
      <c r="BG170" s="1194">
        <f>+$AH170</f>
        <v>5000</v>
      </c>
      <c r="BH170" s="1194">
        <f>+$AH170</f>
        <v>5000</v>
      </c>
      <c r="BI170" s="1194">
        <v>5000</v>
      </c>
      <c r="BJ170" s="1194"/>
      <c r="BK170" s="1194"/>
      <c r="BL170" s="1194"/>
      <c r="BM170" s="1194"/>
      <c r="BN170" s="2027">
        <f t="shared" si="326"/>
        <v>15000</v>
      </c>
      <c r="BO170" s="1037"/>
      <c r="BP170" s="1194"/>
      <c r="BQ170" s="1194"/>
      <c r="BR170" s="1194"/>
      <c r="BS170" s="1194"/>
      <c r="BT170" s="1194"/>
      <c r="BU170" s="1194"/>
      <c r="BV170" s="1194"/>
      <c r="BW170" s="1194"/>
      <c r="BX170" s="1194"/>
      <c r="BY170" s="1194"/>
      <c r="BZ170" s="1194"/>
      <c r="CA170" s="1194"/>
      <c r="CB170" s="2027">
        <f t="shared" si="327"/>
        <v>0</v>
      </c>
      <c r="CC170" s="1037"/>
      <c r="CD170" s="1194"/>
      <c r="CE170" s="1194"/>
      <c r="CF170" s="1194"/>
      <c r="CG170" s="1194"/>
      <c r="CH170" s="1194"/>
      <c r="CI170" s="1194"/>
      <c r="CJ170" s="1194"/>
      <c r="CK170" s="1194"/>
      <c r="CL170" s="1194"/>
      <c r="CM170" s="1194"/>
      <c r="CN170" s="1194"/>
      <c r="CO170" s="1194"/>
      <c r="CP170" s="2033">
        <f t="shared" si="328"/>
        <v>0</v>
      </c>
      <c r="CQ170" s="1037"/>
      <c r="CR170" s="1194"/>
      <c r="CS170" s="1194"/>
      <c r="CT170" s="1194"/>
      <c r="CU170" s="1194"/>
      <c r="CV170" s="1194"/>
      <c r="CW170" s="1194"/>
      <c r="CX170" s="1194"/>
      <c r="CY170" s="1194"/>
      <c r="CZ170" s="1194"/>
      <c r="DA170" s="1194"/>
      <c r="DB170" s="1194"/>
      <c r="DC170" s="1194"/>
      <c r="DD170" s="2073">
        <f t="shared" si="329"/>
        <v>0</v>
      </c>
      <c r="DE170" s="1037"/>
      <c r="DF170" s="1194"/>
      <c r="DG170" s="1194"/>
      <c r="DH170" s="1194"/>
      <c r="DI170" s="2073">
        <f t="shared" si="330"/>
        <v>0</v>
      </c>
      <c r="DJ170" s="3131">
        <f t="shared" si="322"/>
        <v>15000</v>
      </c>
      <c r="DK170" s="108"/>
      <c r="DL170" s="3297">
        <f t="shared" si="281"/>
        <v>0</v>
      </c>
      <c r="DN170" s="2750" t="s">
        <v>1180</v>
      </c>
      <c r="DO170" s="2736" t="s">
        <v>1181</v>
      </c>
      <c r="DP170" s="2736" t="s">
        <v>1117</v>
      </c>
      <c r="DQ170" s="2736" t="s">
        <v>4</v>
      </c>
      <c r="DR170" s="2736" t="str">
        <f t="shared" si="323"/>
        <v>1</v>
      </c>
      <c r="DS170" s="1037"/>
      <c r="DT170" s="1037"/>
    </row>
    <row r="171" spans="1:130" s="879" customFormat="1" ht="30" hidden="1" outlineLevel="3" collapsed="1">
      <c r="A171" s="3414"/>
      <c r="B171" s="3422"/>
      <c r="C171" s="3306"/>
      <c r="D171" s="2942" t="s">
        <v>881</v>
      </c>
      <c r="E171" s="3477"/>
      <c r="F171" s="3307" t="s">
        <v>881</v>
      </c>
      <c r="G171" s="3479" t="s">
        <v>1279</v>
      </c>
      <c r="H171" s="3308" t="s">
        <v>844</v>
      </c>
      <c r="I171" s="3426"/>
      <c r="J171" s="3426"/>
      <c r="K171" s="1037"/>
      <c r="L171" s="3427"/>
      <c r="M171" s="3428"/>
      <c r="N171" s="3428"/>
      <c r="O171" s="3428"/>
      <c r="P171" s="3428"/>
      <c r="Q171" s="3428"/>
      <c r="R171" s="3428"/>
      <c r="S171" s="3428"/>
      <c r="T171" s="3428"/>
      <c r="U171" s="3428"/>
      <c r="V171" s="1037"/>
      <c r="W171" s="3427"/>
      <c r="X171" s="3427"/>
      <c r="Y171" s="3427"/>
      <c r="Z171" s="3347"/>
      <c r="AA171" s="3427"/>
      <c r="AB171" s="3430"/>
      <c r="AC171" s="1037"/>
      <c r="AD171" s="3429"/>
      <c r="AE171" s="3427"/>
      <c r="AF171" s="3427"/>
      <c r="AG171" s="3427"/>
      <c r="AH171" s="3430"/>
      <c r="AI171" s="3430">
        <f>SUM(AI172:AI174)</f>
        <v>2955715.0000399998</v>
      </c>
      <c r="AJ171" s="3430"/>
      <c r="AK171" s="1037"/>
      <c r="AL171" s="3430">
        <f>SUM(AL172:AL174)</f>
        <v>2955715.0000399998</v>
      </c>
      <c r="AM171" s="3430">
        <f>SUM(AM172:AM174)</f>
        <v>0</v>
      </c>
      <c r="AN171" s="3430">
        <f t="shared" si="324"/>
        <v>2955715.0000399998</v>
      </c>
      <c r="AO171" s="1037"/>
      <c r="AP171" s="3431">
        <f t="shared" ref="AP171:AY171" si="336">SUM(AP172:AP174)</f>
        <v>0</v>
      </c>
      <c r="AQ171" s="3431">
        <f t="shared" si="336"/>
        <v>0</v>
      </c>
      <c r="AR171" s="3431">
        <f t="shared" si="336"/>
        <v>0</v>
      </c>
      <c r="AS171" s="3431">
        <f t="shared" si="336"/>
        <v>0</v>
      </c>
      <c r="AT171" s="3431">
        <f t="shared" si="336"/>
        <v>0</v>
      </c>
      <c r="AU171" s="3431">
        <f t="shared" si="336"/>
        <v>0</v>
      </c>
      <c r="AV171" s="3431">
        <f t="shared" si="336"/>
        <v>0</v>
      </c>
      <c r="AW171" s="3431">
        <f t="shared" si="336"/>
        <v>0</v>
      </c>
      <c r="AX171" s="3431">
        <f t="shared" si="336"/>
        <v>0</v>
      </c>
      <c r="AY171" s="3431">
        <f t="shared" si="336"/>
        <v>0</v>
      </c>
      <c r="AZ171" s="3431">
        <f t="shared" si="325"/>
        <v>0</v>
      </c>
      <c r="BA171" s="1037"/>
      <c r="BB171" s="3431">
        <f t="shared" ref="BB171:BM171" si="337">SUM(BB172:BB174)</f>
        <v>0</v>
      </c>
      <c r="BC171" s="3431">
        <f t="shared" si="337"/>
        <v>0</v>
      </c>
      <c r="BD171" s="3431">
        <f t="shared" si="337"/>
        <v>0</v>
      </c>
      <c r="BE171" s="3431">
        <f t="shared" si="337"/>
        <v>0</v>
      </c>
      <c r="BF171" s="3431">
        <f t="shared" si="337"/>
        <v>2498.5</v>
      </c>
      <c r="BG171" s="3431">
        <f t="shared" si="337"/>
        <v>4997.5</v>
      </c>
      <c r="BH171" s="3431">
        <f t="shared" si="337"/>
        <v>4997.5</v>
      </c>
      <c r="BI171" s="3431">
        <f t="shared" si="337"/>
        <v>4997.5</v>
      </c>
      <c r="BJ171" s="3431">
        <f t="shared" si="337"/>
        <v>4997.5</v>
      </c>
      <c r="BK171" s="3431">
        <f t="shared" si="337"/>
        <v>4997.5833199999997</v>
      </c>
      <c r="BL171" s="3431">
        <f t="shared" si="337"/>
        <v>0</v>
      </c>
      <c r="BM171" s="3431">
        <f t="shared" si="337"/>
        <v>0</v>
      </c>
      <c r="BN171" s="3431">
        <f t="shared" si="326"/>
        <v>27486.083319999998</v>
      </c>
      <c r="BO171" s="1037"/>
      <c r="BP171" s="3431">
        <f>SUM(BP172:BP174)</f>
        <v>0</v>
      </c>
      <c r="BQ171" s="3431">
        <f t="shared" ref="BQ171:CA171" si="338">SUM(BQ172:BQ174)</f>
        <v>0</v>
      </c>
      <c r="BR171" s="3431">
        <f t="shared" si="338"/>
        <v>0</v>
      </c>
      <c r="BS171" s="3431">
        <f t="shared" si="338"/>
        <v>0</v>
      </c>
      <c r="BT171" s="3452">
        <f t="shared" si="338"/>
        <v>3355.13096</v>
      </c>
      <c r="BU171" s="3452">
        <f t="shared" si="338"/>
        <v>3355.13096</v>
      </c>
      <c r="BV171" s="3452">
        <f t="shared" si="338"/>
        <v>3355.13096</v>
      </c>
      <c r="BW171" s="3452">
        <f t="shared" si="338"/>
        <v>3355.13096</v>
      </c>
      <c r="BX171" s="3452">
        <f t="shared" si="338"/>
        <v>3355.13096</v>
      </c>
      <c r="BY171" s="3452">
        <f t="shared" si="338"/>
        <v>3355.13096</v>
      </c>
      <c r="BZ171" s="3452">
        <f t="shared" si="338"/>
        <v>3355.13096</v>
      </c>
      <c r="CA171" s="3452">
        <f t="shared" si="338"/>
        <v>0</v>
      </c>
      <c r="CB171" s="3452">
        <f>SUM(BP171:CA171)</f>
        <v>23485.916719999997</v>
      </c>
      <c r="CC171" s="1037"/>
      <c r="CD171" s="3452">
        <f t="shared" ref="CD171:CO171" si="339">SUM(CD172:CD174)</f>
        <v>0</v>
      </c>
      <c r="CE171" s="3452">
        <f t="shared" si="339"/>
        <v>290474.3</v>
      </c>
      <c r="CF171" s="3452">
        <f t="shared" si="339"/>
        <v>0</v>
      </c>
      <c r="CG171" s="3452">
        <f t="shared" si="339"/>
        <v>0</v>
      </c>
      <c r="CH171" s="3452">
        <f>SUM(CH172:CH174)</f>
        <v>0</v>
      </c>
      <c r="CI171" s="3452">
        <f>SUM(CI172:CI174)</f>
        <v>290474.3</v>
      </c>
      <c r="CJ171" s="3452">
        <f t="shared" si="339"/>
        <v>0</v>
      </c>
      <c r="CK171" s="3452">
        <f t="shared" si="339"/>
        <v>0</v>
      </c>
      <c r="CL171" s="3452">
        <f t="shared" si="339"/>
        <v>0</v>
      </c>
      <c r="CM171" s="3452">
        <f t="shared" si="339"/>
        <v>580948.6</v>
      </c>
      <c r="CN171" s="3452">
        <f t="shared" si="339"/>
        <v>0</v>
      </c>
      <c r="CO171" s="3452">
        <f t="shared" si="339"/>
        <v>0</v>
      </c>
      <c r="CP171" s="3452">
        <f>SUM(CD171:CO171)</f>
        <v>1161897.2</v>
      </c>
      <c r="CQ171" s="1037"/>
      <c r="CR171" s="3431">
        <f t="shared" ref="CR171:DC171" si="340">SUM(CR172:CR174)</f>
        <v>0</v>
      </c>
      <c r="CS171" s="3431">
        <f t="shared" si="340"/>
        <v>580948.6</v>
      </c>
      <c r="CT171" s="3431">
        <f t="shared" si="340"/>
        <v>0</v>
      </c>
      <c r="CU171" s="3431">
        <f t="shared" si="340"/>
        <v>0</v>
      </c>
      <c r="CV171" s="3431">
        <f t="shared" si="340"/>
        <v>0</v>
      </c>
      <c r="CW171" s="3431">
        <f>SUM(CW172:CW174)</f>
        <v>580948.6</v>
      </c>
      <c r="CX171" s="3431">
        <f t="shared" si="340"/>
        <v>0</v>
      </c>
      <c r="CY171" s="3431">
        <f t="shared" si="340"/>
        <v>0</v>
      </c>
      <c r="CZ171" s="3431">
        <f t="shared" si="340"/>
        <v>0</v>
      </c>
      <c r="DA171" s="3431">
        <f t="shared" si="340"/>
        <v>580948.6</v>
      </c>
      <c r="DB171" s="3431">
        <f t="shared" si="340"/>
        <v>0</v>
      </c>
      <c r="DC171" s="3431">
        <f t="shared" si="340"/>
        <v>0</v>
      </c>
      <c r="DD171" s="3431">
        <f t="shared" si="329"/>
        <v>1742845.7999999998</v>
      </c>
      <c r="DE171" s="1037"/>
      <c r="DF171" s="3431">
        <f>SUM(DF172:DF174)</f>
        <v>0</v>
      </c>
      <c r="DG171" s="3431">
        <f>SUM(DG172:DG174)</f>
        <v>0</v>
      </c>
      <c r="DH171" s="3431">
        <f>SUM(DH172:DH174)</f>
        <v>0</v>
      </c>
      <c r="DI171" s="3431">
        <f t="shared" si="330"/>
        <v>0</v>
      </c>
      <c r="DJ171" s="3432">
        <f t="shared" si="322"/>
        <v>2955715.0000399998</v>
      </c>
      <c r="DK171" s="3414"/>
      <c r="DL171" s="3482">
        <f t="shared" si="281"/>
        <v>0</v>
      </c>
      <c r="DM171" s="3414"/>
      <c r="DN171" s="2725" t="s">
        <v>1175</v>
      </c>
      <c r="DO171" s="2726" t="s">
        <v>1175</v>
      </c>
      <c r="DP171" s="2726"/>
      <c r="DQ171" s="2726" t="s">
        <v>1175</v>
      </c>
      <c r="DR171" s="2726" t="str">
        <f t="shared" si="323"/>
        <v>1</v>
      </c>
      <c r="DS171" s="1037"/>
      <c r="DT171" s="1037"/>
      <c r="DU171" s="3414"/>
      <c r="DV171" s="3414"/>
      <c r="DW171" s="3414"/>
      <c r="DX171" s="3414"/>
      <c r="DY171" s="3414"/>
      <c r="DZ171" s="3414"/>
    </row>
    <row r="172" spans="1:130" s="879" customFormat="1" ht="45" hidden="1" outlineLevel="4" collapsed="1">
      <c r="B172" s="2853"/>
      <c r="C172" s="3309" t="s">
        <v>881</v>
      </c>
      <c r="D172" s="3310" t="s">
        <v>882</v>
      </c>
      <c r="E172" s="588"/>
      <c r="F172" s="2969" t="s">
        <v>882</v>
      </c>
      <c r="G172" s="2838" t="s">
        <v>1279</v>
      </c>
      <c r="H172" s="2929" t="s">
        <v>846</v>
      </c>
      <c r="I172" s="3312"/>
      <c r="J172" s="103"/>
      <c r="K172" s="1037"/>
      <c r="L172" s="364"/>
      <c r="M172" s="364"/>
      <c r="N172" s="3329"/>
      <c r="O172" s="3329"/>
      <c r="P172" s="3329"/>
      <c r="Q172" s="3329"/>
      <c r="R172" s="3329"/>
      <c r="S172" s="3329"/>
      <c r="T172" s="3329"/>
      <c r="U172" s="3329"/>
      <c r="V172" s="1037"/>
      <c r="W172" s="1207" t="s">
        <v>763</v>
      </c>
      <c r="X172" s="1207" t="s">
        <v>1075</v>
      </c>
      <c r="Y172" s="1207" t="s">
        <v>1187</v>
      </c>
      <c r="Z172" s="1207" t="s">
        <v>847</v>
      </c>
      <c r="AA172" s="1207" t="s">
        <v>1266</v>
      </c>
      <c r="AB172" s="1481"/>
      <c r="AC172" s="1037"/>
      <c r="AD172" s="759" t="s">
        <v>1189</v>
      </c>
      <c r="AE172" s="763">
        <v>6</v>
      </c>
      <c r="AF172" s="531"/>
      <c r="AG172" s="531"/>
      <c r="AH172" s="1933">
        <f>(5000/2)-1.5</f>
        <v>2498.5</v>
      </c>
      <c r="AI172" s="1933">
        <f>+AH172*AE172</f>
        <v>14991</v>
      </c>
      <c r="AJ172" s="2869"/>
      <c r="AK172" s="1037"/>
      <c r="AL172" s="1933">
        <f t="shared" ref="AL172:AM174" si="341">AI172</f>
        <v>14991</v>
      </c>
      <c r="AM172" s="1933">
        <f t="shared" si="341"/>
        <v>0</v>
      </c>
      <c r="AN172" s="485">
        <f t="shared" si="324"/>
        <v>14991</v>
      </c>
      <c r="AO172" s="1037"/>
      <c r="AP172" s="1194"/>
      <c r="AQ172" s="1194"/>
      <c r="AR172" s="1194"/>
      <c r="AS172" s="1194"/>
      <c r="AT172" s="1194"/>
      <c r="AU172" s="1194"/>
      <c r="AV172" s="1194"/>
      <c r="AW172" s="1194"/>
      <c r="AX172" s="1194"/>
      <c r="AY172" s="1194"/>
      <c r="AZ172" s="2027">
        <f t="shared" si="325"/>
        <v>0</v>
      </c>
      <c r="BA172" s="1037"/>
      <c r="BB172" s="1194"/>
      <c r="BC172" s="1194"/>
      <c r="BD172" s="1194"/>
      <c r="BE172" s="1194"/>
      <c r="BF172" s="1194">
        <f t="shared" ref="BF172:BK172" si="342">+$AH172</f>
        <v>2498.5</v>
      </c>
      <c r="BG172" s="1194">
        <f t="shared" si="342"/>
        <v>2498.5</v>
      </c>
      <c r="BH172" s="1194">
        <f t="shared" si="342"/>
        <v>2498.5</v>
      </c>
      <c r="BI172" s="1194">
        <f t="shared" si="342"/>
        <v>2498.5</v>
      </c>
      <c r="BJ172" s="1194">
        <f t="shared" si="342"/>
        <v>2498.5</v>
      </c>
      <c r="BK172" s="1194">
        <f t="shared" si="342"/>
        <v>2498.5</v>
      </c>
      <c r="BL172" s="1194"/>
      <c r="BM172" s="1194"/>
      <c r="BN172" s="2027">
        <f t="shared" si="326"/>
        <v>14991</v>
      </c>
      <c r="BO172" s="1037"/>
      <c r="BP172" s="1194"/>
      <c r="BQ172" s="1194"/>
      <c r="BR172" s="1194"/>
      <c r="BS172" s="1194"/>
      <c r="BT172" s="1194"/>
      <c r="BU172" s="1194"/>
      <c r="BV172" s="1194"/>
      <c r="BW172" s="1194"/>
      <c r="BX172" s="1194"/>
      <c r="BY172" s="1194"/>
      <c r="BZ172" s="1194"/>
      <c r="CA172" s="1194"/>
      <c r="CB172" s="2027">
        <f t="shared" si="327"/>
        <v>0</v>
      </c>
      <c r="CC172" s="1037"/>
      <c r="CD172" s="1194"/>
      <c r="CE172" s="1194"/>
      <c r="CF172" s="1194"/>
      <c r="CG172" s="1194"/>
      <c r="CH172" s="1194"/>
      <c r="CI172" s="1194"/>
      <c r="CJ172" s="1194"/>
      <c r="CK172" s="1194"/>
      <c r="CL172" s="1194"/>
      <c r="CM172" s="1194"/>
      <c r="CN172" s="1194"/>
      <c r="CO172" s="1194"/>
      <c r="CP172" s="2033">
        <f t="shared" si="328"/>
        <v>0</v>
      </c>
      <c r="CQ172" s="1037"/>
      <c r="CR172" s="1194"/>
      <c r="CS172" s="1194"/>
      <c r="CT172" s="1194"/>
      <c r="CU172" s="1194"/>
      <c r="CV172" s="1194"/>
      <c r="CW172" s="1194"/>
      <c r="CX172" s="1194"/>
      <c r="CY172" s="1194"/>
      <c r="CZ172" s="1194"/>
      <c r="DA172" s="1194"/>
      <c r="DB172" s="1194"/>
      <c r="DC172" s="1194"/>
      <c r="DD172" s="2073">
        <f t="shared" si="329"/>
        <v>0</v>
      </c>
      <c r="DE172" s="1037"/>
      <c r="DF172" s="1194"/>
      <c r="DG172" s="1194"/>
      <c r="DH172" s="1194"/>
      <c r="DI172" s="2073">
        <f t="shared" si="330"/>
        <v>0</v>
      </c>
      <c r="DJ172" s="3131">
        <f t="shared" si="322"/>
        <v>14991</v>
      </c>
      <c r="DL172" s="3297">
        <f t="shared" si="281"/>
        <v>0</v>
      </c>
      <c r="DN172" s="2731" t="s">
        <v>1180</v>
      </c>
      <c r="DO172" s="2730" t="s">
        <v>1181</v>
      </c>
      <c r="DP172" s="2730" t="s">
        <v>1117</v>
      </c>
      <c r="DQ172" s="2730" t="s">
        <v>4</v>
      </c>
      <c r="DR172" s="2730" t="str">
        <f t="shared" si="323"/>
        <v>1</v>
      </c>
      <c r="DS172" s="1037"/>
      <c r="DT172" s="1037"/>
    </row>
    <row r="173" spans="1:130" s="2050" customFormat="1" ht="45" hidden="1" outlineLevel="4" collapsed="1">
      <c r="A173" s="879"/>
      <c r="B173" s="2853"/>
      <c r="C173" s="3309" t="s">
        <v>1404</v>
      </c>
      <c r="D173" s="3310" t="s">
        <v>883</v>
      </c>
      <c r="E173" s="588"/>
      <c r="F173" s="2970" t="s">
        <v>883</v>
      </c>
      <c r="G173" s="2838" t="s">
        <v>1279</v>
      </c>
      <c r="H173" s="2758" t="s">
        <v>849</v>
      </c>
      <c r="I173" s="3312"/>
      <c r="J173" s="103"/>
      <c r="K173" s="1037"/>
      <c r="L173" s="364"/>
      <c r="M173" s="364"/>
      <c r="N173" s="3329"/>
      <c r="O173" s="3329"/>
      <c r="P173" s="3329"/>
      <c r="Q173" s="3329"/>
      <c r="R173" s="3329"/>
      <c r="S173" s="3329"/>
      <c r="T173" s="3329"/>
      <c r="U173" s="3329"/>
      <c r="V173" s="1037"/>
      <c r="W173" s="1207" t="s">
        <v>763</v>
      </c>
      <c r="X173" s="1207" t="s">
        <v>1075</v>
      </c>
      <c r="Y173" s="1207" t="s">
        <v>1187</v>
      </c>
      <c r="Z173" s="853" t="s">
        <v>850</v>
      </c>
      <c r="AA173" s="1207" t="s">
        <v>1388</v>
      </c>
      <c r="AB173" s="1481"/>
      <c r="AC173" s="1037"/>
      <c r="AD173" s="759" t="s">
        <v>1189</v>
      </c>
      <c r="AE173" s="763">
        <v>12</v>
      </c>
      <c r="AF173" s="531"/>
      <c r="AG173" s="531"/>
      <c r="AH173" s="1933">
        <v>2998.4166700000001</v>
      </c>
      <c r="AI173" s="1933">
        <f>+AH173*AE173</f>
        <v>35981.000039999999</v>
      </c>
      <c r="AJ173" s="2869"/>
      <c r="AK173" s="1037"/>
      <c r="AL173" s="1933">
        <f t="shared" si="341"/>
        <v>35981.000039999999</v>
      </c>
      <c r="AM173" s="1933">
        <f t="shared" si="341"/>
        <v>0</v>
      </c>
      <c r="AN173" s="3516">
        <f t="shared" si="324"/>
        <v>35981.000039999999</v>
      </c>
      <c r="AO173" s="1037"/>
      <c r="AP173" s="1194"/>
      <c r="AQ173" s="1194"/>
      <c r="AR173" s="1194"/>
      <c r="AS173" s="1194"/>
      <c r="AT173" s="1194"/>
      <c r="AU173" s="1194"/>
      <c r="AV173" s="1194"/>
      <c r="AW173" s="1194"/>
      <c r="AX173" s="1194"/>
      <c r="AY173" s="1194"/>
      <c r="AZ173" s="2027">
        <f t="shared" si="325"/>
        <v>0</v>
      </c>
      <c r="BA173" s="1037"/>
      <c r="BB173" s="1194"/>
      <c r="BC173" s="1194"/>
      <c r="BD173" s="1194"/>
      <c r="BE173" s="1194"/>
      <c r="BF173" s="1194"/>
      <c r="BG173" s="1194">
        <v>2499</v>
      </c>
      <c r="BH173" s="1194">
        <v>2499</v>
      </c>
      <c r="BI173" s="1194">
        <v>2499</v>
      </c>
      <c r="BJ173" s="1194">
        <v>2499</v>
      </c>
      <c r="BK173" s="1194">
        <f>2499+0.08332</f>
        <v>2499.0833200000002</v>
      </c>
      <c r="BL173" s="1194"/>
      <c r="BM173" s="1194"/>
      <c r="BN173" s="2027">
        <f t="shared" si="326"/>
        <v>12495.08332</v>
      </c>
      <c r="BO173" s="1037"/>
      <c r="BP173" s="1194"/>
      <c r="BQ173" s="1194"/>
      <c r="BR173" s="1194"/>
      <c r="BS173" s="1194"/>
      <c r="BT173" s="1194">
        <f>+$AH173+356.71429</f>
        <v>3355.13096</v>
      </c>
      <c r="BU173" s="1194">
        <f t="shared" ref="BU173:BZ173" si="343">+$AH173+356.71429</f>
        <v>3355.13096</v>
      </c>
      <c r="BV173" s="1194">
        <f t="shared" si="343"/>
        <v>3355.13096</v>
      </c>
      <c r="BW173" s="1194">
        <f t="shared" si="343"/>
        <v>3355.13096</v>
      </c>
      <c r="BX173" s="1194">
        <f t="shared" si="343"/>
        <v>3355.13096</v>
      </c>
      <c r="BY173" s="1194">
        <f t="shared" si="343"/>
        <v>3355.13096</v>
      </c>
      <c r="BZ173" s="1194">
        <f t="shared" si="343"/>
        <v>3355.13096</v>
      </c>
      <c r="CA173" s="1194"/>
      <c r="CB173" s="2027">
        <f t="shared" si="327"/>
        <v>23485.916719999997</v>
      </c>
      <c r="CC173" s="1037"/>
      <c r="CD173" s="1194"/>
      <c r="CE173" s="1194"/>
      <c r="CF173" s="1194"/>
      <c r="CG173" s="1194"/>
      <c r="CH173" s="1194"/>
      <c r="CI173" s="1194"/>
      <c r="CJ173" s="1194"/>
      <c r="CK173" s="1194"/>
      <c r="CL173" s="1194"/>
      <c r="CM173" s="1194"/>
      <c r="CN173" s="1194"/>
      <c r="CO173" s="1194"/>
      <c r="CP173" s="2033">
        <f t="shared" si="328"/>
        <v>0</v>
      </c>
      <c r="CQ173" s="1037"/>
      <c r="CR173" s="1194"/>
      <c r="CS173" s="1194"/>
      <c r="CT173" s="1194"/>
      <c r="CU173" s="1194"/>
      <c r="CV173" s="1194"/>
      <c r="CW173" s="1194"/>
      <c r="CX173" s="1194"/>
      <c r="CY173" s="1194"/>
      <c r="CZ173" s="1194"/>
      <c r="DA173" s="1194"/>
      <c r="DB173" s="1194"/>
      <c r="DC173" s="1194"/>
      <c r="DD173" s="2073">
        <f t="shared" si="329"/>
        <v>0</v>
      </c>
      <c r="DE173" s="1037"/>
      <c r="DF173" s="1194"/>
      <c r="DG173" s="1194"/>
      <c r="DH173" s="1194"/>
      <c r="DI173" s="2073">
        <f t="shared" si="330"/>
        <v>0</v>
      </c>
      <c r="DJ173" s="3131">
        <f t="shared" si="322"/>
        <v>35981.000039999999</v>
      </c>
      <c r="DK173" s="879"/>
      <c r="DL173" s="3180">
        <f>+AN173-DJ173</f>
        <v>0</v>
      </c>
      <c r="DM173" s="879"/>
      <c r="DN173" s="2731" t="s">
        <v>1180</v>
      </c>
      <c r="DO173" s="2730" t="s">
        <v>1181</v>
      </c>
      <c r="DP173" s="2730" t="s">
        <v>1117</v>
      </c>
      <c r="DQ173" s="2730" t="s">
        <v>4</v>
      </c>
      <c r="DR173" s="2730" t="str">
        <f t="shared" si="323"/>
        <v>1</v>
      </c>
      <c r="DS173" s="1037"/>
      <c r="DT173" s="1037"/>
      <c r="DU173" s="879"/>
      <c r="DV173" s="879"/>
      <c r="DW173" s="879"/>
      <c r="DX173" s="879"/>
      <c r="DY173" s="879"/>
      <c r="DZ173" s="879"/>
    </row>
    <row r="174" spans="1:130" s="879" customFormat="1" ht="45" hidden="1" outlineLevel="4">
      <c r="B174" s="2853"/>
      <c r="C174" s="3309" t="s">
        <v>1405</v>
      </c>
      <c r="D174" s="3310" t="s">
        <v>884</v>
      </c>
      <c r="E174" s="588"/>
      <c r="F174" s="2970" t="s">
        <v>884</v>
      </c>
      <c r="G174" s="2838" t="s">
        <v>1279</v>
      </c>
      <c r="H174" s="2752" t="s">
        <v>1366</v>
      </c>
      <c r="I174" s="3312"/>
      <c r="J174" s="103"/>
      <c r="K174" s="1037"/>
      <c r="L174" s="364"/>
      <c r="M174" s="364"/>
      <c r="N174" s="3329"/>
      <c r="O174" s="3329"/>
      <c r="P174" s="3329"/>
      <c r="Q174" s="3329"/>
      <c r="R174" s="3329"/>
      <c r="S174" s="3329"/>
      <c r="T174" s="3329"/>
      <c r="U174" s="3329"/>
      <c r="V174" s="1037"/>
      <c r="W174" s="1207" t="s">
        <v>853</v>
      </c>
      <c r="X174" s="1207" t="s">
        <v>1075</v>
      </c>
      <c r="Y174" s="2987" t="s">
        <v>1193</v>
      </c>
      <c r="Z174" s="1513">
        <v>25</v>
      </c>
      <c r="AA174" s="1207" t="s">
        <v>1367</v>
      </c>
      <c r="AB174" s="1481"/>
      <c r="AC174" s="1037"/>
      <c r="AD174" s="759" t="s">
        <v>1179</v>
      </c>
      <c r="AE174" s="763">
        <v>1</v>
      </c>
      <c r="AF174" s="531"/>
      <c r="AG174" s="531"/>
      <c r="AH174" s="2928">
        <f>(4300001+1509485)/2</f>
        <v>2904743</v>
      </c>
      <c r="AI174" s="1933">
        <f>+AH174*AE174</f>
        <v>2904743</v>
      </c>
      <c r="AJ174" s="2869"/>
      <c r="AK174" s="1037"/>
      <c r="AL174" s="1933">
        <f t="shared" si="341"/>
        <v>2904743</v>
      </c>
      <c r="AM174" s="1933">
        <f t="shared" si="341"/>
        <v>0</v>
      </c>
      <c r="AN174" s="485">
        <f t="shared" si="324"/>
        <v>2904743</v>
      </c>
      <c r="AO174" s="1037"/>
      <c r="AP174" s="1332"/>
      <c r="AQ174" s="1332"/>
      <c r="AR174" s="1332"/>
      <c r="AS174" s="1332"/>
      <c r="AT174" s="1332"/>
      <c r="AU174" s="1332"/>
      <c r="AV174" s="1332"/>
      <c r="AW174" s="1332"/>
      <c r="AX174" s="1332"/>
      <c r="AY174" s="1332"/>
      <c r="AZ174" s="2016">
        <f t="shared" si="325"/>
        <v>0</v>
      </c>
      <c r="BA174" s="1037"/>
      <c r="BB174" s="1332"/>
      <c r="BC174" s="1332"/>
      <c r="BD174" s="1332"/>
      <c r="BE174" s="1332"/>
      <c r="BF174" s="1332"/>
      <c r="BG174" s="1332"/>
      <c r="BH174" s="1332"/>
      <c r="BI174" s="1332"/>
      <c r="BJ174" s="1332"/>
      <c r="BK174" s="1332"/>
      <c r="BL174" s="1332"/>
      <c r="BM174" s="1332"/>
      <c r="BN174" s="2016">
        <f t="shared" si="326"/>
        <v>0</v>
      </c>
      <c r="BO174" s="1037"/>
      <c r="BP174" s="1194"/>
      <c r="BQ174" s="1194"/>
      <c r="BR174" s="1194"/>
      <c r="BS174" s="1194"/>
      <c r="BT174" s="3483"/>
      <c r="BU174" s="1194"/>
      <c r="BV174" s="1194"/>
      <c r="BW174" s="1194"/>
      <c r="BX174" s="1194"/>
      <c r="BY174" s="1194"/>
      <c r="CA174" s="1194"/>
      <c r="CB174" s="2027">
        <f>SUM(BP174:CA174)</f>
        <v>0</v>
      </c>
      <c r="CC174" s="1037"/>
      <c r="CD174" s="1194"/>
      <c r="CE174" s="3106">
        <f>+$AL174*10%</f>
        <v>290474.3</v>
      </c>
      <c r="CF174" s="1194"/>
      <c r="CG174" s="1194"/>
      <c r="CH174" s="1194"/>
      <c r="CI174" s="3106">
        <f>+$AL174*10%</f>
        <v>290474.3</v>
      </c>
      <c r="CJ174" s="1194"/>
      <c r="CK174" s="1194"/>
      <c r="CL174" s="1194"/>
      <c r="CM174" s="3106">
        <f>+$AL174*20%</f>
        <v>580948.6</v>
      </c>
      <c r="CN174" s="1194"/>
      <c r="CO174" s="1194"/>
      <c r="CP174" s="2027">
        <f>SUM(CD174:CO174)</f>
        <v>1161897.2</v>
      </c>
      <c r="CQ174" s="1037"/>
      <c r="CR174" s="1194"/>
      <c r="CS174" s="1194">
        <f>+$AL$148*20%</f>
        <v>580948.6</v>
      </c>
      <c r="CT174" s="1194"/>
      <c r="CU174" s="1194"/>
      <c r="CV174" s="1194"/>
      <c r="CW174" s="1194">
        <f>+$AL$148*20%</f>
        <v>580948.6</v>
      </c>
      <c r="CX174" s="1194"/>
      <c r="CY174" s="1194"/>
      <c r="CZ174" s="1194"/>
      <c r="DA174" s="1194">
        <f>+$AL$148*20%</f>
        <v>580948.6</v>
      </c>
      <c r="DB174" s="1194"/>
      <c r="DC174" s="2488"/>
      <c r="DD174" s="2027">
        <f t="shared" si="329"/>
        <v>1742845.7999999998</v>
      </c>
      <c r="DE174" s="1037"/>
      <c r="DF174" s="1194"/>
      <c r="DG174" s="1194"/>
      <c r="DH174" s="1194"/>
      <c r="DI174" s="2073">
        <f t="shared" si="330"/>
        <v>0</v>
      </c>
      <c r="DJ174" s="3131">
        <f>+AZ174+BN174+CB174+CP174+DD174+DI174</f>
        <v>2904743</v>
      </c>
      <c r="DL174" s="3297">
        <f t="shared" si="281"/>
        <v>0</v>
      </c>
      <c r="DN174" s="2731" t="s">
        <v>1180</v>
      </c>
      <c r="DO174" s="2730" t="s">
        <v>1181</v>
      </c>
      <c r="DP174" s="2730" t="s">
        <v>1117</v>
      </c>
      <c r="DQ174" s="2730" t="s">
        <v>4</v>
      </c>
      <c r="DR174" s="2730" t="str">
        <f t="shared" si="323"/>
        <v>1</v>
      </c>
      <c r="DS174" s="1037"/>
      <c r="DT174" s="1037"/>
    </row>
    <row r="175" spans="1:130" s="879" customFormat="1" hidden="1" outlineLevel="4" collapsed="1">
      <c r="B175" s="2853"/>
      <c r="C175" s="3309"/>
      <c r="D175" s="3310"/>
      <c r="E175" s="588"/>
      <c r="F175" s="2972"/>
      <c r="G175" s="2838"/>
      <c r="H175" s="2759"/>
      <c r="I175" s="3312"/>
      <c r="J175" s="103"/>
      <c r="K175" s="1037"/>
      <c r="L175" s="364"/>
      <c r="M175" s="364"/>
      <c r="N175" s="3329"/>
      <c r="O175" s="3329"/>
      <c r="P175" s="3329"/>
      <c r="Q175" s="3329"/>
      <c r="R175" s="3329"/>
      <c r="S175" s="3329"/>
      <c r="T175" s="3329"/>
      <c r="U175" s="3329"/>
      <c r="V175" s="1037"/>
      <c r="W175" s="852"/>
      <c r="X175" s="852"/>
      <c r="Y175" s="852"/>
      <c r="Z175" s="852"/>
      <c r="AA175" s="852"/>
      <c r="AB175" s="1234"/>
      <c r="AC175" s="1037"/>
      <c r="AD175" s="759"/>
      <c r="AE175" s="763"/>
      <c r="AF175" s="531"/>
      <c r="AG175" s="531"/>
      <c r="AH175" s="2123"/>
      <c r="AI175" s="1933"/>
      <c r="AJ175" s="2869"/>
      <c r="AK175" s="1037"/>
      <c r="AL175" s="1933"/>
      <c r="AM175" s="1933"/>
      <c r="AN175" s="485"/>
      <c r="AO175" s="1037"/>
      <c r="AP175" s="2426"/>
      <c r="AQ175" s="2426"/>
      <c r="AR175" s="2426"/>
      <c r="AS175" s="2426"/>
      <c r="AT175" s="2426"/>
      <c r="AU175" s="2426"/>
      <c r="AV175" s="2426"/>
      <c r="AW175" s="2426"/>
      <c r="AX175" s="2426"/>
      <c r="AY175" s="2426"/>
      <c r="AZ175" s="2427"/>
      <c r="BA175" s="1037"/>
      <c r="BB175" s="2426"/>
      <c r="BC175" s="2426"/>
      <c r="BD175" s="2426"/>
      <c r="BE175" s="2426"/>
      <c r="BF175" s="2426"/>
      <c r="BG175" s="2426"/>
      <c r="BH175" s="2426"/>
      <c r="BI175" s="2426"/>
      <c r="BJ175" s="2426"/>
      <c r="BK175" s="2426"/>
      <c r="BL175" s="2426"/>
      <c r="BM175" s="2426"/>
      <c r="BN175" s="2427"/>
      <c r="BO175" s="1037"/>
      <c r="BP175" s="2428"/>
      <c r="BQ175" s="2428"/>
      <c r="BR175" s="2428"/>
      <c r="BS175" s="2428"/>
      <c r="BT175" s="2428"/>
      <c r="BU175" s="2428"/>
      <c r="BV175" s="2428"/>
      <c r="BW175" s="2428"/>
      <c r="BX175" s="2428"/>
      <c r="BY175" s="2428"/>
      <c r="BZ175" s="2428"/>
      <c r="CA175" s="2428"/>
      <c r="CB175" s="2429"/>
      <c r="CC175" s="1037"/>
      <c r="CD175" s="2428"/>
      <c r="CE175" s="2428"/>
      <c r="CF175" s="2428"/>
      <c r="CG175" s="2428"/>
      <c r="CH175" s="2428"/>
      <c r="CI175" s="2428"/>
      <c r="CJ175" s="2428"/>
      <c r="CK175" s="2428"/>
      <c r="CL175" s="2428"/>
      <c r="CM175" s="2428"/>
      <c r="CN175" s="2428"/>
      <c r="CO175" s="2428"/>
      <c r="CP175" s="2429"/>
      <c r="CQ175" s="1037"/>
      <c r="CR175" s="2428"/>
      <c r="CS175" s="2428"/>
      <c r="CT175" s="2428"/>
      <c r="CU175" s="2428"/>
      <c r="CV175" s="2428"/>
      <c r="CW175" s="2428"/>
      <c r="CX175" s="2428"/>
      <c r="CY175" s="2428"/>
      <c r="CZ175" s="2428"/>
      <c r="DA175" s="2428"/>
      <c r="DB175" s="2428"/>
      <c r="DC175" s="2428"/>
      <c r="DD175" s="2429"/>
      <c r="DE175" s="1037"/>
      <c r="DF175" s="2428"/>
      <c r="DG175" s="2428"/>
      <c r="DH175" s="2428"/>
      <c r="DI175" s="3089"/>
      <c r="DJ175" s="3134"/>
      <c r="DL175" s="1027"/>
      <c r="DN175" s="2750"/>
      <c r="DO175" s="2736"/>
      <c r="DP175" s="2736"/>
      <c r="DQ175" s="2736"/>
      <c r="DR175" s="2736"/>
      <c r="DS175" s="1037"/>
      <c r="DT175" s="1037"/>
    </row>
    <row r="176" spans="1:130" ht="30" hidden="1" outlineLevel="3">
      <c r="A176" s="3414"/>
      <c r="B176" s="3422"/>
      <c r="C176" s="3306" t="s">
        <v>885</v>
      </c>
      <c r="D176" s="2942" t="s">
        <v>885</v>
      </c>
      <c r="E176" s="3477"/>
      <c r="F176" s="3423" t="s">
        <v>885</v>
      </c>
      <c r="G176" s="3479"/>
      <c r="H176" s="3430" t="s">
        <v>886</v>
      </c>
      <c r="I176" s="3426"/>
      <c r="J176" s="3426"/>
      <c r="L176" s="3427" t="e">
        <v>#REF!</v>
      </c>
      <c r="M176" s="3428" t="e">
        <v>#REF!</v>
      </c>
      <c r="N176" s="3428" t="e">
        <v>#REF!</v>
      </c>
      <c r="O176" s="3428" t="e">
        <v>#REF!</v>
      </c>
      <c r="P176" s="3428" t="e">
        <v>#REF!</v>
      </c>
      <c r="Q176" s="3428" t="e">
        <v>#REF!</v>
      </c>
      <c r="R176" s="3428" t="e">
        <v>#REF!</v>
      </c>
      <c r="S176" s="3428" t="e">
        <v>#REF!</v>
      </c>
      <c r="T176" s="3428" t="e">
        <v>#REF!</v>
      </c>
      <c r="U176" s="3428" t="e">
        <v>#REF!</v>
      </c>
      <c r="W176" s="3428"/>
      <c r="X176" s="3427"/>
      <c r="Y176" s="3427"/>
      <c r="Z176" s="3347"/>
      <c r="AA176" s="3427"/>
      <c r="AB176" s="3426"/>
      <c r="AD176" s="3429"/>
      <c r="AE176" s="3427"/>
      <c r="AF176" s="3427"/>
      <c r="AG176" s="3427"/>
      <c r="AH176" s="3430"/>
      <c r="AI176" s="3430">
        <f>+AI177+AI178</f>
        <v>1275970</v>
      </c>
      <c r="AJ176" s="3430"/>
      <c r="AL176" s="3430">
        <f>+AL177+AL178</f>
        <v>1275970</v>
      </c>
      <c r="AM176" s="3430">
        <f>+AM177</f>
        <v>0</v>
      </c>
      <c r="AN176" s="3430">
        <f>+AL176+AM176</f>
        <v>1275970</v>
      </c>
      <c r="AP176" s="3431">
        <f t="shared" ref="AP176:DA176" si="344">+AP177</f>
        <v>0</v>
      </c>
      <c r="AQ176" s="3431">
        <f t="shared" si="344"/>
        <v>0</v>
      </c>
      <c r="AR176" s="3431">
        <f t="shared" si="344"/>
        <v>0</v>
      </c>
      <c r="AS176" s="3431">
        <f t="shared" si="344"/>
        <v>0</v>
      </c>
      <c r="AT176" s="3431">
        <f t="shared" si="344"/>
        <v>0</v>
      </c>
      <c r="AU176" s="3431">
        <f t="shared" si="344"/>
        <v>0</v>
      </c>
      <c r="AV176" s="3431">
        <f t="shared" si="344"/>
        <v>0</v>
      </c>
      <c r="AW176" s="3431">
        <f t="shared" si="344"/>
        <v>0</v>
      </c>
      <c r="AX176" s="3431">
        <f t="shared" si="344"/>
        <v>0</v>
      </c>
      <c r="AY176" s="3431">
        <f t="shared" si="344"/>
        <v>0</v>
      </c>
      <c r="AZ176" s="3431">
        <f t="shared" si="344"/>
        <v>0</v>
      </c>
      <c r="BA176" s="1037">
        <f t="shared" si="344"/>
        <v>0</v>
      </c>
      <c r="BB176" s="3431">
        <f t="shared" si="344"/>
        <v>0</v>
      </c>
      <c r="BC176" s="3431">
        <f t="shared" si="344"/>
        <v>0</v>
      </c>
      <c r="BD176" s="3431">
        <f t="shared" si="344"/>
        <v>0</v>
      </c>
      <c r="BE176" s="3431">
        <f t="shared" si="344"/>
        <v>0</v>
      </c>
      <c r="BF176" s="3431">
        <f t="shared" si="344"/>
        <v>0</v>
      </c>
      <c r="BG176" s="3431">
        <f t="shared" si="344"/>
        <v>0</v>
      </c>
      <c r="BH176" s="3431">
        <f t="shared" si="344"/>
        <v>0</v>
      </c>
      <c r="BI176" s="3431">
        <f t="shared" si="344"/>
        <v>0</v>
      </c>
      <c r="BJ176" s="3431">
        <f t="shared" si="344"/>
        <v>0</v>
      </c>
      <c r="BK176" s="3431">
        <f t="shared" si="344"/>
        <v>0</v>
      </c>
      <c r="BL176" s="3431">
        <f t="shared" si="344"/>
        <v>0</v>
      </c>
      <c r="BM176" s="3431">
        <f t="shared" si="344"/>
        <v>0</v>
      </c>
      <c r="BN176" s="3431">
        <f t="shared" si="344"/>
        <v>0</v>
      </c>
      <c r="BO176" s="1037">
        <f t="shared" si="344"/>
        <v>0</v>
      </c>
      <c r="BP176" s="3431">
        <f t="shared" ref="BP176" si="345">+BP177+BP178</f>
        <v>0</v>
      </c>
      <c r="BQ176" s="3431">
        <f>+BQ177+BQ178</f>
        <v>0</v>
      </c>
      <c r="BR176" s="3431">
        <f t="shared" ref="BR176:CA176" si="346">+BR177+BR178</f>
        <v>0</v>
      </c>
      <c r="BS176" s="3431">
        <f t="shared" si="346"/>
        <v>0</v>
      </c>
      <c r="BT176" s="3452">
        <f t="shared" si="346"/>
        <v>0</v>
      </c>
      <c r="BU176" s="3452">
        <f t="shared" si="346"/>
        <v>45932</v>
      </c>
      <c r="BV176" s="3452">
        <f t="shared" si="346"/>
        <v>0</v>
      </c>
      <c r="BW176" s="3452">
        <f t="shared" si="346"/>
        <v>0</v>
      </c>
      <c r="BX176" s="3452">
        <f t="shared" si="346"/>
        <v>0</v>
      </c>
      <c r="BY176" s="3452">
        <f t="shared" si="346"/>
        <v>0</v>
      </c>
      <c r="BZ176" s="3452">
        <f t="shared" si="346"/>
        <v>0</v>
      </c>
      <c r="CA176" s="3452">
        <f t="shared" si="346"/>
        <v>0</v>
      </c>
      <c r="CB176" s="3452">
        <f>+CB177+CB178</f>
        <v>45932</v>
      </c>
      <c r="CC176" s="1037">
        <f t="shared" si="344"/>
        <v>0</v>
      </c>
      <c r="CD176" s="3452">
        <f t="shared" si="344"/>
        <v>0</v>
      </c>
      <c r="CE176" s="3452">
        <f t="shared" si="344"/>
        <v>0</v>
      </c>
      <c r="CF176" s="3452">
        <f t="shared" si="344"/>
        <v>0</v>
      </c>
      <c r="CG176" s="3452">
        <f t="shared" si="344"/>
        <v>0</v>
      </c>
      <c r="CH176" s="3452">
        <f t="shared" si="344"/>
        <v>0</v>
      </c>
      <c r="CI176" s="3452">
        <f t="shared" si="344"/>
        <v>0</v>
      </c>
      <c r="CJ176" s="3452">
        <f t="shared" si="344"/>
        <v>0</v>
      </c>
      <c r="CK176" s="3452">
        <f t="shared" si="344"/>
        <v>0</v>
      </c>
      <c r="CL176" s="3452">
        <f>+CL177</f>
        <v>0</v>
      </c>
      <c r="CM176" s="3452">
        <f t="shared" si="344"/>
        <v>0</v>
      </c>
      <c r="CN176" s="3452">
        <f>+CN177</f>
        <v>0</v>
      </c>
      <c r="CO176" s="3452">
        <f>+CO177</f>
        <v>246007.6</v>
      </c>
      <c r="CP176" s="3452">
        <f t="shared" si="344"/>
        <v>246007.6</v>
      </c>
      <c r="CQ176" s="1037">
        <f t="shared" si="344"/>
        <v>0</v>
      </c>
      <c r="CR176" s="3431">
        <f t="shared" si="344"/>
        <v>0</v>
      </c>
      <c r="CS176" s="3431">
        <f t="shared" si="344"/>
        <v>492015.2</v>
      </c>
      <c r="CT176" s="3431">
        <f t="shared" si="344"/>
        <v>0</v>
      </c>
      <c r="CU176" s="3431">
        <f t="shared" si="344"/>
        <v>0</v>
      </c>
      <c r="CV176" s="3431">
        <f t="shared" si="344"/>
        <v>492015.2</v>
      </c>
      <c r="CW176" s="3431">
        <f t="shared" si="344"/>
        <v>0</v>
      </c>
      <c r="CX176" s="3431">
        <f t="shared" si="344"/>
        <v>0</v>
      </c>
      <c r="CY176" s="3431">
        <f t="shared" si="344"/>
        <v>0</v>
      </c>
      <c r="CZ176" s="3431">
        <f t="shared" si="344"/>
        <v>0</v>
      </c>
      <c r="DA176" s="3431">
        <f t="shared" si="344"/>
        <v>0</v>
      </c>
      <c r="DB176" s="3431">
        <f t="shared" ref="DB176:DI176" si="347">+DB177</f>
        <v>0</v>
      </c>
      <c r="DC176" s="3431">
        <f t="shared" si="347"/>
        <v>0</v>
      </c>
      <c r="DD176" s="3431">
        <f t="shared" si="347"/>
        <v>984030.4</v>
      </c>
      <c r="DE176" s="1037">
        <f t="shared" si="347"/>
        <v>0</v>
      </c>
      <c r="DF176" s="3431">
        <f t="shared" si="347"/>
        <v>0</v>
      </c>
      <c r="DG176" s="3431">
        <f t="shared" si="347"/>
        <v>0</v>
      </c>
      <c r="DH176" s="3431">
        <f t="shared" si="347"/>
        <v>0</v>
      </c>
      <c r="DI176" s="3431">
        <f t="shared" si="347"/>
        <v>0</v>
      </c>
      <c r="DJ176" s="3432">
        <f t="shared" si="322"/>
        <v>1275970</v>
      </c>
      <c r="DK176" s="3414"/>
      <c r="DL176" s="3484">
        <f t="shared" si="281"/>
        <v>0</v>
      </c>
      <c r="DM176" s="3414"/>
      <c r="DN176" s="2725" t="s">
        <v>1175</v>
      </c>
      <c r="DO176" s="2726" t="s">
        <v>1175</v>
      </c>
      <c r="DP176" s="2726"/>
      <c r="DQ176" s="2726" t="s">
        <v>1175</v>
      </c>
      <c r="DR176" s="2726" t="str">
        <f t="shared" si="323"/>
        <v>1</v>
      </c>
      <c r="DS176" s="1037"/>
      <c r="DT176" s="1037"/>
      <c r="DU176" s="3414"/>
      <c r="DV176" s="3414"/>
      <c r="DW176" s="3414"/>
      <c r="DX176" s="3414"/>
      <c r="DY176" s="3414"/>
      <c r="DZ176" s="3414"/>
    </row>
    <row r="177" spans="1:130" s="153" customFormat="1" ht="45" hidden="1" outlineLevel="3">
      <c r="A177" s="879"/>
      <c r="B177" s="2853"/>
      <c r="C177" s="3309" t="s">
        <v>887</v>
      </c>
      <c r="D177" s="3310" t="s">
        <v>887</v>
      </c>
      <c r="E177" s="588"/>
      <c r="F177" s="3310" t="s">
        <v>887</v>
      </c>
      <c r="G177" s="2838"/>
      <c r="H177" s="3311" t="s">
        <v>888</v>
      </c>
      <c r="I177" s="3312"/>
      <c r="J177" s="103"/>
      <c r="K177" s="1037"/>
      <c r="L177" s="364"/>
      <c r="M177" s="364"/>
      <c r="N177" s="3329"/>
      <c r="O177" s="3329"/>
      <c r="P177" s="3329"/>
      <c r="Q177" s="3329"/>
      <c r="R177" s="3329"/>
      <c r="S177" s="3329"/>
      <c r="T177" s="3329"/>
      <c r="U177" s="3329"/>
      <c r="V177" s="1037"/>
      <c r="W177" s="1207" t="s">
        <v>853</v>
      </c>
      <c r="X177" s="1207"/>
      <c r="Y177" s="1207" t="s">
        <v>1406</v>
      </c>
      <c r="Z177" s="1481">
        <v>83</v>
      </c>
      <c r="AA177" s="1207" t="s">
        <v>1266</v>
      </c>
      <c r="AB177" s="1481"/>
      <c r="AC177" s="1037"/>
      <c r="AD177" s="759" t="s">
        <v>1179</v>
      </c>
      <c r="AE177" s="763">
        <v>1</v>
      </c>
      <c r="AF177" s="531"/>
      <c r="AG177" s="531"/>
      <c r="AH177" s="2928">
        <v>1230038</v>
      </c>
      <c r="AI177" s="1933">
        <f>+AH177*AE177</f>
        <v>1230038</v>
      </c>
      <c r="AJ177" s="2869"/>
      <c r="AK177" s="1037"/>
      <c r="AL177" s="1933">
        <f>AI177</f>
        <v>1230038</v>
      </c>
      <c r="AM177" s="1933">
        <f>AJ177</f>
        <v>0</v>
      </c>
      <c r="AN177" s="485">
        <f>AL177+AM177</f>
        <v>1230038</v>
      </c>
      <c r="AO177" s="1037"/>
      <c r="AP177" s="1194"/>
      <c r="AQ177" s="1194"/>
      <c r="AR177" s="1194"/>
      <c r="AS177" s="1194"/>
      <c r="AT177" s="1194"/>
      <c r="AU177" s="1194"/>
      <c r="AV177" s="1194"/>
      <c r="AW177" s="1194"/>
      <c r="AX177" s="1194"/>
      <c r="AY177" s="1194"/>
      <c r="AZ177" s="2027">
        <f t="shared" si="325"/>
        <v>0</v>
      </c>
      <c r="BA177" s="1037"/>
      <c r="BB177" s="1194"/>
      <c r="BC177" s="1194"/>
      <c r="BD177" s="1194"/>
      <c r="BE177" s="1194"/>
      <c r="BF177" s="1194"/>
      <c r="BG177" s="1194"/>
      <c r="BH177" s="1194"/>
      <c r="BI177" s="1194"/>
      <c r="BJ177" s="1194"/>
      <c r="BK177" s="1194"/>
      <c r="BL177" s="1194"/>
      <c r="BM177" s="1194"/>
      <c r="BN177" s="2027">
        <f t="shared" si="326"/>
        <v>0</v>
      </c>
      <c r="BO177" s="1037"/>
      <c r="BP177" s="1194"/>
      <c r="BQ177" s="1194"/>
      <c r="BR177" s="1194"/>
      <c r="BS177" s="1194"/>
      <c r="BT177" s="1194"/>
      <c r="BU177" s="1194"/>
      <c r="BV177" s="1194"/>
      <c r="BW177" s="1194"/>
      <c r="BX177" s="1194"/>
      <c r="BY177" s="1194"/>
      <c r="BZ177" s="1194"/>
      <c r="CA177" s="1194"/>
      <c r="CB177" s="2027">
        <f t="shared" si="327"/>
        <v>0</v>
      </c>
      <c r="CC177" s="1037"/>
      <c r="CD177" s="1194"/>
      <c r="CE177" s="1194"/>
      <c r="CF177" s="1194"/>
      <c r="CG177" s="1194"/>
      <c r="CH177" s="1194"/>
      <c r="CI177" s="1194"/>
      <c r="CJ177" s="1194"/>
      <c r="CK177" s="1194"/>
      <c r="CL177" s="1194"/>
      <c r="CM177" s="1194"/>
      <c r="CN177" s="3106"/>
      <c r="CO177" s="1194">
        <f>+$AH$177*0.2</f>
        <v>246007.6</v>
      </c>
      <c r="CP177" s="2033">
        <f>SUM(CD177:CO177)</f>
        <v>246007.6</v>
      </c>
      <c r="CQ177" s="1037"/>
      <c r="CR177" s="1194"/>
      <c r="CS177" s="3106">
        <f>+$AH$177*0.4</f>
        <v>492015.2</v>
      </c>
      <c r="CT177" s="1194"/>
      <c r="CU177" s="1194"/>
      <c r="CV177" s="1194">
        <f>+$AH$177*0.4</f>
        <v>492015.2</v>
      </c>
      <c r="CW177" s="1194"/>
      <c r="CX177" s="1194"/>
      <c r="CY177" s="1194"/>
      <c r="CZ177" s="1194"/>
      <c r="DA177" s="1194"/>
      <c r="DB177" s="1194"/>
      <c r="DC177" s="1194"/>
      <c r="DD177" s="2033">
        <f t="shared" si="329"/>
        <v>984030.4</v>
      </c>
      <c r="DE177" s="1037"/>
      <c r="DF177" s="1332"/>
      <c r="DG177" s="1332"/>
      <c r="DH177" s="1332"/>
      <c r="DI177" s="2073">
        <f t="shared" si="330"/>
        <v>0</v>
      </c>
      <c r="DJ177" s="3131">
        <f t="shared" si="322"/>
        <v>1230038</v>
      </c>
      <c r="DK177" s="879"/>
      <c r="DL177" s="1027">
        <f t="shared" si="281"/>
        <v>0</v>
      </c>
      <c r="DM177" s="879"/>
      <c r="DN177" s="2731" t="s">
        <v>1303</v>
      </c>
      <c r="DO177" s="2739" t="s">
        <v>1304</v>
      </c>
      <c r="DP177" s="2739" t="s">
        <v>1160</v>
      </c>
      <c r="DQ177" s="2739" t="s">
        <v>4</v>
      </c>
      <c r="DR177" s="2739" t="str">
        <f t="shared" si="323"/>
        <v>1</v>
      </c>
      <c r="DS177" s="1037"/>
      <c r="DT177" s="1037"/>
      <c r="DU177" s="879"/>
      <c r="DV177" s="879"/>
      <c r="DW177" s="879"/>
      <c r="DX177" s="879"/>
      <c r="DY177" s="879"/>
      <c r="DZ177" s="879"/>
    </row>
    <row r="178" spans="1:130" s="153" customFormat="1" ht="30" hidden="1" outlineLevel="3">
      <c r="A178" s="879"/>
      <c r="B178" s="2853"/>
      <c r="C178" s="3309"/>
      <c r="D178" s="3310"/>
      <c r="E178" s="588"/>
      <c r="F178" s="3485"/>
      <c r="G178" s="2838"/>
      <c r="H178" s="3311" t="s">
        <v>888</v>
      </c>
      <c r="I178" s="3312"/>
      <c r="J178" s="103"/>
      <c r="K178" s="1037"/>
      <c r="L178" s="364"/>
      <c r="M178" s="364"/>
      <c r="N178" s="3329"/>
      <c r="O178" s="3329"/>
      <c r="P178" s="3329"/>
      <c r="Q178" s="3329"/>
      <c r="R178" s="3329"/>
      <c r="S178" s="3329"/>
      <c r="T178" s="3329"/>
      <c r="U178" s="3329"/>
      <c r="V178" s="1037"/>
      <c r="W178" s="852" t="s">
        <v>802</v>
      </c>
      <c r="X178" s="852"/>
      <c r="Y178" s="1207" t="s">
        <v>1406</v>
      </c>
      <c r="Z178" s="852" t="s">
        <v>1407</v>
      </c>
      <c r="AA178" s="852"/>
      <c r="AB178" s="1481"/>
      <c r="AC178" s="1037"/>
      <c r="AD178" s="759" t="s">
        <v>1179</v>
      </c>
      <c r="AE178" s="763">
        <v>1</v>
      </c>
      <c r="AF178" s="531"/>
      <c r="AG178" s="531"/>
      <c r="AH178" s="2928">
        <v>45932</v>
      </c>
      <c r="AI178" s="1933">
        <f>+AH178*AE178</f>
        <v>45932</v>
      </c>
      <c r="AJ178" s="2869"/>
      <c r="AK178" s="1037"/>
      <c r="AL178" s="1933">
        <f>AI178</f>
        <v>45932</v>
      </c>
      <c r="AM178" s="1933"/>
      <c r="AN178" s="485">
        <f>AL178+AM178</f>
        <v>45932</v>
      </c>
      <c r="AO178" s="1037"/>
      <c r="AP178" s="1194"/>
      <c r="AQ178" s="1194"/>
      <c r="AR178" s="1194"/>
      <c r="AS178" s="1194"/>
      <c r="AT178" s="1194"/>
      <c r="AU178" s="1194"/>
      <c r="AV178" s="1194"/>
      <c r="AW178" s="1194"/>
      <c r="AX178" s="1194"/>
      <c r="AY178" s="1194"/>
      <c r="AZ178" s="2027">
        <f t="shared" si="325"/>
        <v>0</v>
      </c>
      <c r="BA178" s="1037"/>
      <c r="BB178" s="1194"/>
      <c r="BC178" s="1194"/>
      <c r="BD178" s="1194"/>
      <c r="BE178" s="1194"/>
      <c r="BF178" s="1194"/>
      <c r="BG178" s="1194"/>
      <c r="BH178" s="1194"/>
      <c r="BI178" s="1194"/>
      <c r="BJ178" s="1194"/>
      <c r="BK178" s="1194"/>
      <c r="BL178" s="1194"/>
      <c r="BM178" s="1194"/>
      <c r="BN178" s="2027">
        <f t="shared" si="326"/>
        <v>0</v>
      </c>
      <c r="BO178" s="1037"/>
      <c r="BP178" s="1194"/>
      <c r="BQ178" s="1194"/>
      <c r="BR178" s="1194"/>
      <c r="BS178" s="1194"/>
      <c r="BT178" s="1194"/>
      <c r="BU178" s="1194">
        <f>+AH178</f>
        <v>45932</v>
      </c>
      <c r="BV178" s="1194"/>
      <c r="BW178" s="1194"/>
      <c r="BX178" s="1194"/>
      <c r="BY178" s="1194"/>
      <c r="BZ178" s="1194"/>
      <c r="CA178" s="1194"/>
      <c r="CB178" s="2027">
        <f t="shared" si="327"/>
        <v>45932</v>
      </c>
      <c r="CC178" s="1037"/>
      <c r="CD178" s="1194"/>
      <c r="CE178" s="1194"/>
      <c r="CF178" s="1194"/>
      <c r="CG178" s="1194"/>
      <c r="CH178" s="1194"/>
      <c r="CI178" s="1194"/>
      <c r="CJ178" s="1194"/>
      <c r="CK178" s="1194"/>
      <c r="CL178" s="1194"/>
      <c r="CM178" s="1194"/>
      <c r="CN178" s="1194"/>
      <c r="CO178" s="1194"/>
      <c r="CP178" s="2033">
        <f t="shared" si="328"/>
        <v>0</v>
      </c>
      <c r="CQ178" s="1037"/>
      <c r="CR178" s="1194"/>
      <c r="CS178" s="1194"/>
      <c r="CT178" s="1194"/>
      <c r="CU178" s="1194"/>
      <c r="CV178" s="1194"/>
      <c r="CW178" s="1194"/>
      <c r="CX178" s="1194"/>
      <c r="CY178" s="1194"/>
      <c r="CZ178" s="1194"/>
      <c r="DA178" s="1194"/>
      <c r="DB178" s="1194"/>
      <c r="DC178" s="1194"/>
      <c r="DD178" s="2033">
        <f t="shared" si="329"/>
        <v>0</v>
      </c>
      <c r="DE178" s="1037"/>
      <c r="DF178" s="1332"/>
      <c r="DG178" s="1332"/>
      <c r="DH178" s="1332"/>
      <c r="DI178" s="2073">
        <f t="shared" si="330"/>
        <v>0</v>
      </c>
      <c r="DJ178" s="3131">
        <f t="shared" si="322"/>
        <v>45932</v>
      </c>
      <c r="DK178" s="879"/>
      <c r="DL178" s="1027">
        <f t="shared" si="281"/>
        <v>0</v>
      </c>
      <c r="DM178" s="879"/>
      <c r="DN178" s="2731"/>
      <c r="DO178" s="2740"/>
      <c r="DP178" s="2740"/>
      <c r="DQ178" s="2740"/>
      <c r="DR178" s="2740"/>
      <c r="DS178" s="1037"/>
      <c r="DT178" s="1037"/>
      <c r="DU178" s="879"/>
      <c r="DV178" s="879"/>
      <c r="DW178" s="879"/>
      <c r="DX178" s="879"/>
      <c r="DY178" s="879"/>
      <c r="DZ178" s="879"/>
    </row>
    <row r="179" spans="1:130" s="153" customFormat="1" hidden="1" outlineLevel="2">
      <c r="A179" s="108"/>
      <c r="B179" s="2860"/>
      <c r="C179" s="3309"/>
      <c r="D179" s="3310"/>
      <c r="E179" s="588"/>
      <c r="F179" s="3325"/>
      <c r="G179" s="2838"/>
      <c r="H179" s="3321"/>
      <c r="I179" s="3319"/>
      <c r="J179" s="103"/>
      <c r="K179" s="1037"/>
      <c r="L179" s="364"/>
      <c r="M179" s="364"/>
      <c r="N179" s="3345"/>
      <c r="O179" s="3345"/>
      <c r="P179" s="3345"/>
      <c r="Q179" s="3345"/>
      <c r="R179" s="3345"/>
      <c r="S179" s="3345"/>
      <c r="T179" s="3345"/>
      <c r="U179" s="3345"/>
      <c r="V179" s="1037"/>
      <c r="W179" s="364"/>
      <c r="X179" s="364"/>
      <c r="Y179" s="364"/>
      <c r="Z179" s="364"/>
      <c r="AA179" s="364"/>
      <c r="AB179" s="181"/>
      <c r="AC179" s="1037"/>
      <c r="AD179" s="711"/>
      <c r="AE179" s="712"/>
      <c r="AF179" s="179"/>
      <c r="AG179" s="179"/>
      <c r="AH179" s="1032"/>
      <c r="AI179" s="1032"/>
      <c r="AJ179" s="1530"/>
      <c r="AK179" s="1037"/>
      <c r="AL179" s="725"/>
      <c r="AM179" s="725"/>
      <c r="AN179" s="1748"/>
      <c r="AO179" s="1037"/>
      <c r="AP179" s="986"/>
      <c r="AQ179" s="986"/>
      <c r="AR179" s="986"/>
      <c r="AS179" s="986"/>
      <c r="AT179" s="986"/>
      <c r="AU179" s="986"/>
      <c r="AV179" s="986"/>
      <c r="AW179" s="986"/>
      <c r="AX179" s="986"/>
      <c r="AY179" s="986"/>
      <c r="AZ179" s="2011"/>
      <c r="BA179" s="1037"/>
      <c r="BB179" s="986"/>
      <c r="BC179" s="986"/>
      <c r="BD179" s="986"/>
      <c r="BE179" s="986"/>
      <c r="BF179" s="986"/>
      <c r="BG179" s="986"/>
      <c r="BH179" s="986"/>
      <c r="BI179" s="986"/>
      <c r="BJ179" s="986"/>
      <c r="BK179" s="986"/>
      <c r="BL179" s="986"/>
      <c r="BM179" s="986"/>
      <c r="BN179" s="2011"/>
      <c r="BO179" s="1037"/>
      <c r="BP179" s="986"/>
      <c r="BQ179" s="986"/>
      <c r="BR179" s="986"/>
      <c r="BS179" s="986"/>
      <c r="BT179" s="986"/>
      <c r="BU179" s="986"/>
      <c r="BV179" s="986"/>
      <c r="BW179" s="986"/>
      <c r="BX179" s="986"/>
      <c r="BY179" s="986"/>
      <c r="BZ179" s="986"/>
      <c r="CA179" s="986"/>
      <c r="CB179" s="2011"/>
      <c r="CC179" s="1037"/>
      <c r="CD179" s="986"/>
      <c r="CE179" s="986"/>
      <c r="CF179" s="986"/>
      <c r="CG179" s="986"/>
      <c r="CH179" s="986"/>
      <c r="CI179" s="986"/>
      <c r="CJ179" s="986"/>
      <c r="CK179" s="986"/>
      <c r="CL179" s="986"/>
      <c r="CM179" s="986"/>
      <c r="CN179" s="986"/>
      <c r="CO179" s="986"/>
      <c r="CP179" s="2014"/>
      <c r="CQ179" s="1037"/>
      <c r="CR179" s="986"/>
      <c r="CS179" s="986"/>
      <c r="CT179" s="986"/>
      <c r="CU179" s="986"/>
      <c r="CV179" s="986"/>
      <c r="CW179" s="986"/>
      <c r="CX179" s="986"/>
      <c r="CY179" s="986"/>
      <c r="CZ179" s="986"/>
      <c r="DA179" s="986"/>
      <c r="DB179" s="986"/>
      <c r="DC179" s="986"/>
      <c r="DD179" s="2008"/>
      <c r="DE179" s="1037"/>
      <c r="DF179" s="986"/>
      <c r="DG179" s="986"/>
      <c r="DH179" s="986"/>
      <c r="DI179" s="1498"/>
      <c r="DJ179" s="3127"/>
      <c r="DK179" s="108"/>
      <c r="DL179" s="1027"/>
      <c r="DM179" s="108"/>
      <c r="DN179" s="2741" t="s">
        <v>1175</v>
      </c>
      <c r="DO179" s="2747" t="s">
        <v>1175</v>
      </c>
      <c r="DP179" s="2747"/>
      <c r="DQ179" s="2747"/>
      <c r="DR179" s="2747" t="str">
        <f t="shared" si="323"/>
        <v/>
      </c>
      <c r="DS179" s="1037"/>
      <c r="DT179" s="1037"/>
      <c r="DU179" s="108"/>
      <c r="DV179" s="108"/>
      <c r="DW179" s="108"/>
      <c r="DX179" s="108"/>
      <c r="DY179" s="108"/>
      <c r="DZ179" s="108"/>
    </row>
    <row r="180" spans="1:130" s="879" customFormat="1" ht="14" hidden="1" customHeight="1" outlineLevel="1">
      <c r="A180" s="153"/>
      <c r="B180" s="2826"/>
      <c r="C180" s="3298"/>
      <c r="D180" s="2939" t="s">
        <v>515</v>
      </c>
      <c r="E180" s="2827"/>
      <c r="F180" s="3471" t="s">
        <v>515</v>
      </c>
      <c r="G180" s="2828"/>
      <c r="H180" s="3472" t="s">
        <v>34</v>
      </c>
      <c r="I180" s="3472" t="s">
        <v>4</v>
      </c>
      <c r="J180" s="427"/>
      <c r="K180" s="1037"/>
      <c r="L180" s="425"/>
      <c r="M180" s="425"/>
      <c r="N180" s="3301"/>
      <c r="O180" s="3301"/>
      <c r="P180" s="3301"/>
      <c r="Q180" s="3301"/>
      <c r="R180" s="3301"/>
      <c r="S180" s="3301"/>
      <c r="T180" s="3301"/>
      <c r="U180" s="3301"/>
      <c r="V180" s="1037"/>
      <c r="W180" s="850"/>
      <c r="X180" s="850"/>
      <c r="Y180" s="850"/>
      <c r="Z180" s="850"/>
      <c r="AA180" s="850"/>
      <c r="AB180" s="431"/>
      <c r="AC180" s="1037"/>
      <c r="AD180" s="426"/>
      <c r="AE180" s="425"/>
      <c r="AF180" s="425"/>
      <c r="AG180" s="425"/>
      <c r="AH180" s="433"/>
      <c r="AI180" s="433">
        <f>+AI181</f>
        <v>6120000</v>
      </c>
      <c r="AJ180" s="685"/>
      <c r="AK180" s="1037"/>
      <c r="AL180" s="433">
        <f>+AL181</f>
        <v>6120000</v>
      </c>
      <c r="AM180" s="433">
        <f>+AM181</f>
        <v>0</v>
      </c>
      <c r="AN180" s="433">
        <f t="shared" ref="AN180:AN213" si="348">+AL180+AM180</f>
        <v>6120000</v>
      </c>
      <c r="AO180" s="1037"/>
      <c r="AP180" s="977">
        <f t="shared" ref="AP180:DA180" si="349">+AP181</f>
        <v>0</v>
      </c>
      <c r="AQ180" s="977">
        <f t="shared" si="349"/>
        <v>0</v>
      </c>
      <c r="AR180" s="977">
        <f t="shared" si="349"/>
        <v>0</v>
      </c>
      <c r="AS180" s="977">
        <f t="shared" si="349"/>
        <v>0</v>
      </c>
      <c r="AT180" s="977">
        <f t="shared" si="349"/>
        <v>0</v>
      </c>
      <c r="AU180" s="977">
        <f t="shared" si="349"/>
        <v>0</v>
      </c>
      <c r="AV180" s="977">
        <f t="shared" si="349"/>
        <v>0</v>
      </c>
      <c r="AW180" s="977">
        <f t="shared" si="349"/>
        <v>0</v>
      </c>
      <c r="AX180" s="977">
        <f t="shared" si="349"/>
        <v>0</v>
      </c>
      <c r="AY180" s="977">
        <f t="shared" si="349"/>
        <v>0</v>
      </c>
      <c r="AZ180" s="977">
        <f t="shared" si="349"/>
        <v>0</v>
      </c>
      <c r="BA180" s="1037">
        <f t="shared" si="349"/>
        <v>0</v>
      </c>
      <c r="BB180" s="977">
        <f t="shared" si="349"/>
        <v>0</v>
      </c>
      <c r="BC180" s="977">
        <f t="shared" si="349"/>
        <v>0</v>
      </c>
      <c r="BD180" s="977">
        <f t="shared" si="349"/>
        <v>0</v>
      </c>
      <c r="BE180" s="977">
        <f t="shared" si="349"/>
        <v>0</v>
      </c>
      <c r="BF180" s="977">
        <f t="shared" si="349"/>
        <v>0</v>
      </c>
      <c r="BG180" s="977">
        <f t="shared" si="349"/>
        <v>0</v>
      </c>
      <c r="BH180" s="977">
        <f t="shared" si="349"/>
        <v>0</v>
      </c>
      <c r="BI180" s="977">
        <f t="shared" si="349"/>
        <v>0</v>
      </c>
      <c r="BJ180" s="977">
        <f t="shared" si="349"/>
        <v>0</v>
      </c>
      <c r="BK180" s="977">
        <f t="shared" si="349"/>
        <v>16000</v>
      </c>
      <c r="BL180" s="977">
        <f t="shared" si="349"/>
        <v>6000</v>
      </c>
      <c r="BM180" s="977">
        <f t="shared" si="349"/>
        <v>26000</v>
      </c>
      <c r="BN180" s="977">
        <f t="shared" si="349"/>
        <v>48000</v>
      </c>
      <c r="BO180" s="1037">
        <f t="shared" si="349"/>
        <v>0</v>
      </c>
      <c r="BP180" s="977">
        <f t="shared" si="349"/>
        <v>15000</v>
      </c>
      <c r="BQ180" s="977">
        <f t="shared" si="349"/>
        <v>0</v>
      </c>
      <c r="BR180" s="977">
        <f t="shared" si="349"/>
        <v>9000</v>
      </c>
      <c r="BS180" s="977">
        <f t="shared" si="349"/>
        <v>0</v>
      </c>
      <c r="BT180" s="977">
        <f t="shared" si="349"/>
        <v>22000</v>
      </c>
      <c r="BU180" s="977">
        <f t="shared" si="349"/>
        <v>15000</v>
      </c>
      <c r="BV180" s="977">
        <f t="shared" si="349"/>
        <v>30000</v>
      </c>
      <c r="BW180" s="977">
        <f t="shared" si="349"/>
        <v>21000</v>
      </c>
      <c r="BX180" s="977">
        <f t="shared" si="349"/>
        <v>0</v>
      </c>
      <c r="BY180" s="977">
        <f t="shared" si="349"/>
        <v>0</v>
      </c>
      <c r="BZ180" s="977">
        <f t="shared" si="349"/>
        <v>0</v>
      </c>
      <c r="CA180" s="977">
        <f t="shared" si="349"/>
        <v>0</v>
      </c>
      <c r="CB180" s="977">
        <f t="shared" si="349"/>
        <v>112000</v>
      </c>
      <c r="CC180" s="1037">
        <f t="shared" si="349"/>
        <v>0</v>
      </c>
      <c r="CD180" s="977">
        <f t="shared" si="349"/>
        <v>0</v>
      </c>
      <c r="CE180" s="977">
        <f t="shared" si="349"/>
        <v>0</v>
      </c>
      <c r="CF180" s="977">
        <f t="shared" si="349"/>
        <v>0</v>
      </c>
      <c r="CG180" s="977">
        <f t="shared" si="349"/>
        <v>0</v>
      </c>
      <c r="CH180" s="977">
        <f t="shared" si="349"/>
        <v>0</v>
      </c>
      <c r="CI180" s="977">
        <f t="shared" si="349"/>
        <v>0</v>
      </c>
      <c r="CJ180" s="977">
        <f t="shared" si="349"/>
        <v>0</v>
      </c>
      <c r="CK180" s="977">
        <f t="shared" si="349"/>
        <v>1176000</v>
      </c>
      <c r="CL180" s="977">
        <f t="shared" si="349"/>
        <v>0</v>
      </c>
      <c r="CM180" s="977">
        <f t="shared" si="349"/>
        <v>0</v>
      </c>
      <c r="CN180" s="977">
        <f t="shared" si="349"/>
        <v>368000</v>
      </c>
      <c r="CO180" s="977">
        <f t="shared" si="349"/>
        <v>0</v>
      </c>
      <c r="CP180" s="978">
        <f t="shared" si="349"/>
        <v>1544000</v>
      </c>
      <c r="CQ180" s="1037">
        <f t="shared" si="349"/>
        <v>0</v>
      </c>
      <c r="CR180" s="977">
        <f t="shared" si="349"/>
        <v>0</v>
      </c>
      <c r="CS180" s="977">
        <f t="shared" si="349"/>
        <v>1984000</v>
      </c>
      <c r="CT180" s="977">
        <f t="shared" si="349"/>
        <v>368000</v>
      </c>
      <c r="CU180" s="977">
        <f t="shared" si="349"/>
        <v>0</v>
      </c>
      <c r="CV180" s="977">
        <f t="shared" si="349"/>
        <v>0</v>
      </c>
      <c r="CW180" s="977">
        <f t="shared" si="349"/>
        <v>0</v>
      </c>
      <c r="CX180" s="977">
        <f t="shared" si="349"/>
        <v>1484000</v>
      </c>
      <c r="CY180" s="977">
        <f t="shared" si="349"/>
        <v>16000</v>
      </c>
      <c r="CZ180" s="977">
        <f t="shared" si="349"/>
        <v>0</v>
      </c>
      <c r="DA180" s="977">
        <f t="shared" si="349"/>
        <v>32000</v>
      </c>
      <c r="DB180" s="977">
        <f t="shared" ref="DB180:DI180" si="350">+DB181</f>
        <v>532000</v>
      </c>
      <c r="DC180" s="977">
        <f t="shared" si="350"/>
        <v>0</v>
      </c>
      <c r="DD180" s="976">
        <f t="shared" si="350"/>
        <v>4416000</v>
      </c>
      <c r="DE180" s="1037">
        <f t="shared" si="350"/>
        <v>0</v>
      </c>
      <c r="DF180" s="977">
        <f t="shared" si="350"/>
        <v>0</v>
      </c>
      <c r="DG180" s="977">
        <f t="shared" si="350"/>
        <v>0</v>
      </c>
      <c r="DH180" s="977">
        <f t="shared" si="350"/>
        <v>0</v>
      </c>
      <c r="DI180" s="3090">
        <f t="shared" si="350"/>
        <v>0</v>
      </c>
      <c r="DJ180" s="3128">
        <f>+AZ180+BN180+CB180+CP180+DD180+DI180</f>
        <v>6120000</v>
      </c>
      <c r="DK180" s="153"/>
      <c r="DL180" s="1027">
        <f t="shared" ref="DL180:DL213" si="351">+AN180-DJ180</f>
        <v>0</v>
      </c>
      <c r="DM180" s="153"/>
      <c r="DN180" s="2721" t="s">
        <v>1175</v>
      </c>
      <c r="DO180" s="2722" t="s">
        <v>1175</v>
      </c>
      <c r="DP180" s="2722"/>
      <c r="DQ180" s="2722" t="s">
        <v>1175</v>
      </c>
      <c r="DR180" s="2722" t="str">
        <f t="shared" si="323"/>
        <v>1</v>
      </c>
      <c r="DS180" s="1037"/>
      <c r="DT180" s="1037"/>
      <c r="DU180" s="153"/>
      <c r="DV180" s="153"/>
      <c r="DW180" s="153"/>
      <c r="DX180" s="153"/>
      <c r="DY180" s="153"/>
      <c r="DZ180" s="153"/>
    </row>
    <row r="181" spans="1:130" s="879" customFormat="1" ht="30" hidden="1" outlineLevel="2">
      <c r="A181" s="153"/>
      <c r="B181" s="2829"/>
      <c r="C181" s="3303" t="s">
        <v>516</v>
      </c>
      <c r="D181" s="2940" t="s">
        <v>516</v>
      </c>
      <c r="E181" s="2830"/>
      <c r="F181" s="3304" t="s">
        <v>516</v>
      </c>
      <c r="G181" s="2831"/>
      <c r="H181" s="3305" t="s">
        <v>889</v>
      </c>
      <c r="I181" s="3305" t="s">
        <v>4</v>
      </c>
      <c r="J181" s="1176"/>
      <c r="K181" s="1037"/>
      <c r="L181" s="358" t="s">
        <v>196</v>
      </c>
      <c r="M181" s="358">
        <v>0</v>
      </c>
      <c r="N181" s="358">
        <v>2022</v>
      </c>
      <c r="O181" s="358" t="s">
        <v>157</v>
      </c>
      <c r="P181" s="358" t="s">
        <v>157</v>
      </c>
      <c r="Q181" s="358">
        <v>1</v>
      </c>
      <c r="R181" s="358">
        <v>1</v>
      </c>
      <c r="S181" s="358">
        <v>1</v>
      </c>
      <c r="T181" s="358">
        <v>1</v>
      </c>
      <c r="U181" s="358">
        <v>4</v>
      </c>
      <c r="V181" s="1037"/>
      <c r="W181" s="358"/>
      <c r="X181" s="358"/>
      <c r="Y181" s="358"/>
      <c r="Z181" s="358"/>
      <c r="AA181" s="358"/>
      <c r="AB181" s="174"/>
      <c r="AC181" s="1037"/>
      <c r="AD181" s="106"/>
      <c r="AE181" s="172"/>
      <c r="AF181" s="172"/>
      <c r="AG181" s="172"/>
      <c r="AH181" s="176"/>
      <c r="AI181" s="176">
        <f>+AI182+AI185+AI197+AI206+AI208</f>
        <v>6120000</v>
      </c>
      <c r="AJ181" s="686"/>
      <c r="AK181" s="1037"/>
      <c r="AL181" s="176">
        <f>+AL182+AL185+AL197+AL206+AL208</f>
        <v>6120000</v>
      </c>
      <c r="AM181" s="176">
        <f>+AM182+AM185+AM197+AM206+AM208</f>
        <v>0</v>
      </c>
      <c r="AN181" s="176">
        <f t="shared" si="348"/>
        <v>6120000</v>
      </c>
      <c r="AO181" s="1037"/>
      <c r="AP181" s="176">
        <f t="shared" ref="AP181:DA181" si="352">+AP182+AP185+AP197+AP206+AP208</f>
        <v>0</v>
      </c>
      <c r="AQ181" s="176">
        <f t="shared" si="352"/>
        <v>0</v>
      </c>
      <c r="AR181" s="176">
        <f t="shared" si="352"/>
        <v>0</v>
      </c>
      <c r="AS181" s="176">
        <f t="shared" si="352"/>
        <v>0</v>
      </c>
      <c r="AT181" s="176">
        <f t="shared" si="352"/>
        <v>0</v>
      </c>
      <c r="AU181" s="176">
        <f t="shared" si="352"/>
        <v>0</v>
      </c>
      <c r="AV181" s="176">
        <f t="shared" si="352"/>
        <v>0</v>
      </c>
      <c r="AW181" s="176">
        <f t="shared" si="352"/>
        <v>0</v>
      </c>
      <c r="AX181" s="176">
        <f t="shared" si="352"/>
        <v>0</v>
      </c>
      <c r="AY181" s="176">
        <f t="shared" si="352"/>
        <v>0</v>
      </c>
      <c r="AZ181" s="980">
        <f t="shared" si="352"/>
        <v>0</v>
      </c>
      <c r="BA181" s="1037">
        <f t="shared" si="352"/>
        <v>0</v>
      </c>
      <c r="BB181" s="176">
        <f t="shared" si="352"/>
        <v>0</v>
      </c>
      <c r="BC181" s="176">
        <f t="shared" si="352"/>
        <v>0</v>
      </c>
      <c r="BD181" s="176">
        <f t="shared" si="352"/>
        <v>0</v>
      </c>
      <c r="BE181" s="176">
        <f t="shared" si="352"/>
        <v>0</v>
      </c>
      <c r="BF181" s="176">
        <f t="shared" si="352"/>
        <v>0</v>
      </c>
      <c r="BG181" s="176">
        <f t="shared" si="352"/>
        <v>0</v>
      </c>
      <c r="BH181" s="176">
        <f t="shared" si="352"/>
        <v>0</v>
      </c>
      <c r="BI181" s="176">
        <f t="shared" si="352"/>
        <v>0</v>
      </c>
      <c r="BJ181" s="176">
        <f t="shared" si="352"/>
        <v>0</v>
      </c>
      <c r="BK181" s="176">
        <f t="shared" si="352"/>
        <v>16000</v>
      </c>
      <c r="BL181" s="176">
        <f t="shared" si="352"/>
        <v>6000</v>
      </c>
      <c r="BM181" s="176">
        <f t="shared" si="352"/>
        <v>26000</v>
      </c>
      <c r="BN181" s="980">
        <f t="shared" si="352"/>
        <v>48000</v>
      </c>
      <c r="BO181" s="1037">
        <f t="shared" si="352"/>
        <v>0</v>
      </c>
      <c r="BP181" s="176">
        <f t="shared" si="352"/>
        <v>15000</v>
      </c>
      <c r="BQ181" s="176">
        <f t="shared" si="352"/>
        <v>0</v>
      </c>
      <c r="BR181" s="176">
        <f t="shared" si="352"/>
        <v>9000</v>
      </c>
      <c r="BS181" s="176">
        <f t="shared" si="352"/>
        <v>0</v>
      </c>
      <c r="BT181" s="176">
        <f t="shared" si="352"/>
        <v>22000</v>
      </c>
      <c r="BU181" s="176">
        <f t="shared" si="352"/>
        <v>15000</v>
      </c>
      <c r="BV181" s="176">
        <f t="shared" si="352"/>
        <v>30000</v>
      </c>
      <c r="BW181" s="176">
        <f t="shared" si="352"/>
        <v>21000</v>
      </c>
      <c r="BX181" s="176">
        <f t="shared" si="352"/>
        <v>0</v>
      </c>
      <c r="BY181" s="176">
        <f t="shared" si="352"/>
        <v>0</v>
      </c>
      <c r="BZ181" s="176">
        <f t="shared" si="352"/>
        <v>0</v>
      </c>
      <c r="CA181" s="176">
        <f t="shared" si="352"/>
        <v>0</v>
      </c>
      <c r="CB181" s="980">
        <f t="shared" si="352"/>
        <v>112000</v>
      </c>
      <c r="CC181" s="1037">
        <f t="shared" si="352"/>
        <v>0</v>
      </c>
      <c r="CD181" s="176">
        <f t="shared" si="352"/>
        <v>0</v>
      </c>
      <c r="CE181" s="176">
        <f t="shared" si="352"/>
        <v>0</v>
      </c>
      <c r="CF181" s="176">
        <f t="shared" si="352"/>
        <v>0</v>
      </c>
      <c r="CG181" s="176">
        <f t="shared" si="352"/>
        <v>0</v>
      </c>
      <c r="CH181" s="176">
        <f t="shared" si="352"/>
        <v>0</v>
      </c>
      <c r="CI181" s="176">
        <f t="shared" si="352"/>
        <v>0</v>
      </c>
      <c r="CJ181" s="176">
        <f t="shared" si="352"/>
        <v>0</v>
      </c>
      <c r="CK181" s="176">
        <f t="shared" si="352"/>
        <v>1176000</v>
      </c>
      <c r="CL181" s="176">
        <f t="shared" si="352"/>
        <v>0</v>
      </c>
      <c r="CM181" s="176">
        <f t="shared" si="352"/>
        <v>0</v>
      </c>
      <c r="CN181" s="176">
        <f t="shared" si="352"/>
        <v>368000</v>
      </c>
      <c r="CO181" s="176">
        <f t="shared" si="352"/>
        <v>0</v>
      </c>
      <c r="CP181" s="981">
        <f t="shared" si="352"/>
        <v>1544000</v>
      </c>
      <c r="CQ181" s="1037">
        <f t="shared" si="352"/>
        <v>0</v>
      </c>
      <c r="CR181" s="176">
        <f t="shared" si="352"/>
        <v>0</v>
      </c>
      <c r="CS181" s="176">
        <f t="shared" si="352"/>
        <v>1984000</v>
      </c>
      <c r="CT181" s="176">
        <f t="shared" si="352"/>
        <v>368000</v>
      </c>
      <c r="CU181" s="176">
        <f t="shared" si="352"/>
        <v>0</v>
      </c>
      <c r="CV181" s="176">
        <f t="shared" si="352"/>
        <v>0</v>
      </c>
      <c r="CW181" s="176">
        <f t="shared" si="352"/>
        <v>0</v>
      </c>
      <c r="CX181" s="176">
        <f t="shared" si="352"/>
        <v>1484000</v>
      </c>
      <c r="CY181" s="176">
        <f t="shared" si="352"/>
        <v>16000</v>
      </c>
      <c r="CZ181" s="176">
        <f t="shared" si="352"/>
        <v>0</v>
      </c>
      <c r="DA181" s="176">
        <f t="shared" si="352"/>
        <v>32000</v>
      </c>
      <c r="DB181" s="176">
        <f t="shared" ref="DB181:DI181" si="353">+DB182+DB185+DB197+DB206+DB208</f>
        <v>532000</v>
      </c>
      <c r="DC181" s="176">
        <f t="shared" si="353"/>
        <v>0</v>
      </c>
      <c r="DD181" s="979">
        <f t="shared" si="353"/>
        <v>4416000</v>
      </c>
      <c r="DE181" s="1037">
        <f t="shared" si="353"/>
        <v>0</v>
      </c>
      <c r="DF181" s="176">
        <f t="shared" si="353"/>
        <v>0</v>
      </c>
      <c r="DG181" s="176">
        <f t="shared" si="353"/>
        <v>0</v>
      </c>
      <c r="DH181" s="176">
        <f t="shared" si="353"/>
        <v>0</v>
      </c>
      <c r="DI181" s="3091">
        <f t="shared" si="353"/>
        <v>0</v>
      </c>
      <c r="DJ181" s="3135">
        <f t="shared" ref="DJ181:DJ213" si="354">+AZ181+BN181+CB181+CP181+DD181+DI181</f>
        <v>6120000</v>
      </c>
      <c r="DK181" s="153"/>
      <c r="DL181" s="1027">
        <f t="shared" si="351"/>
        <v>0</v>
      </c>
      <c r="DM181" s="153"/>
      <c r="DN181" s="2723" t="s">
        <v>1175</v>
      </c>
      <c r="DO181" s="2724" t="s">
        <v>1175</v>
      </c>
      <c r="DP181" s="2724"/>
      <c r="DQ181" s="2724" t="s">
        <v>1175</v>
      </c>
      <c r="DR181" s="2724" t="str">
        <f t="shared" si="323"/>
        <v>1</v>
      </c>
      <c r="DS181" s="1037"/>
      <c r="DT181" s="1037"/>
      <c r="DU181" s="153"/>
      <c r="DV181" s="153"/>
      <c r="DW181" s="153"/>
      <c r="DX181" s="153"/>
      <c r="DY181" s="153"/>
      <c r="DZ181" s="153"/>
    </row>
    <row r="182" spans="1:130" s="153" customFormat="1" ht="90" hidden="1" outlineLevel="3">
      <c r="B182" s="2839"/>
      <c r="C182" s="3306"/>
      <c r="D182" s="2941" t="s">
        <v>890</v>
      </c>
      <c r="E182" s="2830"/>
      <c r="F182" s="3307" t="s">
        <v>890</v>
      </c>
      <c r="G182" s="2833"/>
      <c r="H182" s="3486" t="s">
        <v>891</v>
      </c>
      <c r="I182" s="3308"/>
      <c r="J182" s="1250"/>
      <c r="K182" s="1037"/>
      <c r="L182" s="851"/>
      <c r="M182" s="851"/>
      <c r="N182" s="3347"/>
      <c r="O182" s="3347"/>
      <c r="P182" s="3347"/>
      <c r="Q182" s="3347"/>
      <c r="R182" s="3347"/>
      <c r="S182" s="3347"/>
      <c r="T182" s="3347"/>
      <c r="U182" s="3347"/>
      <c r="V182" s="1037"/>
      <c r="W182" s="851"/>
      <c r="X182" s="851"/>
      <c r="Y182" s="851"/>
      <c r="Z182" s="851"/>
      <c r="AA182" s="851"/>
      <c r="AB182" s="1250"/>
      <c r="AC182" s="1037"/>
      <c r="AD182" s="2840"/>
      <c r="AE182" s="397"/>
      <c r="AF182" s="397"/>
      <c r="AG182" s="397"/>
      <c r="AH182" s="398"/>
      <c r="AI182" s="398">
        <f>SUM(AI183:AI184)</f>
        <v>0</v>
      </c>
      <c r="AJ182" s="691" t="s">
        <v>1408</v>
      </c>
      <c r="AK182" s="1037"/>
      <c r="AL182" s="398">
        <f>+AI182</f>
        <v>0</v>
      </c>
      <c r="AM182" s="398">
        <f>SUM(AM183:AM184)</f>
        <v>0</v>
      </c>
      <c r="AN182" s="398">
        <f t="shared" si="348"/>
        <v>0</v>
      </c>
      <c r="AO182" s="1037"/>
      <c r="AP182" s="992"/>
      <c r="AQ182" s="992"/>
      <c r="AR182" s="992"/>
      <c r="AS182" s="992"/>
      <c r="AT182" s="992"/>
      <c r="AU182" s="992"/>
      <c r="AV182" s="992"/>
      <c r="AW182" s="992"/>
      <c r="AX182" s="992"/>
      <c r="AY182" s="992"/>
      <c r="AZ182" s="992">
        <f t="shared" si="325"/>
        <v>0</v>
      </c>
      <c r="BA182" s="1037"/>
      <c r="BB182" s="992"/>
      <c r="BC182" s="992"/>
      <c r="BD182" s="992"/>
      <c r="BE182" s="992"/>
      <c r="BF182" s="992"/>
      <c r="BG182" s="992"/>
      <c r="BH182" s="992"/>
      <c r="BI182" s="992"/>
      <c r="BJ182" s="992"/>
      <c r="BK182" s="992"/>
      <c r="BL182" s="992"/>
      <c r="BM182" s="992"/>
      <c r="BN182" s="992">
        <f t="shared" si="326"/>
        <v>0</v>
      </c>
      <c r="BO182" s="1037"/>
      <c r="BP182" s="992"/>
      <c r="BQ182" s="992"/>
      <c r="BR182" s="992"/>
      <c r="BS182" s="992"/>
      <c r="BT182" s="992"/>
      <c r="BU182" s="992"/>
      <c r="BV182" s="992"/>
      <c r="BW182" s="992"/>
      <c r="BX182" s="992"/>
      <c r="BY182" s="992"/>
      <c r="BZ182" s="992"/>
      <c r="CA182" s="992"/>
      <c r="CB182" s="992">
        <f t="shared" si="327"/>
        <v>0</v>
      </c>
      <c r="CC182" s="1037"/>
      <c r="CD182" s="992"/>
      <c r="CE182" s="992"/>
      <c r="CF182" s="992"/>
      <c r="CG182" s="992"/>
      <c r="CH182" s="992"/>
      <c r="CI182" s="992"/>
      <c r="CJ182" s="992"/>
      <c r="CK182" s="992"/>
      <c r="CL182" s="992"/>
      <c r="CM182" s="992"/>
      <c r="CN182" s="992"/>
      <c r="CO182" s="992"/>
      <c r="CP182" s="993">
        <f t="shared" si="328"/>
        <v>0</v>
      </c>
      <c r="CQ182" s="1037"/>
      <c r="CR182" s="992"/>
      <c r="CS182" s="992"/>
      <c r="CT182" s="992"/>
      <c r="CU182" s="992"/>
      <c r="CV182" s="992"/>
      <c r="CW182" s="992"/>
      <c r="CX182" s="992"/>
      <c r="CY182" s="992"/>
      <c r="CZ182" s="992"/>
      <c r="DA182" s="992"/>
      <c r="DB182" s="992"/>
      <c r="DC182" s="992"/>
      <c r="DD182" s="994">
        <f t="shared" si="329"/>
        <v>0</v>
      </c>
      <c r="DE182" s="1037"/>
      <c r="DF182" s="992"/>
      <c r="DG182" s="992"/>
      <c r="DH182" s="992"/>
      <c r="DI182" s="3083">
        <f t="shared" si="330"/>
        <v>0</v>
      </c>
      <c r="DJ182" s="3136">
        <f t="shared" si="354"/>
        <v>0</v>
      </c>
      <c r="DL182" s="1027">
        <f t="shared" si="351"/>
        <v>0</v>
      </c>
      <c r="DN182" s="2725" t="s">
        <v>1175</v>
      </c>
      <c r="DO182" s="2726" t="s">
        <v>1175</v>
      </c>
      <c r="DP182" s="2726"/>
      <c r="DQ182" s="2726" t="s">
        <v>1175</v>
      </c>
      <c r="DR182" s="2726" t="str">
        <f t="shared" si="323"/>
        <v>1</v>
      </c>
      <c r="DS182" s="1037"/>
      <c r="DT182" s="1037"/>
    </row>
    <row r="183" spans="1:130" ht="15" hidden="1" outlineLevel="4">
      <c r="A183" s="879"/>
      <c r="B183" s="2870"/>
      <c r="C183" s="3309"/>
      <c r="D183" s="3487" t="s">
        <v>892</v>
      </c>
      <c r="E183" s="2841"/>
      <c r="F183" s="3488" t="s">
        <v>892</v>
      </c>
      <c r="G183" s="2871" t="s">
        <v>1279</v>
      </c>
      <c r="H183" s="3489" t="s">
        <v>893</v>
      </c>
      <c r="I183" s="3490"/>
      <c r="J183" s="491"/>
      <c r="L183" s="494"/>
      <c r="M183" s="494"/>
      <c r="N183" s="3491"/>
      <c r="O183" s="3491"/>
      <c r="P183" s="3491"/>
      <c r="Q183" s="3491"/>
      <c r="R183" s="3491"/>
      <c r="S183" s="3491"/>
      <c r="T183" s="3491"/>
      <c r="U183" s="3491"/>
      <c r="W183" s="494"/>
      <c r="X183" s="494"/>
      <c r="Y183" s="494"/>
      <c r="Z183" s="494"/>
      <c r="AA183" s="494"/>
      <c r="AB183" s="181"/>
      <c r="AD183" s="498"/>
      <c r="AE183" s="499"/>
      <c r="AF183" s="500"/>
      <c r="AG183" s="500"/>
      <c r="AH183" s="502"/>
      <c r="AI183" s="502">
        <f>AE183*AH183</f>
        <v>0</v>
      </c>
      <c r="AJ183" s="3949" t="s">
        <v>1409</v>
      </c>
      <c r="AL183" s="502">
        <f>+AI183</f>
        <v>0</v>
      </c>
      <c r="AM183" s="502"/>
      <c r="AN183" s="503">
        <f t="shared" si="348"/>
        <v>0</v>
      </c>
      <c r="AP183" s="983"/>
      <c r="AQ183" s="983"/>
      <c r="AR183" s="983"/>
      <c r="AS183" s="983"/>
      <c r="AT183" s="983"/>
      <c r="AU183" s="983"/>
      <c r="AV183" s="983"/>
      <c r="AW183" s="983"/>
      <c r="AX183" s="983"/>
      <c r="AY183" s="983"/>
      <c r="AZ183" s="2018">
        <f t="shared" si="325"/>
        <v>0</v>
      </c>
      <c r="BB183" s="983"/>
      <c r="BC183" s="983"/>
      <c r="BD183" s="983"/>
      <c r="BE183" s="983"/>
      <c r="BF183" s="983"/>
      <c r="BG183" s="983"/>
      <c r="BH183" s="983"/>
      <c r="BI183" s="983"/>
      <c r="BJ183" s="983"/>
      <c r="BK183" s="983"/>
      <c r="BL183" s="983"/>
      <c r="BM183" s="983"/>
      <c r="BN183" s="2018">
        <f t="shared" si="326"/>
        <v>0</v>
      </c>
      <c r="BP183" s="983"/>
      <c r="BQ183" s="983"/>
      <c r="BR183" s="983"/>
      <c r="BS183" s="983"/>
      <c r="BT183" s="983"/>
      <c r="BU183" s="983"/>
      <c r="BV183" s="983"/>
      <c r="BW183" s="983"/>
      <c r="BX183" s="983"/>
      <c r="BY183" s="983"/>
      <c r="BZ183" s="983"/>
      <c r="CA183" s="983"/>
      <c r="CB183" s="2018">
        <f t="shared" si="327"/>
        <v>0</v>
      </c>
      <c r="CD183" s="983"/>
      <c r="CE183" s="983"/>
      <c r="CF183" s="983"/>
      <c r="CG183" s="983"/>
      <c r="CH183" s="983"/>
      <c r="CI183" s="983"/>
      <c r="CJ183" s="983"/>
      <c r="CK183" s="983"/>
      <c r="CL183" s="983"/>
      <c r="CM183" s="983"/>
      <c r="CN183" s="983"/>
      <c r="CO183" s="983"/>
      <c r="CP183" s="2034">
        <f t="shared" si="328"/>
        <v>0</v>
      </c>
      <c r="CR183" s="983"/>
      <c r="CS183" s="983"/>
      <c r="CT183" s="983"/>
      <c r="CU183" s="983"/>
      <c r="CV183" s="983"/>
      <c r="CW183" s="983"/>
      <c r="CX183" s="983"/>
      <c r="CY183" s="983"/>
      <c r="CZ183" s="983"/>
      <c r="DA183" s="983"/>
      <c r="DB183" s="983"/>
      <c r="DC183" s="983"/>
      <c r="DD183" s="2012">
        <f t="shared" si="329"/>
        <v>0</v>
      </c>
      <c r="DF183" s="983"/>
      <c r="DG183" s="983"/>
      <c r="DH183" s="983"/>
      <c r="DI183" s="2012">
        <f t="shared" si="330"/>
        <v>0</v>
      </c>
      <c r="DJ183" s="3137">
        <f t="shared" si="354"/>
        <v>0</v>
      </c>
      <c r="DK183" s="879"/>
      <c r="DL183" s="1027">
        <f t="shared" si="351"/>
        <v>0</v>
      </c>
      <c r="DM183" s="879"/>
      <c r="DN183" s="2755" t="s">
        <v>1175</v>
      </c>
      <c r="DO183" s="2756" t="s">
        <v>1175</v>
      </c>
      <c r="DP183" s="2756"/>
      <c r="DQ183" s="2756" t="s">
        <v>1175</v>
      </c>
      <c r="DR183" s="2756" t="str">
        <f t="shared" si="323"/>
        <v>1</v>
      </c>
      <c r="DS183" s="1037"/>
      <c r="DT183" s="1037"/>
      <c r="DU183" s="879"/>
      <c r="DV183" s="879"/>
      <c r="DW183" s="879"/>
      <c r="DX183" s="879"/>
      <c r="DY183" s="879"/>
      <c r="DZ183" s="879"/>
    </row>
    <row r="184" spans="1:130" s="153" customFormat="1" ht="14" hidden="1" customHeight="1" outlineLevel="4">
      <c r="A184" s="879"/>
      <c r="B184" s="2870"/>
      <c r="C184" s="3309"/>
      <c r="D184" s="3487" t="s">
        <v>894</v>
      </c>
      <c r="E184" s="2841"/>
      <c r="F184" s="3488" t="s">
        <v>894</v>
      </c>
      <c r="G184" s="2871" t="s">
        <v>1279</v>
      </c>
      <c r="H184" s="3489" t="s">
        <v>895</v>
      </c>
      <c r="I184" s="3490"/>
      <c r="J184" s="491"/>
      <c r="K184" s="1037"/>
      <c r="L184" s="494"/>
      <c r="M184" s="494"/>
      <c r="N184" s="3491"/>
      <c r="O184" s="3491"/>
      <c r="P184" s="3491"/>
      <c r="Q184" s="3491"/>
      <c r="R184" s="3491"/>
      <c r="S184" s="3491"/>
      <c r="T184" s="3491"/>
      <c r="U184" s="3491"/>
      <c r="V184" s="1037"/>
      <c r="W184" s="494"/>
      <c r="X184" s="494"/>
      <c r="Y184" s="494"/>
      <c r="Z184" s="494"/>
      <c r="AA184" s="494"/>
      <c r="AB184" s="496"/>
      <c r="AC184" s="1037"/>
      <c r="AD184" s="498"/>
      <c r="AE184" s="499"/>
      <c r="AF184" s="500"/>
      <c r="AG184" s="500"/>
      <c r="AH184" s="502"/>
      <c r="AI184" s="502">
        <f>AE184*AH184</f>
        <v>0</v>
      </c>
      <c r="AJ184" s="3950"/>
      <c r="AK184" s="1037"/>
      <c r="AL184" s="502">
        <f>+AI184</f>
        <v>0</v>
      </c>
      <c r="AM184" s="502"/>
      <c r="AN184" s="503">
        <f t="shared" si="348"/>
        <v>0</v>
      </c>
      <c r="AO184" s="1037"/>
      <c r="AP184" s="983"/>
      <c r="AQ184" s="983"/>
      <c r="AR184" s="983"/>
      <c r="AS184" s="983"/>
      <c r="AT184" s="983"/>
      <c r="AU184" s="983"/>
      <c r="AV184" s="983"/>
      <c r="AW184" s="983"/>
      <c r="AX184" s="983"/>
      <c r="AY184" s="983"/>
      <c r="AZ184" s="2018">
        <f t="shared" si="325"/>
        <v>0</v>
      </c>
      <c r="BA184" s="1037"/>
      <c r="BB184" s="983"/>
      <c r="BC184" s="983"/>
      <c r="BD184" s="983"/>
      <c r="BE184" s="983"/>
      <c r="BF184" s="983"/>
      <c r="BG184" s="983"/>
      <c r="BH184" s="983"/>
      <c r="BI184" s="983"/>
      <c r="BJ184" s="983"/>
      <c r="BK184" s="983"/>
      <c r="BL184" s="983"/>
      <c r="BM184" s="983"/>
      <c r="BN184" s="2018">
        <f t="shared" si="326"/>
        <v>0</v>
      </c>
      <c r="BO184" s="1037"/>
      <c r="BP184" s="983"/>
      <c r="BQ184" s="983"/>
      <c r="BR184" s="983"/>
      <c r="BS184" s="983"/>
      <c r="BT184" s="983"/>
      <c r="BU184" s="983"/>
      <c r="BV184" s="983"/>
      <c r="BW184" s="983"/>
      <c r="BX184" s="983"/>
      <c r="BY184" s="983"/>
      <c r="BZ184" s="983"/>
      <c r="CA184" s="983"/>
      <c r="CB184" s="2018">
        <f t="shared" si="327"/>
        <v>0</v>
      </c>
      <c r="CC184" s="1037"/>
      <c r="CD184" s="983"/>
      <c r="CE184" s="983"/>
      <c r="CF184" s="983"/>
      <c r="CG184" s="983"/>
      <c r="CH184" s="983"/>
      <c r="CI184" s="983"/>
      <c r="CJ184" s="983"/>
      <c r="CK184" s="983"/>
      <c r="CL184" s="983"/>
      <c r="CM184" s="983"/>
      <c r="CN184" s="983"/>
      <c r="CO184" s="983"/>
      <c r="CP184" s="2034">
        <f t="shared" si="328"/>
        <v>0</v>
      </c>
      <c r="CQ184" s="1037"/>
      <c r="CR184" s="983"/>
      <c r="CS184" s="983"/>
      <c r="CT184" s="983"/>
      <c r="CU184" s="983"/>
      <c r="CV184" s="983"/>
      <c r="CW184" s="983"/>
      <c r="CX184" s="983"/>
      <c r="CY184" s="983"/>
      <c r="CZ184" s="983"/>
      <c r="DA184" s="983"/>
      <c r="DB184" s="983"/>
      <c r="DC184" s="983"/>
      <c r="DD184" s="2012">
        <f t="shared" si="329"/>
        <v>0</v>
      </c>
      <c r="DE184" s="1037"/>
      <c r="DF184" s="983"/>
      <c r="DG184" s="983"/>
      <c r="DH184" s="983"/>
      <c r="DI184" s="2012">
        <f t="shared" si="330"/>
        <v>0</v>
      </c>
      <c r="DJ184" s="3137">
        <f t="shared" si="354"/>
        <v>0</v>
      </c>
      <c r="DK184" s="879"/>
      <c r="DL184" s="1027">
        <f t="shared" si="351"/>
        <v>0</v>
      </c>
      <c r="DM184" s="879"/>
      <c r="DN184" s="2755" t="s">
        <v>1175</v>
      </c>
      <c r="DO184" s="2756" t="s">
        <v>1175</v>
      </c>
      <c r="DP184" s="2756"/>
      <c r="DQ184" s="2756" t="s">
        <v>1175</v>
      </c>
      <c r="DR184" s="2756" t="str">
        <f t="shared" si="323"/>
        <v>1</v>
      </c>
      <c r="DS184" s="1037"/>
      <c r="DT184" s="1037"/>
      <c r="DU184" s="879"/>
      <c r="DV184" s="879"/>
      <c r="DW184" s="879"/>
      <c r="DX184" s="879"/>
      <c r="DY184" s="879"/>
      <c r="DZ184" s="879"/>
    </row>
    <row r="185" spans="1:130" ht="14.5" hidden="1" customHeight="1" outlineLevel="3">
      <c r="A185" s="153"/>
      <c r="B185" s="2839"/>
      <c r="C185" s="3306" t="s">
        <v>896</v>
      </c>
      <c r="D185" s="2942" t="s">
        <v>896</v>
      </c>
      <c r="E185" s="2830"/>
      <c r="F185" s="3307" t="s">
        <v>896</v>
      </c>
      <c r="G185" s="2833"/>
      <c r="H185" s="3486" t="s">
        <v>897</v>
      </c>
      <c r="I185" s="3308"/>
      <c r="J185" s="1250"/>
      <c r="L185" s="851"/>
      <c r="M185" s="851"/>
      <c r="N185" s="3347"/>
      <c r="O185" s="3347"/>
      <c r="P185" s="3347"/>
      <c r="Q185" s="3347"/>
      <c r="R185" s="3347"/>
      <c r="S185" s="3347"/>
      <c r="T185" s="3347"/>
      <c r="U185" s="3347"/>
      <c r="W185" s="851"/>
      <c r="X185" s="851"/>
      <c r="Y185" s="851"/>
      <c r="Z185" s="851"/>
      <c r="AA185" s="851"/>
      <c r="AB185" s="1250"/>
      <c r="AD185" s="2840"/>
      <c r="AE185" s="397"/>
      <c r="AF185" s="397"/>
      <c r="AG185" s="397"/>
      <c r="AH185" s="398"/>
      <c r="AI185" s="398">
        <f>SUM(AI187:AI196)</f>
        <v>80000</v>
      </c>
      <c r="AJ185" s="691" t="s">
        <v>1410</v>
      </c>
      <c r="AL185" s="398">
        <f>SUM(AL187:AL196)</f>
        <v>80000</v>
      </c>
      <c r="AM185" s="398">
        <f>SUM(AM187:AM196)</f>
        <v>0</v>
      </c>
      <c r="AN185" s="398">
        <f t="shared" si="348"/>
        <v>80000</v>
      </c>
      <c r="AP185" s="398">
        <f t="shared" ref="AP185:AY185" si="355">SUM(AP187:AP196)</f>
        <v>0</v>
      </c>
      <c r="AQ185" s="398">
        <f t="shared" si="355"/>
        <v>0</v>
      </c>
      <c r="AR185" s="398">
        <f t="shared" si="355"/>
        <v>0</v>
      </c>
      <c r="AS185" s="398">
        <f t="shared" si="355"/>
        <v>0</v>
      </c>
      <c r="AT185" s="398">
        <f t="shared" si="355"/>
        <v>0</v>
      </c>
      <c r="AU185" s="398">
        <f t="shared" si="355"/>
        <v>0</v>
      </c>
      <c r="AV185" s="398">
        <f t="shared" si="355"/>
        <v>0</v>
      </c>
      <c r="AW185" s="398">
        <f t="shared" si="355"/>
        <v>0</v>
      </c>
      <c r="AX185" s="398">
        <f t="shared" si="355"/>
        <v>0</v>
      </c>
      <c r="AY185" s="398">
        <f t="shared" si="355"/>
        <v>0</v>
      </c>
      <c r="AZ185" s="992">
        <f t="shared" si="325"/>
        <v>0</v>
      </c>
      <c r="BB185" s="398">
        <f t="shared" ref="BB185:BM185" si="356">SUM(BB187:BB196)</f>
        <v>0</v>
      </c>
      <c r="BC185" s="398">
        <f t="shared" si="356"/>
        <v>0</v>
      </c>
      <c r="BD185" s="398">
        <f t="shared" si="356"/>
        <v>0</v>
      </c>
      <c r="BE185" s="398">
        <f t="shared" si="356"/>
        <v>0</v>
      </c>
      <c r="BF185" s="398">
        <f t="shared" si="356"/>
        <v>0</v>
      </c>
      <c r="BG185" s="398">
        <f t="shared" si="356"/>
        <v>0</v>
      </c>
      <c r="BH185" s="398">
        <f t="shared" si="356"/>
        <v>0</v>
      </c>
      <c r="BI185" s="398">
        <f t="shared" si="356"/>
        <v>0</v>
      </c>
      <c r="BJ185" s="398">
        <f t="shared" si="356"/>
        <v>0</v>
      </c>
      <c r="BK185" s="398">
        <f t="shared" si="356"/>
        <v>12000</v>
      </c>
      <c r="BL185" s="398">
        <f t="shared" si="356"/>
        <v>0</v>
      </c>
      <c r="BM185" s="398">
        <f t="shared" si="356"/>
        <v>16000</v>
      </c>
      <c r="BN185" s="992">
        <f t="shared" si="326"/>
        <v>28000</v>
      </c>
      <c r="BP185" s="398">
        <f t="shared" ref="BP185:CA185" si="357">SUM(BP187:BP196)</f>
        <v>15000</v>
      </c>
      <c r="BQ185" s="398">
        <f t="shared" si="357"/>
        <v>0</v>
      </c>
      <c r="BR185" s="398">
        <f t="shared" si="357"/>
        <v>9000</v>
      </c>
      <c r="BS185" s="398">
        <f t="shared" si="357"/>
        <v>0</v>
      </c>
      <c r="BT185" s="398">
        <f t="shared" si="357"/>
        <v>16000</v>
      </c>
      <c r="BU185" s="398">
        <f t="shared" si="357"/>
        <v>0</v>
      </c>
      <c r="BV185" s="398">
        <f>SUM(BV187:BV196)</f>
        <v>12000</v>
      </c>
      <c r="BW185" s="398">
        <f t="shared" si="357"/>
        <v>0</v>
      </c>
      <c r="BX185" s="398">
        <f t="shared" si="357"/>
        <v>0</v>
      </c>
      <c r="BY185" s="398">
        <f t="shared" si="357"/>
        <v>0</v>
      </c>
      <c r="BZ185" s="398">
        <f t="shared" si="357"/>
        <v>0</v>
      </c>
      <c r="CA185" s="398">
        <f t="shared" si="357"/>
        <v>0</v>
      </c>
      <c r="CB185" s="992">
        <f t="shared" si="327"/>
        <v>52000</v>
      </c>
      <c r="CD185" s="398">
        <f t="shared" ref="CD185:CO185" si="358">SUM(CD187:CD196)</f>
        <v>0</v>
      </c>
      <c r="CE185" s="398">
        <f t="shared" si="358"/>
        <v>0</v>
      </c>
      <c r="CF185" s="398">
        <f t="shared" si="358"/>
        <v>0</v>
      </c>
      <c r="CG185" s="398">
        <f t="shared" si="358"/>
        <v>0</v>
      </c>
      <c r="CH185" s="398">
        <f t="shared" si="358"/>
        <v>0</v>
      </c>
      <c r="CI185" s="398">
        <f t="shared" si="358"/>
        <v>0</v>
      </c>
      <c r="CJ185" s="398">
        <f t="shared" si="358"/>
        <v>0</v>
      </c>
      <c r="CK185" s="398">
        <f t="shared" si="358"/>
        <v>0</v>
      </c>
      <c r="CL185" s="398">
        <f t="shared" si="358"/>
        <v>0</v>
      </c>
      <c r="CM185" s="398">
        <f t="shared" si="358"/>
        <v>0</v>
      </c>
      <c r="CN185" s="398">
        <f t="shared" si="358"/>
        <v>0</v>
      </c>
      <c r="CO185" s="398">
        <f t="shared" si="358"/>
        <v>0</v>
      </c>
      <c r="CP185" s="993">
        <f t="shared" si="328"/>
        <v>0</v>
      </c>
      <c r="CR185" s="398">
        <f t="shared" ref="CR185:DC185" si="359">SUM(CR187:CR196)</f>
        <v>0</v>
      </c>
      <c r="CS185" s="398">
        <f t="shared" si="359"/>
        <v>0</v>
      </c>
      <c r="CT185" s="398">
        <f t="shared" si="359"/>
        <v>0</v>
      </c>
      <c r="CU185" s="398">
        <f t="shared" si="359"/>
        <v>0</v>
      </c>
      <c r="CV185" s="398">
        <f t="shared" si="359"/>
        <v>0</v>
      </c>
      <c r="CW185" s="398">
        <f t="shared" si="359"/>
        <v>0</v>
      </c>
      <c r="CX185" s="398">
        <f t="shared" si="359"/>
        <v>0</v>
      </c>
      <c r="CY185" s="398">
        <f t="shared" si="359"/>
        <v>0</v>
      </c>
      <c r="CZ185" s="398">
        <f t="shared" si="359"/>
        <v>0</v>
      </c>
      <c r="DA185" s="398">
        <f t="shared" si="359"/>
        <v>0</v>
      </c>
      <c r="DB185" s="398">
        <f t="shared" si="359"/>
        <v>0</v>
      </c>
      <c r="DC185" s="398">
        <f t="shared" si="359"/>
        <v>0</v>
      </c>
      <c r="DD185" s="994">
        <f t="shared" si="329"/>
        <v>0</v>
      </c>
      <c r="DF185" s="398">
        <f>SUM(DF187:DF196)</f>
        <v>0</v>
      </c>
      <c r="DG185" s="398">
        <f>SUM(DG187:DG196)</f>
        <v>0</v>
      </c>
      <c r="DH185" s="398">
        <f>SUM(DH187:DH196)</f>
        <v>0</v>
      </c>
      <c r="DI185" s="3083">
        <f t="shared" si="330"/>
        <v>0</v>
      </c>
      <c r="DJ185" s="3136">
        <f t="shared" si="354"/>
        <v>80000</v>
      </c>
      <c r="DK185" s="153"/>
      <c r="DL185" s="1027">
        <f t="shared" si="351"/>
        <v>0</v>
      </c>
      <c r="DM185" s="153"/>
      <c r="DN185" s="2725" t="s">
        <v>1175</v>
      </c>
      <c r="DO185" s="2726" t="s">
        <v>1175</v>
      </c>
      <c r="DP185" s="2726"/>
      <c r="DQ185" s="2726" t="s">
        <v>1175</v>
      </c>
      <c r="DR185" s="2726" t="str">
        <f t="shared" si="323"/>
        <v>1</v>
      </c>
      <c r="DS185" s="1037"/>
      <c r="DT185" s="1037"/>
      <c r="DU185" s="153"/>
      <c r="DV185" s="153"/>
      <c r="DW185" s="153"/>
      <c r="DX185" s="153"/>
      <c r="DY185" s="153"/>
      <c r="DZ185" s="153"/>
    </row>
    <row r="186" spans="1:130" ht="14.5" hidden="1" customHeight="1" outlineLevel="4">
      <c r="B186" s="2872"/>
      <c r="C186" s="3309"/>
      <c r="D186" s="3310" t="s">
        <v>1411</v>
      </c>
      <c r="E186" s="588"/>
      <c r="F186" s="3325" t="s">
        <v>1411</v>
      </c>
      <c r="G186" s="2863" t="s">
        <v>1279</v>
      </c>
      <c r="H186" s="3332" t="s">
        <v>1412</v>
      </c>
      <c r="I186" s="3319"/>
      <c r="J186" s="177"/>
      <c r="L186" s="364"/>
      <c r="M186" s="364"/>
      <c r="N186" s="3329"/>
      <c r="O186" s="3329"/>
      <c r="P186" s="3329"/>
      <c r="Q186" s="3329"/>
      <c r="R186" s="3329"/>
      <c r="S186" s="3329"/>
      <c r="T186" s="3329"/>
      <c r="U186" s="3329"/>
      <c r="W186" s="364"/>
      <c r="X186" s="364"/>
      <c r="Y186" s="364"/>
      <c r="Z186" s="364"/>
      <c r="AA186" s="364"/>
      <c r="AB186" s="364"/>
      <c r="AD186" s="182"/>
      <c r="AE186" s="712"/>
      <c r="AF186" s="712"/>
      <c r="AG186" s="712"/>
      <c r="AH186" s="675">
        <v>0</v>
      </c>
      <c r="AI186" s="675">
        <v>0</v>
      </c>
      <c r="AJ186" s="1758"/>
      <c r="AL186" s="1443"/>
      <c r="AM186" s="1463"/>
      <c r="AN186" s="1463">
        <f>+AL186+AM186</f>
        <v>0</v>
      </c>
      <c r="AP186" s="1443"/>
      <c r="AQ186" s="1443"/>
      <c r="AR186" s="1443"/>
      <c r="AS186" s="1443"/>
      <c r="AT186" s="1443"/>
      <c r="AU186" s="1443"/>
      <c r="AV186" s="1443"/>
      <c r="AW186" s="1443"/>
      <c r="AX186" s="1443"/>
      <c r="AY186" s="1443"/>
      <c r="AZ186" s="1443">
        <f>SUM(AP186:AY186)</f>
        <v>0</v>
      </c>
      <c r="BB186" s="1443"/>
      <c r="BC186" s="1443"/>
      <c r="BD186" s="1443"/>
      <c r="BE186" s="1443"/>
      <c r="BF186" s="1443"/>
      <c r="BG186" s="1443"/>
      <c r="BH186" s="1443"/>
      <c r="BI186" s="1443"/>
      <c r="BJ186" s="1443"/>
      <c r="BK186" s="1443"/>
      <c r="BL186" s="1443"/>
      <c r="BM186" s="1443"/>
      <c r="BN186" s="1443">
        <f>SUM(BB186:BM186)</f>
        <v>0</v>
      </c>
      <c r="BP186" s="1443"/>
      <c r="BQ186" s="1443"/>
      <c r="BR186" s="1443"/>
      <c r="BS186" s="1443"/>
      <c r="BT186" s="1443"/>
      <c r="BU186" s="1443"/>
      <c r="BV186" s="1443"/>
      <c r="BW186" s="1443"/>
      <c r="BX186" s="1443"/>
      <c r="BY186" s="1443"/>
      <c r="BZ186" s="1443"/>
      <c r="CA186" s="1443"/>
      <c r="CB186" s="1443">
        <f>SUM(BP186:CA186)</f>
        <v>0</v>
      </c>
      <c r="CD186" s="1443"/>
      <c r="CE186" s="1443"/>
      <c r="CF186" s="1443"/>
      <c r="CG186" s="1443"/>
      <c r="CH186" s="1443"/>
      <c r="CI186" s="1443"/>
      <c r="CJ186" s="1443"/>
      <c r="CK186" s="1443"/>
      <c r="CL186" s="1443"/>
      <c r="CM186" s="1443"/>
      <c r="CN186" s="1443"/>
      <c r="CO186" s="1443"/>
      <c r="CP186" s="1443">
        <f>SUM(CD186:CO186)</f>
        <v>0</v>
      </c>
      <c r="CR186" s="1443"/>
      <c r="CS186" s="1443"/>
      <c r="CT186" s="1443"/>
      <c r="CU186" s="1443"/>
      <c r="CV186" s="1443"/>
      <c r="CW186" s="1443"/>
      <c r="CX186" s="1443"/>
      <c r="CY186" s="1443"/>
      <c r="CZ186" s="1443"/>
      <c r="DA186" s="1443"/>
      <c r="DB186" s="1443"/>
      <c r="DC186" s="1443"/>
      <c r="DD186" s="1443">
        <f>SUM(CR186:DC186)</f>
        <v>0</v>
      </c>
      <c r="DF186" s="1443"/>
      <c r="DG186" s="1443"/>
      <c r="DH186" s="1443"/>
      <c r="DI186" s="1032">
        <f>SUM(DF186:DH186)</f>
        <v>0</v>
      </c>
      <c r="DJ186" s="3138">
        <f>+AZ186+BN186+CB186+CP186+DD186+DI186</f>
        <v>0</v>
      </c>
      <c r="DL186" s="1027">
        <f>+AN186-DJ186</f>
        <v>0</v>
      </c>
      <c r="DN186" s="2760" t="s">
        <v>1175</v>
      </c>
      <c r="DO186" s="2761" t="s">
        <v>1175</v>
      </c>
      <c r="DP186" s="2761"/>
      <c r="DQ186" s="2761" t="s">
        <v>1175</v>
      </c>
      <c r="DR186" s="2761" t="str">
        <f t="shared" si="323"/>
        <v>1</v>
      </c>
      <c r="DS186" s="1037"/>
      <c r="DT186" s="1037"/>
    </row>
    <row r="187" spans="1:130" ht="14.5" hidden="1" customHeight="1" outlineLevel="4">
      <c r="A187" s="153"/>
      <c r="B187" s="3835"/>
      <c r="C187" s="3309" t="s">
        <v>898</v>
      </c>
      <c r="D187" s="3492" t="s">
        <v>898</v>
      </c>
      <c r="E187" s="2830"/>
      <c r="F187" s="3325" t="s">
        <v>898</v>
      </c>
      <c r="G187" s="2863" t="s">
        <v>1279</v>
      </c>
      <c r="H187" s="3332" t="s">
        <v>899</v>
      </c>
      <c r="I187" s="3321"/>
      <c r="J187" s="173"/>
      <c r="L187" s="853"/>
      <c r="M187" s="853"/>
      <c r="N187" s="3339"/>
      <c r="O187" s="3339"/>
      <c r="P187" s="3339"/>
      <c r="Q187" s="3339"/>
      <c r="R187" s="3339"/>
      <c r="S187" s="3339"/>
      <c r="T187" s="3339"/>
      <c r="U187" s="3339"/>
      <c r="W187" s="3799" t="s">
        <v>763</v>
      </c>
      <c r="X187" s="3799" t="s">
        <v>1075</v>
      </c>
      <c r="Y187" s="3799" t="s">
        <v>1413</v>
      </c>
      <c r="Z187" s="3799">
        <v>28</v>
      </c>
      <c r="AA187" s="3799" t="s">
        <v>1414</v>
      </c>
      <c r="AB187" s="3799"/>
      <c r="AD187" s="3838" t="s">
        <v>1280</v>
      </c>
      <c r="AE187" s="3841">
        <v>1</v>
      </c>
      <c r="AF187" s="3841">
        <v>10</v>
      </c>
      <c r="AG187" s="3841"/>
      <c r="AH187" s="3844">
        <v>5000</v>
      </c>
      <c r="AI187" s="3844">
        <f>+AE187*AF187*AH187</f>
        <v>50000</v>
      </c>
      <c r="AJ187" s="1757"/>
      <c r="AL187" s="3787">
        <f>+AI187</f>
        <v>50000</v>
      </c>
      <c r="AM187" s="3847"/>
      <c r="AN187" s="3793">
        <f t="shared" si="348"/>
        <v>50000</v>
      </c>
      <c r="AP187" s="3787"/>
      <c r="AQ187" s="3787"/>
      <c r="AR187" s="3787"/>
      <c r="AS187" s="3787"/>
      <c r="AT187" s="3787"/>
      <c r="AU187" s="3787"/>
      <c r="AV187" s="3787"/>
      <c r="AW187" s="3787"/>
      <c r="AX187" s="3787"/>
      <c r="AY187" s="3787"/>
      <c r="AZ187" s="3787">
        <f>SUM(AP187:AY191)</f>
        <v>0</v>
      </c>
      <c r="BB187" s="3787"/>
      <c r="BC187" s="3787"/>
      <c r="BD187" s="3787"/>
      <c r="BE187" s="3787"/>
      <c r="BF187" s="3787"/>
      <c r="BG187" s="3787"/>
      <c r="BH187" s="3787"/>
      <c r="BI187" s="3787"/>
      <c r="BJ187" s="153"/>
      <c r="BK187" s="3787">
        <v>7500</v>
      </c>
      <c r="BL187" s="3787"/>
      <c r="BM187" s="3787">
        <v>10000</v>
      </c>
      <c r="BN187" s="3811">
        <f>SUM(BB187:BM191)</f>
        <v>17500</v>
      </c>
      <c r="BP187" s="3787">
        <v>15000</v>
      </c>
      <c r="BQ187" s="3787"/>
      <c r="BR187" s="3787"/>
      <c r="BS187" s="3787"/>
      <c r="BT187" s="3787">
        <v>10000</v>
      </c>
      <c r="BU187" s="3787"/>
      <c r="BV187" s="3787">
        <v>7500</v>
      </c>
      <c r="BW187" s="3787"/>
      <c r="BX187" s="3787"/>
      <c r="BY187" s="3787"/>
      <c r="BZ187" s="3787"/>
      <c r="CA187" s="3787"/>
      <c r="CB187" s="3811">
        <f>SUM(BP187:CA191)</f>
        <v>32500</v>
      </c>
      <c r="CD187" s="3787"/>
      <c r="CE187" s="3787"/>
      <c r="CF187" s="3787"/>
      <c r="CG187" s="3787"/>
      <c r="CH187" s="3787"/>
      <c r="CI187" s="3787"/>
      <c r="CJ187" s="3787"/>
      <c r="CK187" s="3787"/>
      <c r="CL187" s="3787"/>
      <c r="CM187" s="3787"/>
      <c r="CN187" s="3787"/>
      <c r="CO187" s="3787"/>
      <c r="CP187" s="3787">
        <f>SUM(CD187:CO191)</f>
        <v>0</v>
      </c>
      <c r="CR187" s="3787"/>
      <c r="CS187" s="3787"/>
      <c r="CT187" s="3787"/>
      <c r="CU187" s="3787"/>
      <c r="CV187" s="3787"/>
      <c r="CW187" s="3787"/>
      <c r="CX187" s="3787"/>
      <c r="CY187" s="3787"/>
      <c r="CZ187" s="3787"/>
      <c r="DA187" s="3787"/>
      <c r="DB187" s="3787"/>
      <c r="DC187" s="3787"/>
      <c r="DD187" s="3787">
        <f>SUM(CR187:DC191)</f>
        <v>0</v>
      </c>
      <c r="DF187" s="3787"/>
      <c r="DG187" s="3787"/>
      <c r="DH187" s="3787"/>
      <c r="DI187" s="3790">
        <f t="shared" si="330"/>
        <v>0</v>
      </c>
      <c r="DJ187" s="3824">
        <f t="shared" si="354"/>
        <v>50000</v>
      </c>
      <c r="DK187" s="153"/>
      <c r="DL187" s="1027">
        <f t="shared" si="351"/>
        <v>0</v>
      </c>
      <c r="DM187" s="153"/>
      <c r="DN187" s="3833" t="s">
        <v>1415</v>
      </c>
      <c r="DO187" s="3833" t="s">
        <v>1416</v>
      </c>
      <c r="DP187" s="3833" t="s">
        <v>1124</v>
      </c>
      <c r="DQ187" s="3833" t="s">
        <v>4</v>
      </c>
      <c r="DR187" s="3833" t="str">
        <f t="shared" si="323"/>
        <v>1</v>
      </c>
      <c r="DS187" s="1037"/>
      <c r="DT187" s="1037"/>
      <c r="DU187" s="153"/>
      <c r="DV187" s="153"/>
      <c r="DW187" s="153"/>
      <c r="DX187" s="153"/>
      <c r="DY187" s="153"/>
      <c r="DZ187" s="153"/>
    </row>
    <row r="188" spans="1:130" ht="15" hidden="1" outlineLevel="4">
      <c r="B188" s="3836"/>
      <c r="C188" s="3309"/>
      <c r="D188" s="3492" t="s">
        <v>900</v>
      </c>
      <c r="E188" s="2236"/>
      <c r="F188" s="3325" t="s">
        <v>900</v>
      </c>
      <c r="G188" s="2863" t="s">
        <v>1279</v>
      </c>
      <c r="H188" s="3332" t="s">
        <v>901</v>
      </c>
      <c r="I188" s="3319"/>
      <c r="J188" s="177"/>
      <c r="L188" s="364"/>
      <c r="M188" s="364"/>
      <c r="N188" s="3329"/>
      <c r="O188" s="3329"/>
      <c r="P188" s="3329"/>
      <c r="Q188" s="3329"/>
      <c r="R188" s="3329"/>
      <c r="S188" s="3329"/>
      <c r="T188" s="3329"/>
      <c r="U188" s="3329"/>
      <c r="W188" s="3800"/>
      <c r="X188" s="3800"/>
      <c r="Y188" s="3800"/>
      <c r="Z188" s="3800"/>
      <c r="AA188" s="3800"/>
      <c r="AB188" s="3800"/>
      <c r="AD188" s="3839"/>
      <c r="AE188" s="3842"/>
      <c r="AF188" s="3842"/>
      <c r="AG188" s="3842"/>
      <c r="AH188" s="3845"/>
      <c r="AI188" s="3845"/>
      <c r="AJ188" s="3816"/>
      <c r="AL188" s="3788"/>
      <c r="AM188" s="3848"/>
      <c r="AN188" s="3794"/>
      <c r="AP188" s="3788"/>
      <c r="AQ188" s="3788"/>
      <c r="AR188" s="3788"/>
      <c r="AS188" s="3788"/>
      <c r="AT188" s="3788"/>
      <c r="AU188" s="3788"/>
      <c r="AV188" s="3788"/>
      <c r="AW188" s="3788"/>
      <c r="AX188" s="3788"/>
      <c r="AY188" s="3788"/>
      <c r="AZ188" s="3788">
        <f t="shared" si="325"/>
        <v>0</v>
      </c>
      <c r="BB188" s="3788"/>
      <c r="BC188" s="3788"/>
      <c r="BD188" s="3788"/>
      <c r="BE188" s="3788"/>
      <c r="BF188" s="3788"/>
      <c r="BG188" s="3788"/>
      <c r="BH188" s="3788"/>
      <c r="BI188" s="3788"/>
      <c r="BK188" s="3788"/>
      <c r="BL188" s="3788"/>
      <c r="BM188" s="3788"/>
      <c r="BN188" s="3812"/>
      <c r="BP188" s="3788"/>
      <c r="BQ188" s="3788"/>
      <c r="BR188" s="3788"/>
      <c r="BS188" s="3788"/>
      <c r="BT188" s="3788"/>
      <c r="BU188" s="3788"/>
      <c r="BV188" s="3788"/>
      <c r="BW188" s="3788"/>
      <c r="BX188" s="3788"/>
      <c r="BY188" s="3788"/>
      <c r="BZ188" s="3788"/>
      <c r="CA188" s="3788"/>
      <c r="CB188" s="3812">
        <f>SUM(BP188:CA188)</f>
        <v>0</v>
      </c>
      <c r="CD188" s="3788"/>
      <c r="CE188" s="3788"/>
      <c r="CF188" s="3788"/>
      <c r="CG188" s="3788"/>
      <c r="CH188" s="3788"/>
      <c r="CI188" s="3788"/>
      <c r="CJ188" s="3788"/>
      <c r="CK188" s="3788"/>
      <c r="CL188" s="3788"/>
      <c r="CM188" s="3788"/>
      <c r="CN188" s="3788"/>
      <c r="CO188" s="3788"/>
      <c r="CP188" s="3788">
        <f>SUM(CD188:CO188)</f>
        <v>0</v>
      </c>
      <c r="CR188" s="3788"/>
      <c r="CS188" s="3788"/>
      <c r="CT188" s="3788"/>
      <c r="CU188" s="3788"/>
      <c r="CV188" s="3788"/>
      <c r="CW188" s="3788"/>
      <c r="CX188" s="3788"/>
      <c r="CY188" s="3788"/>
      <c r="CZ188" s="3788"/>
      <c r="DA188" s="3788"/>
      <c r="DB188" s="3788"/>
      <c r="DC188" s="3788"/>
      <c r="DD188" s="3788">
        <f>SUM(CR188:DC188)</f>
        <v>0</v>
      </c>
      <c r="DF188" s="3788"/>
      <c r="DG188" s="3788"/>
      <c r="DH188" s="3788"/>
      <c r="DI188" s="3791">
        <f t="shared" si="330"/>
        <v>0</v>
      </c>
      <c r="DJ188" s="3825">
        <f t="shared" si="354"/>
        <v>0</v>
      </c>
      <c r="DL188" s="1027">
        <f t="shared" si="351"/>
        <v>0</v>
      </c>
      <c r="DN188" s="3833"/>
      <c r="DO188" s="3833"/>
      <c r="DP188" s="3833"/>
      <c r="DQ188" s="3833"/>
      <c r="DR188" s="3833" t="str">
        <f t="shared" si="323"/>
        <v>1</v>
      </c>
      <c r="DS188" s="1037"/>
      <c r="DT188" s="1037"/>
    </row>
    <row r="189" spans="1:130" s="153" customFormat="1" ht="14" hidden="1" customHeight="1" outlineLevel="4">
      <c r="A189" s="108"/>
      <c r="B189" s="3836"/>
      <c r="C189" s="3309"/>
      <c r="D189" s="3492" t="s">
        <v>902</v>
      </c>
      <c r="E189" s="2236"/>
      <c r="F189" s="3325" t="s">
        <v>902</v>
      </c>
      <c r="G189" s="2863" t="s">
        <v>1279</v>
      </c>
      <c r="H189" s="3332" t="s">
        <v>903</v>
      </c>
      <c r="I189" s="3319"/>
      <c r="J189" s="177"/>
      <c r="K189" s="1037"/>
      <c r="L189" s="364"/>
      <c r="M189" s="364"/>
      <c r="N189" s="3329"/>
      <c r="O189" s="3329"/>
      <c r="P189" s="3329"/>
      <c r="Q189" s="3329"/>
      <c r="R189" s="3329"/>
      <c r="S189" s="3329"/>
      <c r="T189" s="3329"/>
      <c r="U189" s="3329"/>
      <c r="V189" s="1037"/>
      <c r="W189" s="3800"/>
      <c r="X189" s="3800"/>
      <c r="Y189" s="3800"/>
      <c r="Z189" s="3800"/>
      <c r="AA189" s="3800"/>
      <c r="AB189" s="3800"/>
      <c r="AC189" s="1037"/>
      <c r="AD189" s="3839"/>
      <c r="AE189" s="3842"/>
      <c r="AF189" s="3842"/>
      <c r="AG189" s="3842"/>
      <c r="AH189" s="3845"/>
      <c r="AI189" s="3845"/>
      <c r="AJ189" s="3816"/>
      <c r="AK189" s="1037"/>
      <c r="AL189" s="3788"/>
      <c r="AM189" s="3848"/>
      <c r="AN189" s="3794"/>
      <c r="AO189" s="1037"/>
      <c r="AP189" s="3788"/>
      <c r="AQ189" s="3788"/>
      <c r="AR189" s="3788"/>
      <c r="AS189" s="3788"/>
      <c r="AT189" s="3788"/>
      <c r="AU189" s="3788"/>
      <c r="AV189" s="3788"/>
      <c r="AW189" s="3788"/>
      <c r="AX189" s="3788"/>
      <c r="AY189" s="3788"/>
      <c r="AZ189" s="3788">
        <f t="shared" si="325"/>
        <v>0</v>
      </c>
      <c r="BA189" s="1037"/>
      <c r="BB189" s="3788"/>
      <c r="BC189" s="3788"/>
      <c r="BD189" s="3788"/>
      <c r="BE189" s="3788"/>
      <c r="BF189" s="3788"/>
      <c r="BG189" s="3788"/>
      <c r="BH189" s="3788"/>
      <c r="BI189" s="3788"/>
      <c r="BJ189" s="966"/>
      <c r="BK189" s="3788"/>
      <c r="BL189" s="3788"/>
      <c r="BM189" s="3788"/>
      <c r="BN189" s="3812"/>
      <c r="BO189" s="1037"/>
      <c r="BP189" s="3788"/>
      <c r="BQ189" s="3788"/>
      <c r="BR189" s="3788"/>
      <c r="BS189" s="3788"/>
      <c r="BT189" s="3788"/>
      <c r="BU189" s="3788"/>
      <c r="BV189" s="3788"/>
      <c r="BW189" s="3788"/>
      <c r="BX189" s="3788"/>
      <c r="BY189" s="3788"/>
      <c r="BZ189" s="3788"/>
      <c r="CA189" s="3788"/>
      <c r="CB189" s="3812">
        <f>SUM(BP189:CA189)</f>
        <v>0</v>
      </c>
      <c r="CC189" s="1037"/>
      <c r="CD189" s="3788"/>
      <c r="CE189" s="3788"/>
      <c r="CF189" s="3788"/>
      <c r="CG189" s="3788"/>
      <c r="CH189" s="3788"/>
      <c r="CI189" s="3788"/>
      <c r="CJ189" s="3788"/>
      <c r="CK189" s="3788"/>
      <c r="CL189" s="3788"/>
      <c r="CM189" s="3788"/>
      <c r="CN189" s="3788"/>
      <c r="CO189" s="3788"/>
      <c r="CP189" s="3788">
        <f>SUM(CD189:CO189)</f>
        <v>0</v>
      </c>
      <c r="CQ189" s="1037"/>
      <c r="CR189" s="3788"/>
      <c r="CS189" s="3788"/>
      <c r="CT189" s="3788"/>
      <c r="CU189" s="3788"/>
      <c r="CV189" s="3788"/>
      <c r="CW189" s="3788"/>
      <c r="CX189" s="3788"/>
      <c r="CY189" s="3788"/>
      <c r="CZ189" s="3788"/>
      <c r="DA189" s="3788"/>
      <c r="DB189" s="3788"/>
      <c r="DC189" s="3788"/>
      <c r="DD189" s="3788">
        <f>SUM(CR189:DC189)</f>
        <v>0</v>
      </c>
      <c r="DE189" s="1037"/>
      <c r="DF189" s="3788"/>
      <c r="DG189" s="3788"/>
      <c r="DH189" s="3788"/>
      <c r="DI189" s="3791">
        <f t="shared" si="330"/>
        <v>0</v>
      </c>
      <c r="DJ189" s="3825">
        <f t="shared" si="354"/>
        <v>0</v>
      </c>
      <c r="DK189" s="108"/>
      <c r="DL189" s="1027">
        <f t="shared" si="351"/>
        <v>0</v>
      </c>
      <c r="DM189" s="108"/>
      <c r="DN189" s="3833"/>
      <c r="DO189" s="3833"/>
      <c r="DP189" s="3833"/>
      <c r="DQ189" s="3833"/>
      <c r="DR189" s="3833" t="str">
        <f t="shared" si="323"/>
        <v>1</v>
      </c>
      <c r="DS189" s="1037"/>
      <c r="DT189" s="1037"/>
      <c r="DU189" s="108"/>
      <c r="DV189" s="108"/>
      <c r="DW189" s="108"/>
      <c r="DX189" s="108"/>
      <c r="DY189" s="108"/>
      <c r="DZ189" s="108"/>
    </row>
    <row r="190" spans="1:130" ht="15" hidden="1" outlineLevel="4">
      <c r="B190" s="3836"/>
      <c r="C190" s="3309"/>
      <c r="D190" s="3492" t="s">
        <v>904</v>
      </c>
      <c r="E190" s="2236"/>
      <c r="F190" s="3325" t="s">
        <v>904</v>
      </c>
      <c r="G190" s="2863" t="s">
        <v>1279</v>
      </c>
      <c r="H190" s="3332" t="s">
        <v>905</v>
      </c>
      <c r="I190" s="3319"/>
      <c r="J190" s="177"/>
      <c r="L190" s="364"/>
      <c r="M190" s="364"/>
      <c r="N190" s="3329"/>
      <c r="O190" s="3329"/>
      <c r="P190" s="3329"/>
      <c r="Q190" s="3329"/>
      <c r="R190" s="3329"/>
      <c r="S190" s="3329"/>
      <c r="T190" s="3329"/>
      <c r="U190" s="3329"/>
      <c r="W190" s="3800"/>
      <c r="X190" s="3800"/>
      <c r="Y190" s="3800"/>
      <c r="Z190" s="3800"/>
      <c r="AA190" s="3800"/>
      <c r="AB190" s="3800"/>
      <c r="AD190" s="3839"/>
      <c r="AE190" s="3842"/>
      <c r="AF190" s="3842"/>
      <c r="AG190" s="3842"/>
      <c r="AH190" s="3845"/>
      <c r="AI190" s="3845"/>
      <c r="AJ190" s="3816"/>
      <c r="AL190" s="3788"/>
      <c r="AM190" s="3848"/>
      <c r="AN190" s="3794"/>
      <c r="AP190" s="3788"/>
      <c r="AQ190" s="3788"/>
      <c r="AR190" s="3788"/>
      <c r="AS190" s="3788"/>
      <c r="AT190" s="3788"/>
      <c r="AU190" s="3788"/>
      <c r="AV190" s="3788"/>
      <c r="AW190" s="3788"/>
      <c r="AX190" s="3788"/>
      <c r="AY190" s="3788"/>
      <c r="AZ190" s="3788">
        <f t="shared" si="325"/>
        <v>0</v>
      </c>
      <c r="BB190" s="3788"/>
      <c r="BC190" s="3788"/>
      <c r="BD190" s="3788"/>
      <c r="BE190" s="3788"/>
      <c r="BF190" s="3788"/>
      <c r="BG190" s="3788"/>
      <c r="BH190" s="3788"/>
      <c r="BI190" s="3788"/>
      <c r="BK190" s="3788"/>
      <c r="BL190" s="3788"/>
      <c r="BM190" s="3788"/>
      <c r="BN190" s="3812"/>
      <c r="BP190" s="3788"/>
      <c r="BQ190" s="3788"/>
      <c r="BR190" s="3788"/>
      <c r="BS190" s="3788"/>
      <c r="BT190" s="3788"/>
      <c r="BU190" s="3788"/>
      <c r="BV190" s="3788"/>
      <c r="BW190" s="3788"/>
      <c r="BX190" s="3788"/>
      <c r="BY190" s="3788"/>
      <c r="BZ190" s="3788"/>
      <c r="CA190" s="3788"/>
      <c r="CB190" s="3812">
        <f>SUM(BP190:CA190)</f>
        <v>0</v>
      </c>
      <c r="CD190" s="3788"/>
      <c r="CE190" s="3788"/>
      <c r="CF190" s="3788"/>
      <c r="CG190" s="3788"/>
      <c r="CH190" s="3788"/>
      <c r="CI190" s="3788"/>
      <c r="CJ190" s="3788"/>
      <c r="CK190" s="3788"/>
      <c r="CL190" s="3788"/>
      <c r="CM190" s="3788"/>
      <c r="CN190" s="3788"/>
      <c r="CO190" s="3788"/>
      <c r="CP190" s="3788">
        <f>SUM(CD190:CO190)</f>
        <v>0</v>
      </c>
      <c r="CR190" s="3788"/>
      <c r="CS190" s="3788"/>
      <c r="CT190" s="3788"/>
      <c r="CU190" s="3788"/>
      <c r="CV190" s="3788"/>
      <c r="CW190" s="3788"/>
      <c r="CX190" s="3788"/>
      <c r="CY190" s="3788"/>
      <c r="CZ190" s="3788"/>
      <c r="DA190" s="3788"/>
      <c r="DB190" s="3788"/>
      <c r="DC190" s="3788"/>
      <c r="DD190" s="3788">
        <f>SUM(CR190:DC190)</f>
        <v>0</v>
      </c>
      <c r="DF190" s="3788"/>
      <c r="DG190" s="3788"/>
      <c r="DH190" s="3788"/>
      <c r="DI190" s="3791">
        <f t="shared" si="330"/>
        <v>0</v>
      </c>
      <c r="DJ190" s="3825">
        <f t="shared" si="354"/>
        <v>0</v>
      </c>
      <c r="DL190" s="1027">
        <f t="shared" si="351"/>
        <v>0</v>
      </c>
      <c r="DN190" s="3833"/>
      <c r="DO190" s="3833"/>
      <c r="DP190" s="3833"/>
      <c r="DQ190" s="3833"/>
      <c r="DR190" s="3833" t="str">
        <f t="shared" si="323"/>
        <v>1</v>
      </c>
      <c r="DS190" s="1037"/>
      <c r="DT190" s="1037"/>
    </row>
    <row r="191" spans="1:130" ht="15" hidden="1" outlineLevel="4">
      <c r="B191" s="3837"/>
      <c r="C191" s="3309"/>
      <c r="D191" s="3492" t="s">
        <v>906</v>
      </c>
      <c r="E191" s="2236"/>
      <c r="F191" s="3325" t="s">
        <v>906</v>
      </c>
      <c r="G191" s="2863" t="s">
        <v>1279</v>
      </c>
      <c r="H191" s="3332" t="s">
        <v>907</v>
      </c>
      <c r="I191" s="3319"/>
      <c r="J191" s="177"/>
      <c r="L191" s="364"/>
      <c r="M191" s="364"/>
      <c r="N191" s="3329"/>
      <c r="O191" s="3329"/>
      <c r="P191" s="3329"/>
      <c r="Q191" s="3329"/>
      <c r="R191" s="3329"/>
      <c r="S191" s="3329"/>
      <c r="T191" s="3329"/>
      <c r="U191" s="3329"/>
      <c r="W191" s="3801"/>
      <c r="X191" s="3801"/>
      <c r="Y191" s="3801"/>
      <c r="Z191" s="3801"/>
      <c r="AA191" s="3801"/>
      <c r="AB191" s="3801"/>
      <c r="AD191" s="3840"/>
      <c r="AE191" s="3843"/>
      <c r="AF191" s="3843"/>
      <c r="AG191" s="3843"/>
      <c r="AH191" s="3846"/>
      <c r="AI191" s="3846"/>
      <c r="AJ191" s="3816"/>
      <c r="AL191" s="3789"/>
      <c r="AM191" s="3849"/>
      <c r="AN191" s="3795"/>
      <c r="AP191" s="3789"/>
      <c r="AQ191" s="3789"/>
      <c r="AR191" s="3789"/>
      <c r="AS191" s="3789"/>
      <c r="AT191" s="3789"/>
      <c r="AU191" s="3789"/>
      <c r="AV191" s="3789"/>
      <c r="AW191" s="3789"/>
      <c r="AX191" s="3789"/>
      <c r="AY191" s="3789"/>
      <c r="AZ191" s="3789">
        <f t="shared" si="325"/>
        <v>0</v>
      </c>
      <c r="BB191" s="3789"/>
      <c r="BC191" s="3789"/>
      <c r="BD191" s="3789"/>
      <c r="BE191" s="3789"/>
      <c r="BF191" s="3789"/>
      <c r="BG191" s="3789"/>
      <c r="BH191" s="3789"/>
      <c r="BI191" s="3789"/>
      <c r="BK191" s="3789"/>
      <c r="BL191" s="3789"/>
      <c r="BM191" s="3789"/>
      <c r="BN191" s="3813"/>
      <c r="BP191" s="3789"/>
      <c r="BQ191" s="3789"/>
      <c r="BR191" s="3789"/>
      <c r="BS191" s="3789"/>
      <c r="BT191" s="3789"/>
      <c r="BU191" s="3789"/>
      <c r="BV191" s="3789"/>
      <c r="BW191" s="3789"/>
      <c r="BX191" s="3789"/>
      <c r="BY191" s="3789"/>
      <c r="BZ191" s="3789"/>
      <c r="CA191" s="3789"/>
      <c r="CB191" s="3813">
        <f>SUM(BP191:CA191)</f>
        <v>0</v>
      </c>
      <c r="CD191" s="3789"/>
      <c r="CE191" s="3789"/>
      <c r="CF191" s="3789"/>
      <c r="CG191" s="3789"/>
      <c r="CH191" s="3789"/>
      <c r="CI191" s="3789"/>
      <c r="CJ191" s="3789"/>
      <c r="CK191" s="3789"/>
      <c r="CL191" s="3789"/>
      <c r="CM191" s="3789"/>
      <c r="CN191" s="3789"/>
      <c r="CO191" s="3789"/>
      <c r="CP191" s="3789">
        <f>SUM(CD191:CO191)</f>
        <v>0</v>
      </c>
      <c r="CR191" s="3789"/>
      <c r="CS191" s="3789"/>
      <c r="CT191" s="3789"/>
      <c r="CU191" s="3789"/>
      <c r="CV191" s="3789"/>
      <c r="CW191" s="3789"/>
      <c r="CX191" s="3789"/>
      <c r="CY191" s="3789"/>
      <c r="CZ191" s="3789"/>
      <c r="DA191" s="3789"/>
      <c r="DB191" s="3789"/>
      <c r="DC191" s="3789"/>
      <c r="DD191" s="3789">
        <f>SUM(CR191:DC191)</f>
        <v>0</v>
      </c>
      <c r="DF191" s="3789"/>
      <c r="DG191" s="3789"/>
      <c r="DH191" s="3789"/>
      <c r="DI191" s="3792">
        <f t="shared" si="330"/>
        <v>0</v>
      </c>
      <c r="DJ191" s="3826">
        <f t="shared" si="354"/>
        <v>0</v>
      </c>
      <c r="DL191" s="1027">
        <f t="shared" si="351"/>
        <v>0</v>
      </c>
      <c r="DN191" s="3834"/>
      <c r="DO191" s="3834"/>
      <c r="DP191" s="3834"/>
      <c r="DQ191" s="3834"/>
      <c r="DR191" s="3834" t="str">
        <f t="shared" si="323"/>
        <v>1</v>
      </c>
      <c r="DS191" s="1037"/>
      <c r="DT191" s="1037"/>
    </row>
    <row r="192" spans="1:130" ht="15" hidden="1" outlineLevel="4">
      <c r="A192" s="153"/>
      <c r="B192" s="3835"/>
      <c r="C192" s="3309" t="s">
        <v>908</v>
      </c>
      <c r="D192" s="3492" t="s">
        <v>908</v>
      </c>
      <c r="E192" s="2830"/>
      <c r="F192" s="3325" t="s">
        <v>908</v>
      </c>
      <c r="G192" s="2863" t="s">
        <v>1279</v>
      </c>
      <c r="H192" s="3332" t="s">
        <v>909</v>
      </c>
      <c r="I192" s="3321"/>
      <c r="J192" s="173"/>
      <c r="L192" s="853"/>
      <c r="M192" s="853"/>
      <c r="N192" s="3339"/>
      <c r="O192" s="3339"/>
      <c r="P192" s="3339"/>
      <c r="Q192" s="3339"/>
      <c r="R192" s="3339"/>
      <c r="S192" s="3339"/>
      <c r="T192" s="3339"/>
      <c r="U192" s="3339"/>
      <c r="W192" s="3799" t="s">
        <v>763</v>
      </c>
      <c r="X192" s="3799" t="s">
        <v>1075</v>
      </c>
      <c r="Y192" s="3799" t="s">
        <v>1413</v>
      </c>
      <c r="Z192" s="3799">
        <v>29</v>
      </c>
      <c r="AA192" s="3799" t="s">
        <v>1266</v>
      </c>
      <c r="AB192" s="3799"/>
      <c r="AD192" s="3838" t="s">
        <v>1280</v>
      </c>
      <c r="AE192" s="3841">
        <v>1</v>
      </c>
      <c r="AF192" s="3841">
        <v>6</v>
      </c>
      <c r="AG192" s="3841"/>
      <c r="AH192" s="3844">
        <v>5000</v>
      </c>
      <c r="AI192" s="3844">
        <f>+AE192*AF192*AH192</f>
        <v>30000</v>
      </c>
      <c r="AJ192" s="1757"/>
      <c r="AL192" s="3796">
        <f>+AI192</f>
        <v>30000</v>
      </c>
      <c r="AM192" s="3847"/>
      <c r="AN192" s="3796">
        <f t="shared" si="348"/>
        <v>30000</v>
      </c>
      <c r="AP192" s="3796"/>
      <c r="AQ192" s="3796"/>
      <c r="AR192" s="3796"/>
      <c r="AS192" s="3796"/>
      <c r="AT192" s="3796"/>
      <c r="AU192" s="3796"/>
      <c r="AV192" s="3796"/>
      <c r="AW192" s="3796"/>
      <c r="AX192" s="3796"/>
      <c r="AY192" s="3796"/>
      <c r="AZ192" s="3796">
        <f t="shared" si="325"/>
        <v>0</v>
      </c>
      <c r="BB192" s="3796"/>
      <c r="BC192" s="3808"/>
      <c r="BD192" s="3808"/>
      <c r="BE192" s="3808"/>
      <c r="BF192" s="3808"/>
      <c r="BG192" s="3808"/>
      <c r="BH192" s="3808"/>
      <c r="BI192" s="3808"/>
      <c r="BJ192" s="3808"/>
      <c r="BK192" s="3808">
        <v>4500</v>
      </c>
      <c r="BL192" s="3808"/>
      <c r="BM192" s="3808">
        <v>6000</v>
      </c>
      <c r="BN192" s="3796">
        <f t="shared" si="326"/>
        <v>10500</v>
      </c>
      <c r="BP192" s="3808"/>
      <c r="BQ192" s="3808"/>
      <c r="BR192" s="3808">
        <v>9000</v>
      </c>
      <c r="BS192" s="3808"/>
      <c r="BT192" s="3808">
        <v>6000</v>
      </c>
      <c r="BU192" s="3808"/>
      <c r="BV192" s="3808">
        <v>4500</v>
      </c>
      <c r="BW192" s="3808"/>
      <c r="BX192" s="3808"/>
      <c r="BY192" s="3808"/>
      <c r="BZ192" s="3796"/>
      <c r="CA192" s="3796"/>
      <c r="CB192" s="3796">
        <f t="shared" si="327"/>
        <v>19500</v>
      </c>
      <c r="CD192" s="3796"/>
      <c r="CE192" s="3796"/>
      <c r="CF192" s="3796"/>
      <c r="CG192" s="3796"/>
      <c r="CH192" s="3796"/>
      <c r="CI192" s="3796"/>
      <c r="CJ192" s="3796"/>
      <c r="CK192" s="3796"/>
      <c r="CL192" s="3796"/>
      <c r="CM192" s="3796"/>
      <c r="CN192" s="3796"/>
      <c r="CO192" s="3796"/>
      <c r="CP192" s="3796">
        <f t="shared" si="328"/>
        <v>0</v>
      </c>
      <c r="CR192" s="3796"/>
      <c r="CS192" s="3796"/>
      <c r="CT192" s="3796"/>
      <c r="CU192" s="3796"/>
      <c r="CV192" s="3796"/>
      <c r="CW192" s="3796"/>
      <c r="CX192" s="3796"/>
      <c r="CY192" s="3796"/>
      <c r="CZ192" s="3796"/>
      <c r="DA192" s="3796"/>
      <c r="DB192" s="3796"/>
      <c r="DC192" s="3796"/>
      <c r="DD192" s="3796">
        <f t="shared" si="329"/>
        <v>0</v>
      </c>
      <c r="DF192" s="3796"/>
      <c r="DG192" s="3796"/>
      <c r="DH192" s="3796"/>
      <c r="DI192" s="3827">
        <f t="shared" si="330"/>
        <v>0</v>
      </c>
      <c r="DJ192" s="3830">
        <f t="shared" si="354"/>
        <v>30000</v>
      </c>
      <c r="DK192" s="153"/>
      <c r="DL192" s="1027">
        <f t="shared" si="351"/>
        <v>0</v>
      </c>
      <c r="DM192" s="153"/>
      <c r="DN192" s="3814" t="s">
        <v>1415</v>
      </c>
      <c r="DO192" s="3814" t="s">
        <v>1416</v>
      </c>
      <c r="DP192" s="3814" t="s">
        <v>1124</v>
      </c>
      <c r="DQ192" s="3814" t="s">
        <v>4</v>
      </c>
      <c r="DR192" s="3814" t="str">
        <f t="shared" si="323"/>
        <v>1</v>
      </c>
      <c r="DS192" s="1037"/>
      <c r="DT192" s="1037"/>
      <c r="DU192" s="153"/>
      <c r="DV192" s="153"/>
      <c r="DW192" s="153"/>
      <c r="DX192" s="153"/>
      <c r="DY192" s="153"/>
      <c r="DZ192" s="153"/>
    </row>
    <row r="193" spans="1:130" ht="42" hidden="1" customHeight="1" outlineLevel="4">
      <c r="B193" s="3836"/>
      <c r="C193" s="3309"/>
      <c r="D193" s="3492" t="s">
        <v>910</v>
      </c>
      <c r="E193" s="2236"/>
      <c r="F193" s="3325" t="s">
        <v>910</v>
      </c>
      <c r="G193" s="2863" t="s">
        <v>1279</v>
      </c>
      <c r="H193" s="3332" t="s">
        <v>911</v>
      </c>
      <c r="I193" s="3319"/>
      <c r="J193" s="177"/>
      <c r="L193" s="364"/>
      <c r="M193" s="364"/>
      <c r="N193" s="3329"/>
      <c r="O193" s="3329"/>
      <c r="P193" s="3329"/>
      <c r="Q193" s="3329"/>
      <c r="R193" s="3329"/>
      <c r="S193" s="3329"/>
      <c r="T193" s="3329"/>
      <c r="U193" s="3329"/>
      <c r="W193" s="3800"/>
      <c r="X193" s="3800"/>
      <c r="Y193" s="3800"/>
      <c r="Z193" s="3800"/>
      <c r="AA193" s="3800"/>
      <c r="AB193" s="3800"/>
      <c r="AD193" s="3839"/>
      <c r="AE193" s="3842"/>
      <c r="AF193" s="3842"/>
      <c r="AG193" s="3842"/>
      <c r="AH193" s="3845"/>
      <c r="AI193" s="3845"/>
      <c r="AJ193" s="3816"/>
      <c r="AL193" s="3797"/>
      <c r="AM193" s="3848"/>
      <c r="AN193" s="3797"/>
      <c r="AP193" s="3797"/>
      <c r="AQ193" s="3797"/>
      <c r="AR193" s="3797"/>
      <c r="AS193" s="3797"/>
      <c r="AT193" s="3797"/>
      <c r="AU193" s="3797"/>
      <c r="AV193" s="3797"/>
      <c r="AW193" s="3797"/>
      <c r="AX193" s="3797"/>
      <c r="AY193" s="3797"/>
      <c r="AZ193" s="3797">
        <f t="shared" si="325"/>
        <v>0</v>
      </c>
      <c r="BB193" s="3797"/>
      <c r="BC193" s="3809"/>
      <c r="BD193" s="3809"/>
      <c r="BE193" s="3809"/>
      <c r="BF193" s="3809"/>
      <c r="BG193" s="3809"/>
      <c r="BH193" s="3809"/>
      <c r="BI193" s="3809"/>
      <c r="BJ193" s="3809"/>
      <c r="BK193" s="3809"/>
      <c r="BL193" s="3809"/>
      <c r="BM193" s="3809"/>
      <c r="BN193" s="3797">
        <f t="shared" si="326"/>
        <v>0</v>
      </c>
      <c r="BP193" s="3809"/>
      <c r="BQ193" s="3809"/>
      <c r="BR193" s="3809"/>
      <c r="BS193" s="3809"/>
      <c r="BT193" s="3809"/>
      <c r="BU193" s="3809"/>
      <c r="BV193" s="3809"/>
      <c r="BW193" s="3809"/>
      <c r="BX193" s="3809"/>
      <c r="BY193" s="3809"/>
      <c r="BZ193" s="3797"/>
      <c r="CA193" s="3797"/>
      <c r="CB193" s="3797">
        <f t="shared" si="327"/>
        <v>0</v>
      </c>
      <c r="CD193" s="3797"/>
      <c r="CE193" s="3797"/>
      <c r="CF193" s="3797"/>
      <c r="CG193" s="3797"/>
      <c r="CH193" s="3797"/>
      <c r="CI193" s="3797"/>
      <c r="CJ193" s="3797"/>
      <c r="CK193" s="3797"/>
      <c r="CL193" s="3797"/>
      <c r="CM193" s="3797"/>
      <c r="CN193" s="3797"/>
      <c r="CO193" s="3797"/>
      <c r="CP193" s="3797">
        <f t="shared" si="328"/>
        <v>0</v>
      </c>
      <c r="CR193" s="3797"/>
      <c r="CS193" s="3797"/>
      <c r="CT193" s="3797"/>
      <c r="CU193" s="3797"/>
      <c r="CV193" s="3797"/>
      <c r="CW193" s="3797"/>
      <c r="CX193" s="3797"/>
      <c r="CY193" s="3797"/>
      <c r="CZ193" s="3797"/>
      <c r="DA193" s="3797"/>
      <c r="DB193" s="3797"/>
      <c r="DC193" s="3797"/>
      <c r="DD193" s="3797">
        <f t="shared" si="329"/>
        <v>0</v>
      </c>
      <c r="DF193" s="3797"/>
      <c r="DG193" s="3797"/>
      <c r="DH193" s="3797"/>
      <c r="DI193" s="3828">
        <f t="shared" si="330"/>
        <v>0</v>
      </c>
      <c r="DJ193" s="3831">
        <f t="shared" si="354"/>
        <v>0</v>
      </c>
      <c r="DL193" s="1027">
        <f t="shared" si="351"/>
        <v>0</v>
      </c>
      <c r="DN193" s="3814"/>
      <c r="DO193" s="3814"/>
      <c r="DP193" s="3814"/>
      <c r="DQ193" s="3814"/>
      <c r="DR193" s="3814" t="str">
        <f t="shared" si="323"/>
        <v>1</v>
      </c>
      <c r="DS193" s="1037"/>
      <c r="DT193" s="1037"/>
    </row>
    <row r="194" spans="1:130" s="153" customFormat="1" ht="51" hidden="1" customHeight="1" outlineLevel="4">
      <c r="A194" s="108"/>
      <c r="B194" s="3836"/>
      <c r="C194" s="3309"/>
      <c r="D194" s="3492" t="s">
        <v>912</v>
      </c>
      <c r="E194" s="2236"/>
      <c r="F194" s="3325" t="s">
        <v>912</v>
      </c>
      <c r="G194" s="2863" t="s">
        <v>1279</v>
      </c>
      <c r="H194" s="3332" t="s">
        <v>913</v>
      </c>
      <c r="I194" s="3319"/>
      <c r="J194" s="177"/>
      <c r="K194" s="1037"/>
      <c r="L194" s="364"/>
      <c r="M194" s="364"/>
      <c r="N194" s="3329"/>
      <c r="O194" s="3329"/>
      <c r="P194" s="3329"/>
      <c r="Q194" s="3329"/>
      <c r="R194" s="3329"/>
      <c r="S194" s="3329"/>
      <c r="T194" s="3329"/>
      <c r="U194" s="3329"/>
      <c r="V194" s="1037"/>
      <c r="W194" s="3800"/>
      <c r="X194" s="3800"/>
      <c r="Y194" s="3800"/>
      <c r="Z194" s="3800"/>
      <c r="AA194" s="3800"/>
      <c r="AB194" s="3800"/>
      <c r="AC194" s="1037"/>
      <c r="AD194" s="3839"/>
      <c r="AE194" s="3842"/>
      <c r="AF194" s="3842"/>
      <c r="AG194" s="3842"/>
      <c r="AH194" s="3845"/>
      <c r="AI194" s="3845"/>
      <c r="AJ194" s="3816"/>
      <c r="AK194" s="1037"/>
      <c r="AL194" s="3797"/>
      <c r="AM194" s="3848"/>
      <c r="AN194" s="3797"/>
      <c r="AO194" s="1037"/>
      <c r="AP194" s="3797"/>
      <c r="AQ194" s="3797"/>
      <c r="AR194" s="3797"/>
      <c r="AS194" s="3797"/>
      <c r="AT194" s="3797"/>
      <c r="AU194" s="3797"/>
      <c r="AV194" s="3797"/>
      <c r="AW194" s="3797"/>
      <c r="AX194" s="3797"/>
      <c r="AY194" s="3797"/>
      <c r="AZ194" s="3797">
        <f t="shared" si="325"/>
        <v>0</v>
      </c>
      <c r="BA194" s="1037"/>
      <c r="BB194" s="3797"/>
      <c r="BC194" s="3809"/>
      <c r="BD194" s="3809"/>
      <c r="BE194" s="3809"/>
      <c r="BF194" s="3809"/>
      <c r="BG194" s="3809"/>
      <c r="BH194" s="3809"/>
      <c r="BI194" s="3809"/>
      <c r="BJ194" s="3809"/>
      <c r="BK194" s="3809"/>
      <c r="BL194" s="3809"/>
      <c r="BM194" s="3809"/>
      <c r="BN194" s="3797">
        <f t="shared" si="326"/>
        <v>0</v>
      </c>
      <c r="BO194" s="1037"/>
      <c r="BP194" s="3809"/>
      <c r="BQ194" s="3809"/>
      <c r="BR194" s="3809"/>
      <c r="BS194" s="3809"/>
      <c r="BT194" s="3809"/>
      <c r="BU194" s="3809"/>
      <c r="BV194" s="3809"/>
      <c r="BW194" s="3809"/>
      <c r="BX194" s="3809"/>
      <c r="BY194" s="3809"/>
      <c r="BZ194" s="3797"/>
      <c r="CA194" s="3797"/>
      <c r="CB194" s="3797">
        <f t="shared" si="327"/>
        <v>0</v>
      </c>
      <c r="CC194" s="1037"/>
      <c r="CD194" s="3797"/>
      <c r="CE194" s="3797"/>
      <c r="CF194" s="3797"/>
      <c r="CG194" s="3797"/>
      <c r="CH194" s="3797"/>
      <c r="CI194" s="3797"/>
      <c r="CJ194" s="3797"/>
      <c r="CK194" s="3797"/>
      <c r="CL194" s="3797"/>
      <c r="CM194" s="3797"/>
      <c r="CN194" s="3797"/>
      <c r="CO194" s="3797"/>
      <c r="CP194" s="3797">
        <f t="shared" si="328"/>
        <v>0</v>
      </c>
      <c r="CQ194" s="1037"/>
      <c r="CR194" s="3797"/>
      <c r="CS194" s="3797"/>
      <c r="CT194" s="3797"/>
      <c r="CU194" s="3797"/>
      <c r="CV194" s="3797"/>
      <c r="CW194" s="3797"/>
      <c r="CX194" s="3797"/>
      <c r="CY194" s="3797"/>
      <c r="CZ194" s="3797"/>
      <c r="DA194" s="3797"/>
      <c r="DB194" s="3797"/>
      <c r="DC194" s="3797"/>
      <c r="DD194" s="3797">
        <f t="shared" si="329"/>
        <v>0</v>
      </c>
      <c r="DE194" s="1037"/>
      <c r="DF194" s="3797"/>
      <c r="DG194" s="3797"/>
      <c r="DH194" s="3797"/>
      <c r="DI194" s="3828">
        <f t="shared" si="330"/>
        <v>0</v>
      </c>
      <c r="DJ194" s="3831">
        <f t="shared" si="354"/>
        <v>0</v>
      </c>
      <c r="DK194" s="108"/>
      <c r="DL194" s="1027">
        <f t="shared" si="351"/>
        <v>0</v>
      </c>
      <c r="DM194" s="108"/>
      <c r="DN194" s="3814"/>
      <c r="DO194" s="3814"/>
      <c r="DP194" s="3814"/>
      <c r="DQ194" s="3814"/>
      <c r="DR194" s="3814" t="str">
        <f t="shared" si="323"/>
        <v>1</v>
      </c>
      <c r="DS194" s="1037"/>
      <c r="DT194" s="1037"/>
      <c r="DU194" s="108"/>
      <c r="DV194" s="108"/>
      <c r="DW194" s="108"/>
      <c r="DX194" s="108"/>
      <c r="DY194" s="108"/>
      <c r="DZ194" s="108"/>
    </row>
    <row r="195" spans="1:130" ht="15" hidden="1" outlineLevel="4">
      <c r="B195" s="3837"/>
      <c r="C195" s="3309"/>
      <c r="D195" s="3492" t="s">
        <v>914</v>
      </c>
      <c r="E195" s="2236"/>
      <c r="F195" s="3493" t="s">
        <v>914</v>
      </c>
      <c r="G195" s="2863" t="s">
        <v>1279</v>
      </c>
      <c r="H195" s="3494" t="s">
        <v>915</v>
      </c>
      <c r="I195" s="3495"/>
      <c r="J195" s="1444"/>
      <c r="L195" s="852"/>
      <c r="M195" s="852"/>
      <c r="N195" s="3496"/>
      <c r="O195" s="3496"/>
      <c r="P195" s="3496"/>
      <c r="Q195" s="3496"/>
      <c r="R195" s="3496"/>
      <c r="S195" s="3496"/>
      <c r="T195" s="3496"/>
      <c r="U195" s="3496"/>
      <c r="W195" s="3801"/>
      <c r="X195" s="3801"/>
      <c r="Y195" s="3801"/>
      <c r="Z195" s="3801"/>
      <c r="AA195" s="3801"/>
      <c r="AB195" s="3801"/>
      <c r="AD195" s="3840"/>
      <c r="AE195" s="3843"/>
      <c r="AF195" s="3843"/>
      <c r="AG195" s="3843"/>
      <c r="AH195" s="3846"/>
      <c r="AI195" s="3846"/>
      <c r="AJ195" s="3816"/>
      <c r="AL195" s="3798"/>
      <c r="AM195" s="3849"/>
      <c r="AN195" s="3798"/>
      <c r="AP195" s="3798"/>
      <c r="AQ195" s="3798"/>
      <c r="AR195" s="3798"/>
      <c r="AS195" s="3798"/>
      <c r="AT195" s="3798"/>
      <c r="AU195" s="3798"/>
      <c r="AV195" s="3798"/>
      <c r="AW195" s="3798"/>
      <c r="AX195" s="3798"/>
      <c r="AY195" s="3798"/>
      <c r="AZ195" s="3798">
        <f t="shared" si="325"/>
        <v>0</v>
      </c>
      <c r="BB195" s="3798"/>
      <c r="BC195" s="3810"/>
      <c r="BD195" s="3810"/>
      <c r="BE195" s="3810"/>
      <c r="BF195" s="3810"/>
      <c r="BG195" s="3810"/>
      <c r="BH195" s="3810"/>
      <c r="BI195" s="3810"/>
      <c r="BJ195" s="3810"/>
      <c r="BK195" s="3810"/>
      <c r="BL195" s="3810"/>
      <c r="BM195" s="3810"/>
      <c r="BN195" s="3798">
        <f t="shared" si="326"/>
        <v>0</v>
      </c>
      <c r="BP195" s="3810"/>
      <c r="BQ195" s="3810"/>
      <c r="BR195" s="3810"/>
      <c r="BS195" s="3810"/>
      <c r="BT195" s="3810"/>
      <c r="BU195" s="3810"/>
      <c r="BV195" s="3810"/>
      <c r="BW195" s="3810"/>
      <c r="BX195" s="3810"/>
      <c r="BY195" s="3810"/>
      <c r="BZ195" s="3798"/>
      <c r="CA195" s="3798"/>
      <c r="CB195" s="3798">
        <f t="shared" si="327"/>
        <v>0</v>
      </c>
      <c r="CD195" s="3798"/>
      <c r="CE195" s="3798"/>
      <c r="CF195" s="3798"/>
      <c r="CG195" s="3798"/>
      <c r="CH195" s="3798"/>
      <c r="CI195" s="3798"/>
      <c r="CJ195" s="3798"/>
      <c r="CK195" s="3798"/>
      <c r="CL195" s="3798"/>
      <c r="CM195" s="3798"/>
      <c r="CN195" s="3798"/>
      <c r="CO195" s="3798"/>
      <c r="CP195" s="3798">
        <f t="shared" si="328"/>
        <v>0</v>
      </c>
      <c r="CR195" s="3798"/>
      <c r="CS195" s="3798"/>
      <c r="CT195" s="3798"/>
      <c r="CU195" s="3798"/>
      <c r="CV195" s="3798"/>
      <c r="CW195" s="3798"/>
      <c r="CX195" s="3798"/>
      <c r="CY195" s="3798"/>
      <c r="CZ195" s="3798"/>
      <c r="DA195" s="3798"/>
      <c r="DB195" s="3798"/>
      <c r="DC195" s="3798"/>
      <c r="DD195" s="3798">
        <f t="shared" si="329"/>
        <v>0</v>
      </c>
      <c r="DF195" s="3798"/>
      <c r="DG195" s="3798"/>
      <c r="DH195" s="3798"/>
      <c r="DI195" s="3829">
        <f t="shared" si="330"/>
        <v>0</v>
      </c>
      <c r="DJ195" s="3832">
        <f t="shared" si="354"/>
        <v>0</v>
      </c>
      <c r="DL195" s="1027">
        <f t="shared" si="351"/>
        <v>0</v>
      </c>
      <c r="DN195" s="3815"/>
      <c r="DO195" s="3815"/>
      <c r="DP195" s="3815"/>
      <c r="DQ195" s="3815"/>
      <c r="DR195" s="3815" t="str">
        <f t="shared" si="323"/>
        <v>1</v>
      </c>
      <c r="DS195" s="1037"/>
      <c r="DT195" s="1037"/>
    </row>
    <row r="196" spans="1:130" ht="90" hidden="1" outlineLevel="4">
      <c r="B196" s="2873"/>
      <c r="C196" s="3309"/>
      <c r="D196" s="3492" t="s">
        <v>916</v>
      </c>
      <c r="E196" s="588"/>
      <c r="F196" s="3310" t="s">
        <v>916</v>
      </c>
      <c r="G196" s="2874" t="s">
        <v>1279</v>
      </c>
      <c r="H196" s="3318" t="s">
        <v>917</v>
      </c>
      <c r="I196" s="3312"/>
      <c r="J196" s="177" t="s">
        <v>1417</v>
      </c>
      <c r="L196" s="364"/>
      <c r="M196" s="364"/>
      <c r="N196" s="3329"/>
      <c r="O196" s="3329"/>
      <c r="P196" s="3329"/>
      <c r="Q196" s="3329"/>
      <c r="R196" s="3329"/>
      <c r="S196" s="3329"/>
      <c r="T196" s="3329"/>
      <c r="U196" s="3329"/>
      <c r="W196" s="853"/>
      <c r="X196" s="853"/>
      <c r="Y196" s="853"/>
      <c r="Z196" s="853"/>
      <c r="AA196" s="853"/>
      <c r="AB196" s="173"/>
      <c r="AD196" s="2875"/>
      <c r="AE196" s="159"/>
      <c r="AF196" s="159"/>
      <c r="AG196" s="159"/>
      <c r="AH196" s="355"/>
      <c r="AI196" s="355">
        <v>0</v>
      </c>
      <c r="AJ196" s="1235"/>
      <c r="AL196" s="355"/>
      <c r="AM196" s="355"/>
      <c r="AN196" s="355">
        <f>+AL196+AM196</f>
        <v>0</v>
      </c>
      <c r="AP196" s="355"/>
      <c r="AQ196" s="355"/>
      <c r="AR196" s="355"/>
      <c r="AS196" s="355"/>
      <c r="AT196" s="355"/>
      <c r="AU196" s="355"/>
      <c r="AV196" s="355"/>
      <c r="AW196" s="355"/>
      <c r="AX196" s="355"/>
      <c r="AY196" s="355"/>
      <c r="AZ196" s="355">
        <f t="shared" si="325"/>
        <v>0</v>
      </c>
      <c r="BB196" s="355"/>
      <c r="BC196" s="355"/>
      <c r="BD196" s="355"/>
      <c r="BE196" s="355"/>
      <c r="BF196" s="355"/>
      <c r="BG196" s="355"/>
      <c r="BH196" s="355"/>
      <c r="BI196" s="355"/>
      <c r="BJ196" s="355"/>
      <c r="BK196" s="355"/>
      <c r="BL196" s="355"/>
      <c r="BM196" s="355"/>
      <c r="BN196" s="355">
        <f t="shared" si="326"/>
        <v>0</v>
      </c>
      <c r="BP196" s="355"/>
      <c r="BQ196" s="355"/>
      <c r="BR196" s="355"/>
      <c r="BS196" s="355"/>
      <c r="BT196" s="355"/>
      <c r="BU196" s="355"/>
      <c r="BV196" s="355"/>
      <c r="BW196" s="355"/>
      <c r="BX196" s="355"/>
      <c r="BY196" s="355"/>
      <c r="BZ196" s="355"/>
      <c r="CA196" s="355"/>
      <c r="CB196" s="355">
        <f t="shared" si="327"/>
        <v>0</v>
      </c>
      <c r="CD196" s="355"/>
      <c r="CE196" s="355"/>
      <c r="CF196" s="355"/>
      <c r="CG196" s="355"/>
      <c r="CH196" s="355"/>
      <c r="CI196" s="355"/>
      <c r="CJ196" s="355"/>
      <c r="CK196" s="355"/>
      <c r="CL196" s="355"/>
      <c r="CM196" s="355"/>
      <c r="CN196" s="355"/>
      <c r="CO196" s="355"/>
      <c r="CP196" s="355">
        <f t="shared" si="328"/>
        <v>0</v>
      </c>
      <c r="CR196" s="355"/>
      <c r="CS196" s="355"/>
      <c r="CT196" s="355"/>
      <c r="CU196" s="355"/>
      <c r="CV196" s="355"/>
      <c r="CW196" s="355"/>
      <c r="CX196" s="355"/>
      <c r="CY196" s="355"/>
      <c r="CZ196" s="355"/>
      <c r="DA196" s="355"/>
      <c r="DB196" s="355"/>
      <c r="DC196" s="355"/>
      <c r="DD196" s="355">
        <f t="shared" si="329"/>
        <v>0</v>
      </c>
      <c r="DF196" s="355"/>
      <c r="DG196" s="355"/>
      <c r="DH196" s="355"/>
      <c r="DI196" s="3092">
        <f t="shared" si="330"/>
        <v>0</v>
      </c>
      <c r="DJ196" s="3140">
        <f t="shared" si="354"/>
        <v>0</v>
      </c>
      <c r="DL196" s="1027">
        <f t="shared" si="351"/>
        <v>0</v>
      </c>
      <c r="DN196" s="2762" t="s">
        <v>1175</v>
      </c>
      <c r="DO196" s="2763" t="s">
        <v>1175</v>
      </c>
      <c r="DP196" s="2763"/>
      <c r="DQ196" s="2763" t="s">
        <v>1175</v>
      </c>
      <c r="DR196" s="2763" t="str">
        <f t="shared" si="323"/>
        <v>1</v>
      </c>
      <c r="DS196" s="1037"/>
      <c r="DT196" s="1037"/>
    </row>
    <row r="197" spans="1:130" ht="14" hidden="1" customHeight="1" outlineLevel="3">
      <c r="A197" s="153"/>
      <c r="B197" s="2839"/>
      <c r="C197" s="3306" t="s">
        <v>918</v>
      </c>
      <c r="D197" s="2942" t="s">
        <v>918</v>
      </c>
      <c r="E197" s="2830"/>
      <c r="F197" s="3307" t="s">
        <v>918</v>
      </c>
      <c r="G197" s="2833"/>
      <c r="H197" s="3486" t="s">
        <v>919</v>
      </c>
      <c r="I197" s="3308"/>
      <c r="J197" s="1250" t="s">
        <v>1418</v>
      </c>
      <c r="L197" s="851"/>
      <c r="M197" s="851"/>
      <c r="N197" s="3347"/>
      <c r="O197" s="3347"/>
      <c r="P197" s="3347"/>
      <c r="Q197" s="3347"/>
      <c r="R197" s="3347"/>
      <c r="S197" s="3347"/>
      <c r="T197" s="3347"/>
      <c r="U197" s="3347"/>
      <c r="W197" s="1488"/>
      <c r="X197" s="1488"/>
      <c r="Y197" s="1488"/>
      <c r="Z197" s="1488">
        <v>84</v>
      </c>
      <c r="AA197" s="1488"/>
      <c r="AB197" s="1489"/>
      <c r="AD197" s="2840"/>
      <c r="AE197" s="397"/>
      <c r="AF197" s="397"/>
      <c r="AG197" s="397"/>
      <c r="AH197" s="398"/>
      <c r="AI197" s="398">
        <f>SUM(AI198:AI202)</f>
        <v>5020000</v>
      </c>
      <c r="AJ197" s="691" t="s">
        <v>1419</v>
      </c>
      <c r="AL197" s="398">
        <f>SUM(AL198:AL202)</f>
        <v>5020000</v>
      </c>
      <c r="AM197" s="398">
        <f>SUM(AM198:AM202)</f>
        <v>0</v>
      </c>
      <c r="AN197" s="398">
        <f t="shared" si="348"/>
        <v>5020000</v>
      </c>
      <c r="AP197" s="398">
        <f t="shared" ref="AP197:AY197" si="360">SUM(AP198:AP202)</f>
        <v>0</v>
      </c>
      <c r="AQ197" s="398">
        <f t="shared" si="360"/>
        <v>0</v>
      </c>
      <c r="AR197" s="398">
        <f t="shared" si="360"/>
        <v>0</v>
      </c>
      <c r="AS197" s="398">
        <f t="shared" si="360"/>
        <v>0</v>
      </c>
      <c r="AT197" s="398">
        <f t="shared" si="360"/>
        <v>0</v>
      </c>
      <c r="AU197" s="398">
        <f t="shared" si="360"/>
        <v>0</v>
      </c>
      <c r="AV197" s="398">
        <f t="shared" si="360"/>
        <v>0</v>
      </c>
      <c r="AW197" s="398">
        <f t="shared" si="360"/>
        <v>0</v>
      </c>
      <c r="AX197" s="398">
        <f t="shared" si="360"/>
        <v>0</v>
      </c>
      <c r="AY197" s="398">
        <f t="shared" si="360"/>
        <v>0</v>
      </c>
      <c r="AZ197" s="992">
        <f t="shared" si="325"/>
        <v>0</v>
      </c>
      <c r="BB197" s="398">
        <f t="shared" ref="BB197:BM197" si="361">SUM(BB198:BB202)</f>
        <v>0</v>
      </c>
      <c r="BC197" s="398">
        <f t="shared" si="361"/>
        <v>0</v>
      </c>
      <c r="BD197" s="398">
        <f t="shared" si="361"/>
        <v>0</v>
      </c>
      <c r="BE197" s="398">
        <f t="shared" si="361"/>
        <v>0</v>
      </c>
      <c r="BF197" s="398">
        <f t="shared" si="361"/>
        <v>0</v>
      </c>
      <c r="BG197" s="398">
        <f t="shared" si="361"/>
        <v>0</v>
      </c>
      <c r="BH197" s="398">
        <f t="shared" si="361"/>
        <v>0</v>
      </c>
      <c r="BI197" s="398">
        <f t="shared" si="361"/>
        <v>0</v>
      </c>
      <c r="BJ197" s="398">
        <f t="shared" si="361"/>
        <v>0</v>
      </c>
      <c r="BK197" s="398">
        <f t="shared" si="361"/>
        <v>0</v>
      </c>
      <c r="BL197" s="398">
        <f t="shared" si="361"/>
        <v>0</v>
      </c>
      <c r="BM197" s="398">
        <f t="shared" si="361"/>
        <v>0</v>
      </c>
      <c r="BN197" s="992">
        <f t="shared" si="326"/>
        <v>0</v>
      </c>
      <c r="BP197" s="398">
        <f t="shared" ref="BP197:CA197" si="362">SUM(BP198:BP202)</f>
        <v>0</v>
      </c>
      <c r="BQ197" s="398">
        <f t="shared" si="362"/>
        <v>0</v>
      </c>
      <c r="BR197" s="398">
        <f t="shared" si="362"/>
        <v>0</v>
      </c>
      <c r="BS197" s="398">
        <f t="shared" si="362"/>
        <v>0</v>
      </c>
      <c r="BT197" s="398">
        <f t="shared" si="362"/>
        <v>6000</v>
      </c>
      <c r="BU197" s="398">
        <f t="shared" si="362"/>
        <v>15000</v>
      </c>
      <c r="BV197" s="398">
        <f t="shared" si="362"/>
        <v>18000</v>
      </c>
      <c r="BW197" s="398">
        <f t="shared" si="362"/>
        <v>21000</v>
      </c>
      <c r="BX197" s="398">
        <f t="shared" si="362"/>
        <v>0</v>
      </c>
      <c r="BY197" s="398">
        <f t="shared" si="362"/>
        <v>0</v>
      </c>
      <c r="BZ197" s="398">
        <f t="shared" si="362"/>
        <v>0</v>
      </c>
      <c r="CA197" s="398">
        <f t="shared" si="362"/>
        <v>0</v>
      </c>
      <c r="CB197" s="992">
        <f>SUM(BP197:CA197)</f>
        <v>60000</v>
      </c>
      <c r="CD197" s="398">
        <f t="shared" ref="CD197:CO197" si="363">SUM(CD198:CD202)</f>
        <v>0</v>
      </c>
      <c r="CE197" s="398">
        <f t="shared" si="363"/>
        <v>0</v>
      </c>
      <c r="CF197" s="398">
        <f t="shared" si="363"/>
        <v>0</v>
      </c>
      <c r="CG197" s="398">
        <f t="shared" si="363"/>
        <v>0</v>
      </c>
      <c r="CH197" s="398">
        <f t="shared" si="363"/>
        <v>0</v>
      </c>
      <c r="CI197" s="398">
        <f t="shared" si="363"/>
        <v>0</v>
      </c>
      <c r="CJ197" s="398">
        <f t="shared" si="363"/>
        <v>0</v>
      </c>
      <c r="CK197" s="398">
        <f t="shared" si="363"/>
        <v>992000</v>
      </c>
      <c r="CL197" s="398">
        <f t="shared" si="363"/>
        <v>0</v>
      </c>
      <c r="CM197" s="398">
        <f t="shared" si="363"/>
        <v>0</v>
      </c>
      <c r="CN197" s="398">
        <f t="shared" si="363"/>
        <v>0</v>
      </c>
      <c r="CO197" s="398">
        <f t="shared" si="363"/>
        <v>0</v>
      </c>
      <c r="CP197" s="993">
        <f t="shared" si="328"/>
        <v>992000</v>
      </c>
      <c r="CR197" s="398">
        <f t="shared" ref="CR197:DC197" si="364">SUM(CR198:CR202)</f>
        <v>0</v>
      </c>
      <c r="CS197" s="398">
        <f t="shared" si="364"/>
        <v>1984000</v>
      </c>
      <c r="CT197" s="398">
        <f t="shared" si="364"/>
        <v>0</v>
      </c>
      <c r="CU197" s="398">
        <f t="shared" si="364"/>
        <v>0</v>
      </c>
      <c r="CV197" s="398">
        <f t="shared" si="364"/>
        <v>0</v>
      </c>
      <c r="CW197" s="398">
        <f t="shared" si="364"/>
        <v>0</v>
      </c>
      <c r="CX197" s="398">
        <f t="shared" si="364"/>
        <v>1484000</v>
      </c>
      <c r="CY197" s="398">
        <f t="shared" si="364"/>
        <v>0</v>
      </c>
      <c r="CZ197" s="398">
        <f t="shared" si="364"/>
        <v>0</v>
      </c>
      <c r="DA197" s="398">
        <f t="shared" si="364"/>
        <v>0</v>
      </c>
      <c r="DB197" s="398">
        <f t="shared" si="364"/>
        <v>500000</v>
      </c>
      <c r="DC197" s="398">
        <f t="shared" si="364"/>
        <v>0</v>
      </c>
      <c r="DD197" s="994">
        <f t="shared" si="329"/>
        <v>3968000</v>
      </c>
      <c r="DF197" s="398">
        <f>SUM(DF198:DF202)</f>
        <v>0</v>
      </c>
      <c r="DG197" s="398">
        <f>SUM(DG198:DG202)</f>
        <v>0</v>
      </c>
      <c r="DH197" s="398">
        <f>SUM(DH198:DH202)</f>
        <v>0</v>
      </c>
      <c r="DI197" s="3083">
        <f t="shared" si="330"/>
        <v>0</v>
      </c>
      <c r="DJ197" s="3136">
        <f t="shared" si="354"/>
        <v>5020000</v>
      </c>
      <c r="DK197" s="153"/>
      <c r="DL197" s="1027">
        <f t="shared" si="351"/>
        <v>0</v>
      </c>
      <c r="DM197" s="153"/>
      <c r="DN197" s="2725" t="s">
        <v>1175</v>
      </c>
      <c r="DO197" s="2726" t="s">
        <v>1175</v>
      </c>
      <c r="DP197" s="2726"/>
      <c r="DQ197" s="2726" t="s">
        <v>1175</v>
      </c>
      <c r="DR197" s="2726" t="str">
        <f t="shared" si="323"/>
        <v>1</v>
      </c>
      <c r="DS197" s="1037"/>
      <c r="DT197" s="1037"/>
      <c r="DU197" s="153"/>
      <c r="DV197" s="153"/>
      <c r="DW197" s="153"/>
      <c r="DX197" s="153"/>
      <c r="DY197" s="153"/>
      <c r="DZ197" s="153"/>
    </row>
    <row r="198" spans="1:130" ht="60" hidden="1" outlineLevel="4">
      <c r="B198" s="2872"/>
      <c r="C198" s="3309" t="s">
        <v>920</v>
      </c>
      <c r="D198" s="3310" t="s">
        <v>920</v>
      </c>
      <c r="E198" s="588"/>
      <c r="F198" s="3310" t="s">
        <v>920</v>
      </c>
      <c r="G198" s="2874"/>
      <c r="H198" s="3318" t="s">
        <v>1420</v>
      </c>
      <c r="I198" s="3312"/>
      <c r="J198" s="177"/>
      <c r="L198" s="364"/>
      <c r="M198" s="364"/>
      <c r="N198" s="3329"/>
      <c r="O198" s="3329"/>
      <c r="P198" s="3329"/>
      <c r="Q198" s="3329"/>
      <c r="R198" s="3329"/>
      <c r="S198" s="3329"/>
      <c r="T198" s="3329"/>
      <c r="U198" s="3329"/>
      <c r="W198" s="853" t="s">
        <v>763</v>
      </c>
      <c r="X198" s="853"/>
      <c r="Y198" s="853" t="s">
        <v>1289</v>
      </c>
      <c r="Z198" s="2685" t="s">
        <v>922</v>
      </c>
      <c r="AA198" s="853" t="s">
        <v>1421</v>
      </c>
      <c r="AB198" s="173"/>
      <c r="AD198" s="182" t="s">
        <v>1422</v>
      </c>
      <c r="AE198" s="712">
        <v>1</v>
      </c>
      <c r="AF198" s="712">
        <v>6</v>
      </c>
      <c r="AG198" s="159"/>
      <c r="AH198" s="355">
        <v>5000</v>
      </c>
      <c r="AI198" s="675">
        <f>+AE198*AF198*AH198</f>
        <v>30000</v>
      </c>
      <c r="AJ198" s="1235"/>
      <c r="AL198" s="355">
        <f>+AI198</f>
        <v>30000</v>
      </c>
      <c r="AM198" s="355"/>
      <c r="AN198" s="1041">
        <f t="shared" si="348"/>
        <v>30000</v>
      </c>
      <c r="AP198" s="1033"/>
      <c r="AQ198" s="1033"/>
      <c r="AR198" s="1033"/>
      <c r="AS198" s="1033"/>
      <c r="AT198" s="1033"/>
      <c r="AU198" s="1033"/>
      <c r="AV198" s="1033"/>
      <c r="AW198" s="1033"/>
      <c r="AX198" s="1033"/>
      <c r="AY198" s="1033"/>
      <c r="AZ198" s="1294">
        <f t="shared" si="325"/>
        <v>0</v>
      </c>
      <c r="BB198" s="1033"/>
      <c r="BC198" s="1033"/>
      <c r="BD198" s="1033"/>
      <c r="BE198" s="1033"/>
      <c r="BF198" s="1033"/>
      <c r="BG198" s="1033"/>
      <c r="BH198" s="1033"/>
      <c r="BI198" s="1033"/>
      <c r="BJ198" s="1033"/>
      <c r="BK198" s="1033"/>
      <c r="BL198" s="1033"/>
      <c r="BM198" s="1033"/>
      <c r="BN198" s="1294">
        <f t="shared" si="326"/>
        <v>0</v>
      </c>
      <c r="BP198" s="1033"/>
      <c r="BQ198" s="1033"/>
      <c r="BR198" s="1033"/>
      <c r="BS198" s="1033"/>
      <c r="BT198" s="1033">
        <f>+$AI$198*0.1</f>
        <v>3000</v>
      </c>
      <c r="BU198" s="1033">
        <f>+$AI$198*0.25</f>
        <v>7500</v>
      </c>
      <c r="BV198" s="1033">
        <f>+$AI$198*0.3</f>
        <v>9000</v>
      </c>
      <c r="BW198" s="1033">
        <f>+$AI$198*0.35</f>
        <v>10500</v>
      </c>
      <c r="BX198" s="1033"/>
      <c r="BY198" s="1033"/>
      <c r="BZ198" s="1033"/>
      <c r="CA198" s="1033"/>
      <c r="CB198" s="1294">
        <f t="shared" si="327"/>
        <v>30000</v>
      </c>
      <c r="CD198" s="1033"/>
      <c r="CE198" s="1033"/>
      <c r="CF198" s="1033"/>
      <c r="CG198" s="1033"/>
      <c r="CH198" s="1033"/>
      <c r="CI198" s="1033"/>
      <c r="CJ198" s="1033"/>
      <c r="CK198" s="1033"/>
      <c r="CL198" s="1033"/>
      <c r="CM198" s="1033"/>
      <c r="CN198" s="1033"/>
      <c r="CO198" s="1033"/>
      <c r="CP198" s="1744">
        <f t="shared" si="328"/>
        <v>0</v>
      </c>
      <c r="CR198" s="1033"/>
      <c r="CS198" s="1033"/>
      <c r="CT198" s="1033"/>
      <c r="CU198" s="1033"/>
      <c r="CV198" s="1033"/>
      <c r="CW198" s="1033"/>
      <c r="CX198" s="1033"/>
      <c r="CY198" s="1033"/>
      <c r="CZ198" s="1033"/>
      <c r="DA198" s="1033"/>
      <c r="DB198" s="1033"/>
      <c r="DC198" s="1033"/>
      <c r="DD198" s="1468">
        <f t="shared" si="329"/>
        <v>0</v>
      </c>
      <c r="DF198" s="1033"/>
      <c r="DG198" s="1033"/>
      <c r="DH198" s="1033"/>
      <c r="DI198" s="3086">
        <f t="shared" si="330"/>
        <v>0</v>
      </c>
      <c r="DJ198" s="3141">
        <f t="shared" si="354"/>
        <v>30000</v>
      </c>
      <c r="DL198" s="1027">
        <f t="shared" si="351"/>
        <v>0</v>
      </c>
      <c r="DN198" s="2716" t="s">
        <v>1180</v>
      </c>
      <c r="DO198" s="2736" t="s">
        <v>1181</v>
      </c>
      <c r="DP198" s="2736" t="s">
        <v>1117</v>
      </c>
      <c r="DQ198" s="2736" t="s">
        <v>4</v>
      </c>
      <c r="DR198" s="2736" t="str">
        <f t="shared" si="323"/>
        <v>1</v>
      </c>
      <c r="DS198" s="1037"/>
      <c r="DT198" s="1037"/>
    </row>
    <row r="199" spans="1:130" s="153" customFormat="1" ht="30" hidden="1" outlineLevel="4">
      <c r="A199" s="108"/>
      <c r="B199" s="2872"/>
      <c r="C199" s="3309"/>
      <c r="D199" s="3310"/>
      <c r="E199" s="588"/>
      <c r="F199" s="3310" t="s">
        <v>1423</v>
      </c>
      <c r="G199" s="2874"/>
      <c r="H199" s="3318" t="s">
        <v>1424</v>
      </c>
      <c r="I199" s="3312"/>
      <c r="J199" s="177"/>
      <c r="K199" s="1037"/>
      <c r="L199" s="364"/>
      <c r="M199" s="364"/>
      <c r="N199" s="3329"/>
      <c r="O199" s="3329"/>
      <c r="P199" s="3329"/>
      <c r="Q199" s="3329"/>
      <c r="R199" s="3329"/>
      <c r="S199" s="3329"/>
      <c r="T199" s="3329"/>
      <c r="U199" s="3329"/>
      <c r="V199" s="1037"/>
      <c r="W199" s="853" t="s">
        <v>763</v>
      </c>
      <c r="X199" s="853"/>
      <c r="Y199" s="853" t="s">
        <v>1289</v>
      </c>
      <c r="Z199" s="1513" t="s">
        <v>1425</v>
      </c>
      <c r="AA199" s="853"/>
      <c r="AB199" s="173"/>
      <c r="AC199" s="1037"/>
      <c r="AD199" s="182"/>
      <c r="AE199" s="712">
        <v>1</v>
      </c>
      <c r="AF199" s="712">
        <v>6</v>
      </c>
      <c r="AG199" s="159"/>
      <c r="AH199" s="355">
        <v>5000</v>
      </c>
      <c r="AI199" s="675">
        <f>+AE199*AF199*AH199</f>
        <v>30000</v>
      </c>
      <c r="AJ199" s="1235"/>
      <c r="AK199" s="1037"/>
      <c r="AL199" s="355">
        <f>+AI199</f>
        <v>30000</v>
      </c>
      <c r="AM199" s="355"/>
      <c r="AN199" s="1041">
        <f t="shared" si="348"/>
        <v>30000</v>
      </c>
      <c r="AO199" s="1037"/>
      <c r="AP199" s="1033"/>
      <c r="AQ199" s="1033"/>
      <c r="AR199" s="1033"/>
      <c r="AS199" s="1033"/>
      <c r="AT199" s="1033"/>
      <c r="AU199" s="1033"/>
      <c r="AV199" s="1033"/>
      <c r="AW199" s="1033"/>
      <c r="AX199" s="1033"/>
      <c r="AY199" s="1033"/>
      <c r="AZ199" s="1294"/>
      <c r="BA199" s="1037"/>
      <c r="BB199" s="1033"/>
      <c r="BC199" s="1033"/>
      <c r="BD199" s="1033"/>
      <c r="BE199" s="1033"/>
      <c r="BF199" s="1033"/>
      <c r="BG199" s="1033"/>
      <c r="BH199" s="1033"/>
      <c r="BI199" s="1033"/>
      <c r="BJ199" s="1033"/>
      <c r="BK199" s="1033"/>
      <c r="BL199" s="1033"/>
      <c r="BM199" s="1033"/>
      <c r="BN199" s="1294"/>
      <c r="BO199" s="1037"/>
      <c r="BP199" s="1033"/>
      <c r="BQ199" s="1033"/>
      <c r="BR199" s="1033"/>
      <c r="BS199" s="1033"/>
      <c r="BT199" s="1033">
        <f>+$AI$199*0.1</f>
        <v>3000</v>
      </c>
      <c r="BU199" s="1033">
        <f>+$AI$199*0.25</f>
        <v>7500</v>
      </c>
      <c r="BV199" s="1033">
        <f>+$AI$199*0.3</f>
        <v>9000</v>
      </c>
      <c r="BW199" s="1033">
        <f>+$AI$199*0.35</f>
        <v>10500</v>
      </c>
      <c r="BX199" s="1033"/>
      <c r="BY199" s="1033"/>
      <c r="BZ199" s="1033"/>
      <c r="CA199" s="1033"/>
      <c r="CB199" s="1294">
        <f t="shared" si="327"/>
        <v>30000</v>
      </c>
      <c r="CC199" s="1037"/>
      <c r="CD199" s="1033"/>
      <c r="CE199" s="1033"/>
      <c r="CF199" s="1033"/>
      <c r="CG199" s="1033"/>
      <c r="CH199" s="1033"/>
      <c r="CI199" s="1033"/>
      <c r="CJ199" s="1033"/>
      <c r="CK199" s="1033"/>
      <c r="CL199" s="1033"/>
      <c r="CM199" s="1033"/>
      <c r="CN199" s="1033"/>
      <c r="CO199" s="1033"/>
      <c r="CP199" s="1294">
        <f t="shared" si="328"/>
        <v>0</v>
      </c>
      <c r="CQ199" s="1037"/>
      <c r="CR199" s="1033"/>
      <c r="CS199" s="1033"/>
      <c r="CT199" s="1033"/>
      <c r="CU199" s="1033"/>
      <c r="CV199" s="1033"/>
      <c r="CW199" s="1033"/>
      <c r="CX199" s="1033"/>
      <c r="CY199" s="2993"/>
      <c r="CZ199" s="1033"/>
      <c r="DA199" s="1033"/>
      <c r="DB199" s="2993"/>
      <c r="DC199" s="1033"/>
      <c r="DD199" s="1294">
        <f t="shared" si="329"/>
        <v>0</v>
      </c>
      <c r="DE199" s="1037"/>
      <c r="DF199" s="1033"/>
      <c r="DG199" s="1033"/>
      <c r="DH199" s="1033"/>
      <c r="DI199" s="3086">
        <f>SUM(CW199:DH199)</f>
        <v>0</v>
      </c>
      <c r="DJ199" s="3141">
        <f t="shared" si="354"/>
        <v>30000</v>
      </c>
      <c r="DK199" s="108"/>
      <c r="DL199" s="1027">
        <f t="shared" si="351"/>
        <v>0</v>
      </c>
      <c r="DM199" s="108"/>
      <c r="DN199" s="2716"/>
      <c r="DO199" s="2736"/>
      <c r="DP199" s="2736"/>
      <c r="DQ199" s="2736"/>
      <c r="DR199" s="2736"/>
      <c r="DS199" s="1037"/>
      <c r="DT199" s="1037"/>
      <c r="DU199" s="108"/>
      <c r="DV199" s="108"/>
      <c r="DW199" s="108"/>
      <c r="DX199" s="108"/>
      <c r="DY199" s="108"/>
      <c r="DZ199" s="108"/>
    </row>
    <row r="200" spans="1:130" ht="15" hidden="1" outlineLevel="4">
      <c r="B200" s="2876"/>
      <c r="C200" s="3309" t="s">
        <v>923</v>
      </c>
      <c r="D200" s="3310" t="s">
        <v>923</v>
      </c>
      <c r="E200" s="588"/>
      <c r="F200" s="3325" t="s">
        <v>923</v>
      </c>
      <c r="G200" s="2838"/>
      <c r="H200" s="3332" t="s">
        <v>924</v>
      </c>
      <c r="I200" s="3319"/>
      <c r="J200" s="103"/>
      <c r="L200" s="364"/>
      <c r="M200" s="364"/>
      <c r="N200" s="3345"/>
      <c r="O200" s="3345"/>
      <c r="P200" s="3345"/>
      <c r="Q200" s="3345"/>
      <c r="R200" s="3345"/>
      <c r="S200" s="3345"/>
      <c r="T200" s="3345"/>
      <c r="U200" s="3345"/>
      <c r="W200" s="3817" t="s">
        <v>853</v>
      </c>
      <c r="X200" s="3817"/>
      <c r="Y200" s="3817" t="s">
        <v>1198</v>
      </c>
      <c r="Z200" s="1513" t="s">
        <v>1426</v>
      </c>
      <c r="AA200" s="3817"/>
      <c r="AB200" s="3817"/>
      <c r="AD200" s="1032" t="s">
        <v>1179</v>
      </c>
      <c r="AE200" s="1443">
        <v>1</v>
      </c>
      <c r="AF200" s="1443"/>
      <c r="AG200" s="1443"/>
      <c r="AH200" s="1032">
        <v>2490000</v>
      </c>
      <c r="AI200" s="1032">
        <f>+AE200*AH200</f>
        <v>2490000</v>
      </c>
      <c r="AJ200" s="3818" t="s">
        <v>1427</v>
      </c>
      <c r="AL200" s="1032">
        <f>+AI200</f>
        <v>2490000</v>
      </c>
      <c r="AM200" s="1032"/>
      <c r="AN200" s="1041">
        <f t="shared" si="348"/>
        <v>2490000</v>
      </c>
      <c r="AP200" s="1038"/>
      <c r="AQ200" s="1038"/>
      <c r="AR200" s="1038"/>
      <c r="AS200" s="1038"/>
      <c r="AT200" s="1038"/>
      <c r="AU200" s="1038"/>
      <c r="AV200" s="1038"/>
      <c r="AW200" s="1038"/>
      <c r="AX200" s="1038"/>
      <c r="AY200" s="1038"/>
      <c r="AZ200" s="1498">
        <f t="shared" si="325"/>
        <v>0</v>
      </c>
      <c r="BB200" s="1038"/>
      <c r="BC200" s="1038"/>
      <c r="BD200" s="1038"/>
      <c r="BE200" s="1038"/>
      <c r="BF200" s="1038"/>
      <c r="BG200" s="1038"/>
      <c r="BH200" s="1038"/>
      <c r="BI200" s="1038"/>
      <c r="BJ200" s="1038"/>
      <c r="BK200" s="1038"/>
      <c r="BL200" s="1038"/>
      <c r="BM200" s="1038"/>
      <c r="BN200" s="1498">
        <f t="shared" si="326"/>
        <v>0</v>
      </c>
      <c r="BP200" s="1038"/>
      <c r="BQ200" s="1038"/>
      <c r="BR200" s="1038"/>
      <c r="BS200" s="1038"/>
      <c r="BT200" s="1038"/>
      <c r="BU200" s="1038"/>
      <c r="BV200" s="1038"/>
      <c r="BW200" s="1038"/>
      <c r="BX200" s="1038"/>
      <c r="BY200" s="1038"/>
      <c r="BZ200" s="1038"/>
      <c r="CA200" s="1044"/>
      <c r="CB200" s="2930">
        <f t="shared" si="327"/>
        <v>0</v>
      </c>
      <c r="CD200" s="1038"/>
      <c r="CE200" s="1038"/>
      <c r="CF200" s="1038"/>
      <c r="CG200" s="1044"/>
      <c r="CH200" s="1044"/>
      <c r="CI200" s="1044"/>
      <c r="CJ200" s="1044"/>
      <c r="CK200" s="1044">
        <f>+$AH$200*0.2</f>
        <v>498000</v>
      </c>
      <c r="CL200" s="1044"/>
      <c r="CM200" s="1044"/>
      <c r="CN200" s="1044"/>
      <c r="CO200" s="1044"/>
      <c r="CP200" s="1498">
        <f t="shared" si="328"/>
        <v>498000</v>
      </c>
      <c r="CR200" s="1038"/>
      <c r="CS200" s="1044">
        <f>+$AH$200*0.4</f>
        <v>996000</v>
      </c>
      <c r="CT200" s="1044"/>
      <c r="CU200" s="1044"/>
      <c r="CV200" s="1044"/>
      <c r="CW200" s="1044"/>
      <c r="CX200" s="1044">
        <f>+$AH$200*0.4</f>
        <v>996000</v>
      </c>
      <c r="CY200" s="2644"/>
      <c r="CZ200" s="1044"/>
      <c r="DA200" s="1044"/>
      <c r="DB200" s="2644"/>
      <c r="DC200" s="1044"/>
      <c r="DD200" s="2017">
        <f t="shared" si="329"/>
        <v>1992000</v>
      </c>
      <c r="DF200" s="1044"/>
      <c r="DG200" s="1044"/>
      <c r="DH200" s="1044"/>
      <c r="DI200" s="1498">
        <f t="shared" si="330"/>
        <v>0</v>
      </c>
      <c r="DJ200" s="3142">
        <f t="shared" si="354"/>
        <v>2490000</v>
      </c>
      <c r="DL200" s="1027">
        <f t="shared" si="351"/>
        <v>0</v>
      </c>
      <c r="DN200" s="2749" t="s">
        <v>1180</v>
      </c>
      <c r="DO200" s="2730" t="s">
        <v>1181</v>
      </c>
      <c r="DP200" s="2736" t="s">
        <v>1117</v>
      </c>
      <c r="DQ200" s="2730" t="s">
        <v>4</v>
      </c>
      <c r="DR200" s="2730" t="str">
        <f t="shared" si="323"/>
        <v>1</v>
      </c>
      <c r="DS200" s="1037"/>
      <c r="DT200" s="1037"/>
    </row>
    <row r="201" spans="1:130" ht="15" hidden="1" outlineLevel="4">
      <c r="B201" s="2876"/>
      <c r="C201" s="3309" t="s">
        <v>926</v>
      </c>
      <c r="D201" s="3310" t="s">
        <v>926</v>
      </c>
      <c r="E201" s="588"/>
      <c r="F201" s="3325" t="s">
        <v>926</v>
      </c>
      <c r="G201" s="2838"/>
      <c r="H201" s="3332" t="s">
        <v>927</v>
      </c>
      <c r="I201" s="3319"/>
      <c r="J201" s="103"/>
      <c r="L201" s="364"/>
      <c r="M201" s="364"/>
      <c r="N201" s="3345"/>
      <c r="O201" s="3345"/>
      <c r="P201" s="3345"/>
      <c r="Q201" s="3345"/>
      <c r="R201" s="3345"/>
      <c r="S201" s="3345"/>
      <c r="T201" s="3345"/>
      <c r="U201" s="3345"/>
      <c r="W201" s="3817"/>
      <c r="X201" s="3817"/>
      <c r="Y201" s="3817"/>
      <c r="Z201" s="1513" t="s">
        <v>1428</v>
      </c>
      <c r="AA201" s="3817"/>
      <c r="AB201" s="3817"/>
      <c r="AD201" s="1032" t="s">
        <v>1179</v>
      </c>
      <c r="AE201" s="1443">
        <v>1</v>
      </c>
      <c r="AF201" s="1443"/>
      <c r="AG201" s="1443"/>
      <c r="AH201" s="1032">
        <v>1220000</v>
      </c>
      <c r="AI201" s="1032">
        <f>+AE201*AH201</f>
        <v>1220000</v>
      </c>
      <c r="AJ201" s="3819"/>
      <c r="AL201" s="1032">
        <f>+AI201</f>
        <v>1220000</v>
      </c>
      <c r="AM201" s="1032"/>
      <c r="AN201" s="1041">
        <f t="shared" si="348"/>
        <v>1220000</v>
      </c>
      <c r="AP201" s="1038"/>
      <c r="AQ201" s="1038"/>
      <c r="AR201" s="1038"/>
      <c r="AS201" s="1038"/>
      <c r="AT201" s="1038"/>
      <c r="AU201" s="1038"/>
      <c r="AV201" s="1038"/>
      <c r="AW201" s="1038"/>
      <c r="AX201" s="1038"/>
      <c r="AY201" s="1038"/>
      <c r="AZ201" s="1498">
        <f t="shared" si="325"/>
        <v>0</v>
      </c>
      <c r="BB201" s="1038"/>
      <c r="BC201" s="1038"/>
      <c r="BD201" s="1038"/>
      <c r="BE201" s="1038"/>
      <c r="BF201" s="1038"/>
      <c r="BG201" s="1038"/>
      <c r="BH201" s="1038"/>
      <c r="BI201" s="1038"/>
      <c r="BJ201" s="1038"/>
      <c r="BK201" s="1038"/>
      <c r="BL201" s="1038"/>
      <c r="BM201" s="1038"/>
      <c r="BN201" s="1498">
        <f t="shared" si="326"/>
        <v>0</v>
      </c>
      <c r="BP201" s="1038"/>
      <c r="BQ201" s="1038"/>
      <c r="BR201" s="1038"/>
      <c r="BS201" s="1038"/>
      <c r="BT201" s="1038"/>
      <c r="BU201" s="1038"/>
      <c r="BV201" s="1038"/>
      <c r="BW201" s="1038"/>
      <c r="BX201" s="1038"/>
      <c r="BY201" s="1038"/>
      <c r="BZ201" s="1038"/>
      <c r="CA201" s="1044"/>
      <c r="CB201" s="2930">
        <f t="shared" si="327"/>
        <v>0</v>
      </c>
      <c r="CD201" s="1038"/>
      <c r="CE201" s="1038"/>
      <c r="CF201" s="1038"/>
      <c r="CG201" s="1044"/>
      <c r="CH201" s="1044"/>
      <c r="CI201" s="1044"/>
      <c r="CJ201" s="1044"/>
      <c r="CK201" s="1044">
        <f>+$AH$201*0.2</f>
        <v>244000</v>
      </c>
      <c r="CL201" s="1044"/>
      <c r="CM201" s="1044"/>
      <c r="CN201" s="1044"/>
      <c r="CO201" s="1044"/>
      <c r="CP201" s="1498">
        <f>SUM(CD201:CO201)</f>
        <v>244000</v>
      </c>
      <c r="CR201" s="1038"/>
      <c r="CS201" s="1044">
        <f>+$AH$201*0.4</f>
        <v>488000</v>
      </c>
      <c r="CT201" s="1044"/>
      <c r="CU201" s="1044"/>
      <c r="CV201" s="1044"/>
      <c r="CW201" s="1044"/>
      <c r="CX201" s="1044">
        <f>+$AH$201*0.4</f>
        <v>488000</v>
      </c>
      <c r="CY201" s="2644"/>
      <c r="CZ201" s="1044"/>
      <c r="DA201" s="1044"/>
      <c r="DB201" s="2644"/>
      <c r="DC201" s="1044"/>
      <c r="DD201" s="2017">
        <f>SUM(CR201:DC201)</f>
        <v>976000</v>
      </c>
      <c r="DF201" s="1044"/>
      <c r="DG201" s="1044"/>
      <c r="DH201" s="1044"/>
      <c r="DI201" s="1498">
        <f>SUM(DF201:DH201)</f>
        <v>0</v>
      </c>
      <c r="DJ201" s="3142">
        <f t="shared" si="354"/>
        <v>1220000</v>
      </c>
      <c r="DL201" s="1027">
        <f t="shared" si="351"/>
        <v>0</v>
      </c>
      <c r="DN201" s="2749" t="s">
        <v>1180</v>
      </c>
      <c r="DO201" s="2730" t="s">
        <v>1181</v>
      </c>
      <c r="DP201" s="2736" t="s">
        <v>1117</v>
      </c>
      <c r="DQ201" s="2730" t="s">
        <v>4</v>
      </c>
      <c r="DR201" s="2730" t="str">
        <f t="shared" si="323"/>
        <v>1</v>
      </c>
      <c r="DS201" s="1037"/>
      <c r="DT201" s="1037"/>
    </row>
    <row r="202" spans="1:130" ht="15" hidden="1" outlineLevel="4">
      <c r="A202" s="153"/>
      <c r="B202" s="2877"/>
      <c r="C202" s="3309" t="s">
        <v>928</v>
      </c>
      <c r="D202" s="3310" t="s">
        <v>928</v>
      </c>
      <c r="E202" s="2827"/>
      <c r="F202" s="3325" t="s">
        <v>928</v>
      </c>
      <c r="G202" s="2864"/>
      <c r="H202" s="3332" t="s">
        <v>929</v>
      </c>
      <c r="I202" s="3321"/>
      <c r="J202" s="1495"/>
      <c r="L202" s="853"/>
      <c r="M202" s="853"/>
      <c r="N202" s="3455"/>
      <c r="O202" s="3455"/>
      <c r="P202" s="3455"/>
      <c r="Q202" s="3455"/>
      <c r="R202" s="3455"/>
      <c r="S202" s="3455"/>
      <c r="T202" s="3455"/>
      <c r="U202" s="3455"/>
      <c r="W202" s="3817"/>
      <c r="X202" s="3817"/>
      <c r="Y202" s="3817"/>
      <c r="Z202" s="3821" t="s">
        <v>1429</v>
      </c>
      <c r="AA202" s="3817"/>
      <c r="AB202" s="3817"/>
      <c r="AD202" s="1105"/>
      <c r="AE202" s="2502"/>
      <c r="AF202" s="2502"/>
      <c r="AG202" s="2502"/>
      <c r="AH202" s="1105"/>
      <c r="AI202" s="1105">
        <f>+AI203</f>
        <v>1250000</v>
      </c>
      <c r="AJ202" s="3819"/>
      <c r="AL202" s="1105">
        <f>+AL203</f>
        <v>1250000</v>
      </c>
      <c r="AM202" s="1105">
        <f>+AM203</f>
        <v>0</v>
      </c>
      <c r="AN202" s="1105">
        <f t="shared" si="348"/>
        <v>1250000</v>
      </c>
      <c r="AP202" s="1105">
        <f t="shared" ref="AP202:AY202" si="365">+AP203</f>
        <v>0</v>
      </c>
      <c r="AQ202" s="1105">
        <f t="shared" si="365"/>
        <v>0</v>
      </c>
      <c r="AR202" s="1105">
        <f t="shared" si="365"/>
        <v>0</v>
      </c>
      <c r="AS202" s="1105">
        <f t="shared" si="365"/>
        <v>0</v>
      </c>
      <c r="AT202" s="1105">
        <f t="shared" si="365"/>
        <v>0</v>
      </c>
      <c r="AU202" s="1105">
        <f t="shared" si="365"/>
        <v>0</v>
      </c>
      <c r="AV202" s="1105">
        <f t="shared" si="365"/>
        <v>0</v>
      </c>
      <c r="AW202" s="1105">
        <f t="shared" si="365"/>
        <v>0</v>
      </c>
      <c r="AX202" s="1105">
        <f t="shared" si="365"/>
        <v>0</v>
      </c>
      <c r="AY202" s="1105">
        <f t="shared" si="365"/>
        <v>0</v>
      </c>
      <c r="AZ202" s="1498">
        <f t="shared" si="325"/>
        <v>0</v>
      </c>
      <c r="BB202" s="1105">
        <f t="shared" ref="BB202:BM202" si="366">+BB203</f>
        <v>0</v>
      </c>
      <c r="BC202" s="1105">
        <f t="shared" si="366"/>
        <v>0</v>
      </c>
      <c r="BD202" s="1105">
        <f t="shared" si="366"/>
        <v>0</v>
      </c>
      <c r="BE202" s="1105">
        <f t="shared" si="366"/>
        <v>0</v>
      </c>
      <c r="BF202" s="1105">
        <f t="shared" si="366"/>
        <v>0</v>
      </c>
      <c r="BG202" s="1105">
        <f t="shared" si="366"/>
        <v>0</v>
      </c>
      <c r="BH202" s="1105">
        <f t="shared" si="366"/>
        <v>0</v>
      </c>
      <c r="BI202" s="1105">
        <f t="shared" si="366"/>
        <v>0</v>
      </c>
      <c r="BJ202" s="1105">
        <f t="shared" si="366"/>
        <v>0</v>
      </c>
      <c r="BK202" s="1105">
        <f t="shared" si="366"/>
        <v>0</v>
      </c>
      <c r="BL202" s="1105">
        <f t="shared" si="366"/>
        <v>0</v>
      </c>
      <c r="BM202" s="1105">
        <f t="shared" si="366"/>
        <v>0</v>
      </c>
      <c r="BN202" s="1498">
        <f t="shared" si="326"/>
        <v>0</v>
      </c>
      <c r="BP202" s="1105">
        <f t="shared" ref="BP202:CA202" si="367">+BP203</f>
        <v>0</v>
      </c>
      <c r="BQ202" s="1105">
        <f t="shared" si="367"/>
        <v>0</v>
      </c>
      <c r="BR202" s="1105">
        <f t="shared" si="367"/>
        <v>0</v>
      </c>
      <c r="BS202" s="1105">
        <f t="shared" si="367"/>
        <v>0</v>
      </c>
      <c r="BT202" s="1105">
        <f t="shared" si="367"/>
        <v>0</v>
      </c>
      <c r="BU202" s="1105">
        <f t="shared" si="367"/>
        <v>0</v>
      </c>
      <c r="BV202" s="1105">
        <f t="shared" si="367"/>
        <v>0</v>
      </c>
      <c r="BW202" s="1105">
        <f t="shared" si="367"/>
        <v>0</v>
      </c>
      <c r="BX202" s="1105">
        <f t="shared" si="367"/>
        <v>0</v>
      </c>
      <c r="BY202" s="1105">
        <f t="shared" si="367"/>
        <v>0</v>
      </c>
      <c r="BZ202" s="1105">
        <f t="shared" si="367"/>
        <v>0</v>
      </c>
      <c r="CA202" s="1124">
        <f t="shared" si="367"/>
        <v>0</v>
      </c>
      <c r="CB202" s="1498">
        <f t="shared" si="327"/>
        <v>0</v>
      </c>
      <c r="CD202" s="1105">
        <f t="shared" ref="CD202:CO202" si="368">+CD203</f>
        <v>0</v>
      </c>
      <c r="CE202" s="1105">
        <f t="shared" si="368"/>
        <v>0</v>
      </c>
      <c r="CF202" s="1105">
        <f t="shared" si="368"/>
        <v>0</v>
      </c>
      <c r="CG202" s="1124">
        <f>+CG203</f>
        <v>0</v>
      </c>
      <c r="CH202" s="1124">
        <f>+CH203</f>
        <v>0</v>
      </c>
      <c r="CI202" s="1124">
        <f>+CI203</f>
        <v>0</v>
      </c>
      <c r="CJ202" s="1124">
        <f>+CJ203</f>
        <v>0</v>
      </c>
      <c r="CK202" s="1124">
        <f>+CK203</f>
        <v>250000</v>
      </c>
      <c r="CL202" s="1124">
        <f t="shared" si="368"/>
        <v>0</v>
      </c>
      <c r="CM202" s="1124">
        <f t="shared" si="368"/>
        <v>0</v>
      </c>
      <c r="CN202" s="1124">
        <f t="shared" si="368"/>
        <v>0</v>
      </c>
      <c r="CO202" s="1124">
        <f t="shared" si="368"/>
        <v>0</v>
      </c>
      <c r="CP202" s="1498">
        <f t="shared" si="328"/>
        <v>250000</v>
      </c>
      <c r="CR202" s="1105">
        <f t="shared" ref="CR202:DC202" si="369">+CR203</f>
        <v>0</v>
      </c>
      <c r="CS202" s="1105">
        <f t="shared" si="369"/>
        <v>500000</v>
      </c>
      <c r="CT202" s="1124">
        <f t="shared" si="369"/>
        <v>0</v>
      </c>
      <c r="CU202" s="1124">
        <f t="shared" si="369"/>
        <v>0</v>
      </c>
      <c r="CV202" s="1124">
        <f t="shared" si="369"/>
        <v>0</v>
      </c>
      <c r="CW202" s="1124">
        <f t="shared" si="369"/>
        <v>0</v>
      </c>
      <c r="CX202" s="1124">
        <f t="shared" si="369"/>
        <v>0</v>
      </c>
      <c r="CY202" s="1124">
        <f t="shared" si="369"/>
        <v>0</v>
      </c>
      <c r="CZ202" s="1124">
        <f t="shared" si="369"/>
        <v>0</v>
      </c>
      <c r="DA202" s="1124">
        <f t="shared" si="369"/>
        <v>0</v>
      </c>
      <c r="DB202" s="1124">
        <f t="shared" si="369"/>
        <v>500000</v>
      </c>
      <c r="DC202" s="1124">
        <f t="shared" si="369"/>
        <v>0</v>
      </c>
      <c r="DD202" s="2017">
        <f t="shared" si="329"/>
        <v>1000000</v>
      </c>
      <c r="DF202" s="1124">
        <f>+DF203</f>
        <v>0</v>
      </c>
      <c r="DG202" s="1124">
        <f>+DG203</f>
        <v>0</v>
      </c>
      <c r="DH202" s="1124">
        <f>+DH203</f>
        <v>0</v>
      </c>
      <c r="DI202" s="1498">
        <f t="shared" si="330"/>
        <v>0</v>
      </c>
      <c r="DJ202" s="3142">
        <f t="shared" si="354"/>
        <v>1250000</v>
      </c>
      <c r="DK202" s="153"/>
      <c r="DL202" s="1027">
        <f t="shared" si="351"/>
        <v>0</v>
      </c>
      <c r="DM202" s="153"/>
      <c r="DN202" s="2749" t="s">
        <v>1175</v>
      </c>
      <c r="DO202" s="2742" t="s">
        <v>1175</v>
      </c>
      <c r="DP202" s="2742"/>
      <c r="DQ202" s="2742" t="s">
        <v>1175</v>
      </c>
      <c r="DR202" s="2742" t="str">
        <f t="shared" si="323"/>
        <v>1</v>
      </c>
      <c r="DS202" s="1037"/>
      <c r="DT202" s="1037"/>
      <c r="DU202" s="153"/>
      <c r="DV202" s="153"/>
      <c r="DW202" s="153"/>
      <c r="DX202" s="153"/>
      <c r="DY202" s="153"/>
      <c r="DZ202" s="153"/>
    </row>
    <row r="203" spans="1:130" s="153" customFormat="1" ht="15" hidden="1" outlineLevel="4">
      <c r="A203" s="108"/>
      <c r="B203" s="3983"/>
      <c r="C203" s="3309"/>
      <c r="D203" s="3310" t="s">
        <v>930</v>
      </c>
      <c r="E203" s="588"/>
      <c r="F203" s="3325" t="s">
        <v>930</v>
      </c>
      <c r="G203" s="2838"/>
      <c r="H203" s="3332" t="s">
        <v>931</v>
      </c>
      <c r="I203" s="3319"/>
      <c r="J203" s="103"/>
      <c r="K203" s="1037"/>
      <c r="L203" s="364"/>
      <c r="M203" s="364"/>
      <c r="N203" s="3345"/>
      <c r="O203" s="3345"/>
      <c r="P203" s="3345"/>
      <c r="Q203" s="3345"/>
      <c r="R203" s="3345"/>
      <c r="S203" s="3345"/>
      <c r="T203" s="3345"/>
      <c r="U203" s="3345"/>
      <c r="V203" s="1037"/>
      <c r="W203" s="3817"/>
      <c r="X203" s="3817"/>
      <c r="Y203" s="3817"/>
      <c r="Z203" s="3822"/>
      <c r="AA203" s="3817"/>
      <c r="AB203" s="3817"/>
      <c r="AC203" s="1037"/>
      <c r="AD203" s="3787" t="s">
        <v>1179</v>
      </c>
      <c r="AE203" s="3787">
        <v>1</v>
      </c>
      <c r="AF203" s="3787"/>
      <c r="AG203" s="3787"/>
      <c r="AH203" s="3787">
        <v>1250000</v>
      </c>
      <c r="AI203" s="3787">
        <f>+AE203*AH203</f>
        <v>1250000</v>
      </c>
      <c r="AJ203" s="3819"/>
      <c r="AK203" s="1037"/>
      <c r="AL203" s="3787">
        <f>+AI203</f>
        <v>1250000</v>
      </c>
      <c r="AM203" s="3787"/>
      <c r="AN203" s="3787">
        <f t="shared" si="348"/>
        <v>1250000</v>
      </c>
      <c r="AO203" s="1037"/>
      <c r="AP203" s="3787"/>
      <c r="AQ203" s="3787"/>
      <c r="AR203" s="3787"/>
      <c r="AS203" s="3787"/>
      <c r="AT203" s="3787"/>
      <c r="AU203" s="3787"/>
      <c r="AV203" s="3787"/>
      <c r="AW203" s="3787"/>
      <c r="AX203" s="3787"/>
      <c r="AY203" s="3787"/>
      <c r="AZ203" s="3787">
        <f t="shared" si="325"/>
        <v>0</v>
      </c>
      <c r="BA203" s="1037"/>
      <c r="BB203" s="3787"/>
      <c r="BC203" s="3787"/>
      <c r="BD203" s="3787"/>
      <c r="BE203" s="3787"/>
      <c r="BF203" s="3787"/>
      <c r="BG203" s="3787"/>
      <c r="BH203" s="3787"/>
      <c r="BI203" s="3787"/>
      <c r="BJ203" s="3787"/>
      <c r="BK203" s="3787"/>
      <c r="BL203" s="3787"/>
      <c r="BM203" s="3787"/>
      <c r="BN203" s="3787">
        <f t="shared" si="326"/>
        <v>0</v>
      </c>
      <c r="BO203" s="1037"/>
      <c r="BP203" s="3787"/>
      <c r="BQ203" s="3787"/>
      <c r="BR203" s="3787"/>
      <c r="BS203" s="3787"/>
      <c r="BT203" s="3787"/>
      <c r="BU203" s="3787"/>
      <c r="BV203" s="3787"/>
      <c r="BW203" s="3787"/>
      <c r="BX203" s="3787"/>
      <c r="BY203" s="3787"/>
      <c r="BZ203" s="3787"/>
      <c r="CA203" s="3793"/>
      <c r="CB203" s="3805">
        <f t="shared" si="327"/>
        <v>0</v>
      </c>
      <c r="CC203" s="1037"/>
      <c r="CD203" s="3787"/>
      <c r="CE203" s="3787"/>
      <c r="CF203" s="3787"/>
      <c r="CG203" s="3793"/>
      <c r="CH203" s="2644"/>
      <c r="CI203" s="2644"/>
      <c r="CJ203" s="2644"/>
      <c r="CK203" s="3793">
        <f>+$AH$203*0.2</f>
        <v>250000</v>
      </c>
      <c r="CL203" s="3793"/>
      <c r="CM203" s="3793"/>
      <c r="CN203" s="3793"/>
      <c r="CO203" s="3793"/>
      <c r="CP203" s="3787">
        <f>SUM(CD203:CO203)</f>
        <v>250000</v>
      </c>
      <c r="CQ203" s="1037"/>
      <c r="CR203" s="2074"/>
      <c r="CS203" s="3793">
        <f>+$AH$203*0.4</f>
        <v>500000</v>
      </c>
      <c r="CT203" s="2644"/>
      <c r="CU203" s="3793"/>
      <c r="CV203" s="2644"/>
      <c r="CW203" s="2644"/>
      <c r="CX203" s="2644"/>
      <c r="CY203" s="3793"/>
      <c r="CZ203" s="2644"/>
      <c r="DA203" s="2644"/>
      <c r="DB203" s="3793">
        <f>+$AH$203*0.4</f>
        <v>500000</v>
      </c>
      <c r="DC203" s="3793"/>
      <c r="DD203" s="3793">
        <f>SUM(CR203:DC203)</f>
        <v>1000000</v>
      </c>
      <c r="DE203" s="1037"/>
      <c r="DF203" s="3793"/>
      <c r="DG203" s="3793"/>
      <c r="DH203" s="3793"/>
      <c r="DI203" s="3790">
        <f>SUM(DF203:DH203)</f>
        <v>0</v>
      </c>
      <c r="DJ203" s="4045">
        <f t="shared" si="354"/>
        <v>1250000</v>
      </c>
      <c r="DK203" s="108"/>
      <c r="DL203" s="1027">
        <f t="shared" si="351"/>
        <v>0</v>
      </c>
      <c r="DM203" s="108"/>
      <c r="DN203" s="3833" t="s">
        <v>1180</v>
      </c>
      <c r="DO203" s="3833" t="s">
        <v>1181</v>
      </c>
      <c r="DP203" s="3833" t="s">
        <v>1117</v>
      </c>
      <c r="DQ203" s="3833" t="s">
        <v>4</v>
      </c>
      <c r="DR203" s="3833" t="str">
        <f t="shared" si="323"/>
        <v>1</v>
      </c>
      <c r="DS203" s="1037"/>
      <c r="DT203" s="1037"/>
      <c r="DU203" s="108"/>
      <c r="DV203" s="108"/>
      <c r="DW203" s="108"/>
      <c r="DX203" s="108"/>
      <c r="DY203" s="108"/>
      <c r="DZ203" s="108"/>
    </row>
    <row r="204" spans="1:130" ht="15" hidden="1" outlineLevel="4">
      <c r="B204" s="3984"/>
      <c r="C204" s="3309"/>
      <c r="D204" s="3310" t="s">
        <v>932</v>
      </c>
      <c r="E204" s="588"/>
      <c r="F204" s="3325" t="s">
        <v>932</v>
      </c>
      <c r="G204" s="2838"/>
      <c r="H204" s="3332" t="s">
        <v>933</v>
      </c>
      <c r="I204" s="3319"/>
      <c r="J204" s="103"/>
      <c r="L204" s="364"/>
      <c r="M204" s="364"/>
      <c r="N204" s="3345"/>
      <c r="O204" s="3345"/>
      <c r="P204" s="3345"/>
      <c r="Q204" s="3345"/>
      <c r="R204" s="3345"/>
      <c r="S204" s="3345"/>
      <c r="T204" s="3345"/>
      <c r="U204" s="3345"/>
      <c r="W204" s="3817"/>
      <c r="X204" s="3817"/>
      <c r="Y204" s="3817"/>
      <c r="Z204" s="3822"/>
      <c r="AA204" s="3817"/>
      <c r="AB204" s="3817"/>
      <c r="AD204" s="3788"/>
      <c r="AE204" s="3788"/>
      <c r="AF204" s="3788"/>
      <c r="AG204" s="3788"/>
      <c r="AH204" s="3788"/>
      <c r="AI204" s="3788"/>
      <c r="AJ204" s="3819"/>
      <c r="AL204" s="3788"/>
      <c r="AM204" s="3788"/>
      <c r="AN204" s="3788">
        <f t="shared" si="348"/>
        <v>0</v>
      </c>
      <c r="AP204" s="3788"/>
      <c r="AQ204" s="3788"/>
      <c r="AR204" s="3788"/>
      <c r="AS204" s="3788"/>
      <c r="AT204" s="3788"/>
      <c r="AU204" s="3788"/>
      <c r="AV204" s="3788"/>
      <c r="AW204" s="3788"/>
      <c r="AX204" s="3788"/>
      <c r="AY204" s="3788"/>
      <c r="AZ204" s="3788">
        <f t="shared" si="325"/>
        <v>0</v>
      </c>
      <c r="BB204" s="3788"/>
      <c r="BC204" s="3788"/>
      <c r="BD204" s="3788"/>
      <c r="BE204" s="3788"/>
      <c r="BF204" s="3788"/>
      <c r="BG204" s="3788"/>
      <c r="BH204" s="3788"/>
      <c r="BI204" s="3788"/>
      <c r="BJ204" s="3788"/>
      <c r="BK204" s="3788"/>
      <c r="BL204" s="3788"/>
      <c r="BM204" s="3788"/>
      <c r="BN204" s="3788">
        <f t="shared" si="326"/>
        <v>0</v>
      </c>
      <c r="BP204" s="3788"/>
      <c r="BQ204" s="3788"/>
      <c r="BR204" s="3788"/>
      <c r="BS204" s="3788"/>
      <c r="BT204" s="3788"/>
      <c r="BU204" s="3788"/>
      <c r="BV204" s="3788"/>
      <c r="BW204" s="3788"/>
      <c r="BX204" s="3788"/>
      <c r="BY204" s="3788"/>
      <c r="BZ204" s="3788"/>
      <c r="CA204" s="3794"/>
      <c r="CB204" s="3806">
        <f t="shared" si="327"/>
        <v>0</v>
      </c>
      <c r="CD204" s="3788"/>
      <c r="CE204" s="3788"/>
      <c r="CF204" s="3788"/>
      <c r="CG204" s="3794"/>
      <c r="CH204" s="2710"/>
      <c r="CI204" s="2710"/>
      <c r="CJ204" s="2710"/>
      <c r="CK204" s="3794"/>
      <c r="CL204" s="3794"/>
      <c r="CM204" s="3794"/>
      <c r="CN204" s="3794"/>
      <c r="CO204" s="3794"/>
      <c r="CP204" s="3788">
        <f>SUM(CD204:CO204)</f>
        <v>0</v>
      </c>
      <c r="CR204" s="2075"/>
      <c r="CS204" s="3794"/>
      <c r="CT204" s="2710"/>
      <c r="CU204" s="3794"/>
      <c r="CV204" s="2710"/>
      <c r="CW204" s="2710"/>
      <c r="CX204" s="2710"/>
      <c r="CY204" s="3794"/>
      <c r="CZ204" s="2710"/>
      <c r="DA204" s="2710"/>
      <c r="DB204" s="3794"/>
      <c r="DC204" s="3794"/>
      <c r="DD204" s="3794">
        <f>SUM(CR204:DC204)</f>
        <v>0</v>
      </c>
      <c r="DF204" s="3794"/>
      <c r="DG204" s="3794"/>
      <c r="DH204" s="3794"/>
      <c r="DI204" s="3791">
        <f>SUM(DF204:DH204)</f>
        <v>0</v>
      </c>
      <c r="DJ204" s="4046">
        <f t="shared" si="354"/>
        <v>0</v>
      </c>
      <c r="DL204" s="1027">
        <f t="shared" si="351"/>
        <v>0</v>
      </c>
      <c r="DN204" s="3833"/>
      <c r="DO204" s="3833"/>
      <c r="DP204" s="3833"/>
      <c r="DQ204" s="3833"/>
      <c r="DR204" s="3833" t="str">
        <f t="shared" si="323"/>
        <v>1</v>
      </c>
      <c r="DS204" s="1037"/>
      <c r="DT204" s="1037"/>
    </row>
    <row r="205" spans="1:130" s="153" customFormat="1" ht="15" hidden="1" outlineLevel="4">
      <c r="A205" s="108"/>
      <c r="B205" s="3985"/>
      <c r="C205" s="3309"/>
      <c r="D205" s="3310" t="s">
        <v>934</v>
      </c>
      <c r="E205" s="588"/>
      <c r="F205" s="3325" t="s">
        <v>934</v>
      </c>
      <c r="G205" s="2838"/>
      <c r="H205" s="3332" t="s">
        <v>935</v>
      </c>
      <c r="I205" s="3319"/>
      <c r="J205" s="103"/>
      <c r="K205" s="1037"/>
      <c r="L205" s="364"/>
      <c r="M205" s="364"/>
      <c r="N205" s="3345"/>
      <c r="O205" s="3345"/>
      <c r="P205" s="3345"/>
      <c r="Q205" s="3345"/>
      <c r="R205" s="3345"/>
      <c r="S205" s="3345"/>
      <c r="T205" s="3345"/>
      <c r="U205" s="3345"/>
      <c r="V205" s="1037"/>
      <c r="W205" s="3817"/>
      <c r="X205" s="3817"/>
      <c r="Y205" s="3817"/>
      <c r="Z205" s="3823"/>
      <c r="AA205" s="3817"/>
      <c r="AB205" s="3817"/>
      <c r="AC205" s="1037"/>
      <c r="AD205" s="3789"/>
      <c r="AE205" s="3789"/>
      <c r="AF205" s="3789"/>
      <c r="AG205" s="3789"/>
      <c r="AH205" s="3789"/>
      <c r="AI205" s="3789"/>
      <c r="AJ205" s="3820"/>
      <c r="AK205" s="1037"/>
      <c r="AL205" s="3789"/>
      <c r="AM205" s="3789"/>
      <c r="AN205" s="3789">
        <f t="shared" si="348"/>
        <v>0</v>
      </c>
      <c r="AO205" s="1037"/>
      <c r="AP205" s="3789"/>
      <c r="AQ205" s="3789"/>
      <c r="AR205" s="3789"/>
      <c r="AS205" s="3789"/>
      <c r="AT205" s="3789"/>
      <c r="AU205" s="3789"/>
      <c r="AV205" s="3789"/>
      <c r="AW205" s="3789"/>
      <c r="AX205" s="3789"/>
      <c r="AY205" s="3789"/>
      <c r="AZ205" s="3789">
        <f t="shared" si="325"/>
        <v>0</v>
      </c>
      <c r="BA205" s="1037"/>
      <c r="BB205" s="3789"/>
      <c r="BC205" s="3789"/>
      <c r="BD205" s="3789"/>
      <c r="BE205" s="3789"/>
      <c r="BF205" s="3789"/>
      <c r="BG205" s="3789"/>
      <c r="BH205" s="3789"/>
      <c r="BI205" s="3789"/>
      <c r="BJ205" s="3789"/>
      <c r="BK205" s="3789"/>
      <c r="BL205" s="3789"/>
      <c r="BM205" s="3789"/>
      <c r="BN205" s="3789">
        <f t="shared" si="326"/>
        <v>0</v>
      </c>
      <c r="BO205" s="1037"/>
      <c r="BP205" s="3789"/>
      <c r="BQ205" s="3789"/>
      <c r="BR205" s="3789"/>
      <c r="BS205" s="3789"/>
      <c r="BT205" s="3789"/>
      <c r="BU205" s="3789"/>
      <c r="BV205" s="3789"/>
      <c r="BW205" s="3789"/>
      <c r="BX205" s="3789"/>
      <c r="BY205" s="3789"/>
      <c r="BZ205" s="3789"/>
      <c r="CA205" s="3795"/>
      <c r="CB205" s="3807">
        <f t="shared" si="327"/>
        <v>0</v>
      </c>
      <c r="CC205" s="1037"/>
      <c r="CD205" s="3789"/>
      <c r="CE205" s="3789"/>
      <c r="CF205" s="3789"/>
      <c r="CG205" s="3795"/>
      <c r="CH205" s="1926"/>
      <c r="CI205" s="1926"/>
      <c r="CJ205" s="1926"/>
      <c r="CK205" s="3795"/>
      <c r="CL205" s="3795"/>
      <c r="CM205" s="3795"/>
      <c r="CN205" s="3795"/>
      <c r="CO205" s="3795"/>
      <c r="CP205" s="3789">
        <f>SUM(CD205:CO205)</f>
        <v>0</v>
      </c>
      <c r="CQ205" s="1037"/>
      <c r="CR205" s="1407"/>
      <c r="CS205" s="3795"/>
      <c r="CT205" s="1926"/>
      <c r="CU205" s="3795"/>
      <c r="CV205" s="1926"/>
      <c r="CW205" s="1926"/>
      <c r="CX205" s="1926"/>
      <c r="CY205" s="3795"/>
      <c r="CZ205" s="1926"/>
      <c r="DA205" s="1926"/>
      <c r="DB205" s="3795"/>
      <c r="DC205" s="3795"/>
      <c r="DD205" s="3795">
        <f>SUM(CR205:DC205)</f>
        <v>0</v>
      </c>
      <c r="DE205" s="1037"/>
      <c r="DF205" s="3795"/>
      <c r="DG205" s="3795"/>
      <c r="DH205" s="3795"/>
      <c r="DI205" s="3792">
        <f>SUM(DF205:DH205)</f>
        <v>0</v>
      </c>
      <c r="DJ205" s="4047">
        <f t="shared" si="354"/>
        <v>0</v>
      </c>
      <c r="DK205" s="108"/>
      <c r="DL205" s="1027">
        <f t="shared" si="351"/>
        <v>0</v>
      </c>
      <c r="DM205" s="108"/>
      <c r="DN205" s="3834"/>
      <c r="DO205" s="3834"/>
      <c r="DP205" s="3834"/>
      <c r="DQ205" s="3834"/>
      <c r="DR205" s="3834" t="str">
        <f t="shared" si="323"/>
        <v>1</v>
      </c>
      <c r="DS205" s="1037"/>
      <c r="DT205" s="1037"/>
      <c r="DU205" s="108"/>
      <c r="DV205" s="108"/>
      <c r="DW205" s="108"/>
      <c r="DX205" s="108"/>
      <c r="DY205" s="108"/>
      <c r="DZ205" s="108"/>
    </row>
    <row r="206" spans="1:130" ht="15" hidden="1" outlineLevel="3">
      <c r="A206" s="153"/>
      <c r="B206" s="2839"/>
      <c r="C206" s="3306" t="s">
        <v>936</v>
      </c>
      <c r="D206" s="2942" t="s">
        <v>936</v>
      </c>
      <c r="E206" s="2830"/>
      <c r="F206" s="3307" t="s">
        <v>936</v>
      </c>
      <c r="G206" s="2833"/>
      <c r="H206" s="3486" t="s">
        <v>937</v>
      </c>
      <c r="I206" s="3308"/>
      <c r="J206" s="1250"/>
      <c r="L206" s="851"/>
      <c r="M206" s="851"/>
      <c r="N206" s="3347"/>
      <c r="O206" s="3347"/>
      <c r="P206" s="3347"/>
      <c r="Q206" s="3347"/>
      <c r="R206" s="3347"/>
      <c r="S206" s="3347"/>
      <c r="T206" s="3347"/>
      <c r="U206" s="3347"/>
      <c r="W206" s="1488"/>
      <c r="X206" s="1488"/>
      <c r="Y206" s="1488"/>
      <c r="Z206" s="1261"/>
      <c r="AA206" s="1488"/>
      <c r="AB206" s="1489"/>
      <c r="AD206" s="2840"/>
      <c r="AE206" s="397"/>
      <c r="AF206" s="397"/>
      <c r="AG206" s="397"/>
      <c r="AH206" s="398"/>
      <c r="AI206" s="398">
        <f>+AI207</f>
        <v>80000</v>
      </c>
      <c r="AJ206" s="691"/>
      <c r="AL206" s="398">
        <f>+AL207</f>
        <v>80000</v>
      </c>
      <c r="AM206" s="398">
        <f>+AM207</f>
        <v>0</v>
      </c>
      <c r="AN206" s="398">
        <f t="shared" si="348"/>
        <v>80000</v>
      </c>
      <c r="AP206" s="398">
        <f t="shared" ref="AP206:AY206" si="370">+AP207</f>
        <v>0</v>
      </c>
      <c r="AQ206" s="398">
        <f t="shared" si="370"/>
        <v>0</v>
      </c>
      <c r="AR206" s="398">
        <f t="shared" si="370"/>
        <v>0</v>
      </c>
      <c r="AS206" s="398">
        <f t="shared" si="370"/>
        <v>0</v>
      </c>
      <c r="AT206" s="398">
        <f t="shared" si="370"/>
        <v>0</v>
      </c>
      <c r="AU206" s="398">
        <f t="shared" si="370"/>
        <v>0</v>
      </c>
      <c r="AV206" s="398">
        <f t="shared" si="370"/>
        <v>0</v>
      </c>
      <c r="AW206" s="398">
        <f t="shared" si="370"/>
        <v>0</v>
      </c>
      <c r="AX206" s="398">
        <f t="shared" si="370"/>
        <v>0</v>
      </c>
      <c r="AY206" s="398">
        <f t="shared" si="370"/>
        <v>0</v>
      </c>
      <c r="AZ206" s="992">
        <f t="shared" si="325"/>
        <v>0</v>
      </c>
      <c r="BB206" s="398">
        <f t="shared" ref="BB206:BM206" si="371">+BB207</f>
        <v>0</v>
      </c>
      <c r="BC206" s="398">
        <f t="shared" si="371"/>
        <v>0</v>
      </c>
      <c r="BD206" s="398">
        <f t="shared" si="371"/>
        <v>0</v>
      </c>
      <c r="BE206" s="398">
        <f t="shared" si="371"/>
        <v>0</v>
      </c>
      <c r="BF206" s="398">
        <f t="shared" si="371"/>
        <v>0</v>
      </c>
      <c r="BG206" s="398">
        <f t="shared" si="371"/>
        <v>0</v>
      </c>
      <c r="BH206" s="398">
        <f t="shared" si="371"/>
        <v>0</v>
      </c>
      <c r="BI206" s="398">
        <f t="shared" si="371"/>
        <v>0</v>
      </c>
      <c r="BJ206" s="398">
        <f t="shared" si="371"/>
        <v>0</v>
      </c>
      <c r="BK206" s="398">
        <f t="shared" si="371"/>
        <v>0</v>
      </c>
      <c r="BL206" s="398">
        <f t="shared" si="371"/>
        <v>0</v>
      </c>
      <c r="BM206" s="398">
        <f t="shared" si="371"/>
        <v>0</v>
      </c>
      <c r="BN206" s="992">
        <f t="shared" si="326"/>
        <v>0</v>
      </c>
      <c r="BP206" s="398">
        <f t="shared" ref="BP206:CA206" si="372">+BP207</f>
        <v>0</v>
      </c>
      <c r="BQ206" s="398">
        <f t="shared" si="372"/>
        <v>0</v>
      </c>
      <c r="BR206" s="398">
        <f t="shared" si="372"/>
        <v>0</v>
      </c>
      <c r="BS206" s="398">
        <f t="shared" si="372"/>
        <v>0</v>
      </c>
      <c r="BT206" s="398">
        <f t="shared" si="372"/>
        <v>0</v>
      </c>
      <c r="BU206" s="398">
        <f t="shared" si="372"/>
        <v>0</v>
      </c>
      <c r="BV206" s="398">
        <f t="shared" si="372"/>
        <v>0</v>
      </c>
      <c r="BW206" s="398">
        <f t="shared" si="372"/>
        <v>0</v>
      </c>
      <c r="BX206" s="398">
        <f t="shared" si="372"/>
        <v>0</v>
      </c>
      <c r="BY206" s="398">
        <f t="shared" si="372"/>
        <v>0</v>
      </c>
      <c r="BZ206" s="398">
        <f t="shared" si="372"/>
        <v>0</v>
      </c>
      <c r="CA206" s="398">
        <f t="shared" si="372"/>
        <v>0</v>
      </c>
      <c r="CB206" s="992">
        <f t="shared" si="327"/>
        <v>0</v>
      </c>
      <c r="CD206" s="398">
        <f t="shared" ref="CD206:CO206" si="373">+CD207</f>
        <v>0</v>
      </c>
      <c r="CE206" s="398">
        <f t="shared" si="373"/>
        <v>0</v>
      </c>
      <c r="CF206" s="398">
        <f t="shared" si="373"/>
        <v>0</v>
      </c>
      <c r="CG206" s="398">
        <f t="shared" si="373"/>
        <v>0</v>
      </c>
      <c r="CH206" s="398">
        <f t="shared" si="373"/>
        <v>0</v>
      </c>
      <c r="CI206" s="398">
        <f t="shared" si="373"/>
        <v>0</v>
      </c>
      <c r="CJ206" s="398">
        <f t="shared" si="373"/>
        <v>0</v>
      </c>
      <c r="CK206" s="398">
        <f t="shared" si="373"/>
        <v>0</v>
      </c>
      <c r="CL206" s="398">
        <f t="shared" si="373"/>
        <v>0</v>
      </c>
      <c r="CM206" s="398">
        <f t="shared" si="373"/>
        <v>0</v>
      </c>
      <c r="CN206" s="398">
        <f t="shared" si="373"/>
        <v>0</v>
      </c>
      <c r="CO206" s="398">
        <f t="shared" si="373"/>
        <v>0</v>
      </c>
      <c r="CP206" s="993">
        <f t="shared" si="328"/>
        <v>0</v>
      </c>
      <c r="CR206" s="398">
        <f t="shared" ref="CR206:DC206" si="374">+CR207</f>
        <v>0</v>
      </c>
      <c r="CS206" s="398">
        <f t="shared" si="374"/>
        <v>0</v>
      </c>
      <c r="CT206" s="398">
        <f t="shared" si="374"/>
        <v>0</v>
      </c>
      <c r="CU206" s="398">
        <f t="shared" si="374"/>
        <v>0</v>
      </c>
      <c r="CV206" s="398">
        <f t="shared" si="374"/>
        <v>0</v>
      </c>
      <c r="CW206" s="398">
        <f t="shared" si="374"/>
        <v>0</v>
      </c>
      <c r="CX206" s="398">
        <f t="shared" si="374"/>
        <v>0</v>
      </c>
      <c r="CY206" s="398">
        <f>+CY207</f>
        <v>16000</v>
      </c>
      <c r="CZ206" s="398">
        <f t="shared" si="374"/>
        <v>0</v>
      </c>
      <c r="DA206" s="398">
        <f t="shared" si="374"/>
        <v>32000</v>
      </c>
      <c r="DB206" s="398">
        <f t="shared" si="374"/>
        <v>32000</v>
      </c>
      <c r="DC206" s="398">
        <f t="shared" si="374"/>
        <v>0</v>
      </c>
      <c r="DD206" s="994">
        <f t="shared" si="329"/>
        <v>80000</v>
      </c>
      <c r="DF206" s="398">
        <f>+DF207</f>
        <v>0</v>
      </c>
      <c r="DG206" s="398">
        <f>+DG207</f>
        <v>0</v>
      </c>
      <c r="DH206" s="398">
        <f>+DH207</f>
        <v>0</v>
      </c>
      <c r="DI206" s="3083">
        <f t="shared" si="330"/>
        <v>0</v>
      </c>
      <c r="DJ206" s="3136">
        <f t="shared" si="354"/>
        <v>80000</v>
      </c>
      <c r="DK206" s="153"/>
      <c r="DL206" s="1027">
        <f t="shared" si="351"/>
        <v>0</v>
      </c>
      <c r="DM206" s="153"/>
      <c r="DN206" s="2725" t="s">
        <v>1175</v>
      </c>
      <c r="DO206" s="2726" t="s">
        <v>1175</v>
      </c>
      <c r="DP206" s="2726"/>
      <c r="DQ206" s="2726" t="s">
        <v>1175</v>
      </c>
      <c r="DR206" s="2726" t="str">
        <f t="shared" si="323"/>
        <v>1</v>
      </c>
      <c r="DS206" s="1037"/>
      <c r="DT206" s="1037"/>
      <c r="DU206" s="153"/>
      <c r="DV206" s="153"/>
      <c r="DW206" s="153"/>
      <c r="DX206" s="153"/>
      <c r="DY206" s="153"/>
      <c r="DZ206" s="153"/>
    </row>
    <row r="207" spans="1:130" ht="15" hidden="1" customHeight="1" outlineLevel="5">
      <c r="B207" s="2876"/>
      <c r="C207" s="3309" t="s">
        <v>938</v>
      </c>
      <c r="D207" s="3310" t="s">
        <v>938</v>
      </c>
      <c r="E207" s="588"/>
      <c r="F207" s="3325" t="s">
        <v>938</v>
      </c>
      <c r="G207" s="2838"/>
      <c r="H207" s="3332" t="s">
        <v>939</v>
      </c>
      <c r="I207" s="3319"/>
      <c r="J207" s="103"/>
      <c r="L207" s="364"/>
      <c r="M207" s="364"/>
      <c r="N207" s="3345"/>
      <c r="O207" s="3345"/>
      <c r="P207" s="3345"/>
      <c r="Q207" s="3345"/>
      <c r="R207" s="3345"/>
      <c r="S207" s="3345"/>
      <c r="T207" s="3345"/>
      <c r="U207" s="3345"/>
      <c r="W207" s="853" t="s">
        <v>802</v>
      </c>
      <c r="X207" s="853" t="s">
        <v>1075</v>
      </c>
      <c r="Y207" s="853" t="s">
        <v>1340</v>
      </c>
      <c r="Z207" s="1481">
        <v>85</v>
      </c>
      <c r="AA207" s="1207" t="s">
        <v>1421</v>
      </c>
      <c r="AB207" s="2516"/>
      <c r="AD207" s="1032" t="s">
        <v>1179</v>
      </c>
      <c r="AE207" s="1443">
        <v>1</v>
      </c>
      <c r="AF207" s="1407"/>
      <c r="AG207" s="1407"/>
      <c r="AH207" s="1407">
        <f>100000-20000</f>
        <v>80000</v>
      </c>
      <c r="AI207" s="1926">
        <f>+AE207*AH207</f>
        <v>80000</v>
      </c>
      <c r="AJ207" s="1759"/>
      <c r="AL207" s="1407">
        <f>+AI207</f>
        <v>80000</v>
      </c>
      <c r="AM207" s="1407"/>
      <c r="AN207" s="1407">
        <f t="shared" si="348"/>
        <v>80000</v>
      </c>
      <c r="AP207" s="1038"/>
      <c r="AQ207" s="1038"/>
      <c r="AR207" s="1038"/>
      <c r="AS207" s="1038"/>
      <c r="AT207" s="1038"/>
      <c r="AU207" s="1038"/>
      <c r="AV207" s="1038"/>
      <c r="AW207" s="1038"/>
      <c r="AX207" s="1038"/>
      <c r="AY207" s="1038"/>
      <c r="AZ207" s="1498">
        <f t="shared" si="325"/>
        <v>0</v>
      </c>
      <c r="BB207" s="1038"/>
      <c r="BC207" s="1038"/>
      <c r="BD207" s="1038"/>
      <c r="BE207" s="1038"/>
      <c r="BF207" s="1038"/>
      <c r="BG207" s="1038"/>
      <c r="BH207" s="1038"/>
      <c r="BI207" s="1038"/>
      <c r="BJ207" s="1038"/>
      <c r="BK207" s="1038"/>
      <c r="BL207" s="1038"/>
      <c r="BM207" s="1038"/>
      <c r="BN207" s="1498">
        <f t="shared" si="326"/>
        <v>0</v>
      </c>
      <c r="BP207" s="1038"/>
      <c r="BQ207" s="1038"/>
      <c r="BR207" s="1038"/>
      <c r="BS207" s="1038"/>
      <c r="BT207" s="1038"/>
      <c r="BU207" s="1038"/>
      <c r="BV207" s="1038"/>
      <c r="BW207" s="1038"/>
      <c r="BX207" s="1038"/>
      <c r="BY207" s="1038"/>
      <c r="BZ207" s="1038"/>
      <c r="CA207" s="1038"/>
      <c r="CB207" s="1498">
        <f t="shared" si="327"/>
        <v>0</v>
      </c>
      <c r="CD207" s="1038"/>
      <c r="CE207" s="1038"/>
      <c r="CF207" s="1038"/>
      <c r="CG207" s="1038"/>
      <c r="CH207" s="1038"/>
      <c r="CI207" s="1038"/>
      <c r="CJ207" s="1038"/>
      <c r="CK207" s="1038"/>
      <c r="CL207" s="1038"/>
      <c r="CM207" s="1038"/>
      <c r="CN207" s="1038"/>
      <c r="CO207" s="1038"/>
      <c r="CP207" s="1498">
        <f t="shared" si="328"/>
        <v>0</v>
      </c>
      <c r="CR207" s="1038"/>
      <c r="CS207" s="1038"/>
      <c r="CT207" s="1038"/>
      <c r="CU207" s="1038"/>
      <c r="CV207" s="1038"/>
      <c r="CW207" s="1038"/>
      <c r="CX207" s="1038"/>
      <c r="CY207" s="1044">
        <f>+$AH207*0.2</f>
        <v>16000</v>
      </c>
      <c r="CZ207" s="1044"/>
      <c r="DA207" s="1044">
        <f>+$AH207*0.4</f>
        <v>32000</v>
      </c>
      <c r="DB207" s="1044">
        <f>+$AH207*0.4</f>
        <v>32000</v>
      </c>
      <c r="DC207" s="1044"/>
      <c r="DD207" s="1498">
        <f t="shared" si="329"/>
        <v>80000</v>
      </c>
      <c r="DF207" s="1038"/>
      <c r="DG207" s="1044"/>
      <c r="DH207" s="1038"/>
      <c r="DI207" s="1498">
        <f t="shared" si="330"/>
        <v>0</v>
      </c>
      <c r="DJ207" s="3142">
        <f t="shared" si="354"/>
        <v>80000</v>
      </c>
      <c r="DL207" s="1027">
        <f t="shared" si="351"/>
        <v>0</v>
      </c>
      <c r="DN207" s="2749" t="s">
        <v>1331</v>
      </c>
      <c r="DO207" s="2746" t="s">
        <v>1332</v>
      </c>
      <c r="DP207" s="2746" t="s">
        <v>1160</v>
      </c>
      <c r="DQ207" s="2746" t="s">
        <v>4</v>
      </c>
      <c r="DR207" s="2746" t="str">
        <f t="shared" si="323"/>
        <v>1</v>
      </c>
      <c r="DS207" s="1037"/>
      <c r="DT207" s="1037"/>
    </row>
    <row r="208" spans="1:130" s="153" customFormat="1" ht="15" hidden="1" outlineLevel="3">
      <c r="B208" s="2839"/>
      <c r="C208" s="3306" t="s">
        <v>940</v>
      </c>
      <c r="D208" s="2942" t="s">
        <v>940</v>
      </c>
      <c r="E208" s="2830"/>
      <c r="F208" s="3307" t="s">
        <v>940</v>
      </c>
      <c r="G208" s="2833"/>
      <c r="H208" s="3486" t="s">
        <v>941</v>
      </c>
      <c r="I208" s="3308" t="s">
        <v>4</v>
      </c>
      <c r="J208" s="1250"/>
      <c r="K208" s="1037"/>
      <c r="L208" s="851" t="e">
        <v>#REF!</v>
      </c>
      <c r="M208" s="851" t="e">
        <v>#REF!</v>
      </c>
      <c r="N208" s="3347" t="e">
        <v>#REF!</v>
      </c>
      <c r="O208" s="3347" t="e">
        <v>#REF!</v>
      </c>
      <c r="P208" s="3347" t="e">
        <v>#REF!</v>
      </c>
      <c r="Q208" s="3347" t="e">
        <v>#REF!</v>
      </c>
      <c r="R208" s="3347" t="e">
        <v>#REF!</v>
      </c>
      <c r="S208" s="3347" t="e">
        <v>#REF!</v>
      </c>
      <c r="T208" s="3347" t="e">
        <v>#REF!</v>
      </c>
      <c r="U208" s="3347" t="e">
        <v>#REF!</v>
      </c>
      <c r="V208" s="1037"/>
      <c r="W208" s="1488"/>
      <c r="X208" s="1488"/>
      <c r="Y208" s="1488"/>
      <c r="Z208" s="1488"/>
      <c r="AA208" s="1488"/>
      <c r="AB208" s="1489"/>
      <c r="AC208" s="1037"/>
      <c r="AD208" s="2840"/>
      <c r="AE208" s="397"/>
      <c r="AF208" s="397"/>
      <c r="AG208" s="397"/>
      <c r="AH208" s="398"/>
      <c r="AI208" s="398">
        <f>+AI209+AI210+AI211</f>
        <v>940000</v>
      </c>
      <c r="AJ208" s="691"/>
      <c r="AK208" s="1037"/>
      <c r="AL208" s="398">
        <f>+AL209+AL210+AL211</f>
        <v>940000</v>
      </c>
      <c r="AM208" s="398">
        <f>+AM209+AM210+AM211</f>
        <v>0</v>
      </c>
      <c r="AN208" s="398">
        <f>+AL208+AM208</f>
        <v>940000</v>
      </c>
      <c r="AO208" s="1037"/>
      <c r="AP208" s="398">
        <f t="shared" ref="AP208:AY208" si="375">+AP209+AP210+AP211</f>
        <v>0</v>
      </c>
      <c r="AQ208" s="398">
        <f t="shared" si="375"/>
        <v>0</v>
      </c>
      <c r="AR208" s="398">
        <f t="shared" si="375"/>
        <v>0</v>
      </c>
      <c r="AS208" s="398">
        <f t="shared" si="375"/>
        <v>0</v>
      </c>
      <c r="AT208" s="398">
        <f t="shared" si="375"/>
        <v>0</v>
      </c>
      <c r="AU208" s="398">
        <f t="shared" si="375"/>
        <v>0</v>
      </c>
      <c r="AV208" s="398">
        <f t="shared" si="375"/>
        <v>0</v>
      </c>
      <c r="AW208" s="398">
        <f t="shared" si="375"/>
        <v>0</v>
      </c>
      <c r="AX208" s="398">
        <f t="shared" si="375"/>
        <v>0</v>
      </c>
      <c r="AY208" s="398">
        <f t="shared" si="375"/>
        <v>0</v>
      </c>
      <c r="AZ208" s="992">
        <f t="shared" si="325"/>
        <v>0</v>
      </c>
      <c r="BA208" s="1037"/>
      <c r="BB208" s="398">
        <f t="shared" ref="BB208:BM208" si="376">+BB209+BB210+BB211</f>
        <v>0</v>
      </c>
      <c r="BC208" s="398">
        <f t="shared" si="376"/>
        <v>0</v>
      </c>
      <c r="BD208" s="398">
        <f>+BD209+BD210+BD211</f>
        <v>0</v>
      </c>
      <c r="BE208" s="398">
        <f>+BE209+BE210+BE211</f>
        <v>0</v>
      </c>
      <c r="BF208" s="398">
        <f>+BF209+BF210+BF211</f>
        <v>0</v>
      </c>
      <c r="BG208" s="398">
        <f>+BG209+BG210+BG211</f>
        <v>0</v>
      </c>
      <c r="BH208" s="398">
        <f>+BH209+BH210+BH211</f>
        <v>0</v>
      </c>
      <c r="BI208" s="398">
        <f t="shared" si="376"/>
        <v>0</v>
      </c>
      <c r="BJ208" s="398">
        <f t="shared" si="376"/>
        <v>0</v>
      </c>
      <c r="BK208" s="398">
        <f t="shared" si="376"/>
        <v>4000</v>
      </c>
      <c r="BL208" s="398">
        <f t="shared" si="376"/>
        <v>6000</v>
      </c>
      <c r="BM208" s="398">
        <f t="shared" si="376"/>
        <v>10000</v>
      </c>
      <c r="BN208" s="992">
        <f t="shared" si="326"/>
        <v>20000</v>
      </c>
      <c r="BO208" s="1037"/>
      <c r="BP208" s="398">
        <f t="shared" ref="BP208:CA208" si="377">+BP209+BP210+BP211</f>
        <v>0</v>
      </c>
      <c r="BQ208" s="398">
        <f t="shared" si="377"/>
        <v>0</v>
      </c>
      <c r="BR208" s="398">
        <f t="shared" si="377"/>
        <v>0</v>
      </c>
      <c r="BS208" s="398">
        <f t="shared" si="377"/>
        <v>0</v>
      </c>
      <c r="BT208" s="398">
        <f t="shared" si="377"/>
        <v>0</v>
      </c>
      <c r="BU208" s="398">
        <f t="shared" si="377"/>
        <v>0</v>
      </c>
      <c r="BV208" s="398">
        <f t="shared" si="377"/>
        <v>0</v>
      </c>
      <c r="BW208" s="398">
        <f t="shared" si="377"/>
        <v>0</v>
      </c>
      <c r="BX208" s="398">
        <f t="shared" si="377"/>
        <v>0</v>
      </c>
      <c r="BY208" s="398">
        <f t="shared" si="377"/>
        <v>0</v>
      </c>
      <c r="BZ208" s="398">
        <f t="shared" si="377"/>
        <v>0</v>
      </c>
      <c r="CA208" s="398">
        <f t="shared" si="377"/>
        <v>0</v>
      </c>
      <c r="CB208" s="992">
        <f t="shared" si="327"/>
        <v>0</v>
      </c>
      <c r="CC208" s="1037"/>
      <c r="CD208" s="398">
        <f t="shared" ref="CD208:CO208" si="378">+CD209+CD210+CD211</f>
        <v>0</v>
      </c>
      <c r="CE208" s="398">
        <f t="shared" si="378"/>
        <v>0</v>
      </c>
      <c r="CF208" s="398">
        <f>+CF209+CF210+CF211</f>
        <v>0</v>
      </c>
      <c r="CG208" s="398">
        <f t="shared" si="378"/>
        <v>0</v>
      </c>
      <c r="CH208" s="398">
        <f t="shared" si="378"/>
        <v>0</v>
      </c>
      <c r="CI208" s="398">
        <f t="shared" si="378"/>
        <v>0</v>
      </c>
      <c r="CJ208" s="398">
        <f t="shared" si="378"/>
        <v>0</v>
      </c>
      <c r="CK208" s="398">
        <f t="shared" si="378"/>
        <v>184000</v>
      </c>
      <c r="CL208" s="398">
        <f>+CL209+CL210+CL211</f>
        <v>0</v>
      </c>
      <c r="CM208" s="398">
        <f t="shared" si="378"/>
        <v>0</v>
      </c>
      <c r="CN208" s="398">
        <f t="shared" si="378"/>
        <v>368000</v>
      </c>
      <c r="CO208" s="398">
        <f t="shared" si="378"/>
        <v>0</v>
      </c>
      <c r="CP208" s="993">
        <f t="shared" si="328"/>
        <v>552000</v>
      </c>
      <c r="CQ208" s="1037"/>
      <c r="CR208" s="398">
        <f t="shared" ref="CR208:DC208" si="379">+CR209+CR210+CR211</f>
        <v>0</v>
      </c>
      <c r="CS208" s="398">
        <f t="shared" si="379"/>
        <v>0</v>
      </c>
      <c r="CT208" s="398">
        <f t="shared" si="379"/>
        <v>368000</v>
      </c>
      <c r="CU208" s="398">
        <f t="shared" si="379"/>
        <v>0</v>
      </c>
      <c r="CV208" s="398">
        <f t="shared" si="379"/>
        <v>0</v>
      </c>
      <c r="CW208" s="398">
        <f t="shared" si="379"/>
        <v>0</v>
      </c>
      <c r="CX208" s="398">
        <f t="shared" si="379"/>
        <v>0</v>
      </c>
      <c r="CY208" s="398">
        <f t="shared" si="379"/>
        <v>0</v>
      </c>
      <c r="CZ208" s="398">
        <f t="shared" si="379"/>
        <v>0</v>
      </c>
      <c r="DA208" s="398">
        <f t="shared" si="379"/>
        <v>0</v>
      </c>
      <c r="DB208" s="398">
        <f t="shared" si="379"/>
        <v>0</v>
      </c>
      <c r="DC208" s="398">
        <f t="shared" si="379"/>
        <v>0</v>
      </c>
      <c r="DD208" s="994">
        <f t="shared" si="329"/>
        <v>368000</v>
      </c>
      <c r="DE208" s="1037"/>
      <c r="DF208" s="992">
        <f>+DF209+DF210+DF211</f>
        <v>0</v>
      </c>
      <c r="DG208" s="992">
        <f>+DG209+DG210+DG211</f>
        <v>0</v>
      </c>
      <c r="DH208" s="992">
        <f>+DH209+DH210+DH211</f>
        <v>0</v>
      </c>
      <c r="DI208" s="3083">
        <f t="shared" si="330"/>
        <v>0</v>
      </c>
      <c r="DJ208" s="3136">
        <f t="shared" si="354"/>
        <v>940000</v>
      </c>
      <c r="DL208" s="1027">
        <f t="shared" si="351"/>
        <v>0</v>
      </c>
      <c r="DN208" s="2725" t="s">
        <v>1175</v>
      </c>
      <c r="DO208" s="2726" t="s">
        <v>1175</v>
      </c>
      <c r="DP208" s="2726"/>
      <c r="DQ208" s="2726" t="s">
        <v>1175</v>
      </c>
      <c r="DR208" s="2726" t="str">
        <f t="shared" si="323"/>
        <v>1</v>
      </c>
      <c r="DS208" s="1037"/>
      <c r="DT208" s="1037"/>
    </row>
    <row r="209" spans="1:130" ht="59.5" hidden="1" customHeight="1" outlineLevel="3" collapsed="1">
      <c r="B209" s="2878"/>
      <c r="C209" s="3309" t="s">
        <v>942</v>
      </c>
      <c r="D209" s="3310" t="s">
        <v>942</v>
      </c>
      <c r="E209" s="588"/>
      <c r="F209" s="3310" t="s">
        <v>942</v>
      </c>
      <c r="G209" s="2874" t="s">
        <v>1279</v>
      </c>
      <c r="H209" s="3318" t="s">
        <v>943</v>
      </c>
      <c r="I209" s="3312"/>
      <c r="J209" s="177"/>
      <c r="L209" s="364"/>
      <c r="M209" s="364"/>
      <c r="N209" s="364"/>
      <c r="O209" s="364"/>
      <c r="P209" s="364"/>
      <c r="Q209" s="364"/>
      <c r="R209" s="364"/>
      <c r="S209" s="364"/>
      <c r="T209" s="364"/>
      <c r="U209" s="364"/>
      <c r="W209" s="1207" t="s">
        <v>763</v>
      </c>
      <c r="X209" s="853" t="s">
        <v>1075</v>
      </c>
      <c r="Y209" s="1207" t="s">
        <v>1430</v>
      </c>
      <c r="Z209" s="853">
        <v>30</v>
      </c>
      <c r="AA209" s="1207" t="s">
        <v>1421</v>
      </c>
      <c r="AB209" s="1234"/>
      <c r="AD209" s="177" t="s">
        <v>1267</v>
      </c>
      <c r="AE209" s="159" t="s">
        <v>494</v>
      </c>
      <c r="AF209" s="159" t="s">
        <v>576</v>
      </c>
      <c r="AG209" s="159"/>
      <c r="AH209" s="355">
        <v>5000</v>
      </c>
      <c r="AI209" s="355">
        <f>+AE209*AF209*AH209</f>
        <v>20000</v>
      </c>
      <c r="AJ209" s="693"/>
      <c r="AL209" s="355">
        <f>+AI209</f>
        <v>20000</v>
      </c>
      <c r="AM209" s="355"/>
      <c r="AN209" s="1041">
        <f t="shared" si="348"/>
        <v>20000</v>
      </c>
      <c r="AP209" s="1033"/>
      <c r="AQ209" s="1033"/>
      <c r="AR209" s="1033"/>
      <c r="AS209" s="1033"/>
      <c r="AT209" s="1033"/>
      <c r="AU209" s="1033"/>
      <c r="AV209" s="1033"/>
      <c r="AW209" s="1033"/>
      <c r="AX209" s="1033"/>
      <c r="AY209" s="1033"/>
      <c r="AZ209" s="1294">
        <f t="shared" si="325"/>
        <v>0</v>
      </c>
      <c r="BB209" s="1033"/>
      <c r="BC209" s="1033"/>
      <c r="BD209" s="1033"/>
      <c r="BE209" s="1033"/>
      <c r="BF209" s="1033"/>
      <c r="BG209" s="1033"/>
      <c r="BH209" s="1033"/>
      <c r="BI209" s="1033"/>
      <c r="BJ209" s="1033"/>
      <c r="BK209" s="1033">
        <f>+$AI$209*0.2</f>
        <v>4000</v>
      </c>
      <c r="BL209" s="1033">
        <f>+$AI$209*0.3</f>
        <v>6000</v>
      </c>
      <c r="BM209" s="1033">
        <f>+$AI$209*0.5</f>
        <v>10000</v>
      </c>
      <c r="BN209" s="1294">
        <f t="shared" si="326"/>
        <v>20000</v>
      </c>
      <c r="BP209" s="1033"/>
      <c r="BQ209" s="1033"/>
      <c r="BR209" s="1033"/>
      <c r="BS209" s="1033"/>
      <c r="BT209" s="1033"/>
      <c r="BU209" s="1033"/>
      <c r="BV209" s="1033"/>
      <c r="BW209" s="1033"/>
      <c r="BX209" s="1033"/>
      <c r="BY209" s="1033"/>
      <c r="BZ209" s="1033"/>
      <c r="CA209" s="1033"/>
      <c r="CB209" s="1294">
        <f t="shared" si="327"/>
        <v>0</v>
      </c>
      <c r="CD209" s="1033"/>
      <c r="CE209" s="1033"/>
      <c r="CF209" s="1033"/>
      <c r="CG209" s="1033"/>
      <c r="CH209" s="1033"/>
      <c r="CI209" s="1033"/>
      <c r="CJ209" s="1033"/>
      <c r="CK209" s="1033"/>
      <c r="CL209" s="1033"/>
      <c r="CM209" s="1033"/>
      <c r="CN209" s="1033"/>
      <c r="CO209" s="1033"/>
      <c r="CP209" s="1744">
        <f t="shared" si="328"/>
        <v>0</v>
      </c>
      <c r="CR209" s="1033"/>
      <c r="CS209" s="1033"/>
      <c r="CT209" s="1033"/>
      <c r="CU209" s="1033"/>
      <c r="CV209" s="1033"/>
      <c r="CW209" s="1033"/>
      <c r="CX209" s="1033"/>
      <c r="CY209" s="1033"/>
      <c r="CZ209" s="1033"/>
      <c r="DA209" s="1033"/>
      <c r="DB209" s="1033"/>
      <c r="DC209" s="1033"/>
      <c r="DD209" s="1468">
        <f t="shared" si="329"/>
        <v>0</v>
      </c>
      <c r="DF209" s="1033"/>
      <c r="DG209" s="1033"/>
      <c r="DH209" s="1033"/>
      <c r="DI209" s="3086">
        <f t="shared" si="330"/>
        <v>0</v>
      </c>
      <c r="DJ209" s="3141">
        <f t="shared" si="354"/>
        <v>20000</v>
      </c>
      <c r="DL209" s="1027">
        <f t="shared" si="351"/>
        <v>0</v>
      </c>
      <c r="DN209" s="2716" t="s">
        <v>1180</v>
      </c>
      <c r="DO209" s="2736" t="s">
        <v>1181</v>
      </c>
      <c r="DP209" s="2736" t="s">
        <v>1117</v>
      </c>
      <c r="DQ209" s="2736" t="s">
        <v>4</v>
      </c>
      <c r="DR209" s="2736" t="str">
        <f t="shared" si="323"/>
        <v>1</v>
      </c>
      <c r="DS209" s="1037"/>
      <c r="DT209" s="1037"/>
    </row>
    <row r="210" spans="1:130" ht="54.5" hidden="1" customHeight="1" outlineLevel="3" collapsed="1">
      <c r="B210" s="2860"/>
      <c r="C210" s="3309" t="s">
        <v>944</v>
      </c>
      <c r="D210" s="3310" t="s">
        <v>944</v>
      </c>
      <c r="E210" s="588"/>
      <c r="F210" s="3325" t="s">
        <v>944</v>
      </c>
      <c r="G210" s="2838" t="s">
        <v>1279</v>
      </c>
      <c r="H210" s="3332" t="s">
        <v>945</v>
      </c>
      <c r="I210" s="3319"/>
      <c r="J210" s="103"/>
      <c r="L210" s="364"/>
      <c r="M210" s="364"/>
      <c r="N210" s="3345"/>
      <c r="O210" s="3345"/>
      <c r="P210" s="3345"/>
      <c r="Q210" s="3345"/>
      <c r="R210" s="3345"/>
      <c r="S210" s="3345"/>
      <c r="T210" s="3345"/>
      <c r="U210" s="3345"/>
      <c r="W210" s="3799" t="s">
        <v>853</v>
      </c>
      <c r="X210" s="3799" t="s">
        <v>1075</v>
      </c>
      <c r="Y210" s="3799" t="s">
        <v>1195</v>
      </c>
      <c r="Z210" s="1207" t="s">
        <v>1431</v>
      </c>
      <c r="AA210" s="3799"/>
      <c r="AB210" s="3802"/>
      <c r="AD210" s="711" t="s">
        <v>1179</v>
      </c>
      <c r="AE210" s="712">
        <v>1</v>
      </c>
      <c r="AF210" s="179"/>
      <c r="AG210" s="179"/>
      <c r="AH210" s="1032">
        <v>100000</v>
      </c>
      <c r="AI210" s="1032">
        <f>AE210*AH210</f>
        <v>100000</v>
      </c>
      <c r="AJ210" s="1530" t="s">
        <v>1432</v>
      </c>
      <c r="AL210" s="1032">
        <f>+AI210</f>
        <v>100000</v>
      </c>
      <c r="AM210" s="1032"/>
      <c r="AN210" s="1041">
        <f t="shared" si="348"/>
        <v>100000</v>
      </c>
      <c r="AP210" s="986"/>
      <c r="AQ210" s="986"/>
      <c r="AR210" s="986"/>
      <c r="AS210" s="986"/>
      <c r="AT210" s="986"/>
      <c r="AU210" s="986"/>
      <c r="AV210" s="986"/>
      <c r="AW210" s="986"/>
      <c r="AX210" s="986"/>
      <c r="AY210" s="986"/>
      <c r="AZ210" s="2011">
        <f t="shared" si="325"/>
        <v>0</v>
      </c>
      <c r="BB210" s="986"/>
      <c r="BC210" s="986"/>
      <c r="BD210" s="986"/>
      <c r="BE210" s="986"/>
      <c r="BF210" s="986"/>
      <c r="BG210" s="986"/>
      <c r="BH210" s="986"/>
      <c r="BI210" s="986"/>
      <c r="BJ210" s="986"/>
      <c r="BK210" s="986"/>
      <c r="BL210" s="986"/>
      <c r="BM210" s="986"/>
      <c r="BN210" s="2011">
        <f t="shared" si="326"/>
        <v>0</v>
      </c>
      <c r="BP210" s="986"/>
      <c r="BQ210" s="986"/>
      <c r="BR210" s="986"/>
      <c r="BS210" s="1015"/>
      <c r="BT210" s="986"/>
      <c r="BU210" s="986"/>
      <c r="BV210" s="1015"/>
      <c r="BW210" s="1015"/>
      <c r="BX210" s="1015"/>
      <c r="BY210" s="1015"/>
      <c r="BZ210" s="1015"/>
      <c r="CA210" s="1015"/>
      <c r="CB210" s="2026">
        <f t="shared" si="327"/>
        <v>0</v>
      </c>
      <c r="CD210" s="1015"/>
      <c r="CE210" s="1015"/>
      <c r="CF210" s="1015"/>
      <c r="CG210" s="1015"/>
      <c r="CH210" s="1015"/>
      <c r="CI210" s="1015"/>
      <c r="CJ210" s="1015"/>
      <c r="CK210" s="1015">
        <f>+$AL210*20%</f>
        <v>20000</v>
      </c>
      <c r="CL210" s="986"/>
      <c r="CM210" s="986"/>
      <c r="CN210" s="986">
        <f>+$AL210*40%</f>
        <v>40000</v>
      </c>
      <c r="CO210" s="986"/>
      <c r="CP210" s="2014">
        <f t="shared" si="328"/>
        <v>60000</v>
      </c>
      <c r="CR210" s="986"/>
      <c r="CS210" s="986"/>
      <c r="CT210" s="986">
        <f>+$AL210*40%</f>
        <v>40000</v>
      </c>
      <c r="CU210" s="986"/>
      <c r="CV210" s="986"/>
      <c r="CW210" s="986"/>
      <c r="CX210" s="986"/>
      <c r="CY210" s="986"/>
      <c r="CZ210" s="986"/>
      <c r="DA210" s="986"/>
      <c r="DB210" s="986"/>
      <c r="DC210" s="986"/>
      <c r="DD210" s="1498">
        <f t="shared" si="329"/>
        <v>40000</v>
      </c>
      <c r="DF210" s="986"/>
      <c r="DG210" s="986"/>
      <c r="DH210" s="986"/>
      <c r="DI210" s="1498">
        <f t="shared" si="330"/>
        <v>0</v>
      </c>
      <c r="DJ210" s="3142">
        <f>+AZ210+BN210+CB210+CP210+DD210+DI210</f>
        <v>100000</v>
      </c>
      <c r="DL210" s="1027">
        <f t="shared" si="351"/>
        <v>0</v>
      </c>
      <c r="DN210" s="2749" t="s">
        <v>1283</v>
      </c>
      <c r="DO210" s="2730" t="s">
        <v>1284</v>
      </c>
      <c r="DP210" s="2730" t="s">
        <v>1117</v>
      </c>
      <c r="DQ210" s="2730" t="s">
        <v>4</v>
      </c>
      <c r="DR210" s="2730" t="str">
        <f t="shared" si="323"/>
        <v>1</v>
      </c>
      <c r="DS210" s="1037"/>
      <c r="DT210" s="1037"/>
    </row>
    <row r="211" spans="1:130" ht="15" hidden="1" outlineLevel="3" collapsed="1">
      <c r="A211" s="153"/>
      <c r="B211" s="2855"/>
      <c r="C211" s="3309"/>
      <c r="D211" s="3310" t="s">
        <v>946</v>
      </c>
      <c r="E211" s="2827"/>
      <c r="F211" s="3310" t="s">
        <v>946</v>
      </c>
      <c r="G211" s="2863" t="s">
        <v>1279</v>
      </c>
      <c r="H211" s="3318" t="s">
        <v>947</v>
      </c>
      <c r="I211" s="3311"/>
      <c r="J211" s="173"/>
      <c r="K211" s="2858"/>
      <c r="L211" s="853"/>
      <c r="M211" s="853"/>
      <c r="N211" s="3339"/>
      <c r="O211" s="3339"/>
      <c r="P211" s="3339"/>
      <c r="Q211" s="3339"/>
      <c r="R211" s="3339"/>
      <c r="S211" s="3339"/>
      <c r="T211" s="3339"/>
      <c r="U211" s="3339"/>
      <c r="V211" s="2858"/>
      <c r="W211" s="3800"/>
      <c r="X211" s="3800"/>
      <c r="Y211" s="3800"/>
      <c r="Z211" s="1925"/>
      <c r="AA211" s="3800"/>
      <c r="AB211" s="3803"/>
      <c r="AC211" s="2858"/>
      <c r="AD211" s="2844"/>
      <c r="AE211" s="704"/>
      <c r="AF211" s="704"/>
      <c r="AG211" s="704"/>
      <c r="AH211" s="485"/>
      <c r="AI211" s="485">
        <f>SUM(AI212:AI213)</f>
        <v>820000</v>
      </c>
      <c r="AJ211" s="2314"/>
      <c r="AK211" s="2858"/>
      <c r="AL211" s="485">
        <f>SUM(AL212:AL213)</f>
        <v>820000</v>
      </c>
      <c r="AM211" s="485">
        <f>SUM(AM212:AM213)</f>
        <v>0</v>
      </c>
      <c r="AN211" s="485">
        <f t="shared" si="348"/>
        <v>820000</v>
      </c>
      <c r="AO211" s="2858"/>
      <c r="AP211" s="1294">
        <f t="shared" ref="AP211:AY211" si="380">+AP212+AP213</f>
        <v>0</v>
      </c>
      <c r="AQ211" s="1294">
        <f t="shared" si="380"/>
        <v>0</v>
      </c>
      <c r="AR211" s="1294">
        <f t="shared" si="380"/>
        <v>0</v>
      </c>
      <c r="AS211" s="1294">
        <f t="shared" si="380"/>
        <v>0</v>
      </c>
      <c r="AT211" s="1294">
        <f t="shared" si="380"/>
        <v>0</v>
      </c>
      <c r="AU211" s="1294">
        <f t="shared" si="380"/>
        <v>0</v>
      </c>
      <c r="AV211" s="1294">
        <f t="shared" si="380"/>
        <v>0</v>
      </c>
      <c r="AW211" s="1294">
        <f t="shared" si="380"/>
        <v>0</v>
      </c>
      <c r="AX211" s="1294">
        <f t="shared" si="380"/>
        <v>0</v>
      </c>
      <c r="AY211" s="1294">
        <f t="shared" si="380"/>
        <v>0</v>
      </c>
      <c r="AZ211" s="1294">
        <f t="shared" si="325"/>
        <v>0</v>
      </c>
      <c r="BB211" s="1294">
        <f t="shared" ref="BB211:BM211" si="381">+BB212+BB213</f>
        <v>0</v>
      </c>
      <c r="BC211" s="1294">
        <f t="shared" si="381"/>
        <v>0</v>
      </c>
      <c r="BD211" s="1294">
        <f t="shared" si="381"/>
        <v>0</v>
      </c>
      <c r="BE211" s="1294">
        <f t="shared" si="381"/>
        <v>0</v>
      </c>
      <c r="BF211" s="1294">
        <f t="shared" si="381"/>
        <v>0</v>
      </c>
      <c r="BG211" s="1294">
        <f t="shared" si="381"/>
        <v>0</v>
      </c>
      <c r="BH211" s="1294">
        <f t="shared" si="381"/>
        <v>0</v>
      </c>
      <c r="BI211" s="1294">
        <f t="shared" si="381"/>
        <v>0</v>
      </c>
      <c r="BJ211" s="1294">
        <f t="shared" si="381"/>
        <v>0</v>
      </c>
      <c r="BK211" s="1294">
        <f t="shared" si="381"/>
        <v>0</v>
      </c>
      <c r="BL211" s="1294">
        <f t="shared" si="381"/>
        <v>0</v>
      </c>
      <c r="BM211" s="1294">
        <f t="shared" si="381"/>
        <v>0</v>
      </c>
      <c r="BN211" s="1294">
        <f t="shared" si="326"/>
        <v>0</v>
      </c>
      <c r="BO211" s="2858"/>
      <c r="BP211" s="1294">
        <f t="shared" ref="BP211:CA211" si="382">+BP212+BP213</f>
        <v>0</v>
      </c>
      <c r="BQ211" s="1294">
        <f t="shared" si="382"/>
        <v>0</v>
      </c>
      <c r="BR211" s="1294">
        <f t="shared" si="382"/>
        <v>0</v>
      </c>
      <c r="BS211" s="1294">
        <f t="shared" si="382"/>
        <v>0</v>
      </c>
      <c r="BT211" s="1294">
        <f t="shared" si="382"/>
        <v>0</v>
      </c>
      <c r="BU211" s="1294">
        <f t="shared" si="382"/>
        <v>0</v>
      </c>
      <c r="BV211" s="1294">
        <f t="shared" si="382"/>
        <v>0</v>
      </c>
      <c r="BW211" s="1294">
        <f t="shared" si="382"/>
        <v>0</v>
      </c>
      <c r="BX211" s="1294">
        <f t="shared" si="382"/>
        <v>0</v>
      </c>
      <c r="BY211" s="1294">
        <f t="shared" si="382"/>
        <v>0</v>
      </c>
      <c r="BZ211" s="1294">
        <f t="shared" si="382"/>
        <v>0</v>
      </c>
      <c r="CA211" s="1294">
        <f t="shared" si="382"/>
        <v>0</v>
      </c>
      <c r="CB211" s="1294">
        <f t="shared" si="327"/>
        <v>0</v>
      </c>
      <c r="CC211" s="2858"/>
      <c r="CD211" s="1294">
        <f t="shared" ref="CD211:CO211" si="383">+CD212+CD213</f>
        <v>0</v>
      </c>
      <c r="CE211" s="1294">
        <f t="shared" si="383"/>
        <v>0</v>
      </c>
      <c r="CF211" s="1294">
        <f t="shared" si="383"/>
        <v>0</v>
      </c>
      <c r="CG211" s="1294">
        <f t="shared" si="383"/>
        <v>0</v>
      </c>
      <c r="CH211" s="1294">
        <f t="shared" si="383"/>
        <v>0</v>
      </c>
      <c r="CI211" s="1294">
        <f t="shared" si="383"/>
        <v>0</v>
      </c>
      <c r="CJ211" s="1294">
        <f t="shared" si="383"/>
        <v>0</v>
      </c>
      <c r="CK211" s="1294">
        <f t="shared" si="383"/>
        <v>164000</v>
      </c>
      <c r="CL211" s="1294">
        <f t="shared" si="383"/>
        <v>0</v>
      </c>
      <c r="CM211" s="1294">
        <f t="shared" si="383"/>
        <v>0</v>
      </c>
      <c r="CN211" s="1294">
        <f t="shared" si="383"/>
        <v>328000</v>
      </c>
      <c r="CO211" s="1294">
        <f t="shared" si="383"/>
        <v>0</v>
      </c>
      <c r="CP211" s="1744">
        <f t="shared" si="328"/>
        <v>492000</v>
      </c>
      <c r="CQ211" s="2858"/>
      <c r="CR211" s="1294">
        <f t="shared" ref="CR211:DC211" si="384">+CR212+CR213</f>
        <v>0</v>
      </c>
      <c r="CS211" s="1294">
        <f t="shared" si="384"/>
        <v>0</v>
      </c>
      <c r="CT211" s="1294">
        <f t="shared" si="384"/>
        <v>328000</v>
      </c>
      <c r="CU211" s="1294">
        <f t="shared" si="384"/>
        <v>0</v>
      </c>
      <c r="CV211" s="1294">
        <f t="shared" si="384"/>
        <v>0</v>
      </c>
      <c r="CW211" s="1294">
        <f t="shared" si="384"/>
        <v>0</v>
      </c>
      <c r="CX211" s="1294">
        <f t="shared" si="384"/>
        <v>0</v>
      </c>
      <c r="CY211" s="1294">
        <f t="shared" si="384"/>
        <v>0</v>
      </c>
      <c r="CZ211" s="1294">
        <f t="shared" si="384"/>
        <v>0</v>
      </c>
      <c r="DA211" s="1294">
        <f t="shared" si="384"/>
        <v>0</v>
      </c>
      <c r="DB211" s="1294">
        <f t="shared" si="384"/>
        <v>0</v>
      </c>
      <c r="DC211" s="1294">
        <f t="shared" si="384"/>
        <v>0</v>
      </c>
      <c r="DD211" s="1468">
        <f t="shared" si="329"/>
        <v>328000</v>
      </c>
      <c r="DE211" s="2858"/>
      <c r="DF211" s="1294">
        <f>+DF212+DF213</f>
        <v>0</v>
      </c>
      <c r="DG211" s="1294">
        <f>+DG212+DG213</f>
        <v>0</v>
      </c>
      <c r="DH211" s="1294">
        <f>+DH212+DH213</f>
        <v>0</v>
      </c>
      <c r="DI211" s="3086">
        <f t="shared" si="330"/>
        <v>0</v>
      </c>
      <c r="DJ211" s="3141">
        <f>+AZ211+BN211+CB211+CP211+DD211+DI211</f>
        <v>820000</v>
      </c>
      <c r="DK211" s="153"/>
      <c r="DL211" s="968">
        <f t="shared" si="351"/>
        <v>0</v>
      </c>
      <c r="DM211" s="153"/>
      <c r="DN211" s="2716" t="s">
        <v>1175</v>
      </c>
      <c r="DO211" s="2739" t="s">
        <v>1175</v>
      </c>
      <c r="DP211" s="2739"/>
      <c r="DQ211" s="2739" t="s">
        <v>1175</v>
      </c>
      <c r="DR211" s="2739" t="str">
        <f t="shared" si="323"/>
        <v>1</v>
      </c>
      <c r="DS211" s="2858"/>
      <c r="DT211" s="2858"/>
      <c r="DU211" s="153"/>
      <c r="DV211" s="153"/>
      <c r="DW211" s="153"/>
      <c r="DX211" s="153"/>
      <c r="DY211" s="153"/>
      <c r="DZ211" s="153"/>
    </row>
    <row r="212" spans="1:130" ht="225" hidden="1" outlineLevel="3">
      <c r="B212" s="2860"/>
      <c r="C212" s="3309" t="s">
        <v>946</v>
      </c>
      <c r="D212" s="3310" t="s">
        <v>948</v>
      </c>
      <c r="E212" s="588"/>
      <c r="F212" s="3325" t="s">
        <v>948</v>
      </c>
      <c r="G212" s="2838" t="s">
        <v>1279</v>
      </c>
      <c r="H212" s="3326" t="s">
        <v>949</v>
      </c>
      <c r="I212" s="3319"/>
      <c r="J212" s="103"/>
      <c r="L212" s="364"/>
      <c r="M212" s="364"/>
      <c r="N212" s="3345"/>
      <c r="O212" s="3345"/>
      <c r="P212" s="3345"/>
      <c r="Q212" s="3345"/>
      <c r="R212" s="3345"/>
      <c r="S212" s="3345"/>
      <c r="T212" s="3345"/>
      <c r="U212" s="3345"/>
      <c r="W212" s="3800"/>
      <c r="X212" s="3800"/>
      <c r="Y212" s="3800"/>
      <c r="Z212" s="1925" t="s">
        <v>1433</v>
      </c>
      <c r="AA212" s="3800"/>
      <c r="AB212" s="3803"/>
      <c r="AD212" s="711" t="s">
        <v>1179</v>
      </c>
      <c r="AE212" s="712">
        <v>1</v>
      </c>
      <c r="AF212" s="179"/>
      <c r="AG212" s="179"/>
      <c r="AH212" s="1032">
        <v>420000</v>
      </c>
      <c r="AI212" s="1032">
        <f>AE212*AH212</f>
        <v>420000</v>
      </c>
      <c r="AJ212" s="1530" t="s">
        <v>1434</v>
      </c>
      <c r="AL212" s="1032">
        <f>+AI212</f>
        <v>420000</v>
      </c>
      <c r="AM212" s="1032"/>
      <c r="AN212" s="1041">
        <f t="shared" si="348"/>
        <v>420000</v>
      </c>
      <c r="AP212" s="986"/>
      <c r="AQ212" s="986"/>
      <c r="AR212" s="986"/>
      <c r="AS212" s="986"/>
      <c r="AT212" s="986"/>
      <c r="AU212" s="986"/>
      <c r="AV212" s="986"/>
      <c r="AW212" s="986"/>
      <c r="AX212" s="986"/>
      <c r="AY212" s="986"/>
      <c r="AZ212" s="2011">
        <f t="shared" si="325"/>
        <v>0</v>
      </c>
      <c r="BB212" s="986"/>
      <c r="BC212" s="986"/>
      <c r="BD212" s="986"/>
      <c r="BE212" s="986"/>
      <c r="BF212" s="986"/>
      <c r="BG212" s="986"/>
      <c r="BH212" s="986"/>
      <c r="BI212" s="986"/>
      <c r="BJ212" s="986"/>
      <c r="BK212" s="986"/>
      <c r="BL212" s="986"/>
      <c r="BM212" s="986"/>
      <c r="BN212" s="2011">
        <f t="shared" si="326"/>
        <v>0</v>
      </c>
      <c r="BP212" s="986"/>
      <c r="BQ212" s="986"/>
      <c r="BR212" s="986"/>
      <c r="BS212" s="986"/>
      <c r="BT212" s="986"/>
      <c r="BU212" s="986"/>
      <c r="BV212" s="986"/>
      <c r="BW212" s="986"/>
      <c r="BX212" s="986"/>
      <c r="BY212" s="1015"/>
      <c r="BZ212" s="1015"/>
      <c r="CA212" s="1015"/>
      <c r="CB212" s="2026">
        <f t="shared" si="327"/>
        <v>0</v>
      </c>
      <c r="CD212" s="1015"/>
      <c r="CE212" s="1015"/>
      <c r="CF212" s="1015"/>
      <c r="CG212" s="1015"/>
      <c r="CH212" s="1015"/>
      <c r="CI212" s="1015"/>
      <c r="CJ212" s="1015"/>
      <c r="CK212" s="1015">
        <f>+$AL212*0.2</f>
        <v>84000</v>
      </c>
      <c r="CL212" s="1015"/>
      <c r="CM212" s="1015"/>
      <c r="CN212" s="1015">
        <f>+$AL212*0.4</f>
        <v>168000</v>
      </c>
      <c r="CO212" s="1015"/>
      <c r="CP212" s="2026">
        <f t="shared" si="328"/>
        <v>252000</v>
      </c>
      <c r="CR212" s="1015"/>
      <c r="CS212" s="1015"/>
      <c r="CT212" s="1015">
        <f>+$AL212*0.4</f>
        <v>168000</v>
      </c>
      <c r="CU212" s="1015"/>
      <c r="CV212" s="1015"/>
      <c r="CW212" s="1015"/>
      <c r="CX212" s="1015"/>
      <c r="CY212" s="1015"/>
      <c r="CZ212" s="1015"/>
      <c r="DA212" s="1015"/>
      <c r="DB212" s="1015"/>
      <c r="DC212" s="1015"/>
      <c r="DD212" s="2017">
        <f t="shared" si="329"/>
        <v>168000</v>
      </c>
      <c r="DF212" s="1015"/>
      <c r="DG212" s="1015"/>
      <c r="DH212" s="1015"/>
      <c r="DI212" s="2017">
        <f t="shared" si="330"/>
        <v>0</v>
      </c>
      <c r="DJ212" s="3143">
        <f t="shared" si="354"/>
        <v>420000</v>
      </c>
      <c r="DL212" s="1027">
        <f t="shared" si="351"/>
        <v>0</v>
      </c>
      <c r="DN212" s="2749" t="s">
        <v>1346</v>
      </c>
      <c r="DO212" s="2740" t="s">
        <v>1347</v>
      </c>
      <c r="DP212" s="2740" t="s">
        <v>1115</v>
      </c>
      <c r="DQ212" s="2740" t="s">
        <v>4</v>
      </c>
      <c r="DR212" s="2740" t="str">
        <f t="shared" si="323"/>
        <v>1</v>
      </c>
      <c r="DS212" s="1037"/>
      <c r="DT212" s="1037"/>
    </row>
    <row r="213" spans="1:130" s="153" customFormat="1" ht="32" hidden="1" customHeight="1" outlineLevel="3">
      <c r="A213" s="108"/>
      <c r="B213" s="2860"/>
      <c r="C213" s="3309" t="s">
        <v>1435</v>
      </c>
      <c r="D213" s="3310" t="s">
        <v>950</v>
      </c>
      <c r="E213" s="588"/>
      <c r="F213" s="3325" t="s">
        <v>950</v>
      </c>
      <c r="G213" s="2838" t="s">
        <v>1279</v>
      </c>
      <c r="H213" s="3326" t="s">
        <v>951</v>
      </c>
      <c r="I213" s="3319"/>
      <c r="J213" s="103"/>
      <c r="K213" s="1037"/>
      <c r="L213" s="364"/>
      <c r="M213" s="364"/>
      <c r="N213" s="3345"/>
      <c r="O213" s="3345"/>
      <c r="P213" s="3345"/>
      <c r="Q213" s="3345"/>
      <c r="R213" s="3345"/>
      <c r="S213" s="3345"/>
      <c r="T213" s="3345"/>
      <c r="U213" s="3345"/>
      <c r="V213" s="1037"/>
      <c r="W213" s="3801"/>
      <c r="X213" s="3801"/>
      <c r="Y213" s="3801"/>
      <c r="Z213" s="1481" t="s">
        <v>1436</v>
      </c>
      <c r="AA213" s="3801"/>
      <c r="AB213" s="3804"/>
      <c r="AC213" s="1037"/>
      <c r="AD213" s="711" t="s">
        <v>1179</v>
      </c>
      <c r="AE213" s="712">
        <v>1</v>
      </c>
      <c r="AF213" s="179"/>
      <c r="AG213" s="179"/>
      <c r="AH213" s="1032">
        <v>400000</v>
      </c>
      <c r="AI213" s="1032">
        <f>AE213*AH213</f>
        <v>400000</v>
      </c>
      <c r="AJ213" s="1530" t="s">
        <v>1437</v>
      </c>
      <c r="AK213" s="1037"/>
      <c r="AL213" s="1032">
        <f>+AI213</f>
        <v>400000</v>
      </c>
      <c r="AM213" s="1032"/>
      <c r="AN213" s="1041">
        <f t="shared" si="348"/>
        <v>400000</v>
      </c>
      <c r="AO213" s="1037"/>
      <c r="AP213" s="986"/>
      <c r="AQ213" s="986"/>
      <c r="AR213" s="986"/>
      <c r="AS213" s="986"/>
      <c r="AT213" s="986"/>
      <c r="AU213" s="986"/>
      <c r="AV213" s="986"/>
      <c r="AW213" s="986"/>
      <c r="AX213" s="986"/>
      <c r="AY213" s="986"/>
      <c r="AZ213" s="2011">
        <f t="shared" si="325"/>
        <v>0</v>
      </c>
      <c r="BA213" s="1037"/>
      <c r="BB213" s="986"/>
      <c r="BC213" s="986"/>
      <c r="BD213" s="986"/>
      <c r="BE213" s="986"/>
      <c r="BF213" s="986"/>
      <c r="BG213" s="986"/>
      <c r="BH213" s="986"/>
      <c r="BI213" s="986"/>
      <c r="BJ213" s="986"/>
      <c r="BK213" s="986"/>
      <c r="BL213" s="986"/>
      <c r="BM213" s="986"/>
      <c r="BN213" s="2011">
        <f t="shared" si="326"/>
        <v>0</v>
      </c>
      <c r="BO213" s="1037"/>
      <c r="BP213" s="986"/>
      <c r="BQ213" s="986"/>
      <c r="BR213" s="986"/>
      <c r="BS213" s="986"/>
      <c r="BT213" s="986"/>
      <c r="BU213" s="986"/>
      <c r="BV213" s="986"/>
      <c r="BW213" s="986"/>
      <c r="BX213" s="986"/>
      <c r="BY213" s="1015"/>
      <c r="BZ213" s="1015"/>
      <c r="CA213" s="1015"/>
      <c r="CB213" s="2026">
        <f t="shared" si="327"/>
        <v>0</v>
      </c>
      <c r="CC213" s="1037"/>
      <c r="CD213" s="1015"/>
      <c r="CE213" s="1015"/>
      <c r="CF213" s="1015"/>
      <c r="CG213" s="1015"/>
      <c r="CH213" s="1015"/>
      <c r="CI213" s="1015"/>
      <c r="CJ213" s="1015"/>
      <c r="CK213" s="1015">
        <f>+$AL213*0.2</f>
        <v>80000</v>
      </c>
      <c r="CL213" s="1015"/>
      <c r="CM213" s="1015"/>
      <c r="CN213" s="1015">
        <f>+$AL213*0.4</f>
        <v>160000</v>
      </c>
      <c r="CO213" s="1015"/>
      <c r="CP213" s="2026">
        <f>SUM(CD213:CO213)</f>
        <v>240000</v>
      </c>
      <c r="CQ213" s="1037"/>
      <c r="CR213" s="1015"/>
      <c r="CS213" s="1015"/>
      <c r="CT213" s="1015">
        <f>+$AL213*0.4</f>
        <v>160000</v>
      </c>
      <c r="CU213" s="1015"/>
      <c r="CV213" s="1015"/>
      <c r="CW213" s="1015"/>
      <c r="CX213" s="1015"/>
      <c r="CY213" s="1015"/>
      <c r="CZ213" s="1015"/>
      <c r="DA213" s="1015"/>
      <c r="DB213" s="1015"/>
      <c r="DC213" s="1015"/>
      <c r="DD213" s="2017">
        <f t="shared" si="329"/>
        <v>160000</v>
      </c>
      <c r="DE213" s="1037"/>
      <c r="DF213" s="1015"/>
      <c r="DG213" s="1015"/>
      <c r="DH213" s="1015"/>
      <c r="DI213" s="2017">
        <f t="shared" si="330"/>
        <v>0</v>
      </c>
      <c r="DJ213" s="3143">
        <f t="shared" si="354"/>
        <v>400000</v>
      </c>
      <c r="DK213" s="108"/>
      <c r="DL213" s="1027">
        <f t="shared" si="351"/>
        <v>0</v>
      </c>
      <c r="DM213" s="108"/>
      <c r="DN213" s="2749" t="s">
        <v>1346</v>
      </c>
      <c r="DO213" s="2740" t="s">
        <v>1347</v>
      </c>
      <c r="DP213" s="2740" t="s">
        <v>1115</v>
      </c>
      <c r="DQ213" s="2740" t="s">
        <v>4</v>
      </c>
      <c r="DR213" s="2740" t="str">
        <f t="shared" si="323"/>
        <v>1</v>
      </c>
      <c r="DS213" s="1037"/>
      <c r="DT213" s="1037"/>
      <c r="DU213" s="108"/>
      <c r="DV213" s="108"/>
      <c r="DW213" s="108"/>
      <c r="DX213" s="108"/>
      <c r="DY213" s="108"/>
      <c r="DZ213" s="108"/>
    </row>
    <row r="214" spans="1:130" s="153" customFormat="1" hidden="1" outlineLevel="2">
      <c r="A214" s="108"/>
      <c r="B214" s="2860"/>
      <c r="C214" s="3510"/>
      <c r="D214" s="3511"/>
      <c r="E214" s="588"/>
      <c r="F214" s="3512"/>
      <c r="G214" s="2838"/>
      <c r="H214" s="3326"/>
      <c r="I214" s="3319"/>
      <c r="J214" s="103"/>
      <c r="K214" s="1037"/>
      <c r="L214" s="364"/>
      <c r="M214" s="364"/>
      <c r="N214" s="3345"/>
      <c r="O214" s="3345"/>
      <c r="P214" s="3345"/>
      <c r="Q214" s="3345"/>
      <c r="R214" s="3345"/>
      <c r="S214" s="3345"/>
      <c r="T214" s="3345"/>
      <c r="U214" s="3345"/>
      <c r="V214" s="1037"/>
      <c r="W214" s="1481"/>
      <c r="X214" s="1481"/>
      <c r="Y214" s="1481"/>
      <c r="Z214" s="1481"/>
      <c r="AA214" s="1481"/>
      <c r="AB214" s="2713"/>
      <c r="AC214" s="1037"/>
      <c r="AD214" s="711"/>
      <c r="AE214" s="712"/>
      <c r="AF214" s="179"/>
      <c r="AG214" s="179"/>
      <c r="AH214" s="1032"/>
      <c r="AI214" s="1032"/>
      <c r="AJ214" s="1530"/>
      <c r="AK214" s="1037"/>
      <c r="AL214" s="1032"/>
      <c r="AM214" s="1032"/>
      <c r="AN214" s="1041"/>
      <c r="AO214" s="1037"/>
      <c r="AP214" s="986"/>
      <c r="AQ214" s="986"/>
      <c r="AR214" s="986"/>
      <c r="AS214" s="986"/>
      <c r="AT214" s="986"/>
      <c r="AU214" s="986"/>
      <c r="AV214" s="986"/>
      <c r="AW214" s="986"/>
      <c r="AX214" s="986"/>
      <c r="AY214" s="986"/>
      <c r="AZ214" s="2011"/>
      <c r="BA214" s="1037"/>
      <c r="BB214" s="986"/>
      <c r="BC214" s="986"/>
      <c r="BD214" s="986"/>
      <c r="BE214" s="986"/>
      <c r="BF214" s="986"/>
      <c r="BG214" s="986"/>
      <c r="BH214" s="986"/>
      <c r="BI214" s="986"/>
      <c r="BJ214" s="986"/>
      <c r="BK214" s="986"/>
      <c r="BL214" s="986"/>
      <c r="BM214" s="986"/>
      <c r="BN214" s="2011"/>
      <c r="BO214" s="1037"/>
      <c r="BP214" s="986"/>
      <c r="BQ214" s="986"/>
      <c r="BR214" s="986"/>
      <c r="BS214" s="986"/>
      <c r="BT214" s="986"/>
      <c r="BU214" s="986"/>
      <c r="BV214" s="986"/>
      <c r="BW214" s="986"/>
      <c r="BX214" s="986"/>
      <c r="BY214" s="1015"/>
      <c r="BZ214" s="1015"/>
      <c r="CA214" s="1015"/>
      <c r="CB214" s="2026"/>
      <c r="CC214" s="1037"/>
      <c r="CD214" s="1015"/>
      <c r="CE214" s="1015"/>
      <c r="CF214" s="1015"/>
      <c r="CG214" s="1015"/>
      <c r="CH214" s="1015"/>
      <c r="CI214" s="1015"/>
      <c r="CJ214" s="1015"/>
      <c r="CK214" s="1015"/>
      <c r="CL214" s="1015"/>
      <c r="CM214" s="1015"/>
      <c r="CN214" s="1015"/>
      <c r="CO214" s="1015"/>
      <c r="CP214" s="2026"/>
      <c r="CQ214" s="1037"/>
      <c r="CR214" s="1015"/>
      <c r="CS214" s="1015"/>
      <c r="CT214" s="1015"/>
      <c r="CU214" s="1015"/>
      <c r="CV214" s="1015"/>
      <c r="CW214" s="1015"/>
      <c r="CX214" s="1015"/>
      <c r="CY214" s="1015"/>
      <c r="CZ214" s="1015"/>
      <c r="DA214" s="1015"/>
      <c r="DB214" s="1015"/>
      <c r="DC214" s="1015"/>
      <c r="DD214" s="2017"/>
      <c r="DE214" s="1037"/>
      <c r="DF214" s="1015"/>
      <c r="DG214" s="1015"/>
      <c r="DH214" s="1015"/>
      <c r="DI214" s="2017"/>
      <c r="DJ214" s="3143"/>
      <c r="DK214" s="108"/>
      <c r="DL214" s="1027"/>
      <c r="DM214" s="108"/>
      <c r="DN214" s="2749"/>
      <c r="DO214" s="2740"/>
      <c r="DP214" s="2740"/>
      <c r="DQ214" s="2740"/>
      <c r="DR214" s="2740"/>
      <c r="DS214" s="1037"/>
      <c r="DT214" s="1037"/>
      <c r="DU214" s="108"/>
      <c r="DV214" s="108"/>
      <c r="DW214" s="108"/>
      <c r="DX214" s="108"/>
      <c r="DY214" s="108"/>
      <c r="DZ214" s="108"/>
    </row>
    <row r="215" spans="1:130" s="153" customFormat="1" ht="15" hidden="1" outlineLevel="1">
      <c r="B215" s="68"/>
      <c r="C215" s="2879"/>
      <c r="D215" s="2943" t="s">
        <v>518</v>
      </c>
      <c r="E215" s="2880"/>
      <c r="F215" s="2943" t="s">
        <v>518</v>
      </c>
      <c r="G215" s="67"/>
      <c r="H215" s="543"/>
      <c r="I215" s="543"/>
      <c r="J215" s="68"/>
      <c r="K215" s="1037"/>
      <c r="L215" s="2881"/>
      <c r="M215" s="370"/>
      <c r="N215" s="371"/>
      <c r="O215" s="371"/>
      <c r="P215" s="371"/>
      <c r="Q215" s="371"/>
      <c r="R215" s="371"/>
      <c r="S215" s="371"/>
      <c r="T215" s="371"/>
      <c r="U215" s="371"/>
      <c r="V215" s="1037"/>
      <c r="W215" s="370"/>
      <c r="X215" s="370"/>
      <c r="Y215" s="370"/>
      <c r="Z215" s="370"/>
      <c r="AA215" s="370"/>
      <c r="AB215" s="169"/>
      <c r="AC215" s="1037"/>
      <c r="AD215" s="68"/>
      <c r="AE215" s="166"/>
      <c r="AF215" s="166"/>
      <c r="AG215" s="166"/>
      <c r="AH215" s="69"/>
      <c r="AI215" s="69"/>
      <c r="AJ215" s="69"/>
      <c r="AK215" s="1037"/>
      <c r="AL215" s="69"/>
      <c r="AM215" s="69"/>
      <c r="AN215" s="69"/>
      <c r="AO215" s="1037"/>
      <c r="AP215" s="69"/>
      <c r="AQ215" s="69"/>
      <c r="AR215" s="69"/>
      <c r="AS215" s="69"/>
      <c r="AT215" s="69"/>
      <c r="AU215" s="69"/>
      <c r="AV215" s="69"/>
      <c r="AW215" s="69"/>
      <c r="AX215" s="69"/>
      <c r="AY215" s="69"/>
      <c r="AZ215" s="69"/>
      <c r="BA215" s="1037"/>
      <c r="BB215" s="69"/>
      <c r="BC215" s="69"/>
      <c r="BD215" s="69"/>
      <c r="BE215" s="69"/>
      <c r="BF215" s="69"/>
      <c r="BG215" s="69"/>
      <c r="BH215" s="69"/>
      <c r="BI215" s="69"/>
      <c r="BJ215" s="69"/>
      <c r="BK215" s="69"/>
      <c r="BL215" s="69"/>
      <c r="BM215" s="69"/>
      <c r="BN215" s="69"/>
      <c r="BO215" s="1037"/>
      <c r="BP215" s="69"/>
      <c r="BQ215" s="69"/>
      <c r="BR215" s="69"/>
      <c r="BS215" s="69"/>
      <c r="BT215" s="69"/>
      <c r="BU215" s="69"/>
      <c r="BV215" s="69"/>
      <c r="BW215" s="69"/>
      <c r="BX215" s="69"/>
      <c r="BY215" s="69"/>
      <c r="BZ215" s="69"/>
      <c r="CA215" s="69"/>
      <c r="CB215" s="69"/>
      <c r="CC215" s="1037"/>
      <c r="CD215" s="69"/>
      <c r="CE215" s="69"/>
      <c r="CF215" s="69"/>
      <c r="CG215" s="69"/>
      <c r="CH215" s="69"/>
      <c r="CI215" s="69"/>
      <c r="CJ215" s="69"/>
      <c r="CK215" s="69"/>
      <c r="CL215" s="69"/>
      <c r="CM215" s="69"/>
      <c r="CN215" s="69"/>
      <c r="CO215" s="69"/>
      <c r="CP215" s="69"/>
      <c r="CQ215" s="1037"/>
      <c r="CR215" s="69"/>
      <c r="CS215" s="69"/>
      <c r="CT215" s="69"/>
      <c r="CU215" s="69"/>
      <c r="CV215" s="69"/>
      <c r="CW215" s="69"/>
      <c r="CX215" s="69"/>
      <c r="CY215" s="69"/>
      <c r="CZ215" s="69"/>
      <c r="DA215" s="69"/>
      <c r="DB215" s="69"/>
      <c r="DC215" s="69"/>
      <c r="DD215" s="69"/>
      <c r="DE215" s="1037"/>
      <c r="DF215" s="69"/>
      <c r="DG215" s="69"/>
      <c r="DH215" s="69"/>
      <c r="DI215" s="3093"/>
      <c r="DJ215" s="3144"/>
      <c r="DL215" s="3180"/>
      <c r="DN215" s="2719" t="s">
        <v>1175</v>
      </c>
      <c r="DO215" s="2720" t="s">
        <v>1175</v>
      </c>
      <c r="DP215" s="2720"/>
      <c r="DQ215" s="2720" t="s">
        <v>1175</v>
      </c>
      <c r="DR215" s="2720" t="str">
        <f t="shared" ref="DR215:DR226" si="385">MID(D215,1,1)</f>
        <v>2</v>
      </c>
      <c r="DS215" s="1037"/>
      <c r="DT215" s="1037"/>
    </row>
    <row r="216" spans="1:130" s="153" customFormat="1" ht="15" hidden="1" outlineLevel="1">
      <c r="B216" s="426"/>
      <c r="C216" s="425"/>
      <c r="D216" s="2944"/>
      <c r="E216" s="582"/>
      <c r="F216" s="2944"/>
      <c r="G216" s="428"/>
      <c r="H216" s="539"/>
      <c r="I216" s="539"/>
      <c r="J216" s="427"/>
      <c r="K216" s="1037"/>
      <c r="L216" s="425"/>
      <c r="M216" s="425"/>
      <c r="N216" s="430"/>
      <c r="O216" s="430"/>
      <c r="P216" s="430"/>
      <c r="Q216" s="430"/>
      <c r="R216" s="430"/>
      <c r="S216" s="430"/>
      <c r="T216" s="430"/>
      <c r="U216" s="430"/>
      <c r="V216" s="1037"/>
      <c r="W216" s="850"/>
      <c r="X216" s="850"/>
      <c r="Y216" s="850"/>
      <c r="Z216" s="850"/>
      <c r="AA216" s="850"/>
      <c r="AB216" s="431"/>
      <c r="AC216" s="1037"/>
      <c r="AD216" s="426"/>
      <c r="AE216" s="425"/>
      <c r="AF216" s="425"/>
      <c r="AG216" s="425"/>
      <c r="AH216" s="433"/>
      <c r="AI216" s="433"/>
      <c r="AJ216" s="685"/>
      <c r="AK216" s="1037"/>
      <c r="AL216" s="433"/>
      <c r="AM216" s="433"/>
      <c r="AN216" s="433"/>
      <c r="AO216" s="1037"/>
      <c r="AP216" s="977"/>
      <c r="AQ216" s="977"/>
      <c r="AR216" s="977"/>
      <c r="AS216" s="977"/>
      <c r="AT216" s="977"/>
      <c r="AU216" s="977"/>
      <c r="AV216" s="977"/>
      <c r="AW216" s="977"/>
      <c r="AX216" s="977"/>
      <c r="AY216" s="977"/>
      <c r="AZ216" s="977"/>
      <c r="BA216" s="1037"/>
      <c r="BB216" s="977"/>
      <c r="BC216" s="977"/>
      <c r="BD216" s="977"/>
      <c r="BE216" s="977"/>
      <c r="BF216" s="977"/>
      <c r="BG216" s="977"/>
      <c r="BH216" s="977"/>
      <c r="BI216" s="977"/>
      <c r="BJ216" s="977"/>
      <c r="BK216" s="977"/>
      <c r="BL216" s="977"/>
      <c r="BM216" s="977"/>
      <c r="BN216" s="977"/>
      <c r="BO216" s="1037"/>
      <c r="BP216" s="977"/>
      <c r="BQ216" s="977"/>
      <c r="BR216" s="977"/>
      <c r="BS216" s="977"/>
      <c r="BT216" s="977"/>
      <c r="BU216" s="977"/>
      <c r="BV216" s="977"/>
      <c r="BW216" s="977"/>
      <c r="BX216" s="977"/>
      <c r="BY216" s="977"/>
      <c r="BZ216" s="977"/>
      <c r="CA216" s="977"/>
      <c r="CB216" s="977"/>
      <c r="CC216" s="1037"/>
      <c r="CD216" s="977"/>
      <c r="CE216" s="977"/>
      <c r="CF216" s="977"/>
      <c r="CG216" s="977"/>
      <c r="CH216" s="977"/>
      <c r="CI216" s="977"/>
      <c r="CJ216" s="977"/>
      <c r="CK216" s="977"/>
      <c r="CL216" s="977"/>
      <c r="CM216" s="977"/>
      <c r="CN216" s="977"/>
      <c r="CO216" s="977"/>
      <c r="CP216" s="978"/>
      <c r="CQ216" s="1037"/>
      <c r="CR216" s="977"/>
      <c r="CS216" s="977"/>
      <c r="CT216" s="977"/>
      <c r="CU216" s="977"/>
      <c r="CV216" s="977"/>
      <c r="CW216" s="977"/>
      <c r="CX216" s="977"/>
      <c r="CY216" s="977"/>
      <c r="CZ216" s="977"/>
      <c r="DA216" s="977"/>
      <c r="DB216" s="977"/>
      <c r="DC216" s="977"/>
      <c r="DD216" s="976"/>
      <c r="DE216" s="1037"/>
      <c r="DF216" s="977"/>
      <c r="DG216" s="977"/>
      <c r="DH216" s="977"/>
      <c r="DI216" s="3090"/>
      <c r="DJ216" s="3145"/>
      <c r="DL216" s="3180"/>
      <c r="DN216" s="2721" t="s">
        <v>1175</v>
      </c>
      <c r="DO216" s="2722" t="s">
        <v>1175</v>
      </c>
      <c r="DP216" s="2722"/>
      <c r="DQ216" s="2722" t="s">
        <v>1175</v>
      </c>
      <c r="DR216" s="2722" t="str">
        <f t="shared" si="385"/>
        <v/>
      </c>
      <c r="DS216" s="1037"/>
      <c r="DT216" s="1037"/>
    </row>
    <row r="217" spans="1:130" s="153" customFormat="1" ht="15" hidden="1" outlineLevel="2">
      <c r="B217" s="106"/>
      <c r="C217" s="172"/>
      <c r="D217" s="2945"/>
      <c r="E217" s="704"/>
      <c r="F217" s="2945"/>
      <c r="G217" s="171"/>
      <c r="H217" s="538"/>
      <c r="I217" s="538"/>
      <c r="J217" s="106"/>
      <c r="K217" s="1037"/>
      <c r="L217" s="358"/>
      <c r="M217" s="358"/>
      <c r="N217" s="358"/>
      <c r="O217" s="358"/>
      <c r="P217" s="358"/>
      <c r="Q217" s="358"/>
      <c r="R217" s="358"/>
      <c r="S217" s="358"/>
      <c r="T217" s="358"/>
      <c r="U217" s="358"/>
      <c r="V217" s="1037"/>
      <c r="W217" s="854"/>
      <c r="X217" s="358"/>
      <c r="Y217" s="358"/>
      <c r="Z217" s="358"/>
      <c r="AA217" s="358"/>
      <c r="AB217" s="106"/>
      <c r="AC217" s="1037"/>
      <c r="AD217" s="106"/>
      <c r="AE217" s="172"/>
      <c r="AF217" s="172"/>
      <c r="AG217" s="172"/>
      <c r="AH217" s="176"/>
      <c r="AI217" s="176"/>
      <c r="AJ217" s="692"/>
      <c r="AK217" s="1037"/>
      <c r="AL217" s="176"/>
      <c r="AM217" s="176"/>
      <c r="AN217" s="176"/>
      <c r="AO217" s="1037"/>
      <c r="AP217" s="980"/>
      <c r="AQ217" s="980"/>
      <c r="AR217" s="980"/>
      <c r="AS217" s="980"/>
      <c r="AT217" s="980"/>
      <c r="AU217" s="980"/>
      <c r="AV217" s="980"/>
      <c r="AW217" s="980"/>
      <c r="AX217" s="980"/>
      <c r="AY217" s="980"/>
      <c r="AZ217" s="980"/>
      <c r="BA217" s="1037"/>
      <c r="BB217" s="980"/>
      <c r="BC217" s="980"/>
      <c r="BD217" s="980"/>
      <c r="BE217" s="980"/>
      <c r="BF217" s="980"/>
      <c r="BG217" s="980"/>
      <c r="BH217" s="980"/>
      <c r="BI217" s="980"/>
      <c r="BJ217" s="980"/>
      <c r="BK217" s="980"/>
      <c r="BL217" s="980"/>
      <c r="BM217" s="980"/>
      <c r="BN217" s="980"/>
      <c r="BO217" s="2783"/>
      <c r="BP217" s="980"/>
      <c r="BQ217" s="980"/>
      <c r="BR217" s="980"/>
      <c r="BS217" s="980"/>
      <c r="BT217" s="980"/>
      <c r="BU217" s="980"/>
      <c r="BV217" s="980"/>
      <c r="BW217" s="980"/>
      <c r="BX217" s="980"/>
      <c r="BY217" s="980"/>
      <c r="BZ217" s="980"/>
      <c r="CA217" s="980"/>
      <c r="CB217" s="980"/>
      <c r="CC217" s="2783"/>
      <c r="CD217" s="980"/>
      <c r="CE217" s="980"/>
      <c r="CF217" s="980"/>
      <c r="CG217" s="980"/>
      <c r="CH217" s="980"/>
      <c r="CI217" s="980"/>
      <c r="CJ217" s="980"/>
      <c r="CK217" s="980"/>
      <c r="CL217" s="980"/>
      <c r="CM217" s="980"/>
      <c r="CN217" s="980"/>
      <c r="CO217" s="980"/>
      <c r="CP217" s="981"/>
      <c r="CQ217" s="2783"/>
      <c r="CR217" s="980"/>
      <c r="CS217" s="980"/>
      <c r="CT217" s="980"/>
      <c r="CU217" s="980"/>
      <c r="CV217" s="980"/>
      <c r="CW217" s="980"/>
      <c r="CX217" s="980"/>
      <c r="CY217" s="980"/>
      <c r="CZ217" s="980"/>
      <c r="DA217" s="980"/>
      <c r="DB217" s="980"/>
      <c r="DC217" s="980"/>
      <c r="DD217" s="979"/>
      <c r="DE217" s="2783"/>
      <c r="DF217" s="980"/>
      <c r="DG217" s="980"/>
      <c r="DH217" s="980"/>
      <c r="DI217" s="3091"/>
      <c r="DJ217" s="3135"/>
      <c r="DL217" s="3180"/>
      <c r="DN217" s="2723" t="s">
        <v>1175</v>
      </c>
      <c r="DO217" s="2724" t="s">
        <v>1175</v>
      </c>
      <c r="DP217" s="2724"/>
      <c r="DQ217" s="2724" t="s">
        <v>1175</v>
      </c>
      <c r="DR217" s="2724" t="str">
        <f t="shared" si="385"/>
        <v/>
      </c>
      <c r="DS217" s="1037"/>
      <c r="DT217" s="1037"/>
    </row>
    <row r="218" spans="1:130" ht="15" hidden="1" outlineLevel="3">
      <c r="B218" s="1444"/>
      <c r="C218" s="1318"/>
      <c r="D218" s="2946"/>
      <c r="E218" s="159"/>
      <c r="F218" s="2946"/>
      <c r="G218" s="702"/>
      <c r="H218" s="1547"/>
      <c r="I218" s="703"/>
      <c r="J218" s="177"/>
      <c r="L218" s="364"/>
      <c r="M218" s="364"/>
      <c r="N218" s="364"/>
      <c r="O218" s="364"/>
      <c r="P218" s="364"/>
      <c r="Q218" s="364"/>
      <c r="R218" s="364"/>
      <c r="S218" s="364"/>
      <c r="T218" s="364"/>
      <c r="U218" s="364"/>
      <c r="W218" s="364"/>
      <c r="X218" s="364"/>
      <c r="Y218" s="364"/>
      <c r="Z218" s="364"/>
      <c r="AA218" s="364"/>
      <c r="AB218" s="177"/>
      <c r="AD218" s="1444"/>
      <c r="AE218" s="1318"/>
      <c r="AF218" s="1318"/>
      <c r="AG218" s="1318"/>
      <c r="AH218" s="1553"/>
      <c r="AI218" s="1553"/>
      <c r="AJ218" s="693"/>
      <c r="AL218" s="355"/>
      <c r="AM218" s="355"/>
      <c r="AN218" s="355"/>
      <c r="AP218" s="1033"/>
      <c r="AQ218" s="1033"/>
      <c r="AR218" s="1033"/>
      <c r="AS218" s="1033"/>
      <c r="AT218" s="1033"/>
      <c r="AU218" s="1033"/>
      <c r="AV218" s="1033"/>
      <c r="AW218" s="1033"/>
      <c r="AX218" s="1033"/>
      <c r="AY218" s="1033"/>
      <c r="AZ218" s="1294"/>
      <c r="BB218" s="1033"/>
      <c r="BC218" s="1033"/>
      <c r="BD218" s="1033"/>
      <c r="BE218" s="1033"/>
      <c r="BF218" s="1033"/>
      <c r="BG218" s="1033"/>
      <c r="BH218" s="1033"/>
      <c r="BI218" s="1033"/>
      <c r="BJ218" s="1033"/>
      <c r="BK218" s="1033"/>
      <c r="BL218" s="1033"/>
      <c r="BM218" s="1033"/>
      <c r="BN218" s="1294"/>
      <c r="BO218" s="2783"/>
      <c r="BP218" s="1033"/>
      <c r="BQ218" s="1033"/>
      <c r="BR218" s="1033"/>
      <c r="BS218" s="1033"/>
      <c r="BT218" s="1033"/>
      <c r="BU218" s="1033"/>
      <c r="BV218" s="1033"/>
      <c r="BW218" s="1033"/>
      <c r="BX218" s="1033"/>
      <c r="BY218" s="1033"/>
      <c r="BZ218" s="1033"/>
      <c r="CA218" s="1033"/>
      <c r="CB218" s="1294"/>
      <c r="CC218" s="2783"/>
      <c r="CD218" s="1033"/>
      <c r="CE218" s="1033"/>
      <c r="CF218" s="1033"/>
      <c r="CG218" s="1033"/>
      <c r="CH218" s="1033"/>
      <c r="CI218" s="1033"/>
      <c r="CJ218" s="1033"/>
      <c r="CK218" s="1033"/>
      <c r="CL218" s="1033"/>
      <c r="CM218" s="1033"/>
      <c r="CN218" s="1033"/>
      <c r="CO218" s="1033"/>
      <c r="CP218" s="1744"/>
      <c r="CQ218" s="2783"/>
      <c r="CR218" s="1033"/>
      <c r="CS218" s="1033"/>
      <c r="CT218" s="1033"/>
      <c r="CU218" s="1033"/>
      <c r="CV218" s="1033"/>
      <c r="CW218" s="1033"/>
      <c r="CX218" s="1033"/>
      <c r="CY218" s="1033"/>
      <c r="CZ218" s="1033"/>
      <c r="DA218" s="1033"/>
      <c r="DB218" s="1033"/>
      <c r="DC218" s="1033"/>
      <c r="DD218" s="1468"/>
      <c r="DE218" s="2783"/>
      <c r="DF218" s="1033"/>
      <c r="DG218" s="1033"/>
      <c r="DH218" s="1033"/>
      <c r="DI218" s="3086"/>
      <c r="DJ218" s="3141"/>
      <c r="DL218" s="3180"/>
      <c r="DN218" s="2716" t="s">
        <v>1283</v>
      </c>
      <c r="DO218" s="2740" t="s">
        <v>1284</v>
      </c>
      <c r="DP218" s="2740" t="s">
        <v>1117</v>
      </c>
      <c r="DQ218" s="2740" t="s">
        <v>5</v>
      </c>
      <c r="DR218" s="2740" t="str">
        <f t="shared" si="385"/>
        <v/>
      </c>
      <c r="DS218" s="1037"/>
      <c r="DT218" s="1037"/>
    </row>
    <row r="219" spans="1:130" s="153" customFormat="1" ht="15" hidden="1" outlineLevel="3">
      <c r="B219" s="2840"/>
      <c r="C219" s="397"/>
      <c r="D219" s="2947"/>
      <c r="E219" s="2501"/>
      <c r="F219" s="2947"/>
      <c r="G219" s="400"/>
      <c r="H219" s="1249"/>
      <c r="I219" s="536"/>
      <c r="J219" s="399"/>
      <c r="K219" s="1037"/>
      <c r="L219" s="851"/>
      <c r="M219" s="851"/>
      <c r="N219" s="402"/>
      <c r="O219" s="402"/>
      <c r="P219" s="402"/>
      <c r="Q219" s="402"/>
      <c r="R219" s="402"/>
      <c r="S219" s="402"/>
      <c r="T219" s="402"/>
      <c r="U219" s="402"/>
      <c r="V219" s="1037"/>
      <c r="W219" s="581"/>
      <c r="X219" s="581"/>
      <c r="Y219" s="581"/>
      <c r="Z219" s="837"/>
      <c r="AA219" s="399"/>
      <c r="AB219" s="399"/>
      <c r="AC219" s="1037"/>
      <c r="AD219" s="2840"/>
      <c r="AE219" s="397"/>
      <c r="AF219" s="397"/>
      <c r="AG219" s="397"/>
      <c r="AH219" s="398"/>
      <c r="AI219" s="398"/>
      <c r="AJ219" s="680"/>
      <c r="AK219" s="1037"/>
      <c r="AL219" s="398"/>
      <c r="AM219" s="398"/>
      <c r="AN219" s="398"/>
      <c r="AO219" s="1037"/>
      <c r="AP219" s="398"/>
      <c r="AQ219" s="398"/>
      <c r="AR219" s="398"/>
      <c r="AS219" s="398"/>
      <c r="AT219" s="398"/>
      <c r="AU219" s="398"/>
      <c r="AV219" s="398"/>
      <c r="AW219" s="398"/>
      <c r="AX219" s="398"/>
      <c r="AY219" s="398"/>
      <c r="AZ219" s="992"/>
      <c r="BA219" s="1037"/>
      <c r="BB219" s="398"/>
      <c r="BC219" s="398"/>
      <c r="BD219" s="398"/>
      <c r="BE219" s="398"/>
      <c r="BF219" s="398"/>
      <c r="BG219" s="398"/>
      <c r="BH219" s="398"/>
      <c r="BI219" s="398"/>
      <c r="BJ219" s="398"/>
      <c r="BK219" s="398"/>
      <c r="BL219" s="398"/>
      <c r="BM219" s="398"/>
      <c r="BN219" s="992"/>
      <c r="BO219" s="2783"/>
      <c r="BP219" s="398"/>
      <c r="BQ219" s="398"/>
      <c r="BR219" s="398"/>
      <c r="BS219" s="398"/>
      <c r="BT219" s="398"/>
      <c r="BU219" s="398"/>
      <c r="BV219" s="398"/>
      <c r="BW219" s="398"/>
      <c r="BX219" s="398"/>
      <c r="BY219" s="398"/>
      <c r="BZ219" s="398"/>
      <c r="CA219" s="398"/>
      <c r="CB219" s="992"/>
      <c r="CC219" s="2783"/>
      <c r="CD219" s="398"/>
      <c r="CE219" s="398"/>
      <c r="CF219" s="398"/>
      <c r="CG219" s="398"/>
      <c r="CH219" s="398"/>
      <c r="CI219" s="398"/>
      <c r="CJ219" s="398"/>
      <c r="CK219" s="398"/>
      <c r="CL219" s="398"/>
      <c r="CM219" s="398"/>
      <c r="CN219" s="398"/>
      <c r="CO219" s="398"/>
      <c r="CP219" s="993"/>
      <c r="CQ219" s="2783"/>
      <c r="CR219" s="398"/>
      <c r="CS219" s="398"/>
      <c r="CT219" s="398"/>
      <c r="CU219" s="398"/>
      <c r="CV219" s="398"/>
      <c r="CW219" s="398"/>
      <c r="CX219" s="398"/>
      <c r="CY219" s="398"/>
      <c r="CZ219" s="398"/>
      <c r="DA219" s="398"/>
      <c r="DB219" s="398"/>
      <c r="DC219" s="398"/>
      <c r="DD219" s="994"/>
      <c r="DE219" s="2783"/>
      <c r="DF219" s="398"/>
      <c r="DG219" s="398"/>
      <c r="DH219" s="398"/>
      <c r="DI219" s="3083"/>
      <c r="DJ219" s="3136"/>
      <c r="DL219" s="3180"/>
      <c r="DN219" s="2725" t="s">
        <v>1175</v>
      </c>
      <c r="DO219" s="2726" t="s">
        <v>1175</v>
      </c>
      <c r="DP219" s="2726"/>
      <c r="DQ219" s="2726"/>
      <c r="DR219" s="2726" t="str">
        <f t="shared" si="385"/>
        <v/>
      </c>
      <c r="DS219" s="1037"/>
      <c r="DT219" s="1037"/>
    </row>
    <row r="220" spans="1:130" s="879" customFormat="1" ht="15" hidden="1" outlineLevel="4">
      <c r="B220" s="711"/>
      <c r="C220" s="182"/>
      <c r="D220" s="2946"/>
      <c r="E220" s="159"/>
      <c r="F220" s="2946"/>
      <c r="G220" s="550"/>
      <c r="H220" s="1547"/>
      <c r="I220" s="537"/>
      <c r="J220" s="491"/>
      <c r="K220" s="1037"/>
      <c r="L220" s="494"/>
      <c r="M220" s="495"/>
      <c r="N220" s="495"/>
      <c r="O220" s="495"/>
      <c r="P220" s="495"/>
      <c r="Q220" s="495"/>
      <c r="R220" s="495"/>
      <c r="S220" s="495"/>
      <c r="T220" s="495"/>
      <c r="U220" s="495"/>
      <c r="V220" s="1037"/>
      <c r="W220" s="364"/>
      <c r="X220" s="364"/>
      <c r="Y220" s="364"/>
      <c r="Z220" s="364"/>
      <c r="AA220" s="364"/>
      <c r="AB220" s="3941"/>
      <c r="AC220" s="1037"/>
      <c r="AD220" s="711"/>
      <c r="AE220" s="712"/>
      <c r="AF220" s="712"/>
      <c r="AG220" s="500"/>
      <c r="AH220" s="1442"/>
      <c r="AI220" s="1442"/>
      <c r="AJ220" s="2882"/>
      <c r="AK220" s="1037"/>
      <c r="AL220" s="1032"/>
      <c r="AM220" s="1434"/>
      <c r="AN220" s="1041"/>
      <c r="AO220" s="1037"/>
      <c r="AP220" s="988"/>
      <c r="AQ220" s="988"/>
      <c r="AR220" s="988"/>
      <c r="AS220" s="988"/>
      <c r="AT220" s="988"/>
      <c r="AU220" s="988"/>
      <c r="AV220" s="988"/>
      <c r="AW220" s="988"/>
      <c r="AX220" s="988"/>
      <c r="AY220" s="988"/>
      <c r="AZ220" s="2043"/>
      <c r="BA220" s="1037"/>
      <c r="BB220" s="988"/>
      <c r="BC220" s="988"/>
      <c r="BD220" s="988"/>
      <c r="BE220" s="988"/>
      <c r="BF220" s="988"/>
      <c r="BG220" s="988"/>
      <c r="BH220" s="988"/>
      <c r="BI220" s="988"/>
      <c r="BJ220" s="988"/>
      <c r="BK220" s="988"/>
      <c r="BL220" s="988"/>
      <c r="BM220" s="988"/>
      <c r="BN220" s="2043"/>
      <c r="BO220" s="2783"/>
      <c r="BP220" s="988"/>
      <c r="BQ220" s="988"/>
      <c r="BR220" s="988"/>
      <c r="BS220" s="988"/>
      <c r="BT220" s="988"/>
      <c r="BU220" s="988"/>
      <c r="BV220" s="988"/>
      <c r="BW220" s="988"/>
      <c r="BX220" s="988"/>
      <c r="BY220" s="988"/>
      <c r="BZ220" s="988"/>
      <c r="CA220" s="988"/>
      <c r="CB220" s="2043"/>
      <c r="CC220" s="2783"/>
      <c r="CD220" s="988"/>
      <c r="CE220" s="988"/>
      <c r="CF220" s="988"/>
      <c r="CG220" s="988"/>
      <c r="CH220" s="988"/>
      <c r="CI220" s="988"/>
      <c r="CJ220" s="988"/>
      <c r="CK220" s="988"/>
      <c r="CL220" s="988"/>
      <c r="CM220" s="988"/>
      <c r="CN220" s="988"/>
      <c r="CO220" s="988"/>
      <c r="CP220" s="2032"/>
      <c r="CQ220" s="2783"/>
      <c r="CR220" s="988"/>
      <c r="CS220" s="988"/>
      <c r="CT220" s="988"/>
      <c r="CU220" s="988"/>
      <c r="CV220" s="988"/>
      <c r="CW220" s="988"/>
      <c r="CX220" s="988"/>
      <c r="CY220" s="988"/>
      <c r="CZ220" s="988"/>
      <c r="DA220" s="988"/>
      <c r="DB220" s="988"/>
      <c r="DC220" s="988"/>
      <c r="DD220" s="1914"/>
      <c r="DE220" s="2783"/>
      <c r="DF220" s="988"/>
      <c r="DG220" s="988"/>
      <c r="DH220" s="988"/>
      <c r="DI220" s="1914"/>
      <c r="DJ220" s="3146"/>
      <c r="DK220" s="153"/>
      <c r="DL220" s="3180"/>
      <c r="DN220" s="2716" t="s">
        <v>1283</v>
      </c>
      <c r="DO220" s="2740" t="s">
        <v>1284</v>
      </c>
      <c r="DP220" s="2751" t="s">
        <v>1117</v>
      </c>
      <c r="DQ220" s="2751" t="s">
        <v>5</v>
      </c>
      <c r="DR220" s="2751" t="str">
        <f t="shared" si="385"/>
        <v/>
      </c>
      <c r="DS220" s="1037"/>
      <c r="DT220" s="1037"/>
    </row>
    <row r="221" spans="1:130" s="879" customFormat="1" ht="15" hidden="1" outlineLevel="4">
      <c r="B221" s="711"/>
      <c r="C221" s="182"/>
      <c r="D221" s="2946"/>
      <c r="E221" s="159"/>
      <c r="F221" s="2946"/>
      <c r="G221" s="550"/>
      <c r="H221" s="1547"/>
      <c r="I221" s="537"/>
      <c r="J221" s="491"/>
      <c r="K221" s="1037"/>
      <c r="L221" s="494"/>
      <c r="M221" s="495"/>
      <c r="N221" s="495"/>
      <c r="O221" s="495"/>
      <c r="P221" s="495"/>
      <c r="Q221" s="495"/>
      <c r="R221" s="495"/>
      <c r="S221" s="495"/>
      <c r="T221" s="495"/>
      <c r="U221" s="495"/>
      <c r="V221" s="1037"/>
      <c r="W221" s="364"/>
      <c r="X221" s="364"/>
      <c r="Y221" s="364"/>
      <c r="Z221" s="364"/>
      <c r="AA221" s="364"/>
      <c r="AB221" s="3942"/>
      <c r="AC221" s="1037"/>
      <c r="AD221" s="711"/>
      <c r="AE221" s="712"/>
      <c r="AF221" s="712"/>
      <c r="AG221" s="500"/>
      <c r="AH221" s="1442"/>
      <c r="AI221" s="1442"/>
      <c r="AJ221" s="2882"/>
      <c r="AK221" s="1037"/>
      <c r="AL221" s="1032"/>
      <c r="AM221" s="1434"/>
      <c r="AN221" s="1041"/>
      <c r="AO221" s="1037"/>
      <c r="AP221" s="988"/>
      <c r="AQ221" s="988"/>
      <c r="AR221" s="988"/>
      <c r="AS221" s="988"/>
      <c r="AT221" s="988"/>
      <c r="AU221" s="988"/>
      <c r="AV221" s="988"/>
      <c r="AW221" s="988"/>
      <c r="AX221" s="988"/>
      <c r="AY221" s="988"/>
      <c r="AZ221" s="2043"/>
      <c r="BA221" s="1037"/>
      <c r="BB221" s="988"/>
      <c r="BC221" s="988"/>
      <c r="BD221" s="988"/>
      <c r="BE221" s="988"/>
      <c r="BF221" s="988"/>
      <c r="BG221" s="988"/>
      <c r="BH221" s="988"/>
      <c r="BI221" s="988"/>
      <c r="BJ221" s="988"/>
      <c r="BK221" s="988"/>
      <c r="BL221" s="988"/>
      <c r="BM221" s="988"/>
      <c r="BN221" s="2043"/>
      <c r="BO221" s="2783"/>
      <c r="BP221" s="988"/>
      <c r="BQ221" s="988"/>
      <c r="BR221" s="988"/>
      <c r="BS221" s="988"/>
      <c r="BT221" s="988"/>
      <c r="BU221" s="988"/>
      <c r="BV221" s="988"/>
      <c r="BW221" s="988"/>
      <c r="BX221" s="988"/>
      <c r="BY221" s="988"/>
      <c r="BZ221" s="988"/>
      <c r="CA221" s="988"/>
      <c r="CB221" s="2043"/>
      <c r="CC221" s="2783"/>
      <c r="CD221" s="988"/>
      <c r="CE221" s="988"/>
      <c r="CF221" s="988"/>
      <c r="CG221" s="988"/>
      <c r="CH221" s="988"/>
      <c r="CI221" s="988"/>
      <c r="CJ221" s="988"/>
      <c r="CK221" s="988"/>
      <c r="CL221" s="988"/>
      <c r="CM221" s="988"/>
      <c r="CN221" s="988"/>
      <c r="CO221" s="988"/>
      <c r="CP221" s="2032"/>
      <c r="CQ221" s="2783"/>
      <c r="CR221" s="988"/>
      <c r="CS221" s="988"/>
      <c r="CT221" s="988"/>
      <c r="CU221" s="988"/>
      <c r="CV221" s="988"/>
      <c r="CW221" s="988"/>
      <c r="CX221" s="988"/>
      <c r="CY221" s="988"/>
      <c r="CZ221" s="988"/>
      <c r="DA221" s="988"/>
      <c r="DB221" s="988"/>
      <c r="DC221" s="988"/>
      <c r="DD221" s="1914"/>
      <c r="DE221" s="2783"/>
      <c r="DF221" s="988"/>
      <c r="DG221" s="988"/>
      <c r="DH221" s="988"/>
      <c r="DI221" s="1914"/>
      <c r="DJ221" s="3146"/>
      <c r="DK221" s="153"/>
      <c r="DL221" s="3180"/>
      <c r="DN221" s="2716" t="s">
        <v>1283</v>
      </c>
      <c r="DO221" s="2740" t="s">
        <v>1284</v>
      </c>
      <c r="DP221" s="2757" t="s">
        <v>1117</v>
      </c>
      <c r="DQ221" s="2757" t="s">
        <v>5</v>
      </c>
      <c r="DR221" s="2757" t="str">
        <f t="shared" si="385"/>
        <v/>
      </c>
      <c r="DS221" s="1037"/>
      <c r="DT221" s="1037"/>
    </row>
    <row r="222" spans="1:130" s="879" customFormat="1" ht="15" hidden="1" outlineLevel="4">
      <c r="B222" s="711"/>
      <c r="C222" s="182"/>
      <c r="D222" s="2946"/>
      <c r="E222" s="159"/>
      <c r="F222" s="2946"/>
      <c r="G222" s="550"/>
      <c r="H222" s="1547"/>
      <c r="I222" s="537"/>
      <c r="J222" s="491"/>
      <c r="K222" s="1037"/>
      <c r="L222" s="494"/>
      <c r="M222" s="495"/>
      <c r="N222" s="495"/>
      <c r="O222" s="495"/>
      <c r="P222" s="495"/>
      <c r="Q222" s="495"/>
      <c r="R222" s="495"/>
      <c r="S222" s="495"/>
      <c r="T222" s="495"/>
      <c r="U222" s="495"/>
      <c r="V222" s="1037"/>
      <c r="W222" s="364"/>
      <c r="X222" s="364"/>
      <c r="Y222" s="364"/>
      <c r="Z222" s="364"/>
      <c r="AA222" s="364"/>
      <c r="AB222" s="3942"/>
      <c r="AC222" s="1037"/>
      <c r="AD222" s="711"/>
      <c r="AE222" s="712"/>
      <c r="AF222" s="712"/>
      <c r="AG222" s="500"/>
      <c r="AH222" s="1442"/>
      <c r="AI222" s="1442"/>
      <c r="AJ222" s="2882"/>
      <c r="AK222" s="1037"/>
      <c r="AL222" s="1032"/>
      <c r="AM222" s="1434"/>
      <c r="AN222" s="1041"/>
      <c r="AO222" s="1037"/>
      <c r="AP222" s="988"/>
      <c r="AQ222" s="988"/>
      <c r="AR222" s="988"/>
      <c r="AS222" s="988"/>
      <c r="AT222" s="988"/>
      <c r="AU222" s="988"/>
      <c r="AV222" s="988"/>
      <c r="AW222" s="988"/>
      <c r="AX222" s="988"/>
      <c r="AY222" s="988"/>
      <c r="AZ222" s="2043"/>
      <c r="BA222" s="1037"/>
      <c r="BB222" s="988"/>
      <c r="BC222" s="988"/>
      <c r="BD222" s="988"/>
      <c r="BE222" s="988"/>
      <c r="BF222" s="988"/>
      <c r="BG222" s="988"/>
      <c r="BH222" s="988"/>
      <c r="BI222" s="988"/>
      <c r="BJ222" s="988"/>
      <c r="BK222" s="988"/>
      <c r="BL222" s="988"/>
      <c r="BM222" s="988"/>
      <c r="BN222" s="2043"/>
      <c r="BO222" s="2783"/>
      <c r="BP222" s="988"/>
      <c r="BQ222" s="988"/>
      <c r="BR222" s="988"/>
      <c r="BS222" s="988"/>
      <c r="BT222" s="988"/>
      <c r="BU222" s="988"/>
      <c r="BV222" s="988"/>
      <c r="BW222" s="988"/>
      <c r="BX222" s="988"/>
      <c r="BY222" s="988"/>
      <c r="BZ222" s="988"/>
      <c r="CA222" s="988"/>
      <c r="CB222" s="2043"/>
      <c r="CC222" s="2783"/>
      <c r="CD222" s="988"/>
      <c r="CE222" s="988"/>
      <c r="CF222" s="988"/>
      <c r="CG222" s="988"/>
      <c r="CH222" s="988"/>
      <c r="CI222" s="988"/>
      <c r="CJ222" s="988"/>
      <c r="CK222" s="988"/>
      <c r="CL222" s="988"/>
      <c r="CM222" s="988"/>
      <c r="CN222" s="988"/>
      <c r="CO222" s="988"/>
      <c r="CP222" s="2032"/>
      <c r="CQ222" s="2783"/>
      <c r="CR222" s="988"/>
      <c r="CS222" s="988"/>
      <c r="CT222" s="988"/>
      <c r="CU222" s="988"/>
      <c r="CV222" s="988"/>
      <c r="CW222" s="988"/>
      <c r="CX222" s="988"/>
      <c r="CY222" s="988"/>
      <c r="CZ222" s="988"/>
      <c r="DA222" s="988"/>
      <c r="DB222" s="988"/>
      <c r="DC222" s="988"/>
      <c r="DD222" s="1914"/>
      <c r="DE222" s="2783"/>
      <c r="DF222" s="988"/>
      <c r="DG222" s="988"/>
      <c r="DH222" s="988"/>
      <c r="DI222" s="1914"/>
      <c r="DJ222" s="3146"/>
      <c r="DK222" s="153"/>
      <c r="DL222" s="3180"/>
      <c r="DN222" s="2716" t="s">
        <v>1283</v>
      </c>
      <c r="DO222" s="2740" t="s">
        <v>1284</v>
      </c>
      <c r="DP222" s="2757" t="s">
        <v>1117</v>
      </c>
      <c r="DQ222" s="2757" t="s">
        <v>5</v>
      </c>
      <c r="DR222" s="2757" t="str">
        <f t="shared" si="385"/>
        <v/>
      </c>
      <c r="DS222" s="1037"/>
      <c r="DT222" s="1037"/>
    </row>
    <row r="223" spans="1:130" s="879" customFormat="1" ht="15" hidden="1" outlineLevel="4">
      <c r="B223" s="759"/>
      <c r="C223" s="2711"/>
      <c r="D223" s="2946"/>
      <c r="E223" s="159"/>
      <c r="F223" s="2946"/>
      <c r="G223" s="550"/>
      <c r="H223" s="1547"/>
      <c r="I223" s="537"/>
      <c r="J223" s="491"/>
      <c r="K223" s="1037"/>
      <c r="L223" s="494"/>
      <c r="M223" s="495"/>
      <c r="N223" s="495"/>
      <c r="O223" s="495"/>
      <c r="P223" s="495"/>
      <c r="Q223" s="495"/>
      <c r="R223" s="495"/>
      <c r="S223" s="495"/>
      <c r="T223" s="495"/>
      <c r="U223" s="495"/>
      <c r="V223" s="1037"/>
      <c r="W223" s="364"/>
      <c r="X223" s="364"/>
      <c r="Y223" s="364"/>
      <c r="Z223" s="364"/>
      <c r="AA223" s="364"/>
      <c r="AB223" s="3943"/>
      <c r="AC223" s="1037"/>
      <c r="AD223" s="759"/>
      <c r="AE223" s="763"/>
      <c r="AF223" s="763"/>
      <c r="AG223" s="1327"/>
      <c r="AH223" s="1405"/>
      <c r="AI223" s="1405"/>
      <c r="AJ223" s="2883"/>
      <c r="AK223" s="1037"/>
      <c r="AL223" s="1032"/>
      <c r="AM223" s="1434"/>
      <c r="AN223" s="1041"/>
      <c r="AO223" s="1037"/>
      <c r="AP223" s="988"/>
      <c r="AQ223" s="988"/>
      <c r="AR223" s="988"/>
      <c r="AS223" s="988"/>
      <c r="AT223" s="988"/>
      <c r="AU223" s="988"/>
      <c r="AV223" s="988"/>
      <c r="AW223" s="988"/>
      <c r="AX223" s="988"/>
      <c r="AY223" s="988"/>
      <c r="AZ223" s="2043"/>
      <c r="BA223" s="1037"/>
      <c r="BB223" s="988"/>
      <c r="BC223" s="988"/>
      <c r="BD223" s="988"/>
      <c r="BE223" s="988"/>
      <c r="BF223" s="988"/>
      <c r="BG223" s="988"/>
      <c r="BH223" s="988"/>
      <c r="BI223" s="988"/>
      <c r="BJ223" s="988"/>
      <c r="BK223" s="988"/>
      <c r="BL223" s="988"/>
      <c r="BM223" s="988"/>
      <c r="BN223" s="2043"/>
      <c r="BO223" s="2783"/>
      <c r="BP223" s="988"/>
      <c r="BQ223" s="988"/>
      <c r="BR223" s="988"/>
      <c r="BS223" s="988"/>
      <c r="BT223" s="988"/>
      <c r="BU223" s="988"/>
      <c r="BV223" s="988"/>
      <c r="BW223" s="988"/>
      <c r="BX223" s="988"/>
      <c r="BY223" s="988"/>
      <c r="BZ223" s="988"/>
      <c r="CA223" s="988"/>
      <c r="CB223" s="2043"/>
      <c r="CC223" s="2783"/>
      <c r="CD223" s="988"/>
      <c r="CE223" s="988"/>
      <c r="CF223" s="988"/>
      <c r="CG223" s="988"/>
      <c r="CH223" s="988"/>
      <c r="CI223" s="988"/>
      <c r="CJ223" s="988"/>
      <c r="CK223" s="988"/>
      <c r="CL223" s="988"/>
      <c r="CM223" s="988"/>
      <c r="CN223" s="988"/>
      <c r="CO223" s="988"/>
      <c r="CP223" s="2032"/>
      <c r="CQ223" s="2783"/>
      <c r="CR223" s="988"/>
      <c r="CS223" s="988"/>
      <c r="CT223" s="988"/>
      <c r="CU223" s="988"/>
      <c r="CV223" s="988"/>
      <c r="CW223" s="988"/>
      <c r="CX223" s="988"/>
      <c r="CY223" s="988"/>
      <c r="CZ223" s="988"/>
      <c r="DA223" s="988"/>
      <c r="DB223" s="988"/>
      <c r="DC223" s="988"/>
      <c r="DD223" s="1914"/>
      <c r="DE223" s="2783"/>
      <c r="DF223" s="988"/>
      <c r="DG223" s="988"/>
      <c r="DH223" s="988"/>
      <c r="DI223" s="1914"/>
      <c r="DJ223" s="3146"/>
      <c r="DK223" s="153"/>
      <c r="DL223" s="3180"/>
      <c r="DN223" s="2716" t="s">
        <v>1283</v>
      </c>
      <c r="DO223" s="2740" t="s">
        <v>1284</v>
      </c>
      <c r="DP223" s="2757" t="s">
        <v>1117</v>
      </c>
      <c r="DQ223" s="2757" t="s">
        <v>5</v>
      </c>
      <c r="DR223" s="2757" t="str">
        <f t="shared" si="385"/>
        <v/>
      </c>
      <c r="DS223" s="1037"/>
      <c r="DT223" s="1037"/>
    </row>
    <row r="224" spans="1:130" s="153" customFormat="1" ht="15" hidden="1" outlineLevel="3">
      <c r="B224" s="2840"/>
      <c r="C224" s="397"/>
      <c r="D224" s="2947"/>
      <c r="E224" s="2501"/>
      <c r="F224" s="2947"/>
      <c r="G224" s="400"/>
      <c r="H224" s="1249"/>
      <c r="I224" s="536"/>
      <c r="J224" s="399"/>
      <c r="K224" s="1037"/>
      <c r="L224" s="851"/>
      <c r="M224" s="851"/>
      <c r="N224" s="402"/>
      <c r="O224" s="402"/>
      <c r="P224" s="402"/>
      <c r="Q224" s="402"/>
      <c r="R224" s="402"/>
      <c r="S224" s="402"/>
      <c r="T224" s="402"/>
      <c r="U224" s="402"/>
      <c r="V224" s="1037"/>
      <c r="W224" s="581"/>
      <c r="X224" s="581"/>
      <c r="Y224" s="581"/>
      <c r="Z224" s="837"/>
      <c r="AA224" s="399"/>
      <c r="AB224" s="399"/>
      <c r="AC224" s="1037"/>
      <c r="AD224" s="2840"/>
      <c r="AE224" s="397"/>
      <c r="AF224" s="397"/>
      <c r="AG224" s="397"/>
      <c r="AH224" s="398"/>
      <c r="AI224" s="398"/>
      <c r="AJ224" s="680"/>
      <c r="AK224" s="1037"/>
      <c r="AL224" s="398"/>
      <c r="AM224" s="398"/>
      <c r="AN224" s="398"/>
      <c r="AO224" s="1037"/>
      <c r="AP224" s="398"/>
      <c r="AQ224" s="398"/>
      <c r="AR224" s="398"/>
      <c r="AS224" s="398"/>
      <c r="AT224" s="398"/>
      <c r="AU224" s="398"/>
      <c r="AV224" s="398"/>
      <c r="AW224" s="398"/>
      <c r="AX224" s="398"/>
      <c r="AY224" s="398"/>
      <c r="AZ224" s="992"/>
      <c r="BA224" s="1037"/>
      <c r="BB224" s="398"/>
      <c r="BC224" s="398"/>
      <c r="BD224" s="398"/>
      <c r="BE224" s="398"/>
      <c r="BF224" s="398"/>
      <c r="BG224" s="398"/>
      <c r="BH224" s="398"/>
      <c r="BI224" s="398"/>
      <c r="BJ224" s="398"/>
      <c r="BK224" s="398"/>
      <c r="BL224" s="398"/>
      <c r="BM224" s="398"/>
      <c r="BN224" s="992"/>
      <c r="BO224" s="2783"/>
      <c r="BP224" s="398"/>
      <c r="BQ224" s="398"/>
      <c r="BR224" s="398"/>
      <c r="BS224" s="398"/>
      <c r="BT224" s="398"/>
      <c r="BU224" s="398"/>
      <c r="BV224" s="398"/>
      <c r="BW224" s="398"/>
      <c r="BX224" s="398"/>
      <c r="BY224" s="398"/>
      <c r="BZ224" s="398"/>
      <c r="CA224" s="398"/>
      <c r="CB224" s="992"/>
      <c r="CC224" s="2783"/>
      <c r="CD224" s="398"/>
      <c r="CE224" s="398"/>
      <c r="CF224" s="398"/>
      <c r="CG224" s="398"/>
      <c r="CH224" s="398"/>
      <c r="CI224" s="398"/>
      <c r="CJ224" s="398"/>
      <c r="CK224" s="398"/>
      <c r="CL224" s="398"/>
      <c r="CM224" s="398"/>
      <c r="CN224" s="398"/>
      <c r="CO224" s="398"/>
      <c r="CP224" s="993"/>
      <c r="CQ224" s="2783"/>
      <c r="CR224" s="398"/>
      <c r="CS224" s="398"/>
      <c r="CT224" s="398"/>
      <c r="CU224" s="398"/>
      <c r="CV224" s="398"/>
      <c r="CW224" s="398"/>
      <c r="CX224" s="398"/>
      <c r="CY224" s="398"/>
      <c r="CZ224" s="398"/>
      <c r="DA224" s="398"/>
      <c r="DB224" s="398"/>
      <c r="DC224" s="398"/>
      <c r="DD224" s="994"/>
      <c r="DE224" s="2783"/>
      <c r="DF224" s="398"/>
      <c r="DG224" s="398"/>
      <c r="DH224" s="398"/>
      <c r="DI224" s="3083"/>
      <c r="DJ224" s="3136"/>
      <c r="DL224" s="3180"/>
      <c r="DN224" s="2727" t="s">
        <v>1175</v>
      </c>
      <c r="DO224" s="2728" t="s">
        <v>1175</v>
      </c>
      <c r="DP224" s="2728"/>
      <c r="DQ224" s="2728" t="s">
        <v>1175</v>
      </c>
      <c r="DR224" s="2728" t="str">
        <f t="shared" si="385"/>
        <v/>
      </c>
      <c r="DS224" s="1037"/>
      <c r="DT224" s="1037"/>
    </row>
    <row r="225" spans="2:124" hidden="1" outlineLevel="4">
      <c r="B225" s="762"/>
      <c r="C225" s="765"/>
      <c r="D225" s="2946"/>
      <c r="E225" s="159"/>
      <c r="F225" s="2946"/>
      <c r="G225" s="702"/>
      <c r="H225" s="1547"/>
      <c r="I225" s="533"/>
      <c r="J225" s="103"/>
      <c r="L225" s="364"/>
      <c r="M225" s="364"/>
      <c r="N225" s="365"/>
      <c r="O225" s="365"/>
      <c r="P225" s="365"/>
      <c r="Q225" s="365"/>
      <c r="R225" s="365"/>
      <c r="S225" s="365"/>
      <c r="T225" s="365"/>
      <c r="U225" s="365"/>
      <c r="W225" s="364"/>
      <c r="X225" s="494"/>
      <c r="Y225" s="364"/>
      <c r="Z225" s="494"/>
      <c r="AA225" s="494"/>
      <c r="AB225" s="496"/>
      <c r="AD225" s="762"/>
      <c r="AE225" s="1554"/>
      <c r="AF225" s="1554"/>
      <c r="AG225" s="2503"/>
      <c r="AH225" s="1929"/>
      <c r="AI225" s="1455"/>
      <c r="AJ225" s="1760"/>
      <c r="AL225" s="1314"/>
      <c r="AM225" s="1434"/>
      <c r="AN225" s="1041"/>
      <c r="AP225" s="1445"/>
      <c r="AQ225" s="1445"/>
      <c r="AR225" s="1445"/>
      <c r="AS225" s="1445"/>
      <c r="AT225" s="1445"/>
      <c r="AU225" s="1445"/>
      <c r="AV225" s="1445"/>
      <c r="AW225" s="1445"/>
      <c r="AX225" s="1445"/>
      <c r="AY225" s="1445"/>
      <c r="AZ225" s="2078"/>
      <c r="BB225" s="1445"/>
      <c r="BC225" s="1445"/>
      <c r="BD225" s="1445"/>
      <c r="BE225" s="1445"/>
      <c r="BF225" s="1445"/>
      <c r="BG225" s="1445"/>
      <c r="BH225" s="1445"/>
      <c r="BI225" s="1445"/>
      <c r="BJ225" s="1445"/>
      <c r="BK225" s="1445"/>
      <c r="BL225" s="1445"/>
      <c r="BM225" s="1445"/>
      <c r="BN225" s="2078"/>
      <c r="BO225" s="2783"/>
      <c r="BP225" s="1445"/>
      <c r="BQ225" s="1445"/>
      <c r="BR225" s="1445"/>
      <c r="BS225" s="1445"/>
      <c r="BT225" s="1445"/>
      <c r="BU225" s="1445"/>
      <c r="BV225" s="1445"/>
      <c r="BW225" s="1445"/>
      <c r="BX225" s="1445"/>
      <c r="BY225" s="1445"/>
      <c r="BZ225" s="1445"/>
      <c r="CA225" s="1445"/>
      <c r="CB225" s="2078"/>
      <c r="CC225" s="2783"/>
      <c r="CD225" s="1445"/>
      <c r="CE225" s="1445"/>
      <c r="CF225" s="1445"/>
      <c r="CG225" s="1445"/>
      <c r="CH225" s="1445"/>
      <c r="CI225" s="1445"/>
      <c r="CJ225" s="1445"/>
      <c r="CK225" s="1445"/>
      <c r="CL225" s="1445"/>
      <c r="CM225" s="1445"/>
      <c r="CN225" s="1445"/>
      <c r="CO225" s="1445"/>
      <c r="CP225" s="2079"/>
      <c r="CQ225" s="2783"/>
      <c r="CR225" s="1445"/>
      <c r="CS225" s="1445"/>
      <c r="CT225" s="1445"/>
      <c r="CU225" s="1445"/>
      <c r="CV225" s="1445"/>
      <c r="CW225" s="1445"/>
      <c r="CX225" s="1445"/>
      <c r="CY225" s="1445"/>
      <c r="CZ225" s="1445"/>
      <c r="DA225" s="1445"/>
      <c r="DB225" s="1445"/>
      <c r="DC225" s="1445"/>
      <c r="DD225" s="2080"/>
      <c r="DE225" s="2783"/>
      <c r="DF225" s="1445"/>
      <c r="DG225" s="1445"/>
      <c r="DH225" s="1445"/>
      <c r="DI225" s="2080"/>
      <c r="DJ225" s="3147"/>
      <c r="DK225" s="153"/>
      <c r="DL225" s="3180"/>
      <c r="DN225" s="2750" t="s">
        <v>1346</v>
      </c>
      <c r="DO225" s="2751" t="s">
        <v>1347</v>
      </c>
      <c r="DP225" s="2751" t="s">
        <v>1115</v>
      </c>
      <c r="DQ225" s="2751" t="s">
        <v>5</v>
      </c>
      <c r="DR225" s="2751" t="str">
        <f t="shared" si="385"/>
        <v/>
      </c>
      <c r="DS225" s="1037"/>
      <c r="DT225" s="1037"/>
    </row>
    <row r="226" spans="2:124" ht="15" hidden="1" outlineLevel="4">
      <c r="B226" s="762"/>
      <c r="C226" s="765"/>
      <c r="D226" s="2946"/>
      <c r="E226" s="159"/>
      <c r="F226" s="2946"/>
      <c r="G226" s="702"/>
      <c r="H226" s="1547"/>
      <c r="I226" s="533"/>
      <c r="J226" s="103"/>
      <c r="L226" s="364"/>
      <c r="M226" s="364"/>
      <c r="N226" s="365"/>
      <c r="O226" s="365"/>
      <c r="P226" s="365"/>
      <c r="Q226" s="365"/>
      <c r="R226" s="365"/>
      <c r="S226" s="365"/>
      <c r="T226" s="365"/>
      <c r="U226" s="365"/>
      <c r="W226" s="494"/>
      <c r="X226" s="494"/>
      <c r="Y226" s="364"/>
      <c r="Z226" s="494"/>
      <c r="AA226" s="494"/>
      <c r="AB226" s="496"/>
      <c r="AD226" s="762"/>
      <c r="AE226" s="1554"/>
      <c r="AF226" s="1554"/>
      <c r="AG226" s="2503"/>
      <c r="AH226" s="1929"/>
      <c r="AI226" s="1455"/>
      <c r="AJ226" s="1760"/>
      <c r="AL226" s="1314"/>
      <c r="AM226" s="1434"/>
      <c r="AN226" s="1041"/>
      <c r="AP226" s="1445"/>
      <c r="AQ226" s="1445"/>
      <c r="AR226" s="1445"/>
      <c r="AS226" s="1445"/>
      <c r="AT226" s="1445"/>
      <c r="AU226" s="1445"/>
      <c r="AV226" s="1445"/>
      <c r="AW226" s="1445"/>
      <c r="AX226" s="1445"/>
      <c r="AY226" s="1445"/>
      <c r="AZ226" s="2078"/>
      <c r="BB226" s="1445"/>
      <c r="BC226" s="1445"/>
      <c r="BD226" s="1445"/>
      <c r="BE226" s="1445"/>
      <c r="BF226" s="1445"/>
      <c r="BG226" s="1445"/>
      <c r="BH226" s="1445"/>
      <c r="BI226" s="1445"/>
      <c r="BJ226" s="1445"/>
      <c r="BK226" s="1445"/>
      <c r="BL226" s="1445"/>
      <c r="BM226" s="1445"/>
      <c r="BN226" s="2078"/>
      <c r="BO226" s="2783"/>
      <c r="BP226" s="1445"/>
      <c r="BQ226" s="1445"/>
      <c r="BR226" s="1445"/>
      <c r="BS226" s="1445"/>
      <c r="BT226" s="1445"/>
      <c r="BU226" s="1445"/>
      <c r="BV226" s="1445"/>
      <c r="BW226" s="1445"/>
      <c r="BX226" s="1445"/>
      <c r="BY226" s="1445"/>
      <c r="BZ226" s="1445"/>
      <c r="CA226" s="1445"/>
      <c r="CB226" s="2078"/>
      <c r="CC226" s="2783"/>
      <c r="CD226" s="1445"/>
      <c r="CE226" s="1445"/>
      <c r="CF226" s="1445"/>
      <c r="CG226" s="1445"/>
      <c r="CH226" s="1445"/>
      <c r="CI226" s="1445"/>
      <c r="CJ226" s="1445"/>
      <c r="CK226" s="1445"/>
      <c r="CL226" s="1445"/>
      <c r="CM226" s="1445"/>
      <c r="CN226" s="1445"/>
      <c r="CO226" s="1445"/>
      <c r="CP226" s="2079"/>
      <c r="CQ226" s="2783"/>
      <c r="CR226" s="1445"/>
      <c r="CS226" s="1445"/>
      <c r="CT226" s="1445"/>
      <c r="CU226" s="1445"/>
      <c r="CV226" s="1445"/>
      <c r="CW226" s="1445"/>
      <c r="CX226" s="1445"/>
      <c r="CY226" s="1445"/>
      <c r="CZ226" s="1445"/>
      <c r="DA226" s="1445"/>
      <c r="DB226" s="1445"/>
      <c r="DC226" s="1445"/>
      <c r="DD226" s="2080"/>
      <c r="DE226" s="2783"/>
      <c r="DF226" s="1445"/>
      <c r="DG226" s="1445"/>
      <c r="DH226" s="1445"/>
      <c r="DI226" s="2080"/>
      <c r="DJ226" s="3147"/>
      <c r="DK226" s="153"/>
      <c r="DL226" s="3180"/>
      <c r="DN226" s="2716" t="s">
        <v>1283</v>
      </c>
      <c r="DO226" s="2740" t="s">
        <v>1284</v>
      </c>
      <c r="DP226" s="2751" t="s">
        <v>1117</v>
      </c>
      <c r="DQ226" s="2751" t="s">
        <v>5</v>
      </c>
      <c r="DR226" s="2751" t="str">
        <f t="shared" si="385"/>
        <v/>
      </c>
      <c r="DS226" s="1037"/>
      <c r="DT226" s="1037"/>
    </row>
    <row r="227" spans="2:124" ht="15" hidden="1" outlineLevel="3">
      <c r="B227" s="711"/>
      <c r="C227" s="182"/>
      <c r="D227" s="2946"/>
      <c r="E227" s="159"/>
      <c r="F227" s="2946"/>
      <c r="G227" s="702"/>
      <c r="H227" s="1547"/>
      <c r="I227" s="533"/>
      <c r="J227" s="103"/>
      <c r="L227" s="364"/>
      <c r="M227" s="364"/>
      <c r="N227" s="365"/>
      <c r="O227" s="365"/>
      <c r="P227" s="365"/>
      <c r="Q227" s="365"/>
      <c r="R227" s="365"/>
      <c r="S227" s="365"/>
      <c r="T227" s="365"/>
      <c r="U227" s="365"/>
      <c r="W227" s="364"/>
      <c r="X227" s="364"/>
      <c r="Y227" s="364"/>
      <c r="Z227" s="364"/>
      <c r="AA227" s="494"/>
      <c r="AB227" s="496"/>
      <c r="AD227" s="711"/>
      <c r="AE227" s="364"/>
      <c r="AF227" s="364"/>
      <c r="AG227" s="712"/>
      <c r="AH227" s="1454"/>
      <c r="AI227" s="1455"/>
      <c r="AJ227" s="1530"/>
      <c r="AL227" s="1032"/>
      <c r="AM227" s="1434"/>
      <c r="AN227" s="1041"/>
      <c r="AP227" s="988"/>
      <c r="AQ227" s="988"/>
      <c r="AR227" s="988"/>
      <c r="AS227" s="988"/>
      <c r="AT227" s="988"/>
      <c r="AU227" s="988"/>
      <c r="AV227" s="988"/>
      <c r="AW227" s="988"/>
      <c r="AX227" s="988"/>
      <c r="AY227" s="988"/>
      <c r="AZ227" s="2043"/>
      <c r="BB227" s="988"/>
      <c r="BC227" s="988"/>
      <c r="BD227" s="988"/>
      <c r="BE227" s="988"/>
      <c r="BF227" s="988"/>
      <c r="BG227" s="988"/>
      <c r="BH227" s="988"/>
      <c r="BI227" s="988"/>
      <c r="BJ227" s="988"/>
      <c r="BK227" s="988"/>
      <c r="BL227" s="988"/>
      <c r="BM227" s="988"/>
      <c r="BN227" s="2043"/>
      <c r="BO227" s="2783"/>
      <c r="BP227" s="988"/>
      <c r="BQ227" s="988"/>
      <c r="BR227" s="988"/>
      <c r="BS227" s="988"/>
      <c r="BT227" s="988"/>
      <c r="BU227" s="988"/>
      <c r="BV227" s="988"/>
      <c r="BW227" s="988"/>
      <c r="BX227" s="988"/>
      <c r="BY227" s="988"/>
      <c r="BZ227" s="988"/>
      <c r="CA227" s="988"/>
      <c r="CB227" s="2043"/>
      <c r="CC227" s="2783"/>
      <c r="CD227" s="988"/>
      <c r="CE227" s="988"/>
      <c r="CF227" s="988"/>
      <c r="CG227" s="988"/>
      <c r="CH227" s="988"/>
      <c r="CI227" s="988"/>
      <c r="CJ227" s="988"/>
      <c r="CK227" s="988"/>
      <c r="CL227" s="988"/>
      <c r="CM227" s="988"/>
      <c r="CN227" s="988"/>
      <c r="CO227" s="988"/>
      <c r="CP227" s="2032"/>
      <c r="CQ227" s="2783"/>
      <c r="CR227" s="988"/>
      <c r="CS227" s="988"/>
      <c r="CT227" s="988"/>
      <c r="CU227" s="988"/>
      <c r="CV227" s="988"/>
      <c r="CW227" s="988"/>
      <c r="CX227" s="988"/>
      <c r="CY227" s="988"/>
      <c r="CZ227" s="988"/>
      <c r="DA227" s="988"/>
      <c r="DB227" s="988"/>
      <c r="DC227" s="988"/>
      <c r="DD227" s="1914"/>
      <c r="DE227" s="2783"/>
      <c r="DF227" s="988"/>
      <c r="DG227" s="988"/>
      <c r="DH227" s="988"/>
      <c r="DI227" s="1914"/>
      <c r="DJ227" s="3146"/>
      <c r="DK227" s="153"/>
      <c r="DL227" s="3180"/>
      <c r="DN227" s="2716" t="s">
        <v>1283</v>
      </c>
      <c r="DO227" s="2740" t="s">
        <v>1284</v>
      </c>
      <c r="DP227" s="2757" t="s">
        <v>1117</v>
      </c>
      <c r="DQ227" s="2757" t="s">
        <v>5</v>
      </c>
      <c r="DR227" s="2757" t="str">
        <f t="shared" ref="DR227:DR296" si="386">MID(D227,1,1)</f>
        <v/>
      </c>
      <c r="DS227" s="1037"/>
      <c r="DT227" s="1037"/>
    </row>
    <row r="228" spans="2:124" ht="15" hidden="1" outlineLevel="3">
      <c r="B228" s="711"/>
      <c r="C228" s="182"/>
      <c r="D228" s="2946"/>
      <c r="E228" s="159"/>
      <c r="F228" s="2946"/>
      <c r="G228" s="702"/>
      <c r="H228" s="1547"/>
      <c r="I228" s="533"/>
      <c r="J228" s="103"/>
      <c r="L228" s="364"/>
      <c r="M228" s="364"/>
      <c r="N228" s="365"/>
      <c r="O228" s="365"/>
      <c r="P228" s="365"/>
      <c r="Q228" s="365"/>
      <c r="R228" s="365"/>
      <c r="S228" s="365"/>
      <c r="T228" s="365"/>
      <c r="U228" s="365"/>
      <c r="W228" s="364"/>
      <c r="X228" s="364"/>
      <c r="Y228" s="364"/>
      <c r="Z228" s="364"/>
      <c r="AA228" s="494"/>
      <c r="AB228" s="496"/>
      <c r="AD228" s="711"/>
      <c r="AE228" s="364"/>
      <c r="AF228" s="364"/>
      <c r="AG228" s="712"/>
      <c r="AH228" s="1454"/>
      <c r="AI228" s="1455"/>
      <c r="AJ228" s="1530"/>
      <c r="AL228" s="1032"/>
      <c r="AM228" s="1434"/>
      <c r="AN228" s="1041"/>
      <c r="AP228" s="988"/>
      <c r="AQ228" s="988"/>
      <c r="AR228" s="988"/>
      <c r="AS228" s="988"/>
      <c r="AT228" s="988"/>
      <c r="AU228" s="988"/>
      <c r="AV228" s="988"/>
      <c r="AW228" s="988"/>
      <c r="AX228" s="988"/>
      <c r="AY228" s="988"/>
      <c r="AZ228" s="2043"/>
      <c r="BB228" s="988"/>
      <c r="BC228" s="988"/>
      <c r="BD228" s="988"/>
      <c r="BE228" s="988"/>
      <c r="BF228" s="988"/>
      <c r="BG228" s="988"/>
      <c r="BH228" s="988"/>
      <c r="BI228" s="988"/>
      <c r="BJ228" s="988"/>
      <c r="BK228" s="988"/>
      <c r="BL228" s="988"/>
      <c r="BM228" s="988"/>
      <c r="BN228" s="2043"/>
      <c r="BO228" s="2783"/>
      <c r="BP228" s="988"/>
      <c r="BQ228" s="988"/>
      <c r="BR228" s="988"/>
      <c r="BS228" s="988"/>
      <c r="BT228" s="988"/>
      <c r="BU228" s="988"/>
      <c r="BV228" s="988"/>
      <c r="BW228" s="988"/>
      <c r="BX228" s="988"/>
      <c r="BY228" s="988"/>
      <c r="BZ228" s="988"/>
      <c r="CA228" s="988"/>
      <c r="CB228" s="2043"/>
      <c r="CC228" s="2783"/>
      <c r="CD228" s="988"/>
      <c r="CE228" s="988"/>
      <c r="CF228" s="988"/>
      <c r="CG228" s="988"/>
      <c r="CH228" s="988"/>
      <c r="CI228" s="988"/>
      <c r="CJ228" s="988"/>
      <c r="CK228" s="988"/>
      <c r="CL228" s="988"/>
      <c r="CM228" s="988"/>
      <c r="CN228" s="988"/>
      <c r="CO228" s="988"/>
      <c r="CP228" s="2032"/>
      <c r="CQ228" s="2783"/>
      <c r="CR228" s="988"/>
      <c r="CS228" s="988"/>
      <c r="CT228" s="988"/>
      <c r="CU228" s="988"/>
      <c r="CV228" s="988"/>
      <c r="CW228" s="988"/>
      <c r="CX228" s="988"/>
      <c r="CY228" s="988"/>
      <c r="CZ228" s="988"/>
      <c r="DA228" s="988"/>
      <c r="DB228" s="988"/>
      <c r="DC228" s="988"/>
      <c r="DD228" s="1914"/>
      <c r="DE228" s="2783"/>
      <c r="DF228" s="988"/>
      <c r="DG228" s="988"/>
      <c r="DH228" s="988"/>
      <c r="DI228" s="1914"/>
      <c r="DJ228" s="3146"/>
      <c r="DK228" s="153"/>
      <c r="DL228" s="3180"/>
      <c r="DN228" s="2716" t="s">
        <v>1283</v>
      </c>
      <c r="DO228" s="2740" t="s">
        <v>1284</v>
      </c>
      <c r="DP228" s="2757" t="s">
        <v>1117</v>
      </c>
      <c r="DQ228" s="2757" t="s">
        <v>5</v>
      </c>
      <c r="DR228" s="2757" t="str">
        <f t="shared" si="386"/>
        <v/>
      </c>
      <c r="DS228" s="1037"/>
      <c r="DT228" s="1037"/>
    </row>
    <row r="229" spans="2:124" ht="15" hidden="1" outlineLevel="3">
      <c r="B229" s="711"/>
      <c r="C229" s="182"/>
      <c r="D229" s="2946"/>
      <c r="E229" s="159"/>
      <c r="F229" s="2946"/>
      <c r="G229" s="702"/>
      <c r="H229" s="1547"/>
      <c r="I229" s="533"/>
      <c r="J229" s="103"/>
      <c r="L229" s="364"/>
      <c r="M229" s="364"/>
      <c r="N229" s="365"/>
      <c r="O229" s="365"/>
      <c r="P229" s="365"/>
      <c r="Q229" s="365"/>
      <c r="R229" s="365"/>
      <c r="S229" s="365"/>
      <c r="T229" s="365"/>
      <c r="U229" s="365"/>
      <c r="W229" s="364"/>
      <c r="X229" s="364"/>
      <c r="Y229" s="364"/>
      <c r="Z229" s="364"/>
      <c r="AA229" s="494"/>
      <c r="AB229" s="496"/>
      <c r="AD229" s="711"/>
      <c r="AE229" s="1050"/>
      <c r="AF229" s="1050"/>
      <c r="AG229" s="712"/>
      <c r="AH229" s="1456"/>
      <c r="AI229" s="1455"/>
      <c r="AJ229" s="1530"/>
      <c r="AL229" s="1032"/>
      <c r="AM229" s="1434"/>
      <c r="AN229" s="1041"/>
      <c r="AP229" s="988"/>
      <c r="AQ229" s="988"/>
      <c r="AR229" s="988"/>
      <c r="AS229" s="988"/>
      <c r="AT229" s="988"/>
      <c r="AU229" s="988"/>
      <c r="AV229" s="988"/>
      <c r="AW229" s="988"/>
      <c r="AX229" s="988"/>
      <c r="AY229" s="988"/>
      <c r="AZ229" s="2043"/>
      <c r="BB229" s="988"/>
      <c r="BC229" s="988"/>
      <c r="BD229" s="988"/>
      <c r="BE229" s="988"/>
      <c r="BF229" s="988"/>
      <c r="BG229" s="988"/>
      <c r="BH229" s="988"/>
      <c r="BI229" s="988"/>
      <c r="BJ229" s="988"/>
      <c r="BK229" s="988"/>
      <c r="BL229" s="988"/>
      <c r="BM229" s="988"/>
      <c r="BN229" s="2043"/>
      <c r="BO229" s="2783"/>
      <c r="BP229" s="988"/>
      <c r="BQ229" s="988"/>
      <c r="BR229" s="988"/>
      <c r="BS229" s="988"/>
      <c r="BT229" s="988"/>
      <c r="BU229" s="988"/>
      <c r="BV229" s="988"/>
      <c r="BW229" s="988"/>
      <c r="BX229" s="988"/>
      <c r="BY229" s="988"/>
      <c r="BZ229" s="988"/>
      <c r="CA229" s="988"/>
      <c r="CB229" s="2043"/>
      <c r="CC229" s="2783"/>
      <c r="CD229" s="988"/>
      <c r="CE229" s="988"/>
      <c r="CF229" s="988"/>
      <c r="CG229" s="988"/>
      <c r="CH229" s="988"/>
      <c r="CI229" s="988"/>
      <c r="CJ229" s="988"/>
      <c r="CK229" s="988"/>
      <c r="CL229" s="988"/>
      <c r="CM229" s="988"/>
      <c r="CN229" s="988"/>
      <c r="CO229" s="988"/>
      <c r="CP229" s="2032"/>
      <c r="CQ229" s="2783"/>
      <c r="CR229" s="988"/>
      <c r="CS229" s="988"/>
      <c r="CT229" s="988"/>
      <c r="CU229" s="988"/>
      <c r="CV229" s="988"/>
      <c r="CW229" s="988"/>
      <c r="CX229" s="988"/>
      <c r="CY229" s="988"/>
      <c r="CZ229" s="988"/>
      <c r="DA229" s="988"/>
      <c r="DB229" s="988"/>
      <c r="DC229" s="988"/>
      <c r="DD229" s="1914"/>
      <c r="DE229" s="2783"/>
      <c r="DF229" s="988"/>
      <c r="DG229" s="988"/>
      <c r="DH229" s="988"/>
      <c r="DI229" s="1914"/>
      <c r="DJ229" s="3146"/>
      <c r="DK229" s="153"/>
      <c r="DL229" s="3180"/>
      <c r="DN229" s="2716" t="s">
        <v>1283</v>
      </c>
      <c r="DO229" s="2740" t="s">
        <v>1284</v>
      </c>
      <c r="DP229" s="2757" t="s">
        <v>1117</v>
      </c>
      <c r="DQ229" s="2757" t="s">
        <v>5</v>
      </c>
      <c r="DR229" s="2757" t="str">
        <f t="shared" si="386"/>
        <v/>
      </c>
      <c r="DS229" s="1037"/>
      <c r="DT229" s="1037"/>
    </row>
    <row r="230" spans="2:124" s="153" customFormat="1" ht="15" hidden="1" outlineLevel="3">
      <c r="B230" s="2840"/>
      <c r="C230" s="397"/>
      <c r="D230" s="2947"/>
      <c r="E230" s="2501"/>
      <c r="F230" s="2947"/>
      <c r="G230" s="400"/>
      <c r="H230" s="1249"/>
      <c r="I230" s="536"/>
      <c r="J230" s="399"/>
      <c r="K230" s="1037"/>
      <c r="L230" s="851"/>
      <c r="M230" s="851"/>
      <c r="N230" s="402"/>
      <c r="O230" s="402"/>
      <c r="P230" s="402"/>
      <c r="Q230" s="402"/>
      <c r="R230" s="402"/>
      <c r="S230" s="402"/>
      <c r="T230" s="402"/>
      <c r="U230" s="402"/>
      <c r="V230" s="1037"/>
      <c r="W230" s="581"/>
      <c r="X230" s="581"/>
      <c r="Y230" s="581"/>
      <c r="Z230" s="837"/>
      <c r="AA230" s="399"/>
      <c r="AB230" s="399"/>
      <c r="AC230" s="1037"/>
      <c r="AD230" s="2840"/>
      <c r="AE230" s="397"/>
      <c r="AF230" s="397"/>
      <c r="AG230" s="397"/>
      <c r="AH230" s="398"/>
      <c r="AI230" s="398"/>
      <c r="AJ230" s="680"/>
      <c r="AK230" s="1037"/>
      <c r="AL230" s="398"/>
      <c r="AM230" s="398"/>
      <c r="AN230" s="398"/>
      <c r="AO230" s="1037"/>
      <c r="AP230" s="398"/>
      <c r="AQ230" s="398"/>
      <c r="AR230" s="398"/>
      <c r="AS230" s="398"/>
      <c r="AT230" s="398"/>
      <c r="AU230" s="398"/>
      <c r="AV230" s="398"/>
      <c r="AW230" s="398"/>
      <c r="AX230" s="398"/>
      <c r="AY230" s="398"/>
      <c r="AZ230" s="992"/>
      <c r="BA230" s="1037"/>
      <c r="BB230" s="398"/>
      <c r="BC230" s="398"/>
      <c r="BD230" s="398"/>
      <c r="BE230" s="398"/>
      <c r="BF230" s="398"/>
      <c r="BG230" s="398"/>
      <c r="BH230" s="398"/>
      <c r="BI230" s="398"/>
      <c r="BJ230" s="398"/>
      <c r="BK230" s="398"/>
      <c r="BL230" s="398"/>
      <c r="BM230" s="398"/>
      <c r="BN230" s="992"/>
      <c r="BO230" s="2783"/>
      <c r="BP230" s="398"/>
      <c r="BQ230" s="398"/>
      <c r="BR230" s="398"/>
      <c r="BS230" s="398"/>
      <c r="BT230" s="398"/>
      <c r="BU230" s="398"/>
      <c r="BV230" s="398"/>
      <c r="BW230" s="398"/>
      <c r="BX230" s="398"/>
      <c r="BY230" s="398"/>
      <c r="BZ230" s="398"/>
      <c r="CA230" s="398"/>
      <c r="CB230" s="992"/>
      <c r="CC230" s="2783"/>
      <c r="CD230" s="398"/>
      <c r="CE230" s="398"/>
      <c r="CF230" s="398"/>
      <c r="CG230" s="398"/>
      <c r="CH230" s="398"/>
      <c r="CI230" s="398"/>
      <c r="CJ230" s="398"/>
      <c r="CK230" s="398"/>
      <c r="CL230" s="398"/>
      <c r="CM230" s="398"/>
      <c r="CN230" s="398"/>
      <c r="CO230" s="398"/>
      <c r="CP230" s="993"/>
      <c r="CQ230" s="2783"/>
      <c r="CR230" s="398"/>
      <c r="CS230" s="398"/>
      <c r="CT230" s="398"/>
      <c r="CU230" s="398"/>
      <c r="CV230" s="398"/>
      <c r="CW230" s="398"/>
      <c r="CX230" s="398"/>
      <c r="CY230" s="398"/>
      <c r="CZ230" s="398"/>
      <c r="DA230" s="398"/>
      <c r="DB230" s="398"/>
      <c r="DC230" s="398"/>
      <c r="DD230" s="994"/>
      <c r="DE230" s="2783"/>
      <c r="DF230" s="398"/>
      <c r="DG230" s="398"/>
      <c r="DH230" s="398"/>
      <c r="DI230" s="3083"/>
      <c r="DJ230" s="3136"/>
      <c r="DL230" s="3180"/>
      <c r="DN230" s="2725" t="s">
        <v>1175</v>
      </c>
      <c r="DO230" s="2726" t="s">
        <v>1175</v>
      </c>
      <c r="DP230" s="2726"/>
      <c r="DQ230" s="2726" t="s">
        <v>1175</v>
      </c>
      <c r="DR230" s="2726" t="str">
        <f t="shared" ref="DR230:DR243" si="387">MID(D230,1,1)</f>
        <v/>
      </c>
      <c r="DS230" s="1037"/>
      <c r="DT230" s="1037"/>
    </row>
    <row r="231" spans="2:124" ht="15" hidden="1" outlineLevel="4">
      <c r="B231" s="1444"/>
      <c r="C231" s="1318"/>
      <c r="D231" s="2946"/>
      <c r="E231" s="159"/>
      <c r="F231" s="2946"/>
      <c r="G231" s="702"/>
      <c r="H231" s="173"/>
      <c r="I231" s="703"/>
      <c r="J231" s="177"/>
      <c r="L231" s="364"/>
      <c r="M231" s="364"/>
      <c r="N231" s="364"/>
      <c r="O231" s="364"/>
      <c r="P231" s="364"/>
      <c r="Q231" s="364"/>
      <c r="R231" s="364"/>
      <c r="S231" s="364"/>
      <c r="T231" s="364"/>
      <c r="U231" s="364"/>
      <c r="W231" s="852"/>
      <c r="X231" s="852"/>
      <c r="Y231" s="1341"/>
      <c r="Z231" s="852"/>
      <c r="AA231" s="852"/>
      <c r="AB231" s="1444"/>
      <c r="AD231" s="1444"/>
      <c r="AE231" s="1587"/>
      <c r="AF231" s="1587"/>
      <c r="AG231" s="1318"/>
      <c r="AH231" s="1585"/>
      <c r="AI231" s="1586"/>
      <c r="AJ231" s="1235"/>
      <c r="AL231" s="1553"/>
      <c r="AM231" s="1553"/>
      <c r="AN231" s="1553"/>
      <c r="AP231" s="1553"/>
      <c r="AQ231" s="1553"/>
      <c r="AR231" s="1553"/>
      <c r="AS231" s="1553"/>
      <c r="AT231" s="1553"/>
      <c r="AU231" s="1553"/>
      <c r="AV231" s="1553"/>
      <c r="AW231" s="1553"/>
      <c r="AX231" s="1553"/>
      <c r="AY231" s="1553"/>
      <c r="AZ231" s="1551"/>
      <c r="BB231" s="1553"/>
      <c r="BC231" s="1553"/>
      <c r="BD231" s="1553"/>
      <c r="BE231" s="1553"/>
      <c r="BF231" s="1553"/>
      <c r="BG231" s="1553"/>
      <c r="BH231" s="1553"/>
      <c r="BI231" s="1553"/>
      <c r="BJ231" s="1553"/>
      <c r="BK231" s="1553"/>
      <c r="BL231" s="1553"/>
      <c r="BM231" s="1553"/>
      <c r="BN231" s="1551"/>
      <c r="BP231" s="1553"/>
      <c r="BQ231" s="1553"/>
      <c r="BR231" s="1553"/>
      <c r="BS231" s="1553"/>
      <c r="BT231" s="1553"/>
      <c r="BU231" s="1553"/>
      <c r="BV231" s="1553"/>
      <c r="BW231" s="1553"/>
      <c r="BX231" s="1553"/>
      <c r="BY231" s="1553"/>
      <c r="BZ231" s="1553"/>
      <c r="CA231" s="1553"/>
      <c r="CB231" s="1551"/>
      <c r="CD231" s="1553"/>
      <c r="CE231" s="1553"/>
      <c r="CF231" s="1553"/>
      <c r="CG231" s="1553"/>
      <c r="CH231" s="1553"/>
      <c r="CI231" s="1553"/>
      <c r="CJ231" s="1553"/>
      <c r="CK231" s="1553"/>
      <c r="CL231" s="1553"/>
      <c r="CM231" s="1553"/>
      <c r="CN231" s="1553"/>
      <c r="CO231" s="1553"/>
      <c r="CP231" s="1551"/>
      <c r="CR231" s="1553"/>
      <c r="CS231" s="1553"/>
      <c r="CT231" s="1553"/>
      <c r="CU231" s="1553"/>
      <c r="CV231" s="1553"/>
      <c r="CW231" s="1553"/>
      <c r="CX231" s="1553"/>
      <c r="CY231" s="1553"/>
      <c r="CZ231" s="1553"/>
      <c r="DA231" s="1553"/>
      <c r="DB231" s="1553"/>
      <c r="DC231" s="1553"/>
      <c r="DD231" s="1551"/>
      <c r="DF231" s="1553"/>
      <c r="DG231" s="1553"/>
      <c r="DH231" s="1553"/>
      <c r="DI231" s="3094"/>
      <c r="DJ231" s="3148"/>
      <c r="DL231" s="3180"/>
      <c r="DN231" s="2716" t="s">
        <v>1283</v>
      </c>
      <c r="DO231" s="2740" t="s">
        <v>1284</v>
      </c>
      <c r="DP231" s="2764" t="s">
        <v>1117</v>
      </c>
      <c r="DQ231" s="2764" t="s">
        <v>5</v>
      </c>
      <c r="DR231" s="2764" t="str">
        <f t="shared" si="387"/>
        <v/>
      </c>
      <c r="DS231" s="1037"/>
      <c r="DT231" s="1037"/>
    </row>
    <row r="232" spans="2:124" ht="15" hidden="1" outlineLevel="4">
      <c r="B232" s="1444"/>
      <c r="C232" s="1318"/>
      <c r="D232" s="2946"/>
      <c r="E232" s="159"/>
      <c r="F232" s="2946"/>
      <c r="G232" s="702"/>
      <c r="H232" s="173"/>
      <c r="I232" s="703"/>
      <c r="J232" s="177"/>
      <c r="L232" s="364"/>
      <c r="M232" s="364"/>
      <c r="N232" s="364"/>
      <c r="O232" s="364"/>
      <c r="P232" s="364"/>
      <c r="Q232" s="364"/>
      <c r="R232" s="364"/>
      <c r="S232" s="364"/>
      <c r="T232" s="364"/>
      <c r="U232" s="364"/>
      <c r="W232" s="852"/>
      <c r="X232" s="852"/>
      <c r="Y232" s="852"/>
      <c r="Z232" s="852"/>
      <c r="AA232" s="852"/>
      <c r="AB232" s="1444"/>
      <c r="AD232" s="1444"/>
      <c r="AE232" s="1318"/>
      <c r="AF232" s="1318"/>
      <c r="AG232" s="1318"/>
      <c r="AH232" s="1553"/>
      <c r="AI232" s="1582"/>
      <c r="AJ232" s="1235"/>
      <c r="AL232" s="1553"/>
      <c r="AM232" s="1553"/>
      <c r="AN232" s="1553"/>
      <c r="AP232" s="1553"/>
      <c r="AQ232" s="1553"/>
      <c r="AR232" s="1553"/>
      <c r="AS232" s="1553"/>
      <c r="AT232" s="1553"/>
      <c r="AU232" s="1553"/>
      <c r="AV232" s="1553"/>
      <c r="AW232" s="1553"/>
      <c r="AX232" s="1553"/>
      <c r="AY232" s="1553"/>
      <c r="AZ232" s="1551"/>
      <c r="BB232" s="1553"/>
      <c r="BC232" s="1553"/>
      <c r="BD232" s="1553"/>
      <c r="BE232" s="1553"/>
      <c r="BF232" s="1553"/>
      <c r="BG232" s="1553"/>
      <c r="BH232" s="1553"/>
      <c r="BI232" s="1553"/>
      <c r="BJ232" s="1553"/>
      <c r="BK232" s="1553"/>
      <c r="BL232" s="1553"/>
      <c r="BM232" s="1553"/>
      <c r="BN232" s="1551"/>
      <c r="BP232" s="1553"/>
      <c r="BQ232" s="1553"/>
      <c r="BR232" s="1553"/>
      <c r="BS232" s="1553"/>
      <c r="BT232" s="1553"/>
      <c r="BU232" s="1553"/>
      <c r="BV232" s="1553"/>
      <c r="BW232" s="1553"/>
      <c r="BX232" s="1553"/>
      <c r="BY232" s="1553"/>
      <c r="BZ232" s="1553"/>
      <c r="CA232" s="1553"/>
      <c r="CB232" s="1551"/>
      <c r="CD232" s="1553"/>
      <c r="CE232" s="1553"/>
      <c r="CF232" s="1553"/>
      <c r="CG232" s="1553"/>
      <c r="CH232" s="1553"/>
      <c r="CI232" s="1553"/>
      <c r="CJ232" s="1553"/>
      <c r="CK232" s="1553"/>
      <c r="CL232" s="1553"/>
      <c r="CM232" s="1553"/>
      <c r="CN232" s="1553"/>
      <c r="CO232" s="1553"/>
      <c r="CP232" s="1551"/>
      <c r="CR232" s="1553"/>
      <c r="CS232" s="1553"/>
      <c r="CT232" s="1553"/>
      <c r="CU232" s="1553"/>
      <c r="CV232" s="1553"/>
      <c r="CW232" s="1553"/>
      <c r="CX232" s="1553"/>
      <c r="CY232" s="1553"/>
      <c r="CZ232" s="1553"/>
      <c r="DA232" s="1553"/>
      <c r="DB232" s="1553"/>
      <c r="DC232" s="1553"/>
      <c r="DD232" s="1551"/>
      <c r="DF232" s="1553"/>
      <c r="DG232" s="1553"/>
      <c r="DH232" s="1553"/>
      <c r="DI232" s="3094"/>
      <c r="DJ232" s="3148"/>
      <c r="DL232" s="3180"/>
      <c r="DN232" s="2715" t="s">
        <v>1175</v>
      </c>
      <c r="DO232" s="2765" t="s">
        <v>1175</v>
      </c>
      <c r="DP232" s="2765"/>
      <c r="DQ232" s="2765" t="s">
        <v>1175</v>
      </c>
      <c r="DR232" s="2765" t="str">
        <f t="shared" si="387"/>
        <v/>
      </c>
      <c r="DS232" s="1037"/>
      <c r="DT232" s="1037"/>
    </row>
    <row r="233" spans="2:124" s="153" customFormat="1" ht="15" hidden="1" outlineLevel="4">
      <c r="B233" s="3903"/>
      <c r="C233" s="2711"/>
      <c r="D233" s="2946"/>
      <c r="E233" s="159"/>
      <c r="F233" s="2946"/>
      <c r="G233" s="1721"/>
      <c r="H233" s="1547"/>
      <c r="I233" s="544"/>
      <c r="J233" s="1495"/>
      <c r="K233" s="1037"/>
      <c r="L233" s="853"/>
      <c r="M233" s="853"/>
      <c r="N233" s="1496"/>
      <c r="O233" s="1496"/>
      <c r="P233" s="1496"/>
      <c r="Q233" s="1496"/>
      <c r="R233" s="1496"/>
      <c r="S233" s="1496"/>
      <c r="T233" s="1496"/>
      <c r="U233" s="1496"/>
      <c r="V233" s="1037"/>
      <c r="W233" s="3897"/>
      <c r="X233" s="3897"/>
      <c r="Y233" s="3969"/>
      <c r="Z233" s="3897"/>
      <c r="AA233" s="1207"/>
      <c r="AB233" s="3903"/>
      <c r="AC233" s="1037"/>
      <c r="AD233" s="3903"/>
      <c r="AE233" s="3838"/>
      <c r="AF233" s="3838"/>
      <c r="AG233" s="3838"/>
      <c r="AH233" s="2330"/>
      <c r="AI233" s="3906"/>
      <c r="AJ233" s="3931"/>
      <c r="AK233" s="1037"/>
      <c r="AL233" s="3906"/>
      <c r="AM233" s="3906"/>
      <c r="AN233" s="3906"/>
      <c r="AO233" s="1037"/>
      <c r="AP233" s="3874"/>
      <c r="AQ233" s="3874"/>
      <c r="AR233" s="3874"/>
      <c r="AS233" s="3874"/>
      <c r="AT233" s="3874"/>
      <c r="AU233" s="3874"/>
      <c r="AV233" s="3874"/>
      <c r="AW233" s="3874"/>
      <c r="AX233" s="3874"/>
      <c r="AY233" s="3874"/>
      <c r="AZ233" s="3885"/>
      <c r="BA233" s="1037"/>
      <c r="BB233" s="3874"/>
      <c r="BC233" s="3874"/>
      <c r="BD233" s="3874"/>
      <c r="BE233" s="3874"/>
      <c r="BF233" s="3874"/>
      <c r="BG233" s="3874"/>
      <c r="BH233" s="3874"/>
      <c r="BI233" s="3874"/>
      <c r="BJ233" s="3874"/>
      <c r="BK233" s="3874"/>
      <c r="BL233" s="3874"/>
      <c r="BM233" s="3874"/>
      <c r="BN233" s="3885"/>
      <c r="BO233" s="1037"/>
      <c r="BP233" s="3874"/>
      <c r="BQ233" s="3874"/>
      <c r="BR233" s="3874"/>
      <c r="BS233" s="3874"/>
      <c r="BT233" s="3874"/>
      <c r="BU233" s="3874"/>
      <c r="BV233" s="3874"/>
      <c r="BW233" s="3874"/>
      <c r="BX233" s="3874"/>
      <c r="BY233" s="3787"/>
      <c r="BZ233" s="3874"/>
      <c r="CA233" s="3874"/>
      <c r="CB233" s="3885"/>
      <c r="CC233" s="1037"/>
      <c r="CD233" s="3874"/>
      <c r="CE233" s="3787"/>
      <c r="CF233" s="3874"/>
      <c r="CG233" s="3874"/>
      <c r="CH233" s="3874"/>
      <c r="CI233" s="3787"/>
      <c r="CJ233" s="3874"/>
      <c r="CK233" s="3874"/>
      <c r="CL233" s="3874"/>
      <c r="CM233" s="3787"/>
      <c r="CN233" s="3874"/>
      <c r="CO233" s="3874"/>
      <c r="CP233" s="3885"/>
      <c r="CQ233" s="1037"/>
      <c r="CR233" s="3874"/>
      <c r="CS233" s="3874"/>
      <c r="CT233" s="3874"/>
      <c r="CU233" s="3874"/>
      <c r="CV233" s="3874"/>
      <c r="CW233" s="3874"/>
      <c r="CX233" s="3874"/>
      <c r="CY233" s="3874"/>
      <c r="CZ233" s="3874"/>
      <c r="DA233" s="3874"/>
      <c r="DB233" s="3874"/>
      <c r="DC233" s="3874"/>
      <c r="DD233" s="3885"/>
      <c r="DE233" s="1037"/>
      <c r="DF233" s="3874"/>
      <c r="DG233" s="3874"/>
      <c r="DH233" s="3874"/>
      <c r="DI233" s="4017"/>
      <c r="DJ233" s="4039"/>
      <c r="DL233" s="3180"/>
      <c r="DN233" s="2716" t="s">
        <v>1283</v>
      </c>
      <c r="DO233" s="2740" t="s">
        <v>1284</v>
      </c>
      <c r="DP233" s="3888" t="s">
        <v>1117</v>
      </c>
      <c r="DQ233" s="3888" t="s">
        <v>5</v>
      </c>
      <c r="DR233" s="3888" t="str">
        <f t="shared" si="387"/>
        <v/>
      </c>
      <c r="DS233" s="1037"/>
      <c r="DT233" s="1037"/>
    </row>
    <row r="234" spans="2:124" s="153" customFormat="1" hidden="1" outlineLevel="5">
      <c r="B234" s="3933"/>
      <c r="C234" s="1479"/>
      <c r="D234" s="2946"/>
      <c r="E234" s="159"/>
      <c r="F234" s="2946"/>
      <c r="G234" s="1721"/>
      <c r="H234" s="2696"/>
      <c r="I234" s="544"/>
      <c r="J234" s="1495"/>
      <c r="K234" s="1037"/>
      <c r="L234" s="853"/>
      <c r="M234" s="853"/>
      <c r="N234" s="1496"/>
      <c r="O234" s="1496"/>
      <c r="P234" s="1496"/>
      <c r="Q234" s="1496"/>
      <c r="R234" s="1496"/>
      <c r="S234" s="1496"/>
      <c r="T234" s="1496"/>
      <c r="U234" s="1496"/>
      <c r="V234" s="1037"/>
      <c r="W234" s="3898"/>
      <c r="X234" s="3898"/>
      <c r="Y234" s="3970"/>
      <c r="Z234" s="3898"/>
      <c r="AA234" s="1925"/>
      <c r="AB234" s="3933"/>
      <c r="AC234" s="1037"/>
      <c r="AD234" s="3933"/>
      <c r="AE234" s="3839"/>
      <c r="AF234" s="3839"/>
      <c r="AG234" s="3839"/>
      <c r="AH234" s="2328"/>
      <c r="AI234" s="3907"/>
      <c r="AJ234" s="3932"/>
      <c r="AK234" s="1037"/>
      <c r="AL234" s="3907"/>
      <c r="AM234" s="3907"/>
      <c r="AN234" s="3907"/>
      <c r="AO234" s="1037"/>
      <c r="AP234" s="3875"/>
      <c r="AQ234" s="3875"/>
      <c r="AR234" s="3875"/>
      <c r="AS234" s="3875"/>
      <c r="AT234" s="3875"/>
      <c r="AU234" s="3875"/>
      <c r="AV234" s="3875"/>
      <c r="AW234" s="3875"/>
      <c r="AX234" s="3875"/>
      <c r="AY234" s="3875"/>
      <c r="AZ234" s="3886"/>
      <c r="BA234" s="1037"/>
      <c r="BB234" s="3875"/>
      <c r="BC234" s="3875"/>
      <c r="BD234" s="3875"/>
      <c r="BE234" s="3875"/>
      <c r="BF234" s="3875"/>
      <c r="BG234" s="3875"/>
      <c r="BH234" s="3875"/>
      <c r="BI234" s="3875"/>
      <c r="BJ234" s="3875"/>
      <c r="BK234" s="3875"/>
      <c r="BL234" s="3875"/>
      <c r="BM234" s="3875"/>
      <c r="BN234" s="3886"/>
      <c r="BO234" s="1037"/>
      <c r="BP234" s="3875"/>
      <c r="BQ234" s="3875"/>
      <c r="BR234" s="3875"/>
      <c r="BS234" s="3875"/>
      <c r="BT234" s="3875"/>
      <c r="BU234" s="3875"/>
      <c r="BV234" s="3875"/>
      <c r="BW234" s="3875"/>
      <c r="BX234" s="3875"/>
      <c r="BY234" s="3788"/>
      <c r="BZ234" s="3875"/>
      <c r="CA234" s="3875"/>
      <c r="CB234" s="3886"/>
      <c r="CC234" s="1037"/>
      <c r="CD234" s="3875"/>
      <c r="CE234" s="3788"/>
      <c r="CF234" s="3875"/>
      <c r="CG234" s="3875"/>
      <c r="CH234" s="3875"/>
      <c r="CI234" s="3788"/>
      <c r="CJ234" s="3875"/>
      <c r="CK234" s="3875"/>
      <c r="CL234" s="3875"/>
      <c r="CM234" s="3788"/>
      <c r="CN234" s="3875"/>
      <c r="CO234" s="3875"/>
      <c r="CP234" s="3886"/>
      <c r="CQ234" s="1037"/>
      <c r="CR234" s="3875"/>
      <c r="CS234" s="3875"/>
      <c r="CT234" s="3875"/>
      <c r="CU234" s="3875"/>
      <c r="CV234" s="3875"/>
      <c r="CW234" s="3875"/>
      <c r="CX234" s="3875"/>
      <c r="CY234" s="3875"/>
      <c r="CZ234" s="3875"/>
      <c r="DA234" s="3875"/>
      <c r="DB234" s="3875"/>
      <c r="DC234" s="3875"/>
      <c r="DD234" s="3886"/>
      <c r="DE234" s="1037"/>
      <c r="DF234" s="3875"/>
      <c r="DG234" s="3875"/>
      <c r="DH234" s="3875"/>
      <c r="DI234" s="4018"/>
      <c r="DJ234" s="4040"/>
      <c r="DL234" s="3180"/>
      <c r="DN234" s="2716"/>
      <c r="DO234" s="2740"/>
      <c r="DP234" s="3894"/>
      <c r="DQ234" s="3894"/>
      <c r="DR234" s="3894"/>
      <c r="DS234" s="1037"/>
      <c r="DT234" s="1037"/>
    </row>
    <row r="235" spans="2:124" ht="15" hidden="1" outlineLevel="5">
      <c r="B235" s="3933"/>
      <c r="C235" s="1479"/>
      <c r="D235" s="2948"/>
      <c r="E235" s="2884"/>
      <c r="F235" s="2973"/>
      <c r="G235" s="108"/>
      <c r="H235" s="2699"/>
      <c r="I235" s="533"/>
      <c r="J235" s="103"/>
      <c r="L235" s="364"/>
      <c r="M235" s="364"/>
      <c r="N235" s="365"/>
      <c r="O235" s="365"/>
      <c r="P235" s="365"/>
      <c r="Q235" s="365"/>
      <c r="R235" s="365"/>
      <c r="S235" s="365"/>
      <c r="T235" s="365"/>
      <c r="U235" s="365"/>
      <c r="W235" s="3898"/>
      <c r="X235" s="3898"/>
      <c r="Y235" s="3970"/>
      <c r="Z235" s="3898"/>
      <c r="AA235" s="1190"/>
      <c r="AB235" s="3933"/>
      <c r="AD235" s="3933"/>
      <c r="AE235" s="3839"/>
      <c r="AF235" s="3839"/>
      <c r="AG235" s="3839"/>
      <c r="AH235" s="2328"/>
      <c r="AI235" s="3907"/>
      <c r="AJ235" s="3933"/>
      <c r="AL235" s="3907"/>
      <c r="AM235" s="3907"/>
      <c r="AN235" s="3907"/>
      <c r="AP235" s="3875"/>
      <c r="AQ235" s="3875"/>
      <c r="AR235" s="3875"/>
      <c r="AS235" s="3875"/>
      <c r="AT235" s="3875"/>
      <c r="AU235" s="3875"/>
      <c r="AV235" s="3875"/>
      <c r="AW235" s="3875"/>
      <c r="AX235" s="3875"/>
      <c r="AY235" s="3875"/>
      <c r="AZ235" s="3886"/>
      <c r="BB235" s="3875"/>
      <c r="BC235" s="3875"/>
      <c r="BD235" s="3875"/>
      <c r="BE235" s="3875"/>
      <c r="BF235" s="3875"/>
      <c r="BG235" s="3875"/>
      <c r="BH235" s="3875"/>
      <c r="BI235" s="3875"/>
      <c r="BJ235" s="3875"/>
      <c r="BK235" s="3875"/>
      <c r="BL235" s="3875"/>
      <c r="BM235" s="3875"/>
      <c r="BN235" s="3886"/>
      <c r="BP235" s="3875"/>
      <c r="BQ235" s="3875"/>
      <c r="BR235" s="3875"/>
      <c r="BS235" s="3875"/>
      <c r="BT235" s="3875"/>
      <c r="BU235" s="3875"/>
      <c r="BV235" s="3875"/>
      <c r="BW235" s="3875"/>
      <c r="BX235" s="3875"/>
      <c r="BY235" s="3788"/>
      <c r="BZ235" s="3875"/>
      <c r="CA235" s="3875"/>
      <c r="CB235" s="3886"/>
      <c r="CD235" s="3875"/>
      <c r="CE235" s="3788"/>
      <c r="CF235" s="3875"/>
      <c r="CG235" s="3875"/>
      <c r="CH235" s="3875"/>
      <c r="CI235" s="3788"/>
      <c r="CJ235" s="3875"/>
      <c r="CK235" s="3875"/>
      <c r="CL235" s="3875"/>
      <c r="CM235" s="3788"/>
      <c r="CN235" s="3875"/>
      <c r="CO235" s="3875"/>
      <c r="CP235" s="3886"/>
      <c r="CR235" s="3875"/>
      <c r="CS235" s="3875"/>
      <c r="CT235" s="3875"/>
      <c r="CU235" s="3875"/>
      <c r="CV235" s="3875"/>
      <c r="CW235" s="3875"/>
      <c r="CX235" s="3875"/>
      <c r="CY235" s="3875"/>
      <c r="CZ235" s="3875"/>
      <c r="DA235" s="3875"/>
      <c r="DB235" s="3875"/>
      <c r="DC235" s="3875"/>
      <c r="DD235" s="3886"/>
      <c r="DF235" s="3875"/>
      <c r="DG235" s="3875"/>
      <c r="DH235" s="3875"/>
      <c r="DI235" s="4018"/>
      <c r="DJ235" s="4040"/>
      <c r="DL235" s="3180"/>
      <c r="DN235" s="2716" t="s">
        <v>1283</v>
      </c>
      <c r="DO235" s="2740" t="s">
        <v>1284</v>
      </c>
      <c r="DP235" s="3894"/>
      <c r="DQ235" s="3894"/>
      <c r="DR235" s="3894" t="str">
        <f t="shared" si="387"/>
        <v/>
      </c>
      <c r="DS235" s="1037"/>
      <c r="DT235" s="1037"/>
    </row>
    <row r="236" spans="2:124" ht="15" hidden="1" outlineLevel="5">
      <c r="B236" s="3933"/>
      <c r="C236" s="1479"/>
      <c r="D236" s="2948"/>
      <c r="E236" s="2654"/>
      <c r="F236" s="2948"/>
      <c r="G236" s="702"/>
      <c r="H236" s="2687"/>
      <c r="I236" s="533"/>
      <c r="J236" s="103"/>
      <c r="L236" s="364"/>
      <c r="M236" s="364"/>
      <c r="N236" s="365"/>
      <c r="O236" s="365"/>
      <c r="P236" s="365"/>
      <c r="Q236" s="365"/>
      <c r="R236" s="365"/>
      <c r="S236" s="365"/>
      <c r="T236" s="365"/>
      <c r="U236" s="365"/>
      <c r="W236" s="3898"/>
      <c r="X236" s="3898"/>
      <c r="Y236" s="3970"/>
      <c r="Z236" s="3898"/>
      <c r="AA236" s="1190"/>
      <c r="AB236" s="3933"/>
      <c r="AD236" s="3933"/>
      <c r="AE236" s="3839"/>
      <c r="AF236" s="3839"/>
      <c r="AG236" s="3839"/>
      <c r="AH236" s="2328"/>
      <c r="AI236" s="3907"/>
      <c r="AJ236" s="3933"/>
      <c r="AL236" s="3907"/>
      <c r="AM236" s="3907"/>
      <c r="AN236" s="3907"/>
      <c r="AP236" s="3875"/>
      <c r="AQ236" s="3875"/>
      <c r="AR236" s="3875"/>
      <c r="AS236" s="3875"/>
      <c r="AT236" s="3875"/>
      <c r="AU236" s="3875"/>
      <c r="AV236" s="3875"/>
      <c r="AW236" s="3875"/>
      <c r="AX236" s="3875"/>
      <c r="AY236" s="3875"/>
      <c r="AZ236" s="3886"/>
      <c r="BB236" s="3875"/>
      <c r="BC236" s="3875"/>
      <c r="BD236" s="3875"/>
      <c r="BE236" s="3875"/>
      <c r="BF236" s="3875"/>
      <c r="BG236" s="3875"/>
      <c r="BH236" s="3875"/>
      <c r="BI236" s="3875"/>
      <c r="BJ236" s="3875"/>
      <c r="BK236" s="3875"/>
      <c r="BL236" s="3875"/>
      <c r="BM236" s="3875"/>
      <c r="BN236" s="3886"/>
      <c r="BP236" s="3875"/>
      <c r="BQ236" s="3875"/>
      <c r="BR236" s="3875"/>
      <c r="BS236" s="3875"/>
      <c r="BT236" s="3875"/>
      <c r="BU236" s="3875"/>
      <c r="BV236" s="3875"/>
      <c r="BW236" s="3875"/>
      <c r="BX236" s="3875"/>
      <c r="BY236" s="3788"/>
      <c r="BZ236" s="3875"/>
      <c r="CA236" s="3875"/>
      <c r="CB236" s="3886"/>
      <c r="CD236" s="3875"/>
      <c r="CE236" s="3788"/>
      <c r="CF236" s="3875"/>
      <c r="CG236" s="3875"/>
      <c r="CH236" s="3875"/>
      <c r="CI236" s="3788"/>
      <c r="CJ236" s="3875"/>
      <c r="CK236" s="3875"/>
      <c r="CL236" s="3875"/>
      <c r="CM236" s="3788"/>
      <c r="CN236" s="3875"/>
      <c r="CO236" s="3875"/>
      <c r="CP236" s="3886"/>
      <c r="CR236" s="3875"/>
      <c r="CS236" s="3875"/>
      <c r="CT236" s="3875"/>
      <c r="CU236" s="3875"/>
      <c r="CV236" s="3875"/>
      <c r="CW236" s="3875"/>
      <c r="CX236" s="3875"/>
      <c r="CY236" s="3875"/>
      <c r="CZ236" s="3875"/>
      <c r="DA236" s="3875"/>
      <c r="DB236" s="3875"/>
      <c r="DC236" s="3875"/>
      <c r="DD236" s="3886"/>
      <c r="DF236" s="3875"/>
      <c r="DG236" s="3875"/>
      <c r="DH236" s="3875"/>
      <c r="DI236" s="4018"/>
      <c r="DJ236" s="4040"/>
      <c r="DL236" s="3180"/>
      <c r="DN236" s="2716" t="s">
        <v>1283</v>
      </c>
      <c r="DO236" s="2740" t="s">
        <v>1284</v>
      </c>
      <c r="DP236" s="3894"/>
      <c r="DQ236" s="3894"/>
      <c r="DR236" s="3894" t="str">
        <f t="shared" si="387"/>
        <v/>
      </c>
      <c r="DS236" s="1037"/>
      <c r="DT236" s="1037"/>
    </row>
    <row r="237" spans="2:124" ht="15" hidden="1" outlineLevel="5">
      <c r="B237" s="3933"/>
      <c r="C237" s="1479"/>
      <c r="D237" s="2948"/>
      <c r="E237" s="2654"/>
      <c r="F237" s="2948"/>
      <c r="G237" s="702"/>
      <c r="H237" s="2687"/>
      <c r="I237" s="533"/>
      <c r="J237" s="103"/>
      <c r="L237" s="364"/>
      <c r="M237" s="364"/>
      <c r="N237" s="365"/>
      <c r="O237" s="365"/>
      <c r="P237" s="365"/>
      <c r="Q237" s="365"/>
      <c r="R237" s="365"/>
      <c r="S237" s="365"/>
      <c r="T237" s="365"/>
      <c r="U237" s="365"/>
      <c r="W237" s="3898"/>
      <c r="X237" s="3898"/>
      <c r="Y237" s="3970"/>
      <c r="Z237" s="3898"/>
      <c r="AA237" s="1190"/>
      <c r="AB237" s="3933"/>
      <c r="AD237" s="3933"/>
      <c r="AE237" s="3839"/>
      <c r="AF237" s="3839"/>
      <c r="AG237" s="3839"/>
      <c r="AH237" s="2328"/>
      <c r="AI237" s="3907"/>
      <c r="AJ237" s="3933"/>
      <c r="AL237" s="3907"/>
      <c r="AM237" s="3907"/>
      <c r="AN237" s="3907"/>
      <c r="AP237" s="3875"/>
      <c r="AQ237" s="3875"/>
      <c r="AR237" s="3875"/>
      <c r="AS237" s="3875"/>
      <c r="AT237" s="3875"/>
      <c r="AU237" s="3875"/>
      <c r="AV237" s="3875"/>
      <c r="AW237" s="3875"/>
      <c r="AX237" s="3875"/>
      <c r="AY237" s="3875"/>
      <c r="AZ237" s="3886"/>
      <c r="BB237" s="3875"/>
      <c r="BC237" s="3875"/>
      <c r="BD237" s="3875"/>
      <c r="BE237" s="3875"/>
      <c r="BF237" s="3875"/>
      <c r="BG237" s="3875"/>
      <c r="BH237" s="3875"/>
      <c r="BI237" s="3875"/>
      <c r="BJ237" s="3875"/>
      <c r="BK237" s="3875"/>
      <c r="BL237" s="3875"/>
      <c r="BM237" s="3875"/>
      <c r="BN237" s="3886"/>
      <c r="BP237" s="3875"/>
      <c r="BQ237" s="3875"/>
      <c r="BR237" s="3875"/>
      <c r="BS237" s="3875"/>
      <c r="BT237" s="3875"/>
      <c r="BU237" s="3875"/>
      <c r="BV237" s="3875"/>
      <c r="BW237" s="3875"/>
      <c r="BX237" s="3875"/>
      <c r="BY237" s="3788"/>
      <c r="BZ237" s="3875"/>
      <c r="CA237" s="3875"/>
      <c r="CB237" s="3886"/>
      <c r="CD237" s="3875"/>
      <c r="CE237" s="3788"/>
      <c r="CF237" s="3875"/>
      <c r="CG237" s="3875"/>
      <c r="CH237" s="3875"/>
      <c r="CI237" s="3788"/>
      <c r="CJ237" s="3875"/>
      <c r="CK237" s="3875"/>
      <c r="CL237" s="3875"/>
      <c r="CM237" s="3788"/>
      <c r="CN237" s="3875"/>
      <c r="CO237" s="3875"/>
      <c r="CP237" s="3886"/>
      <c r="CR237" s="3875"/>
      <c r="CS237" s="3875"/>
      <c r="CT237" s="3875"/>
      <c r="CU237" s="3875"/>
      <c r="CV237" s="3875"/>
      <c r="CW237" s="3875"/>
      <c r="CX237" s="3875"/>
      <c r="CY237" s="3875"/>
      <c r="CZ237" s="3875"/>
      <c r="DA237" s="3875"/>
      <c r="DB237" s="3875"/>
      <c r="DC237" s="3875"/>
      <c r="DD237" s="3886"/>
      <c r="DF237" s="3875"/>
      <c r="DG237" s="3875"/>
      <c r="DH237" s="3875"/>
      <c r="DI237" s="4018"/>
      <c r="DJ237" s="4040"/>
      <c r="DL237" s="3180"/>
      <c r="DN237" s="2716" t="s">
        <v>1283</v>
      </c>
      <c r="DO237" s="2740" t="s">
        <v>1284</v>
      </c>
      <c r="DP237" s="3894"/>
      <c r="DQ237" s="3894"/>
      <c r="DR237" s="3894" t="str">
        <f t="shared" si="387"/>
        <v/>
      </c>
      <c r="DS237" s="1037"/>
      <c r="DT237" s="1037"/>
    </row>
    <row r="238" spans="2:124" ht="15" hidden="1" outlineLevel="5">
      <c r="B238" s="3933"/>
      <c r="C238" s="1479"/>
      <c r="D238" s="2948"/>
      <c r="E238" s="2654"/>
      <c r="F238" s="2948"/>
      <c r="G238" s="702"/>
      <c r="H238" s="2699"/>
      <c r="I238" s="533"/>
      <c r="J238" s="103"/>
      <c r="L238" s="364"/>
      <c r="M238" s="364"/>
      <c r="N238" s="365"/>
      <c r="O238" s="365"/>
      <c r="P238" s="365"/>
      <c r="Q238" s="365"/>
      <c r="R238" s="365"/>
      <c r="S238" s="365"/>
      <c r="T238" s="365"/>
      <c r="U238" s="365"/>
      <c r="W238" s="3898"/>
      <c r="X238" s="3898"/>
      <c r="Y238" s="3970"/>
      <c r="Z238" s="3898"/>
      <c r="AA238" s="1190"/>
      <c r="AB238" s="3933"/>
      <c r="AD238" s="3933"/>
      <c r="AE238" s="3839"/>
      <c r="AF238" s="3839"/>
      <c r="AG238" s="3839"/>
      <c r="AH238" s="2328"/>
      <c r="AI238" s="3907"/>
      <c r="AJ238" s="3933"/>
      <c r="AL238" s="3907"/>
      <c r="AM238" s="3907"/>
      <c r="AN238" s="3907"/>
      <c r="AP238" s="3875"/>
      <c r="AQ238" s="3875"/>
      <c r="AR238" s="3875"/>
      <c r="AS238" s="3875"/>
      <c r="AT238" s="3875"/>
      <c r="AU238" s="3875"/>
      <c r="AV238" s="3875"/>
      <c r="AW238" s="3875"/>
      <c r="AX238" s="3875"/>
      <c r="AY238" s="3875"/>
      <c r="AZ238" s="3886"/>
      <c r="BB238" s="3875"/>
      <c r="BC238" s="3875"/>
      <c r="BD238" s="3875"/>
      <c r="BE238" s="3875"/>
      <c r="BF238" s="3875"/>
      <c r="BG238" s="3875"/>
      <c r="BH238" s="3875"/>
      <c r="BI238" s="3875"/>
      <c r="BJ238" s="3875"/>
      <c r="BK238" s="3875"/>
      <c r="BL238" s="3875"/>
      <c r="BM238" s="3875"/>
      <c r="BN238" s="3886"/>
      <c r="BP238" s="3875"/>
      <c r="BQ238" s="3875"/>
      <c r="BR238" s="3875"/>
      <c r="BS238" s="3875"/>
      <c r="BT238" s="3875"/>
      <c r="BU238" s="3875"/>
      <c r="BV238" s="3875"/>
      <c r="BW238" s="3875"/>
      <c r="BX238" s="3875"/>
      <c r="BY238" s="3788"/>
      <c r="BZ238" s="3875"/>
      <c r="CA238" s="3875"/>
      <c r="CB238" s="3886"/>
      <c r="CD238" s="3875"/>
      <c r="CE238" s="3788"/>
      <c r="CF238" s="3875"/>
      <c r="CG238" s="3875"/>
      <c r="CH238" s="3875"/>
      <c r="CI238" s="3788"/>
      <c r="CJ238" s="3875"/>
      <c r="CK238" s="3875"/>
      <c r="CL238" s="3875"/>
      <c r="CM238" s="3788"/>
      <c r="CN238" s="3875"/>
      <c r="CO238" s="3875"/>
      <c r="CP238" s="3886"/>
      <c r="CR238" s="3875"/>
      <c r="CS238" s="3875"/>
      <c r="CT238" s="3875"/>
      <c r="CU238" s="3875"/>
      <c r="CV238" s="3875"/>
      <c r="CW238" s="3875"/>
      <c r="CX238" s="3875"/>
      <c r="CY238" s="3875"/>
      <c r="CZ238" s="3875"/>
      <c r="DA238" s="3875"/>
      <c r="DB238" s="3875"/>
      <c r="DC238" s="3875"/>
      <c r="DD238" s="3886"/>
      <c r="DF238" s="3875"/>
      <c r="DG238" s="3875"/>
      <c r="DH238" s="3875"/>
      <c r="DI238" s="4018"/>
      <c r="DJ238" s="4040"/>
      <c r="DL238" s="3180"/>
      <c r="DN238" s="2716" t="s">
        <v>1283</v>
      </c>
      <c r="DO238" s="2740" t="s">
        <v>1284</v>
      </c>
      <c r="DP238" s="3894"/>
      <c r="DQ238" s="3894"/>
      <c r="DR238" s="3894" t="str">
        <f t="shared" si="387"/>
        <v/>
      </c>
      <c r="DS238" s="1037"/>
      <c r="DT238" s="1037"/>
    </row>
    <row r="239" spans="2:124" s="153" customFormat="1" hidden="1" outlineLevel="5">
      <c r="B239" s="3933"/>
      <c r="C239" s="1479"/>
      <c r="D239" s="2946"/>
      <c r="E239" s="159"/>
      <c r="F239" s="2946"/>
      <c r="G239" s="1721"/>
      <c r="H239" s="2696"/>
      <c r="I239" s="544"/>
      <c r="J239" s="1495"/>
      <c r="K239" s="1037"/>
      <c r="L239" s="853"/>
      <c r="M239" s="853"/>
      <c r="N239" s="1496"/>
      <c r="O239" s="1496"/>
      <c r="P239" s="1496"/>
      <c r="Q239" s="1496"/>
      <c r="R239" s="1496"/>
      <c r="S239" s="1496"/>
      <c r="T239" s="1496"/>
      <c r="U239" s="1496"/>
      <c r="V239" s="1037"/>
      <c r="W239" s="3898"/>
      <c r="X239" s="3898"/>
      <c r="Y239" s="3970"/>
      <c r="Z239" s="3898"/>
      <c r="AA239" s="1925"/>
      <c r="AB239" s="3933"/>
      <c r="AC239" s="1037"/>
      <c r="AD239" s="3933"/>
      <c r="AE239" s="3839"/>
      <c r="AF239" s="3839"/>
      <c r="AG239" s="3839"/>
      <c r="AH239" s="2328"/>
      <c r="AI239" s="3907"/>
      <c r="AJ239" s="3933"/>
      <c r="AK239" s="1037"/>
      <c r="AL239" s="3907"/>
      <c r="AM239" s="3907"/>
      <c r="AN239" s="3907"/>
      <c r="AO239" s="1037"/>
      <c r="AP239" s="3875"/>
      <c r="AQ239" s="3875"/>
      <c r="AR239" s="3875"/>
      <c r="AS239" s="3875"/>
      <c r="AT239" s="3875"/>
      <c r="AU239" s="3875"/>
      <c r="AV239" s="3875"/>
      <c r="AW239" s="3875"/>
      <c r="AX239" s="3875"/>
      <c r="AY239" s="3875"/>
      <c r="AZ239" s="3886"/>
      <c r="BA239" s="1037"/>
      <c r="BB239" s="3875"/>
      <c r="BC239" s="3875"/>
      <c r="BD239" s="3875"/>
      <c r="BE239" s="3875"/>
      <c r="BF239" s="3875"/>
      <c r="BG239" s="3875"/>
      <c r="BH239" s="3875"/>
      <c r="BI239" s="3875"/>
      <c r="BJ239" s="3875"/>
      <c r="BK239" s="3875"/>
      <c r="BL239" s="3875"/>
      <c r="BM239" s="3875"/>
      <c r="BN239" s="3886"/>
      <c r="BO239" s="1037"/>
      <c r="BP239" s="3875"/>
      <c r="BQ239" s="3875"/>
      <c r="BR239" s="3875"/>
      <c r="BS239" s="3875"/>
      <c r="BT239" s="3875"/>
      <c r="BU239" s="3875"/>
      <c r="BV239" s="3875"/>
      <c r="BW239" s="3875"/>
      <c r="BX239" s="3875"/>
      <c r="BY239" s="3788"/>
      <c r="BZ239" s="3875"/>
      <c r="CA239" s="3875"/>
      <c r="CB239" s="3886"/>
      <c r="CC239" s="1037"/>
      <c r="CD239" s="3875"/>
      <c r="CE239" s="3788"/>
      <c r="CF239" s="3875"/>
      <c r="CG239" s="3875"/>
      <c r="CH239" s="3875"/>
      <c r="CI239" s="3788"/>
      <c r="CJ239" s="3875"/>
      <c r="CK239" s="3875"/>
      <c r="CL239" s="3875"/>
      <c r="CM239" s="3788"/>
      <c r="CN239" s="3875"/>
      <c r="CO239" s="3875"/>
      <c r="CP239" s="3886"/>
      <c r="CQ239" s="1037"/>
      <c r="CR239" s="3875"/>
      <c r="CS239" s="3875"/>
      <c r="CT239" s="3875"/>
      <c r="CU239" s="3875"/>
      <c r="CV239" s="3875"/>
      <c r="CW239" s="3875"/>
      <c r="CX239" s="3875"/>
      <c r="CY239" s="3875"/>
      <c r="CZ239" s="3875"/>
      <c r="DA239" s="3875"/>
      <c r="DB239" s="3875"/>
      <c r="DC239" s="3875"/>
      <c r="DD239" s="3886"/>
      <c r="DE239" s="1037"/>
      <c r="DF239" s="3875"/>
      <c r="DG239" s="3875"/>
      <c r="DH239" s="3875"/>
      <c r="DI239" s="4018"/>
      <c r="DJ239" s="4040"/>
      <c r="DL239" s="3180"/>
      <c r="DN239" s="2716"/>
      <c r="DO239" s="2740"/>
      <c r="DP239" s="3894"/>
      <c r="DQ239" s="3894"/>
      <c r="DR239" s="3894"/>
      <c r="DS239" s="1037"/>
      <c r="DT239" s="1037"/>
    </row>
    <row r="240" spans="2:124" ht="15" hidden="1" outlineLevel="5">
      <c r="B240" s="3933"/>
      <c r="C240" s="1479"/>
      <c r="D240" s="2948"/>
      <c r="E240" s="2654"/>
      <c r="F240" s="2948"/>
      <c r="G240" s="702"/>
      <c r="H240" s="2687"/>
      <c r="I240" s="880"/>
      <c r="J240" s="103"/>
      <c r="L240" s="364"/>
      <c r="M240" s="364"/>
      <c r="N240" s="365"/>
      <c r="O240" s="365"/>
      <c r="P240" s="365"/>
      <c r="Q240" s="365"/>
      <c r="R240" s="365"/>
      <c r="S240" s="365"/>
      <c r="T240" s="365"/>
      <c r="U240" s="365"/>
      <c r="W240" s="3898"/>
      <c r="X240" s="3898"/>
      <c r="Y240" s="3970"/>
      <c r="Z240" s="3898"/>
      <c r="AA240" s="1190"/>
      <c r="AB240" s="3933"/>
      <c r="AD240" s="3933"/>
      <c r="AE240" s="3839"/>
      <c r="AF240" s="3839"/>
      <c r="AG240" s="3839"/>
      <c r="AH240" s="2328"/>
      <c r="AI240" s="3907"/>
      <c r="AJ240" s="3933"/>
      <c r="AL240" s="3907"/>
      <c r="AM240" s="3907"/>
      <c r="AN240" s="3907"/>
      <c r="AP240" s="3875"/>
      <c r="AQ240" s="3875"/>
      <c r="AR240" s="3875"/>
      <c r="AS240" s="3875"/>
      <c r="AT240" s="3875"/>
      <c r="AU240" s="3875"/>
      <c r="AV240" s="3875"/>
      <c r="AW240" s="3875"/>
      <c r="AX240" s="3875"/>
      <c r="AY240" s="3875"/>
      <c r="AZ240" s="3886"/>
      <c r="BB240" s="3875"/>
      <c r="BC240" s="3875"/>
      <c r="BD240" s="3875"/>
      <c r="BE240" s="3875"/>
      <c r="BF240" s="3875"/>
      <c r="BG240" s="3875"/>
      <c r="BH240" s="3875"/>
      <c r="BI240" s="3875"/>
      <c r="BJ240" s="3875"/>
      <c r="BK240" s="3875"/>
      <c r="BL240" s="3875"/>
      <c r="BM240" s="3875"/>
      <c r="BN240" s="3886"/>
      <c r="BP240" s="3875"/>
      <c r="BQ240" s="3875"/>
      <c r="BR240" s="3875"/>
      <c r="BS240" s="3875"/>
      <c r="BT240" s="3875"/>
      <c r="BU240" s="3875"/>
      <c r="BV240" s="3875"/>
      <c r="BW240" s="3875"/>
      <c r="BX240" s="3875"/>
      <c r="BY240" s="3788"/>
      <c r="BZ240" s="3875"/>
      <c r="CA240" s="3875"/>
      <c r="CB240" s="3886"/>
      <c r="CD240" s="3875"/>
      <c r="CE240" s="3788"/>
      <c r="CF240" s="3875"/>
      <c r="CG240" s="3875"/>
      <c r="CH240" s="3875"/>
      <c r="CI240" s="3788"/>
      <c r="CJ240" s="3875"/>
      <c r="CK240" s="3875"/>
      <c r="CL240" s="3875"/>
      <c r="CM240" s="3788"/>
      <c r="CN240" s="3875"/>
      <c r="CO240" s="3875"/>
      <c r="CP240" s="3886"/>
      <c r="CR240" s="3875"/>
      <c r="CS240" s="3875"/>
      <c r="CT240" s="3875"/>
      <c r="CU240" s="3875"/>
      <c r="CV240" s="3875"/>
      <c r="CW240" s="3875"/>
      <c r="CX240" s="3875"/>
      <c r="CY240" s="3875"/>
      <c r="CZ240" s="3875"/>
      <c r="DA240" s="3875"/>
      <c r="DB240" s="3875"/>
      <c r="DC240" s="3875"/>
      <c r="DD240" s="3886"/>
      <c r="DF240" s="3875"/>
      <c r="DG240" s="3875"/>
      <c r="DH240" s="3875"/>
      <c r="DI240" s="4018"/>
      <c r="DJ240" s="4040"/>
      <c r="DL240" s="3180"/>
      <c r="DN240" s="2716" t="s">
        <v>1283</v>
      </c>
      <c r="DO240" s="2740" t="s">
        <v>1284</v>
      </c>
      <c r="DP240" s="3894"/>
      <c r="DQ240" s="3894"/>
      <c r="DR240" s="3894" t="str">
        <f t="shared" si="387"/>
        <v/>
      </c>
      <c r="DS240" s="1037"/>
      <c r="DT240" s="1037"/>
    </row>
    <row r="241" spans="2:124" ht="15" hidden="1" outlineLevel="5">
      <c r="B241" s="3934"/>
      <c r="C241" s="765"/>
      <c r="D241" s="2948"/>
      <c r="E241" s="2654"/>
      <c r="F241" s="2948"/>
      <c r="G241" s="702"/>
      <c r="H241" s="2700"/>
      <c r="I241" s="149"/>
      <c r="J241" s="103"/>
      <c r="L241" s="364"/>
      <c r="M241" s="364"/>
      <c r="N241" s="365"/>
      <c r="O241" s="365"/>
      <c r="P241" s="365"/>
      <c r="Q241" s="365"/>
      <c r="R241" s="365"/>
      <c r="S241" s="365"/>
      <c r="T241" s="365"/>
      <c r="U241" s="365"/>
      <c r="W241" s="3899"/>
      <c r="X241" s="3899"/>
      <c r="Y241" s="3971"/>
      <c r="Z241" s="3899"/>
      <c r="AA241" s="951"/>
      <c r="AB241" s="3934"/>
      <c r="AD241" s="3934"/>
      <c r="AE241" s="3840"/>
      <c r="AF241" s="3840"/>
      <c r="AG241" s="3840"/>
      <c r="AH241" s="2329"/>
      <c r="AI241" s="3908"/>
      <c r="AJ241" s="3934"/>
      <c r="AL241" s="3908"/>
      <c r="AM241" s="3908"/>
      <c r="AN241" s="3908"/>
      <c r="AP241" s="3876"/>
      <c r="AQ241" s="3876"/>
      <c r="AR241" s="3876"/>
      <c r="AS241" s="3876"/>
      <c r="AT241" s="3876"/>
      <c r="AU241" s="3876"/>
      <c r="AV241" s="3876"/>
      <c r="AW241" s="3876"/>
      <c r="AX241" s="3876"/>
      <c r="AY241" s="3876"/>
      <c r="AZ241" s="3887"/>
      <c r="BB241" s="3876"/>
      <c r="BC241" s="3876"/>
      <c r="BD241" s="3876"/>
      <c r="BE241" s="3876"/>
      <c r="BF241" s="3876"/>
      <c r="BG241" s="3876"/>
      <c r="BH241" s="3876"/>
      <c r="BI241" s="3876"/>
      <c r="BJ241" s="3876"/>
      <c r="BK241" s="3876"/>
      <c r="BL241" s="3876"/>
      <c r="BM241" s="3876"/>
      <c r="BN241" s="3887"/>
      <c r="BP241" s="3876"/>
      <c r="BQ241" s="3876"/>
      <c r="BR241" s="3876"/>
      <c r="BS241" s="3876"/>
      <c r="BT241" s="3876"/>
      <c r="BU241" s="3876"/>
      <c r="BV241" s="3876"/>
      <c r="BW241" s="3876"/>
      <c r="BX241" s="3876"/>
      <c r="BY241" s="3789"/>
      <c r="BZ241" s="3876"/>
      <c r="CA241" s="3876"/>
      <c r="CB241" s="3887"/>
      <c r="CD241" s="3876"/>
      <c r="CE241" s="3789"/>
      <c r="CF241" s="3876"/>
      <c r="CG241" s="3876"/>
      <c r="CH241" s="3876"/>
      <c r="CI241" s="3789"/>
      <c r="CJ241" s="3876"/>
      <c r="CK241" s="3876"/>
      <c r="CL241" s="3876"/>
      <c r="CM241" s="3789"/>
      <c r="CN241" s="3876"/>
      <c r="CO241" s="3876"/>
      <c r="CP241" s="3887"/>
      <c r="CR241" s="3876"/>
      <c r="CS241" s="3876"/>
      <c r="CT241" s="3876"/>
      <c r="CU241" s="3876"/>
      <c r="CV241" s="3876"/>
      <c r="CW241" s="3876"/>
      <c r="CX241" s="3876"/>
      <c r="CY241" s="3876"/>
      <c r="CZ241" s="3876"/>
      <c r="DA241" s="3876"/>
      <c r="DB241" s="3876"/>
      <c r="DC241" s="3876"/>
      <c r="DD241" s="3887"/>
      <c r="DF241" s="3876"/>
      <c r="DG241" s="3876"/>
      <c r="DH241" s="3876"/>
      <c r="DI241" s="4019"/>
      <c r="DJ241" s="4041"/>
      <c r="DL241" s="3180"/>
      <c r="DN241" s="2716" t="s">
        <v>1283</v>
      </c>
      <c r="DO241" s="2740" t="s">
        <v>1284</v>
      </c>
      <c r="DP241" s="3895"/>
      <c r="DQ241" s="3895"/>
      <c r="DR241" s="3895" t="str">
        <f t="shared" si="387"/>
        <v/>
      </c>
      <c r="DS241" s="1037"/>
      <c r="DT241" s="1037"/>
    </row>
    <row r="242" spans="2:124" ht="15" hidden="1" outlineLevel="5">
      <c r="B242" s="711"/>
      <c r="C242" s="182"/>
      <c r="D242" s="2948"/>
      <c r="E242" s="2654"/>
      <c r="F242" s="2948"/>
      <c r="G242" s="702"/>
      <c r="H242" s="2687"/>
      <c r="I242" s="703"/>
      <c r="J242" s="103"/>
      <c r="L242" s="364"/>
      <c r="M242" s="364"/>
      <c r="N242" s="367"/>
      <c r="O242" s="367"/>
      <c r="P242" s="367"/>
      <c r="Q242" s="367"/>
      <c r="R242" s="367"/>
      <c r="S242" s="367"/>
      <c r="T242" s="367"/>
      <c r="U242" s="367"/>
      <c r="W242" s="364"/>
      <c r="X242" s="364"/>
      <c r="Y242" s="364"/>
      <c r="Z242" s="364"/>
      <c r="AA242" s="364"/>
      <c r="AB242" s="1400"/>
      <c r="AD242" s="711"/>
      <c r="AE242" s="712"/>
      <c r="AF242" s="179"/>
      <c r="AG242" s="179"/>
      <c r="AH242" s="1048"/>
      <c r="AI242" s="1048"/>
      <c r="AJ242" s="1530"/>
      <c r="AL242" s="1032"/>
      <c r="AM242" s="1032"/>
      <c r="AN242" s="1041"/>
      <c r="AP242" s="986"/>
      <c r="AQ242" s="986"/>
      <c r="AR242" s="986"/>
      <c r="AS242" s="986"/>
      <c r="AT242" s="986"/>
      <c r="AU242" s="986"/>
      <c r="AV242" s="986"/>
      <c r="AW242" s="986"/>
      <c r="AX242" s="986"/>
      <c r="AY242" s="986"/>
      <c r="AZ242" s="2011"/>
      <c r="BB242" s="986"/>
      <c r="BC242" s="986"/>
      <c r="BD242" s="986"/>
      <c r="BE242" s="986"/>
      <c r="BF242" s="986"/>
      <c r="BG242" s="986"/>
      <c r="BH242" s="986"/>
      <c r="BI242" s="986"/>
      <c r="BJ242" s="986"/>
      <c r="BK242" s="986"/>
      <c r="BL242" s="986"/>
      <c r="BM242" s="986"/>
      <c r="BN242" s="2011"/>
      <c r="BP242" s="986"/>
      <c r="BQ242" s="986"/>
      <c r="BR242" s="986"/>
      <c r="BS242" s="986"/>
      <c r="BT242" s="986"/>
      <c r="BU242" s="986"/>
      <c r="BV242" s="986"/>
      <c r="BW242" s="986"/>
      <c r="BX242" s="986"/>
      <c r="BY242" s="986"/>
      <c r="BZ242" s="986"/>
      <c r="CA242" s="986"/>
      <c r="CB242" s="2011"/>
      <c r="CD242" s="986"/>
      <c r="CE242" s="986"/>
      <c r="CF242" s="986"/>
      <c r="CG242" s="986"/>
      <c r="CH242" s="986"/>
      <c r="CI242" s="986"/>
      <c r="CJ242" s="986"/>
      <c r="CK242" s="986"/>
      <c r="CL242" s="986"/>
      <c r="CM242" s="986"/>
      <c r="CN242" s="986"/>
      <c r="CO242" s="986"/>
      <c r="CP242" s="2014"/>
      <c r="CR242" s="986"/>
      <c r="CS242" s="986"/>
      <c r="CT242" s="986"/>
      <c r="CU242" s="986"/>
      <c r="CV242" s="986"/>
      <c r="CW242" s="986"/>
      <c r="CX242" s="986"/>
      <c r="CY242" s="986"/>
      <c r="CZ242" s="986"/>
      <c r="DA242" s="986"/>
      <c r="DB242" s="986"/>
      <c r="DC242" s="986"/>
      <c r="DD242" s="1498"/>
      <c r="DF242" s="986"/>
      <c r="DG242" s="986"/>
      <c r="DH242" s="986"/>
      <c r="DI242" s="1498"/>
      <c r="DJ242" s="3142"/>
      <c r="DL242" s="3180"/>
      <c r="DN242" s="2716" t="s">
        <v>1283</v>
      </c>
      <c r="DO242" s="2740" t="s">
        <v>1284</v>
      </c>
      <c r="DP242" s="2747" t="s">
        <v>1117</v>
      </c>
      <c r="DQ242" s="2747" t="s">
        <v>5</v>
      </c>
      <c r="DR242" s="2747" t="str">
        <f t="shared" si="387"/>
        <v/>
      </c>
      <c r="DS242" s="1037"/>
      <c r="DT242" s="1037"/>
    </row>
    <row r="243" spans="2:124" ht="15" hidden="1" outlineLevel="5">
      <c r="B243" s="711"/>
      <c r="C243" s="182"/>
      <c r="D243" s="2948"/>
      <c r="E243" s="2654"/>
      <c r="F243" s="2948"/>
      <c r="G243" s="702"/>
      <c r="H243" s="2699"/>
      <c r="I243" s="533"/>
      <c r="J243" s="103"/>
      <c r="L243" s="364"/>
      <c r="M243" s="364"/>
      <c r="N243" s="365"/>
      <c r="O243" s="365"/>
      <c r="P243" s="365"/>
      <c r="Q243" s="365"/>
      <c r="R243" s="365"/>
      <c r="S243" s="365"/>
      <c r="T243" s="365"/>
      <c r="U243" s="365"/>
      <c r="W243" s="364"/>
      <c r="X243" s="364"/>
      <c r="Y243" s="364"/>
      <c r="Z243" s="364"/>
      <c r="AA243" s="364"/>
      <c r="AB243" s="1584"/>
      <c r="AD243" s="711"/>
      <c r="AE243" s="1461"/>
      <c r="AF243" s="1461"/>
      <c r="AG243" s="179"/>
      <c r="AH243" s="1032"/>
      <c r="AI243" s="1032"/>
      <c r="AJ243" s="2885"/>
      <c r="AL243" s="1032"/>
      <c r="AM243" s="1032"/>
      <c r="AN243" s="1041"/>
      <c r="AP243" s="986"/>
      <c r="AQ243" s="986"/>
      <c r="AR243" s="986"/>
      <c r="AS243" s="986"/>
      <c r="AT243" s="986"/>
      <c r="AU243" s="986"/>
      <c r="AV243" s="986"/>
      <c r="AW243" s="986"/>
      <c r="AX243" s="986"/>
      <c r="AY243" s="986"/>
      <c r="AZ243" s="2011"/>
      <c r="BB243" s="986"/>
      <c r="BC243" s="986"/>
      <c r="BD243" s="986"/>
      <c r="BE243" s="986"/>
      <c r="BF243" s="986"/>
      <c r="BG243" s="986"/>
      <c r="BH243" s="986"/>
      <c r="BI243" s="986"/>
      <c r="BJ243" s="986"/>
      <c r="BK243" s="986"/>
      <c r="BL243" s="986"/>
      <c r="BM243" s="986"/>
      <c r="BN243" s="2011"/>
      <c r="BP243" s="986"/>
      <c r="BQ243" s="986"/>
      <c r="BR243" s="986"/>
      <c r="BS243" s="986"/>
      <c r="BT243" s="986"/>
      <c r="BU243" s="986"/>
      <c r="BV243" s="986"/>
      <c r="BW243" s="986"/>
      <c r="BX243" s="986"/>
      <c r="BY243" s="986"/>
      <c r="BZ243" s="986"/>
      <c r="CA243" s="986"/>
      <c r="CB243" s="2011"/>
      <c r="CD243" s="986"/>
      <c r="CE243" s="986"/>
      <c r="CF243" s="986"/>
      <c r="CG243" s="986"/>
      <c r="CH243" s="986"/>
      <c r="CI243" s="986"/>
      <c r="CJ243" s="986"/>
      <c r="CK243" s="986"/>
      <c r="CL243" s="986"/>
      <c r="CM243" s="986"/>
      <c r="CN243" s="986"/>
      <c r="CO243" s="986"/>
      <c r="CP243" s="2014"/>
      <c r="CR243" s="986"/>
      <c r="CS243" s="986"/>
      <c r="CT243" s="986"/>
      <c r="CU243" s="986"/>
      <c r="CV243" s="986"/>
      <c r="CW243" s="986"/>
      <c r="CX243" s="986"/>
      <c r="CY243" s="986"/>
      <c r="CZ243" s="986"/>
      <c r="DA243" s="986"/>
      <c r="DB243" s="986"/>
      <c r="DC243" s="986"/>
      <c r="DD243" s="1498"/>
      <c r="DF243" s="986"/>
      <c r="DG243" s="986"/>
      <c r="DH243" s="986"/>
      <c r="DI243" s="1498"/>
      <c r="DJ243" s="3142"/>
      <c r="DL243" s="3180"/>
      <c r="DN243" s="2716" t="s">
        <v>1283</v>
      </c>
      <c r="DO243" s="2740" t="s">
        <v>1284</v>
      </c>
      <c r="DP243" s="2747" t="s">
        <v>1117</v>
      </c>
      <c r="DQ243" s="2747" t="s">
        <v>5</v>
      </c>
      <c r="DR243" s="2747" t="str">
        <f t="shared" si="387"/>
        <v/>
      </c>
      <c r="DS243" s="1037"/>
      <c r="DT243" s="1037"/>
    </row>
    <row r="244" spans="2:124" hidden="1" outlineLevel="4">
      <c r="B244" s="2886"/>
      <c r="C244" s="2327"/>
      <c r="D244" s="2948"/>
      <c r="E244" s="2654"/>
      <c r="F244" s="2948"/>
      <c r="G244" s="702"/>
      <c r="H244" s="2695"/>
      <c r="I244" s="533"/>
      <c r="J244" s="103"/>
      <c r="L244" s="364"/>
      <c r="M244" s="364"/>
      <c r="N244" s="365"/>
      <c r="O244" s="365"/>
      <c r="P244" s="365"/>
      <c r="Q244" s="365"/>
      <c r="R244" s="365"/>
      <c r="S244" s="365"/>
      <c r="T244" s="365"/>
      <c r="U244" s="365"/>
      <c r="W244" s="364"/>
      <c r="X244" s="364"/>
      <c r="Y244" s="364"/>
      <c r="Z244" s="364"/>
      <c r="AA244" s="364"/>
      <c r="AB244" s="1584"/>
      <c r="AD244" s="2886"/>
      <c r="AE244" s="2327"/>
      <c r="AF244" s="2327"/>
      <c r="AG244" s="2504"/>
      <c r="AH244" s="1404"/>
      <c r="AI244" s="2334"/>
      <c r="AJ244" s="2886"/>
      <c r="AL244" s="1032"/>
      <c r="AM244" s="1032"/>
      <c r="AN244" s="1041"/>
      <c r="AP244" s="986"/>
      <c r="AQ244" s="986"/>
      <c r="AR244" s="986"/>
      <c r="AS244" s="986"/>
      <c r="AT244" s="986"/>
      <c r="AU244" s="986"/>
      <c r="AV244" s="986"/>
      <c r="AW244" s="986"/>
      <c r="AX244" s="986"/>
      <c r="AY244" s="986"/>
      <c r="AZ244" s="2021"/>
      <c r="BB244" s="986"/>
      <c r="BC244" s="986"/>
      <c r="BD244" s="986"/>
      <c r="BE244" s="986"/>
      <c r="BF244" s="986"/>
      <c r="BG244" s="986"/>
      <c r="BH244" s="986"/>
      <c r="BI244" s="986"/>
      <c r="BJ244" s="986"/>
      <c r="BK244" s="986"/>
      <c r="BL244" s="986"/>
      <c r="BM244" s="986"/>
      <c r="BN244" s="2021"/>
      <c r="BP244" s="986"/>
      <c r="BQ244" s="986"/>
      <c r="BR244" s="986"/>
      <c r="BS244" s="986"/>
      <c r="BT244" s="986"/>
      <c r="BU244" s="986"/>
      <c r="BV244" s="986"/>
      <c r="BW244" s="986"/>
      <c r="BX244" s="986"/>
      <c r="BY244" s="986"/>
      <c r="BZ244" s="986"/>
      <c r="CA244" s="986"/>
      <c r="CB244" s="2021"/>
      <c r="CD244" s="986"/>
      <c r="CE244" s="986"/>
      <c r="CF244" s="986"/>
      <c r="CG244" s="986"/>
      <c r="CH244" s="986"/>
      <c r="CI244" s="986"/>
      <c r="CJ244" s="986"/>
      <c r="CK244" s="986"/>
      <c r="CL244" s="986"/>
      <c r="CM244" s="986"/>
      <c r="CN244" s="986"/>
      <c r="CO244" s="986"/>
      <c r="CP244" s="2315"/>
      <c r="CR244" s="986"/>
      <c r="CS244" s="986"/>
      <c r="CT244" s="986"/>
      <c r="CU244" s="986"/>
      <c r="CV244" s="986"/>
      <c r="CW244" s="986"/>
      <c r="CX244" s="986"/>
      <c r="CY244" s="986"/>
      <c r="CZ244" s="986"/>
      <c r="DA244" s="986"/>
      <c r="DB244" s="986"/>
      <c r="DC244" s="986"/>
      <c r="DD244" s="2316"/>
      <c r="DF244" s="986"/>
      <c r="DG244" s="986"/>
      <c r="DH244" s="986"/>
      <c r="DI244" s="2316"/>
      <c r="DJ244" s="3150"/>
      <c r="DL244" s="3180"/>
      <c r="DN244" s="2716"/>
      <c r="DO244" s="2740"/>
      <c r="DP244" s="2747"/>
      <c r="DQ244" s="2747"/>
      <c r="DR244" s="2747"/>
      <c r="DS244" s="1037"/>
      <c r="DT244" s="1037"/>
    </row>
    <row r="245" spans="2:124" hidden="1" outlineLevel="4">
      <c r="B245" s="2886"/>
      <c r="C245" s="2327"/>
      <c r="D245" s="2948"/>
      <c r="E245" s="2654"/>
      <c r="F245" s="2948"/>
      <c r="G245" s="702"/>
      <c r="H245" s="2695"/>
      <c r="I245" s="533"/>
      <c r="J245" s="103"/>
      <c r="L245" s="364"/>
      <c r="M245" s="364"/>
      <c r="N245" s="365"/>
      <c r="O245" s="365"/>
      <c r="P245" s="365"/>
      <c r="Q245" s="365"/>
      <c r="R245" s="365"/>
      <c r="S245" s="365"/>
      <c r="T245" s="365"/>
      <c r="U245" s="365"/>
      <c r="W245" s="364"/>
      <c r="X245" s="364"/>
      <c r="Y245" s="364"/>
      <c r="Z245" s="364"/>
      <c r="AA245" s="364"/>
      <c r="AB245" s="1584"/>
      <c r="AD245" s="2886"/>
      <c r="AE245" s="2327"/>
      <c r="AF245" s="2327"/>
      <c r="AG245" s="2504"/>
      <c r="AH245" s="1404"/>
      <c r="AI245" s="502"/>
      <c r="AJ245" s="2886"/>
      <c r="AL245" s="1032"/>
      <c r="AM245" s="1032"/>
      <c r="AN245" s="1041"/>
      <c r="AP245" s="986"/>
      <c r="AQ245" s="986"/>
      <c r="AR245" s="986"/>
      <c r="AS245" s="986"/>
      <c r="AT245" s="986"/>
      <c r="AU245" s="986"/>
      <c r="AV245" s="986"/>
      <c r="AW245" s="986"/>
      <c r="AX245" s="986"/>
      <c r="AY245" s="986"/>
      <c r="AZ245" s="2021"/>
      <c r="BB245" s="986"/>
      <c r="BC245" s="986"/>
      <c r="BD245" s="986"/>
      <c r="BE245" s="986"/>
      <c r="BF245" s="986"/>
      <c r="BG245" s="986"/>
      <c r="BH245" s="986"/>
      <c r="BI245" s="986"/>
      <c r="BJ245" s="986"/>
      <c r="BK245" s="986"/>
      <c r="BL245" s="986"/>
      <c r="BM245" s="986"/>
      <c r="BN245" s="2021"/>
      <c r="BP245" s="986"/>
      <c r="BQ245" s="986"/>
      <c r="BR245" s="986"/>
      <c r="BS245" s="986"/>
      <c r="BT245" s="986"/>
      <c r="BU245" s="986"/>
      <c r="BV245" s="986"/>
      <c r="BW245" s="986"/>
      <c r="BX245" s="986"/>
      <c r="BY245" s="986"/>
      <c r="BZ245" s="986"/>
      <c r="CA245" s="986"/>
      <c r="CB245" s="2021"/>
      <c r="CD245" s="986"/>
      <c r="CE245" s="986"/>
      <c r="CF245" s="986"/>
      <c r="CG245" s="986"/>
      <c r="CH245" s="986"/>
      <c r="CI245" s="986"/>
      <c r="CJ245" s="986"/>
      <c r="CK245" s="986"/>
      <c r="CL245" s="986"/>
      <c r="CM245" s="986"/>
      <c r="CN245" s="986"/>
      <c r="CO245" s="986"/>
      <c r="CP245" s="2315"/>
      <c r="CR245" s="986"/>
      <c r="CS245" s="986"/>
      <c r="CT245" s="986"/>
      <c r="CU245" s="986"/>
      <c r="CV245" s="986"/>
      <c r="CW245" s="986"/>
      <c r="CX245" s="986"/>
      <c r="CY245" s="986"/>
      <c r="CZ245" s="986"/>
      <c r="DA245" s="986"/>
      <c r="DB245" s="986"/>
      <c r="DC245" s="986"/>
      <c r="DD245" s="2316"/>
      <c r="DF245" s="986"/>
      <c r="DG245" s="986"/>
      <c r="DH245" s="986"/>
      <c r="DI245" s="2316"/>
      <c r="DJ245" s="3150"/>
      <c r="DL245" s="3180"/>
      <c r="DN245" s="2716"/>
      <c r="DO245" s="2740"/>
      <c r="DP245" s="2747"/>
      <c r="DQ245" s="2747"/>
      <c r="DR245" s="2747"/>
      <c r="DS245" s="1037"/>
      <c r="DT245" s="1037"/>
    </row>
    <row r="246" spans="2:124" hidden="1" outlineLevel="3">
      <c r="B246" s="762"/>
      <c r="C246" s="765"/>
      <c r="D246" s="2948"/>
      <c r="E246" s="2654"/>
      <c r="F246" s="2948"/>
      <c r="G246" s="702"/>
      <c r="H246" s="2693"/>
      <c r="I246" s="533"/>
      <c r="J246" s="103"/>
      <c r="L246" s="364"/>
      <c r="M246" s="364"/>
      <c r="N246" s="365"/>
      <c r="O246" s="365"/>
      <c r="P246" s="365"/>
      <c r="Q246" s="365"/>
      <c r="R246" s="365"/>
      <c r="S246" s="365"/>
      <c r="T246" s="365"/>
      <c r="U246" s="365"/>
      <c r="W246" s="364"/>
      <c r="X246" s="364"/>
      <c r="Y246" s="364"/>
      <c r="Z246" s="364"/>
      <c r="AA246" s="364"/>
      <c r="AB246" s="1584"/>
      <c r="AD246" s="762"/>
      <c r="AE246" s="1461"/>
      <c r="AF246" s="1461"/>
      <c r="AG246" s="1482"/>
      <c r="AH246" s="1314"/>
      <c r="AI246" s="1032"/>
      <c r="AJ246" s="2885"/>
      <c r="AL246" s="1032"/>
      <c r="AM246" s="1032"/>
      <c r="AN246" s="1041"/>
      <c r="AP246" s="986"/>
      <c r="AQ246" s="986"/>
      <c r="AR246" s="986"/>
      <c r="AS246" s="986"/>
      <c r="AT246" s="986"/>
      <c r="AU246" s="986"/>
      <c r="AV246" s="986"/>
      <c r="AW246" s="986"/>
      <c r="AX246" s="986"/>
      <c r="AY246" s="986"/>
      <c r="AZ246" s="2021"/>
      <c r="BB246" s="986"/>
      <c r="BC246" s="986"/>
      <c r="BD246" s="986"/>
      <c r="BE246" s="986"/>
      <c r="BF246" s="986"/>
      <c r="BG246" s="986"/>
      <c r="BH246" s="986"/>
      <c r="BI246" s="986"/>
      <c r="BJ246" s="986"/>
      <c r="BK246" s="986"/>
      <c r="BL246" s="986"/>
      <c r="BM246" s="986"/>
      <c r="BN246" s="2021"/>
      <c r="BP246" s="986"/>
      <c r="BQ246" s="986"/>
      <c r="BR246" s="986"/>
      <c r="BS246" s="986"/>
      <c r="BT246" s="986"/>
      <c r="BU246" s="986"/>
      <c r="BV246" s="986"/>
      <c r="BW246" s="986"/>
      <c r="BX246" s="986"/>
      <c r="BY246" s="986"/>
      <c r="BZ246" s="986"/>
      <c r="CA246" s="986"/>
      <c r="CB246" s="2021"/>
      <c r="CD246" s="986"/>
      <c r="CE246" s="986"/>
      <c r="CF246" s="986"/>
      <c r="CG246" s="986"/>
      <c r="CH246" s="986"/>
      <c r="CI246" s="986"/>
      <c r="CJ246" s="986"/>
      <c r="CK246" s="986"/>
      <c r="CL246" s="986"/>
      <c r="CM246" s="986"/>
      <c r="CN246" s="986"/>
      <c r="CO246" s="986"/>
      <c r="CP246" s="2315"/>
      <c r="CR246" s="986"/>
      <c r="CS246" s="986"/>
      <c r="CT246" s="986"/>
      <c r="CU246" s="986"/>
      <c r="CV246" s="986"/>
      <c r="CW246" s="986"/>
      <c r="CX246" s="986"/>
      <c r="CY246" s="986"/>
      <c r="CZ246" s="986"/>
      <c r="DA246" s="986"/>
      <c r="DB246" s="986"/>
      <c r="DC246" s="986"/>
      <c r="DD246" s="2316"/>
      <c r="DF246" s="986"/>
      <c r="DG246" s="986"/>
      <c r="DH246" s="986"/>
      <c r="DI246" s="2316"/>
      <c r="DJ246" s="3150"/>
      <c r="DL246" s="3180"/>
      <c r="DN246" s="2716"/>
      <c r="DO246" s="2740"/>
      <c r="DP246" s="2747"/>
      <c r="DQ246" s="2747"/>
      <c r="DR246" s="2747"/>
      <c r="DS246" s="1037"/>
      <c r="DT246" s="1037"/>
    </row>
    <row r="247" spans="2:124" s="153" customFormat="1" ht="15" hidden="1" outlineLevel="2">
      <c r="B247" s="1448"/>
      <c r="C247" s="1449"/>
      <c r="D247" s="2945"/>
      <c r="E247" s="704"/>
      <c r="F247" s="2945"/>
      <c r="G247" s="171"/>
      <c r="H247" s="538"/>
      <c r="I247" s="538"/>
      <c r="J247" s="106"/>
      <c r="K247" s="1037"/>
      <c r="L247" s="358"/>
      <c r="M247" s="358"/>
      <c r="N247" s="358"/>
      <c r="O247" s="358"/>
      <c r="P247" s="358"/>
      <c r="Q247" s="358"/>
      <c r="R247" s="358"/>
      <c r="S247" s="358"/>
      <c r="T247" s="358"/>
      <c r="U247" s="358"/>
      <c r="V247" s="1037"/>
      <c r="W247" s="854"/>
      <c r="X247" s="358"/>
      <c r="Y247" s="358"/>
      <c r="Z247" s="358"/>
      <c r="AA247" s="358"/>
      <c r="AB247" s="106"/>
      <c r="AC247" s="1037"/>
      <c r="AD247" s="1448"/>
      <c r="AE247" s="1449"/>
      <c r="AF247" s="1449"/>
      <c r="AG247" s="1449"/>
      <c r="AH247" s="1451"/>
      <c r="AI247" s="176"/>
      <c r="AJ247" s="1452"/>
      <c r="AK247" s="1037"/>
      <c r="AL247" s="176"/>
      <c r="AM247" s="176"/>
      <c r="AN247" s="176"/>
      <c r="AO247" s="1037"/>
      <c r="AP247" s="176"/>
      <c r="AQ247" s="176"/>
      <c r="AR247" s="176"/>
      <c r="AS247" s="176"/>
      <c r="AT247" s="176"/>
      <c r="AU247" s="176"/>
      <c r="AV247" s="176"/>
      <c r="AW247" s="176"/>
      <c r="AX247" s="176"/>
      <c r="AY247" s="176"/>
      <c r="AZ247" s="1451"/>
      <c r="BA247" s="1037"/>
      <c r="BB247" s="176"/>
      <c r="BC247" s="176"/>
      <c r="BD247" s="176"/>
      <c r="BE247" s="176"/>
      <c r="BF247" s="176"/>
      <c r="BG247" s="176"/>
      <c r="BH247" s="176"/>
      <c r="BI247" s="176"/>
      <c r="BJ247" s="176"/>
      <c r="BK247" s="176"/>
      <c r="BL247" s="176"/>
      <c r="BM247" s="176"/>
      <c r="BN247" s="1451"/>
      <c r="BO247" s="1037"/>
      <c r="BP247" s="176"/>
      <c r="BQ247" s="176"/>
      <c r="BR247" s="176"/>
      <c r="BS247" s="176"/>
      <c r="BT247" s="176"/>
      <c r="BU247" s="176"/>
      <c r="BV247" s="176"/>
      <c r="BW247" s="176"/>
      <c r="BX247" s="176"/>
      <c r="BY247" s="176"/>
      <c r="BZ247" s="176"/>
      <c r="CA247" s="176"/>
      <c r="CB247" s="1451"/>
      <c r="CC247" s="1037"/>
      <c r="CD247" s="176"/>
      <c r="CE247" s="176"/>
      <c r="CF247" s="176"/>
      <c r="CG247" s="176"/>
      <c r="CH247" s="176"/>
      <c r="CI247" s="176"/>
      <c r="CJ247" s="176"/>
      <c r="CK247" s="176"/>
      <c r="CL247" s="176"/>
      <c r="CM247" s="176"/>
      <c r="CN247" s="176"/>
      <c r="CO247" s="176"/>
      <c r="CP247" s="1451"/>
      <c r="CQ247" s="1037"/>
      <c r="CR247" s="176"/>
      <c r="CS247" s="176"/>
      <c r="CT247" s="176"/>
      <c r="CU247" s="176"/>
      <c r="CV247" s="176"/>
      <c r="CW247" s="176"/>
      <c r="CX247" s="176"/>
      <c r="CY247" s="176"/>
      <c r="CZ247" s="176"/>
      <c r="DA247" s="176"/>
      <c r="DB247" s="176"/>
      <c r="DC247" s="176"/>
      <c r="DD247" s="1451"/>
      <c r="DE247" s="1037"/>
      <c r="DF247" s="176"/>
      <c r="DG247" s="176"/>
      <c r="DH247" s="176"/>
      <c r="DI247" s="3096"/>
      <c r="DJ247" s="3151"/>
      <c r="DL247" s="3180"/>
      <c r="DN247" s="2723" t="s">
        <v>1175</v>
      </c>
      <c r="DO247" s="2724" t="s">
        <v>1175</v>
      </c>
      <c r="DP247" s="2724"/>
      <c r="DQ247" s="2724" t="s">
        <v>1175</v>
      </c>
      <c r="DR247" s="2724" t="str">
        <f t="shared" si="386"/>
        <v/>
      </c>
      <c r="DS247" s="1037"/>
      <c r="DT247" s="1037"/>
    </row>
    <row r="248" spans="2:124" ht="15" hidden="1" outlineLevel="3">
      <c r="B248" s="761"/>
      <c r="C248" s="1480"/>
      <c r="D248" s="2946"/>
      <c r="E248" s="159"/>
      <c r="F248" s="2946"/>
      <c r="G248" s="702"/>
      <c r="H248" s="1547"/>
      <c r="I248" s="703"/>
      <c r="J248" s="177"/>
      <c r="L248" s="364"/>
      <c r="M248" s="364"/>
      <c r="N248" s="364"/>
      <c r="O248" s="364"/>
      <c r="P248" s="364"/>
      <c r="Q248" s="364"/>
      <c r="R248" s="364"/>
      <c r="S248" s="364"/>
      <c r="T248" s="364"/>
      <c r="U248" s="364"/>
      <c r="W248" s="364"/>
      <c r="X248" s="364"/>
      <c r="Y248" s="364"/>
      <c r="Z248" s="364"/>
      <c r="AA248" s="364"/>
      <c r="AB248" s="177"/>
      <c r="AD248" s="761"/>
      <c r="AE248" s="1480"/>
      <c r="AF248" s="1480"/>
      <c r="AG248" s="1480"/>
      <c r="AH248" s="1579"/>
      <c r="AI248" s="1526"/>
      <c r="AJ248" s="1577"/>
      <c r="AL248" s="1553"/>
      <c r="AM248" s="1553"/>
      <c r="AN248" s="1553"/>
      <c r="AP248" s="1576"/>
      <c r="AQ248" s="1576"/>
      <c r="AR248" s="1576"/>
      <c r="AS248" s="1576"/>
      <c r="AT248" s="1576"/>
      <c r="AU248" s="1576"/>
      <c r="AV248" s="1576"/>
      <c r="AW248" s="1576"/>
      <c r="AX248" s="1576"/>
      <c r="AY248" s="1576"/>
      <c r="AZ248" s="2019"/>
      <c r="BB248" s="1576"/>
      <c r="BC248" s="1576"/>
      <c r="BD248" s="1576"/>
      <c r="BE248" s="1576"/>
      <c r="BF248" s="1576"/>
      <c r="BG248" s="1576"/>
      <c r="BH248" s="1576"/>
      <c r="BI248" s="1576"/>
      <c r="BJ248" s="1576"/>
      <c r="BK248" s="1576"/>
      <c r="BL248" s="1576"/>
      <c r="BM248" s="1576"/>
      <c r="BN248" s="2019"/>
      <c r="BP248" s="1576"/>
      <c r="BQ248" s="1576"/>
      <c r="BR248" s="1576"/>
      <c r="BS248" s="1576"/>
      <c r="BT248" s="1576"/>
      <c r="BU248" s="1576"/>
      <c r="BV248" s="1576"/>
      <c r="BW248" s="1576"/>
      <c r="BX248" s="1576"/>
      <c r="BY248" s="1576"/>
      <c r="BZ248" s="1576"/>
      <c r="CA248" s="1576"/>
      <c r="CB248" s="2019"/>
      <c r="CD248" s="1576"/>
      <c r="CE248" s="1576"/>
      <c r="CF248" s="1576"/>
      <c r="CG248" s="1576"/>
      <c r="CH248" s="1576"/>
      <c r="CI248" s="1576"/>
      <c r="CJ248" s="1576"/>
      <c r="CK248" s="1576"/>
      <c r="CL248" s="1576"/>
      <c r="CM248" s="1576"/>
      <c r="CN248" s="1576"/>
      <c r="CO248" s="1576"/>
      <c r="CP248" s="2019"/>
      <c r="CR248" s="1576"/>
      <c r="CS248" s="1576"/>
      <c r="CT248" s="1576"/>
      <c r="CU248" s="1576"/>
      <c r="CV248" s="1576"/>
      <c r="CW248" s="1576"/>
      <c r="CX248" s="1576"/>
      <c r="CY248" s="1576"/>
      <c r="CZ248" s="1576"/>
      <c r="DA248" s="1576"/>
      <c r="DB248" s="1576"/>
      <c r="DC248" s="1576"/>
      <c r="DD248" s="2019"/>
      <c r="DF248" s="1576"/>
      <c r="DG248" s="1576"/>
      <c r="DH248" s="1576"/>
      <c r="DI248" s="3097"/>
      <c r="DJ248" s="3152"/>
      <c r="DL248" s="3180"/>
      <c r="DN248" s="2716" t="s">
        <v>1283</v>
      </c>
      <c r="DO248" s="2740" t="s">
        <v>1284</v>
      </c>
      <c r="DP248" s="2740" t="s">
        <v>1117</v>
      </c>
      <c r="DQ248" s="2740" t="s">
        <v>5</v>
      </c>
      <c r="DR248" s="2740" t="str">
        <f t="shared" si="386"/>
        <v/>
      </c>
      <c r="DS248" s="1037"/>
      <c r="DT248" s="1037"/>
    </row>
    <row r="249" spans="2:124" s="153" customFormat="1" ht="15" hidden="1" outlineLevel="3">
      <c r="B249" s="2840"/>
      <c r="C249" s="397"/>
      <c r="D249" s="2949"/>
      <c r="E249" s="704"/>
      <c r="F249" s="2949"/>
      <c r="G249" s="395"/>
      <c r="H249" s="1249"/>
      <c r="I249" s="536"/>
      <c r="J249" s="399"/>
      <c r="K249" s="1037"/>
      <c r="L249" s="851"/>
      <c r="M249" s="851"/>
      <c r="N249" s="402"/>
      <c r="O249" s="402"/>
      <c r="P249" s="402"/>
      <c r="Q249" s="402"/>
      <c r="R249" s="402"/>
      <c r="S249" s="402"/>
      <c r="T249" s="402"/>
      <c r="U249" s="402"/>
      <c r="V249" s="1037"/>
      <c r="W249" s="837"/>
      <c r="X249" s="851"/>
      <c r="Y249" s="851"/>
      <c r="Z249" s="851"/>
      <c r="AA249" s="851"/>
      <c r="AB249" s="399"/>
      <c r="AC249" s="1037"/>
      <c r="AD249" s="2840"/>
      <c r="AE249" s="397"/>
      <c r="AF249" s="397"/>
      <c r="AG249" s="397"/>
      <c r="AH249" s="398"/>
      <c r="AI249" s="1458"/>
      <c r="AJ249" s="680"/>
      <c r="AK249" s="1037"/>
      <c r="AL249" s="1458"/>
      <c r="AM249" s="1458"/>
      <c r="AN249" s="398"/>
      <c r="AO249" s="1037"/>
      <c r="AP249" s="992"/>
      <c r="AQ249" s="992"/>
      <c r="AR249" s="992"/>
      <c r="AS249" s="992"/>
      <c r="AT249" s="992"/>
      <c r="AU249" s="992"/>
      <c r="AV249" s="992"/>
      <c r="AW249" s="992"/>
      <c r="AX249" s="992"/>
      <c r="AY249" s="992"/>
      <c r="AZ249" s="992"/>
      <c r="BA249" s="1037"/>
      <c r="BB249" s="992"/>
      <c r="BC249" s="992"/>
      <c r="BD249" s="992"/>
      <c r="BE249" s="992"/>
      <c r="BF249" s="992"/>
      <c r="BG249" s="992"/>
      <c r="BH249" s="992"/>
      <c r="BI249" s="992"/>
      <c r="BJ249" s="992"/>
      <c r="BK249" s="992"/>
      <c r="BL249" s="992"/>
      <c r="BM249" s="992"/>
      <c r="BN249" s="992"/>
      <c r="BO249" s="1037"/>
      <c r="BP249" s="992"/>
      <c r="BQ249" s="992"/>
      <c r="BR249" s="992"/>
      <c r="BS249" s="992"/>
      <c r="BT249" s="992"/>
      <c r="BU249" s="992"/>
      <c r="BV249" s="992"/>
      <c r="BW249" s="992"/>
      <c r="BX249" s="992"/>
      <c r="BY249" s="992"/>
      <c r="BZ249" s="992"/>
      <c r="CA249" s="992"/>
      <c r="CB249" s="992"/>
      <c r="CC249" s="1037"/>
      <c r="CD249" s="992"/>
      <c r="CE249" s="992"/>
      <c r="CF249" s="992"/>
      <c r="CG249" s="992"/>
      <c r="CH249" s="992"/>
      <c r="CI249" s="992"/>
      <c r="CJ249" s="992"/>
      <c r="CK249" s="992"/>
      <c r="CL249" s="992"/>
      <c r="CM249" s="992"/>
      <c r="CN249" s="992"/>
      <c r="CO249" s="992"/>
      <c r="CP249" s="993"/>
      <c r="CQ249" s="1037"/>
      <c r="CR249" s="992"/>
      <c r="CS249" s="992"/>
      <c r="CT249" s="992"/>
      <c r="CU249" s="992"/>
      <c r="CV249" s="992"/>
      <c r="CW249" s="992"/>
      <c r="CX249" s="992"/>
      <c r="CY249" s="992"/>
      <c r="CZ249" s="992"/>
      <c r="DA249" s="992"/>
      <c r="DB249" s="992"/>
      <c r="DC249" s="992"/>
      <c r="DD249" s="994"/>
      <c r="DE249" s="1037"/>
      <c r="DF249" s="992"/>
      <c r="DG249" s="992"/>
      <c r="DH249" s="992"/>
      <c r="DI249" s="3083"/>
      <c r="DJ249" s="3136"/>
      <c r="DL249" s="3180"/>
      <c r="DN249" s="2725" t="s">
        <v>1175</v>
      </c>
      <c r="DO249" s="2726" t="s">
        <v>1175</v>
      </c>
      <c r="DP249" s="2726"/>
      <c r="DQ249" s="2726" t="s">
        <v>1175</v>
      </c>
      <c r="DR249" s="2726" t="str">
        <f t="shared" si="386"/>
        <v/>
      </c>
      <c r="DS249" s="1037"/>
      <c r="DT249" s="1037"/>
    </row>
    <row r="250" spans="2:124" ht="15" hidden="1" outlineLevel="4">
      <c r="B250" s="3793"/>
      <c r="C250" s="2644"/>
      <c r="D250" s="2950"/>
      <c r="E250" s="159"/>
      <c r="F250" s="2950"/>
      <c r="G250" s="441"/>
      <c r="H250" s="544"/>
      <c r="I250" s="533"/>
      <c r="J250" s="103"/>
      <c r="L250" s="364"/>
      <c r="M250" s="364"/>
      <c r="N250" s="365"/>
      <c r="O250" s="365"/>
      <c r="P250" s="365"/>
      <c r="Q250" s="365"/>
      <c r="R250" s="365"/>
      <c r="S250" s="365"/>
      <c r="T250" s="365"/>
      <c r="U250" s="365"/>
      <c r="W250" s="3897"/>
      <c r="X250" s="3897"/>
      <c r="Y250" s="3969"/>
      <c r="Z250" s="3897"/>
      <c r="AA250" s="852"/>
      <c r="AB250" s="3990"/>
      <c r="AD250" s="3793"/>
      <c r="AE250" s="4014"/>
      <c r="AF250" s="3793"/>
      <c r="AG250" s="3793"/>
      <c r="AH250" s="3793"/>
      <c r="AI250" s="3793"/>
      <c r="AJ250" s="3938"/>
      <c r="AL250" s="3787"/>
      <c r="AM250" s="3787"/>
      <c r="AN250" s="3787"/>
      <c r="AP250" s="3787"/>
      <c r="AQ250" s="3787"/>
      <c r="AR250" s="3787"/>
      <c r="AS250" s="3787"/>
      <c r="AT250" s="3787"/>
      <c r="AU250" s="3787"/>
      <c r="AV250" s="3787"/>
      <c r="AW250" s="3787"/>
      <c r="AX250" s="3787"/>
      <c r="AY250" s="3787"/>
      <c r="AZ250" s="3787"/>
      <c r="BB250" s="3787"/>
      <c r="BC250" s="3787"/>
      <c r="BD250" s="3787"/>
      <c r="BE250" s="3787"/>
      <c r="BF250" s="3787"/>
      <c r="BG250" s="3787"/>
      <c r="BH250" s="3787"/>
      <c r="BI250" s="3787"/>
      <c r="BJ250" s="3787"/>
      <c r="BK250" s="3787"/>
      <c r="BL250" s="3787"/>
      <c r="BM250" s="3787"/>
      <c r="BN250" s="3787"/>
      <c r="BO250" s="3793"/>
      <c r="BP250" s="3787"/>
      <c r="BQ250" s="3787"/>
      <c r="BR250" s="3787"/>
      <c r="BS250" s="3787"/>
      <c r="BT250" s="3787"/>
      <c r="BU250" s="3787"/>
      <c r="BV250" s="3787"/>
      <c r="BW250" s="3787"/>
      <c r="BX250" s="3787"/>
      <c r="BY250" s="3787"/>
      <c r="BZ250" s="3787"/>
      <c r="CA250" s="3787"/>
      <c r="CB250" s="3787"/>
      <c r="CC250" s="3793"/>
      <c r="CD250" s="3787"/>
      <c r="CE250" s="3787"/>
      <c r="CF250" s="3787"/>
      <c r="CG250" s="3787"/>
      <c r="CH250" s="3787"/>
      <c r="CI250" s="3787"/>
      <c r="CJ250" s="3787"/>
      <c r="CK250" s="3787"/>
      <c r="CL250" s="3787"/>
      <c r="CM250" s="3787"/>
      <c r="CN250" s="3787"/>
      <c r="CO250" s="3787"/>
      <c r="CP250" s="3787"/>
      <c r="CQ250" s="3793"/>
      <c r="CR250" s="3787"/>
      <c r="CS250" s="3787"/>
      <c r="CT250" s="3787"/>
      <c r="CU250" s="3787"/>
      <c r="CV250" s="3787"/>
      <c r="CW250" s="3787"/>
      <c r="CX250" s="3787"/>
      <c r="CY250" s="3787"/>
      <c r="CZ250" s="3787"/>
      <c r="DA250" s="3787"/>
      <c r="DB250" s="3787"/>
      <c r="DC250" s="3787"/>
      <c r="DD250" s="3787"/>
      <c r="DE250" s="3793"/>
      <c r="DF250" s="3787"/>
      <c r="DG250" s="3787"/>
      <c r="DH250" s="3787"/>
      <c r="DI250" s="3790"/>
      <c r="DJ250" s="4045"/>
      <c r="DK250" s="153"/>
      <c r="DL250" s="3180"/>
      <c r="DN250" s="2716" t="s">
        <v>1283</v>
      </c>
      <c r="DO250" s="2740" t="s">
        <v>1284</v>
      </c>
      <c r="DP250" s="3833" t="s">
        <v>1117</v>
      </c>
      <c r="DQ250" s="3833" t="s">
        <v>5</v>
      </c>
      <c r="DR250" s="3833" t="str">
        <f t="shared" si="386"/>
        <v/>
      </c>
      <c r="DS250" s="1037"/>
      <c r="DT250" s="1037"/>
    </row>
    <row r="251" spans="2:124" ht="15" hidden="1" outlineLevel="4">
      <c r="B251" s="3794"/>
      <c r="C251" s="2710"/>
      <c r="D251" s="2950"/>
      <c r="E251" s="159"/>
      <c r="F251" s="2950"/>
      <c r="G251" s="441"/>
      <c r="H251" s="544"/>
      <c r="I251" s="533"/>
      <c r="J251" s="103"/>
      <c r="L251" s="364"/>
      <c r="M251" s="364"/>
      <c r="N251" s="365"/>
      <c r="O251" s="365"/>
      <c r="P251" s="365"/>
      <c r="Q251" s="365"/>
      <c r="R251" s="365"/>
      <c r="S251" s="365"/>
      <c r="T251" s="365"/>
      <c r="U251" s="365"/>
      <c r="W251" s="3898"/>
      <c r="X251" s="3898"/>
      <c r="Y251" s="3970"/>
      <c r="Z251" s="3898"/>
      <c r="AA251" s="1190"/>
      <c r="AB251" s="3991"/>
      <c r="AD251" s="3794"/>
      <c r="AE251" s="4015"/>
      <c r="AF251" s="3794"/>
      <c r="AG251" s="3794"/>
      <c r="AH251" s="3794"/>
      <c r="AI251" s="3794"/>
      <c r="AJ251" s="3939"/>
      <c r="AL251" s="3788"/>
      <c r="AM251" s="3788"/>
      <c r="AN251" s="3788"/>
      <c r="AP251" s="3788"/>
      <c r="AQ251" s="3788"/>
      <c r="AR251" s="3788"/>
      <c r="AS251" s="3788"/>
      <c r="AT251" s="3788"/>
      <c r="AU251" s="3788"/>
      <c r="AV251" s="3788"/>
      <c r="AW251" s="3788"/>
      <c r="AX251" s="3788"/>
      <c r="AY251" s="3788"/>
      <c r="AZ251" s="3788"/>
      <c r="BB251" s="3788"/>
      <c r="BC251" s="3788"/>
      <c r="BD251" s="3788"/>
      <c r="BE251" s="3788"/>
      <c r="BF251" s="3788"/>
      <c r="BG251" s="3788"/>
      <c r="BH251" s="3788"/>
      <c r="BI251" s="3788"/>
      <c r="BJ251" s="3788"/>
      <c r="BK251" s="3788"/>
      <c r="BL251" s="3788"/>
      <c r="BM251" s="3788"/>
      <c r="BN251" s="3788"/>
      <c r="BO251" s="3794"/>
      <c r="BP251" s="3788"/>
      <c r="BQ251" s="3788"/>
      <c r="BR251" s="3788"/>
      <c r="BS251" s="3788"/>
      <c r="BT251" s="3788"/>
      <c r="BU251" s="3788"/>
      <c r="BV251" s="3788"/>
      <c r="BW251" s="3788"/>
      <c r="BX251" s="3788"/>
      <c r="BY251" s="3788"/>
      <c r="BZ251" s="3788"/>
      <c r="CA251" s="3788"/>
      <c r="CB251" s="3788"/>
      <c r="CC251" s="3794"/>
      <c r="CD251" s="3788"/>
      <c r="CE251" s="3788"/>
      <c r="CF251" s="3788"/>
      <c r="CG251" s="3788"/>
      <c r="CH251" s="3788"/>
      <c r="CI251" s="3788"/>
      <c r="CJ251" s="3788"/>
      <c r="CK251" s="3788"/>
      <c r="CL251" s="3788"/>
      <c r="CM251" s="3788"/>
      <c r="CN251" s="3788"/>
      <c r="CO251" s="3788"/>
      <c r="CP251" s="3788"/>
      <c r="CQ251" s="3794"/>
      <c r="CR251" s="3788"/>
      <c r="CS251" s="3788"/>
      <c r="CT251" s="3788"/>
      <c r="CU251" s="3788"/>
      <c r="CV251" s="3788"/>
      <c r="CW251" s="3788"/>
      <c r="CX251" s="3788"/>
      <c r="CY251" s="3788"/>
      <c r="CZ251" s="3788"/>
      <c r="DA251" s="3788"/>
      <c r="DB251" s="3788"/>
      <c r="DC251" s="3788"/>
      <c r="DD251" s="3788"/>
      <c r="DE251" s="3794"/>
      <c r="DF251" s="3788"/>
      <c r="DG251" s="3788"/>
      <c r="DH251" s="3788"/>
      <c r="DI251" s="3791"/>
      <c r="DJ251" s="4046"/>
      <c r="DK251" s="153"/>
      <c r="DL251" s="3180"/>
      <c r="DN251" s="2716" t="s">
        <v>1283</v>
      </c>
      <c r="DO251" s="2740" t="s">
        <v>1284</v>
      </c>
      <c r="DP251" s="3833"/>
      <c r="DQ251" s="3833"/>
      <c r="DR251" s="3833" t="str">
        <f t="shared" si="386"/>
        <v/>
      </c>
      <c r="DS251" s="1037"/>
      <c r="DT251" s="1037"/>
    </row>
    <row r="252" spans="2:124" ht="15" hidden="1" outlineLevel="4">
      <c r="B252" s="3794"/>
      <c r="C252" s="2710"/>
      <c r="D252" s="2950"/>
      <c r="E252" s="159"/>
      <c r="F252" s="2950"/>
      <c r="G252" s="441"/>
      <c r="H252" s="1547"/>
      <c r="I252" s="533"/>
      <c r="J252" s="103"/>
      <c r="L252" s="364"/>
      <c r="M252" s="364"/>
      <c r="N252" s="365"/>
      <c r="O252" s="365"/>
      <c r="P252" s="365"/>
      <c r="Q252" s="365"/>
      <c r="R252" s="365"/>
      <c r="S252" s="365"/>
      <c r="T252" s="365"/>
      <c r="U252" s="365"/>
      <c r="W252" s="3898"/>
      <c r="X252" s="3898"/>
      <c r="Y252" s="3970"/>
      <c r="Z252" s="3898"/>
      <c r="AA252" s="1190"/>
      <c r="AB252" s="3991"/>
      <c r="AD252" s="3794"/>
      <c r="AE252" s="4015"/>
      <c r="AF252" s="3794"/>
      <c r="AG252" s="3794"/>
      <c r="AH252" s="3794"/>
      <c r="AI252" s="3794"/>
      <c r="AJ252" s="3939"/>
      <c r="AL252" s="3788"/>
      <c r="AM252" s="3788"/>
      <c r="AN252" s="3788"/>
      <c r="AP252" s="3788"/>
      <c r="AQ252" s="3788"/>
      <c r="AR252" s="3788"/>
      <c r="AS252" s="3788"/>
      <c r="AT252" s="3788"/>
      <c r="AU252" s="3788"/>
      <c r="AV252" s="3788"/>
      <c r="AW252" s="3788"/>
      <c r="AX252" s="3788"/>
      <c r="AY252" s="3788"/>
      <c r="AZ252" s="3788"/>
      <c r="BB252" s="3788"/>
      <c r="BC252" s="3788"/>
      <c r="BD252" s="3788"/>
      <c r="BE252" s="3788"/>
      <c r="BF252" s="3788"/>
      <c r="BG252" s="3788"/>
      <c r="BH252" s="3788"/>
      <c r="BI252" s="3788"/>
      <c r="BJ252" s="3788"/>
      <c r="BK252" s="3788"/>
      <c r="BL252" s="3788"/>
      <c r="BM252" s="3788"/>
      <c r="BN252" s="3788"/>
      <c r="BO252" s="3794"/>
      <c r="BP252" s="3788"/>
      <c r="BQ252" s="3788"/>
      <c r="BR252" s="3788"/>
      <c r="BS252" s="3788"/>
      <c r="BT252" s="3788"/>
      <c r="BU252" s="3788"/>
      <c r="BV252" s="3788"/>
      <c r="BW252" s="3788"/>
      <c r="BX252" s="3788"/>
      <c r="BY252" s="3788"/>
      <c r="BZ252" s="3788"/>
      <c r="CA252" s="3788"/>
      <c r="CB252" s="3788"/>
      <c r="CC252" s="3794"/>
      <c r="CD252" s="3788"/>
      <c r="CE252" s="3788"/>
      <c r="CF252" s="3788"/>
      <c r="CG252" s="3788"/>
      <c r="CH252" s="3788"/>
      <c r="CI252" s="3788"/>
      <c r="CJ252" s="3788"/>
      <c r="CK252" s="3788"/>
      <c r="CL252" s="3788"/>
      <c r="CM252" s="3788"/>
      <c r="CN252" s="3788"/>
      <c r="CO252" s="3788"/>
      <c r="CP252" s="3788"/>
      <c r="CQ252" s="3794"/>
      <c r="CR252" s="3788"/>
      <c r="CS252" s="3788"/>
      <c r="CT252" s="3788"/>
      <c r="CU252" s="3788"/>
      <c r="CV252" s="3788"/>
      <c r="CW252" s="3788"/>
      <c r="CX252" s="3788"/>
      <c r="CY252" s="3788"/>
      <c r="CZ252" s="3788"/>
      <c r="DA252" s="3788"/>
      <c r="DB252" s="3788"/>
      <c r="DC252" s="3788"/>
      <c r="DD252" s="3788"/>
      <c r="DE252" s="3794"/>
      <c r="DF252" s="3788"/>
      <c r="DG252" s="3788"/>
      <c r="DH252" s="3788"/>
      <c r="DI252" s="3791"/>
      <c r="DJ252" s="4046"/>
      <c r="DK252" s="153"/>
      <c r="DL252" s="3180"/>
      <c r="DN252" s="2716" t="s">
        <v>1283</v>
      </c>
      <c r="DO252" s="2740" t="s">
        <v>1284</v>
      </c>
      <c r="DP252" s="3833"/>
      <c r="DQ252" s="3833"/>
      <c r="DR252" s="3833" t="str">
        <f t="shared" si="386"/>
        <v/>
      </c>
      <c r="DS252" s="1037"/>
      <c r="DT252" s="1037"/>
    </row>
    <row r="253" spans="2:124" ht="15" hidden="1" outlineLevel="4">
      <c r="B253" s="3794"/>
      <c r="C253" s="2710"/>
      <c r="D253" s="2950"/>
      <c r="E253" s="159"/>
      <c r="F253" s="2950"/>
      <c r="G253" s="441"/>
      <c r="H253" s="1547"/>
      <c r="I253" s="533"/>
      <c r="J253" s="103"/>
      <c r="L253" s="364"/>
      <c r="M253" s="364"/>
      <c r="N253" s="365"/>
      <c r="O253" s="365"/>
      <c r="P253" s="365"/>
      <c r="Q253" s="365"/>
      <c r="R253" s="365"/>
      <c r="S253" s="365"/>
      <c r="T253" s="365"/>
      <c r="U253" s="365"/>
      <c r="W253" s="3898"/>
      <c r="X253" s="3898"/>
      <c r="Y253" s="3970"/>
      <c r="Z253" s="3898"/>
      <c r="AA253" s="1190"/>
      <c r="AB253" s="3991"/>
      <c r="AD253" s="3794"/>
      <c r="AE253" s="4015"/>
      <c r="AF253" s="3794"/>
      <c r="AG253" s="3794"/>
      <c r="AH253" s="3794"/>
      <c r="AI253" s="3794"/>
      <c r="AJ253" s="3939"/>
      <c r="AL253" s="3788"/>
      <c r="AM253" s="3788"/>
      <c r="AN253" s="3788"/>
      <c r="AP253" s="3788"/>
      <c r="AQ253" s="3788"/>
      <c r="AR253" s="3788"/>
      <c r="AS253" s="3788"/>
      <c r="AT253" s="3788"/>
      <c r="AU253" s="3788"/>
      <c r="AV253" s="3788"/>
      <c r="AW253" s="3788"/>
      <c r="AX253" s="3788"/>
      <c r="AY253" s="3788"/>
      <c r="AZ253" s="3788"/>
      <c r="BB253" s="3788"/>
      <c r="BC253" s="3788"/>
      <c r="BD253" s="3788"/>
      <c r="BE253" s="3788"/>
      <c r="BF253" s="3788"/>
      <c r="BG253" s="3788"/>
      <c r="BH253" s="3788"/>
      <c r="BI253" s="3788"/>
      <c r="BJ253" s="3788"/>
      <c r="BK253" s="3788"/>
      <c r="BL253" s="3788"/>
      <c r="BM253" s="3788"/>
      <c r="BN253" s="3788"/>
      <c r="BO253" s="3794"/>
      <c r="BP253" s="3788"/>
      <c r="BQ253" s="3788"/>
      <c r="BR253" s="3788"/>
      <c r="BS253" s="3788"/>
      <c r="BT253" s="3788"/>
      <c r="BU253" s="3788"/>
      <c r="BV253" s="3788"/>
      <c r="BW253" s="3788"/>
      <c r="BX253" s="3788"/>
      <c r="BY253" s="3788"/>
      <c r="BZ253" s="3788"/>
      <c r="CA253" s="3788"/>
      <c r="CB253" s="3788"/>
      <c r="CC253" s="3794"/>
      <c r="CD253" s="3788"/>
      <c r="CE253" s="3788"/>
      <c r="CF253" s="3788"/>
      <c r="CG253" s="3788"/>
      <c r="CH253" s="3788"/>
      <c r="CI253" s="3788"/>
      <c r="CJ253" s="3788"/>
      <c r="CK253" s="3788"/>
      <c r="CL253" s="3788"/>
      <c r="CM253" s="3788"/>
      <c r="CN253" s="3788"/>
      <c r="CO253" s="3788"/>
      <c r="CP253" s="3788"/>
      <c r="CQ253" s="3794"/>
      <c r="CR253" s="3788"/>
      <c r="CS253" s="3788"/>
      <c r="CT253" s="3788"/>
      <c r="CU253" s="3788"/>
      <c r="CV253" s="3788"/>
      <c r="CW253" s="3788"/>
      <c r="CX253" s="3788"/>
      <c r="CY253" s="3788"/>
      <c r="CZ253" s="3788"/>
      <c r="DA253" s="3788"/>
      <c r="DB253" s="3788"/>
      <c r="DC253" s="3788"/>
      <c r="DD253" s="3788"/>
      <c r="DE253" s="3794"/>
      <c r="DF253" s="3788"/>
      <c r="DG253" s="3788"/>
      <c r="DH253" s="3788"/>
      <c r="DI253" s="3791"/>
      <c r="DJ253" s="4046"/>
      <c r="DK253" s="153"/>
      <c r="DL253" s="3180"/>
      <c r="DN253" s="2716" t="s">
        <v>1283</v>
      </c>
      <c r="DO253" s="2740" t="s">
        <v>1284</v>
      </c>
      <c r="DP253" s="3833"/>
      <c r="DQ253" s="3833"/>
      <c r="DR253" s="3833" t="str">
        <f t="shared" si="386"/>
        <v/>
      </c>
      <c r="DS253" s="1037"/>
      <c r="DT253" s="1037"/>
    </row>
    <row r="254" spans="2:124" ht="15" hidden="1" outlineLevel="4">
      <c r="B254" s="3795"/>
      <c r="C254" s="1926"/>
      <c r="D254" s="2950"/>
      <c r="E254" s="159"/>
      <c r="F254" s="2950"/>
      <c r="G254" s="441"/>
      <c r="H254" s="1547"/>
      <c r="I254" s="533"/>
      <c r="J254" s="103"/>
      <c r="L254" s="364"/>
      <c r="M254" s="364"/>
      <c r="N254" s="365"/>
      <c r="O254" s="365"/>
      <c r="P254" s="365"/>
      <c r="Q254" s="365"/>
      <c r="R254" s="365"/>
      <c r="S254" s="365"/>
      <c r="T254" s="365"/>
      <c r="U254" s="365"/>
      <c r="W254" s="3899"/>
      <c r="X254" s="3899"/>
      <c r="Y254" s="3971"/>
      <c r="Z254" s="3899"/>
      <c r="AA254" s="1190"/>
      <c r="AB254" s="2712"/>
      <c r="AD254" s="3795"/>
      <c r="AE254" s="4016"/>
      <c r="AF254" s="3795"/>
      <c r="AG254" s="3795"/>
      <c r="AH254" s="3795"/>
      <c r="AI254" s="3795"/>
      <c r="AJ254" s="3940"/>
      <c r="AL254" s="3789"/>
      <c r="AM254" s="3789"/>
      <c r="AN254" s="3789"/>
      <c r="AP254" s="3789"/>
      <c r="AQ254" s="3789"/>
      <c r="AR254" s="3789"/>
      <c r="AS254" s="3789"/>
      <c r="AT254" s="3789"/>
      <c r="AU254" s="3789"/>
      <c r="AV254" s="3789"/>
      <c r="AW254" s="3789"/>
      <c r="AX254" s="3789"/>
      <c r="AY254" s="3789"/>
      <c r="AZ254" s="3789"/>
      <c r="BB254" s="3789"/>
      <c r="BC254" s="3789"/>
      <c r="BD254" s="3789"/>
      <c r="BE254" s="3789"/>
      <c r="BF254" s="3789"/>
      <c r="BG254" s="3789"/>
      <c r="BH254" s="3789"/>
      <c r="BI254" s="3789"/>
      <c r="BJ254" s="3789"/>
      <c r="BK254" s="3789"/>
      <c r="BL254" s="3789"/>
      <c r="BM254" s="3789"/>
      <c r="BN254" s="3789"/>
      <c r="BO254" s="3795"/>
      <c r="BP254" s="3789"/>
      <c r="BQ254" s="3789"/>
      <c r="BR254" s="3789"/>
      <c r="BS254" s="3789"/>
      <c r="BT254" s="3789"/>
      <c r="BU254" s="3789"/>
      <c r="BV254" s="3789"/>
      <c r="BW254" s="3789"/>
      <c r="BX254" s="3789"/>
      <c r="BY254" s="3789"/>
      <c r="BZ254" s="3789"/>
      <c r="CA254" s="3789"/>
      <c r="CB254" s="3789"/>
      <c r="CC254" s="3795"/>
      <c r="CD254" s="3789"/>
      <c r="CE254" s="3789"/>
      <c r="CF254" s="3789"/>
      <c r="CG254" s="3789"/>
      <c r="CH254" s="3789"/>
      <c r="CI254" s="3789"/>
      <c r="CJ254" s="3789"/>
      <c r="CK254" s="3789"/>
      <c r="CL254" s="3789"/>
      <c r="CM254" s="3789"/>
      <c r="CN254" s="3789"/>
      <c r="CO254" s="3789"/>
      <c r="CP254" s="3789"/>
      <c r="CQ254" s="3795"/>
      <c r="CR254" s="3789"/>
      <c r="CS254" s="3789"/>
      <c r="CT254" s="3789"/>
      <c r="CU254" s="3789"/>
      <c r="CV254" s="3789"/>
      <c r="CW254" s="3789"/>
      <c r="CX254" s="3789"/>
      <c r="CY254" s="3789"/>
      <c r="CZ254" s="3789"/>
      <c r="DA254" s="3789"/>
      <c r="DB254" s="3789"/>
      <c r="DC254" s="3789"/>
      <c r="DD254" s="3789"/>
      <c r="DE254" s="3795"/>
      <c r="DF254" s="3789"/>
      <c r="DG254" s="3789"/>
      <c r="DH254" s="3789"/>
      <c r="DI254" s="3792"/>
      <c r="DJ254" s="4047"/>
      <c r="DK254" s="153"/>
      <c r="DL254" s="3180"/>
      <c r="DN254" s="2716" t="s">
        <v>1283</v>
      </c>
      <c r="DO254" s="2740" t="s">
        <v>1284</v>
      </c>
      <c r="DP254" s="3834"/>
      <c r="DQ254" s="3834"/>
      <c r="DR254" s="3834" t="str">
        <f t="shared" si="386"/>
        <v/>
      </c>
      <c r="DS254" s="1037"/>
      <c r="DT254" s="1037"/>
    </row>
    <row r="255" spans="2:124" s="153" customFormat="1" ht="15" hidden="1" outlineLevel="3">
      <c r="B255" s="2840"/>
      <c r="C255" s="397"/>
      <c r="D255" s="2949"/>
      <c r="E255" s="704"/>
      <c r="F255" s="2949"/>
      <c r="G255" s="395"/>
      <c r="H255" s="1249"/>
      <c r="I255" s="536"/>
      <c r="J255" s="399"/>
      <c r="K255" s="1037"/>
      <c r="L255" s="851"/>
      <c r="M255" s="851"/>
      <c r="N255" s="402"/>
      <c r="O255" s="402"/>
      <c r="P255" s="402"/>
      <c r="Q255" s="402"/>
      <c r="R255" s="402"/>
      <c r="S255" s="402"/>
      <c r="T255" s="402"/>
      <c r="U255" s="402"/>
      <c r="V255" s="1037"/>
      <c r="W255" s="837"/>
      <c r="X255" s="851"/>
      <c r="Y255" s="851"/>
      <c r="Z255" s="851"/>
      <c r="AA255" s="851"/>
      <c r="AB255" s="399"/>
      <c r="AC255" s="1037"/>
      <c r="AD255" s="2840"/>
      <c r="AE255" s="397"/>
      <c r="AF255" s="397"/>
      <c r="AG255" s="397"/>
      <c r="AH255" s="398"/>
      <c r="AI255" s="1458"/>
      <c r="AJ255" s="680"/>
      <c r="AK255" s="1037"/>
      <c r="AL255" s="398"/>
      <c r="AM255" s="398"/>
      <c r="AN255" s="398"/>
      <c r="AO255" s="1037"/>
      <c r="AP255" s="398"/>
      <c r="AQ255" s="398"/>
      <c r="AR255" s="398"/>
      <c r="AS255" s="398"/>
      <c r="AT255" s="398"/>
      <c r="AU255" s="398"/>
      <c r="AV255" s="398"/>
      <c r="AW255" s="398"/>
      <c r="AX255" s="398"/>
      <c r="AY255" s="398"/>
      <c r="AZ255" s="398"/>
      <c r="BA255" s="1037"/>
      <c r="BB255" s="398"/>
      <c r="BC255" s="398"/>
      <c r="BD255" s="398"/>
      <c r="BE255" s="398"/>
      <c r="BF255" s="398"/>
      <c r="BG255" s="398"/>
      <c r="BH255" s="398"/>
      <c r="BI255" s="398"/>
      <c r="BJ255" s="398"/>
      <c r="BK255" s="398"/>
      <c r="BL255" s="398"/>
      <c r="BM255" s="398"/>
      <c r="BN255" s="398"/>
      <c r="BO255" s="1037"/>
      <c r="BP255" s="398"/>
      <c r="BQ255" s="398"/>
      <c r="BR255" s="398"/>
      <c r="BS255" s="398"/>
      <c r="BT255" s="398"/>
      <c r="BU255" s="398"/>
      <c r="BV255" s="398"/>
      <c r="BW255" s="398"/>
      <c r="BX255" s="398"/>
      <c r="BY255" s="398"/>
      <c r="BZ255" s="398"/>
      <c r="CA255" s="398"/>
      <c r="CB255" s="398"/>
      <c r="CC255" s="1037"/>
      <c r="CD255" s="398"/>
      <c r="CE255" s="398"/>
      <c r="CF255" s="398"/>
      <c r="CG255" s="398"/>
      <c r="CH255" s="398"/>
      <c r="CI255" s="398"/>
      <c r="CJ255" s="398"/>
      <c r="CK255" s="398"/>
      <c r="CL255" s="398"/>
      <c r="CM255" s="398"/>
      <c r="CN255" s="398"/>
      <c r="CO255" s="398"/>
      <c r="CP255" s="398"/>
      <c r="CQ255" s="1037"/>
      <c r="CR255" s="398"/>
      <c r="CS255" s="398"/>
      <c r="CT255" s="398"/>
      <c r="CU255" s="398"/>
      <c r="CV255" s="398"/>
      <c r="CW255" s="398"/>
      <c r="CX255" s="398"/>
      <c r="CY255" s="398"/>
      <c r="CZ255" s="398"/>
      <c r="DA255" s="398"/>
      <c r="DB255" s="398"/>
      <c r="DC255" s="398"/>
      <c r="DD255" s="398"/>
      <c r="DE255" s="1037"/>
      <c r="DF255" s="398"/>
      <c r="DG255" s="398"/>
      <c r="DH255" s="398"/>
      <c r="DI255" s="3087"/>
      <c r="DJ255" s="3153"/>
      <c r="DL255" s="3180"/>
      <c r="DN255" s="2725" t="s">
        <v>1175</v>
      </c>
      <c r="DO255" s="2726" t="s">
        <v>1175</v>
      </c>
      <c r="DP255" s="2726"/>
      <c r="DQ255" s="2726" t="s">
        <v>1175</v>
      </c>
      <c r="DR255" s="2726" t="str">
        <f t="shared" si="386"/>
        <v/>
      </c>
      <c r="DS255" s="1037"/>
      <c r="DT255" s="1037"/>
    </row>
    <row r="256" spans="2:124" hidden="1" outlineLevel="4">
      <c r="B256" s="3903"/>
      <c r="C256" s="2711"/>
      <c r="D256" s="2950"/>
      <c r="E256" s="159"/>
      <c r="F256" s="2950"/>
      <c r="G256" s="441"/>
      <c r="H256" s="544"/>
      <c r="I256" s="533"/>
      <c r="J256" s="103"/>
      <c r="L256" s="364"/>
      <c r="M256" s="364"/>
      <c r="N256" s="365"/>
      <c r="O256" s="365"/>
      <c r="P256" s="365"/>
      <c r="Q256" s="365"/>
      <c r="R256" s="365"/>
      <c r="S256" s="365"/>
      <c r="T256" s="365"/>
      <c r="U256" s="365"/>
      <c r="W256" s="3897"/>
      <c r="X256" s="3897"/>
      <c r="Y256" s="4002"/>
      <c r="Z256" s="3897"/>
      <c r="AA256" s="3897"/>
      <c r="AB256" s="3838"/>
      <c r="AD256" s="3903"/>
      <c r="AE256" s="3838"/>
      <c r="AF256" s="3915"/>
      <c r="AG256" s="3915"/>
      <c r="AH256" s="3992"/>
      <c r="AI256" s="3793"/>
      <c r="AJ256" s="1761"/>
      <c r="AL256" s="3787"/>
      <c r="AM256" s="3787"/>
      <c r="AN256" s="3787"/>
      <c r="AP256" s="3787"/>
      <c r="AQ256" s="3787"/>
      <c r="AR256" s="3787"/>
      <c r="AS256" s="3787"/>
      <c r="AT256" s="3787"/>
      <c r="AU256" s="3787"/>
      <c r="AV256" s="3787"/>
      <c r="AW256" s="3787"/>
      <c r="AX256" s="3787"/>
      <c r="AY256" s="3787"/>
      <c r="AZ256" s="3811"/>
      <c r="BB256" s="3787"/>
      <c r="BC256" s="3787"/>
      <c r="BD256" s="3787"/>
      <c r="BE256" s="3787"/>
      <c r="BF256" s="3787"/>
      <c r="BG256" s="3787"/>
      <c r="BH256" s="3787"/>
      <c r="BI256" s="3787"/>
      <c r="BJ256" s="3787"/>
      <c r="BK256" s="3787"/>
      <c r="BL256" s="3787"/>
      <c r="BM256" s="3787"/>
      <c r="BN256" s="3811"/>
      <c r="BP256" s="3787"/>
      <c r="BQ256" s="3787"/>
      <c r="BR256" s="3787"/>
      <c r="BS256" s="3787"/>
      <c r="BT256" s="3787"/>
      <c r="BU256" s="3787"/>
      <c r="BV256" s="3787"/>
      <c r="BW256" s="3787"/>
      <c r="BX256" s="3787"/>
      <c r="BY256" s="3787"/>
      <c r="BZ256" s="3787"/>
      <c r="CA256" s="3787"/>
      <c r="CB256" s="3811"/>
      <c r="CD256" s="3787"/>
      <c r="CE256" s="3787"/>
      <c r="CF256" s="3787"/>
      <c r="CG256" s="3787"/>
      <c r="CH256" s="3787"/>
      <c r="CI256" s="3787"/>
      <c r="CJ256" s="3787"/>
      <c r="CK256" s="3787"/>
      <c r="CL256" s="3787"/>
      <c r="CM256" s="3787"/>
      <c r="CN256" s="3787"/>
      <c r="CO256" s="3787"/>
      <c r="CP256" s="3811"/>
      <c r="CR256" s="3787"/>
      <c r="CS256" s="3787"/>
      <c r="CT256" s="3787"/>
      <c r="CU256" s="3787"/>
      <c r="CV256" s="3787"/>
      <c r="CW256" s="3787"/>
      <c r="CX256" s="3787"/>
      <c r="CY256" s="3787"/>
      <c r="CZ256" s="3787"/>
      <c r="DA256" s="3787"/>
      <c r="DB256" s="3787"/>
      <c r="DC256" s="3787"/>
      <c r="DD256" s="3811"/>
      <c r="DF256" s="3787"/>
      <c r="DG256" s="3787"/>
      <c r="DH256" s="3787"/>
      <c r="DI256" s="4051"/>
      <c r="DJ256" s="3824"/>
      <c r="DK256" s="153"/>
      <c r="DL256" s="3180"/>
      <c r="DN256" s="3888" t="s">
        <v>1283</v>
      </c>
      <c r="DO256" s="3888" t="s">
        <v>1284</v>
      </c>
      <c r="DP256" s="3892" t="s">
        <v>1117</v>
      </c>
      <c r="DQ256" s="3892" t="s">
        <v>5</v>
      </c>
      <c r="DR256" s="3892" t="str">
        <f t="shared" si="386"/>
        <v/>
      </c>
      <c r="DS256" s="1037"/>
      <c r="DT256" s="1037"/>
    </row>
    <row r="257" spans="2:124" hidden="1" outlineLevel="4">
      <c r="B257" s="3923"/>
      <c r="C257" s="2888"/>
      <c r="D257" s="2950"/>
      <c r="E257" s="159"/>
      <c r="F257" s="2950"/>
      <c r="G257" s="441"/>
      <c r="H257" s="544"/>
      <c r="I257" s="533"/>
      <c r="J257" s="103"/>
      <c r="L257" s="364"/>
      <c r="M257" s="364"/>
      <c r="N257" s="365"/>
      <c r="O257" s="365"/>
      <c r="P257" s="365"/>
      <c r="Q257" s="365"/>
      <c r="R257" s="365"/>
      <c r="S257" s="365"/>
      <c r="T257" s="365"/>
      <c r="U257" s="365"/>
      <c r="W257" s="3899"/>
      <c r="X257" s="3899"/>
      <c r="Y257" s="4003"/>
      <c r="Z257" s="3899"/>
      <c r="AA257" s="3899"/>
      <c r="AB257" s="3840"/>
      <c r="AD257" s="3923"/>
      <c r="AE257" s="3995"/>
      <c r="AF257" s="3930"/>
      <c r="AG257" s="3917"/>
      <c r="AH257" s="3993"/>
      <c r="AI257" s="3795"/>
      <c r="AJ257" s="2889"/>
      <c r="AL257" s="3789"/>
      <c r="AM257" s="3789"/>
      <c r="AN257" s="3789"/>
      <c r="AP257" s="3789"/>
      <c r="AQ257" s="3789"/>
      <c r="AR257" s="3789"/>
      <c r="AS257" s="3789"/>
      <c r="AT257" s="3789"/>
      <c r="AU257" s="3789"/>
      <c r="AV257" s="3789"/>
      <c r="AW257" s="3789"/>
      <c r="AX257" s="3789"/>
      <c r="AY257" s="3789"/>
      <c r="AZ257" s="3813"/>
      <c r="BB257" s="3789"/>
      <c r="BC257" s="3789"/>
      <c r="BD257" s="3789"/>
      <c r="BE257" s="3789"/>
      <c r="BF257" s="3789"/>
      <c r="BG257" s="3789"/>
      <c r="BH257" s="3789"/>
      <c r="BI257" s="3789"/>
      <c r="BJ257" s="3789"/>
      <c r="BK257" s="3789"/>
      <c r="BL257" s="3789"/>
      <c r="BM257" s="3789"/>
      <c r="BN257" s="3813"/>
      <c r="BP257" s="3789"/>
      <c r="BQ257" s="3789"/>
      <c r="BR257" s="3789"/>
      <c r="BS257" s="3789"/>
      <c r="BT257" s="3789"/>
      <c r="BU257" s="3789"/>
      <c r="BV257" s="3789"/>
      <c r="BW257" s="3789"/>
      <c r="BX257" s="3789"/>
      <c r="BY257" s="3789"/>
      <c r="BZ257" s="3789"/>
      <c r="CA257" s="3789"/>
      <c r="CB257" s="3813"/>
      <c r="CD257" s="3789"/>
      <c r="CE257" s="3789"/>
      <c r="CF257" s="3789"/>
      <c r="CG257" s="3789"/>
      <c r="CH257" s="3789"/>
      <c r="CI257" s="3789"/>
      <c r="CJ257" s="3789"/>
      <c r="CK257" s="3789"/>
      <c r="CL257" s="3789"/>
      <c r="CM257" s="3789"/>
      <c r="CN257" s="3789"/>
      <c r="CO257" s="3789"/>
      <c r="CP257" s="3813"/>
      <c r="CR257" s="3789"/>
      <c r="CS257" s="3789"/>
      <c r="CT257" s="3789"/>
      <c r="CU257" s="3789"/>
      <c r="CV257" s="3789"/>
      <c r="CW257" s="3789"/>
      <c r="CX257" s="3789"/>
      <c r="CY257" s="3789"/>
      <c r="CZ257" s="3789"/>
      <c r="DA257" s="3789"/>
      <c r="DB257" s="3789"/>
      <c r="DC257" s="3789"/>
      <c r="DD257" s="3813"/>
      <c r="DF257" s="3789"/>
      <c r="DG257" s="3789"/>
      <c r="DH257" s="3789"/>
      <c r="DI257" s="4052"/>
      <c r="DJ257" s="3826"/>
      <c r="DK257" s="153"/>
      <c r="DL257" s="3180"/>
      <c r="DN257" s="3889"/>
      <c r="DO257" s="3889"/>
      <c r="DP257" s="3893"/>
      <c r="DQ257" s="3893"/>
      <c r="DR257" s="3893" t="str">
        <f t="shared" si="386"/>
        <v/>
      </c>
      <c r="DS257" s="1037"/>
      <c r="DT257" s="1037"/>
    </row>
    <row r="258" spans="2:124" s="153" customFormat="1" hidden="1" outlineLevel="4">
      <c r="B258" s="2890"/>
      <c r="C258" s="2517"/>
      <c r="D258" s="2951"/>
      <c r="E258" s="704"/>
      <c r="F258" s="2951"/>
      <c r="G258" s="448"/>
      <c r="H258" s="1547"/>
      <c r="I258" s="544"/>
      <c r="J258" s="1495"/>
      <c r="K258" s="1037"/>
      <c r="L258" s="853"/>
      <c r="M258" s="853"/>
      <c r="N258" s="1496"/>
      <c r="O258" s="1496"/>
      <c r="P258" s="1496"/>
      <c r="Q258" s="1496"/>
      <c r="R258" s="1496"/>
      <c r="S258" s="1496"/>
      <c r="T258" s="1496"/>
      <c r="U258" s="1496"/>
      <c r="V258" s="1037"/>
      <c r="W258" s="1925"/>
      <c r="X258" s="1925"/>
      <c r="Y258" s="1925"/>
      <c r="Z258" s="1925"/>
      <c r="AA258" s="1925"/>
      <c r="AB258" s="2891"/>
      <c r="AC258" s="1037"/>
      <c r="AD258" s="2890"/>
      <c r="AE258" s="2517"/>
      <c r="AF258" s="2892"/>
      <c r="AG258" s="1927"/>
      <c r="AH258" s="2893"/>
      <c r="AI258" s="2894"/>
      <c r="AJ258" s="2895"/>
      <c r="AK258" s="1037"/>
      <c r="AL258" s="2894"/>
      <c r="AM258" s="2894"/>
      <c r="AN258" s="1931"/>
      <c r="AO258" s="1037"/>
      <c r="AP258" s="2894"/>
      <c r="AQ258" s="2894"/>
      <c r="AR258" s="2894"/>
      <c r="AS258" s="2894"/>
      <c r="AT258" s="2894"/>
      <c r="AU258" s="2894"/>
      <c r="AV258" s="2894"/>
      <c r="AW258" s="2894"/>
      <c r="AX258" s="2894"/>
      <c r="AY258" s="2894"/>
      <c r="AZ258" s="1931"/>
      <c r="BA258" s="1037"/>
      <c r="BB258" s="2894"/>
      <c r="BC258" s="2894"/>
      <c r="BD258" s="2894"/>
      <c r="BE258" s="2894"/>
      <c r="BF258" s="2894"/>
      <c r="BG258" s="2894"/>
      <c r="BH258" s="2894"/>
      <c r="BI258" s="2894"/>
      <c r="BJ258" s="2894"/>
      <c r="BK258" s="2894"/>
      <c r="BL258" s="2894"/>
      <c r="BM258" s="2894"/>
      <c r="BN258" s="1931"/>
      <c r="BO258" s="1037"/>
      <c r="BP258" s="2894"/>
      <c r="BQ258" s="2894"/>
      <c r="BR258" s="2894"/>
      <c r="BS258" s="2894"/>
      <c r="BT258" s="2894"/>
      <c r="BU258" s="2894"/>
      <c r="BV258" s="2894"/>
      <c r="BW258" s="2894"/>
      <c r="BX258" s="2894"/>
      <c r="BY258" s="2894"/>
      <c r="BZ258" s="2894"/>
      <c r="CA258" s="2894"/>
      <c r="CB258" s="1931"/>
      <c r="CC258" s="1037"/>
      <c r="CD258" s="2894"/>
      <c r="CE258" s="2894"/>
      <c r="CF258" s="2894"/>
      <c r="CG258" s="2894"/>
      <c r="CH258" s="2894"/>
      <c r="CI258" s="2894"/>
      <c r="CJ258" s="2894"/>
      <c r="CK258" s="2894"/>
      <c r="CL258" s="2894"/>
      <c r="CM258" s="2894"/>
      <c r="CN258" s="2894"/>
      <c r="CO258" s="2894"/>
      <c r="CP258" s="1931"/>
      <c r="CQ258" s="1037"/>
      <c r="CR258" s="2894"/>
      <c r="CS258" s="2894"/>
      <c r="CT258" s="2894"/>
      <c r="CU258" s="2894"/>
      <c r="CV258" s="2894"/>
      <c r="CW258" s="2894"/>
      <c r="CX258" s="2894"/>
      <c r="CY258" s="2894"/>
      <c r="CZ258" s="2894"/>
      <c r="DA258" s="2894"/>
      <c r="DB258" s="2894"/>
      <c r="DC258" s="2894"/>
      <c r="DD258" s="1931"/>
      <c r="DE258" s="1037"/>
      <c r="DF258" s="2894"/>
      <c r="DG258" s="2894"/>
      <c r="DH258" s="2894"/>
      <c r="DI258" s="3084"/>
      <c r="DJ258" s="3139"/>
      <c r="DL258" s="3180"/>
      <c r="DN258" s="2716"/>
      <c r="DO258" s="2740"/>
      <c r="DP258" s="2747"/>
      <c r="DQ258" s="2747" t="s">
        <v>5</v>
      </c>
      <c r="DR258" s="2747" t="str">
        <f t="shared" si="386"/>
        <v/>
      </c>
      <c r="DS258" s="1037"/>
      <c r="DT258" s="1037"/>
    </row>
    <row r="259" spans="2:124" ht="15" hidden="1" outlineLevel="5">
      <c r="B259" s="1381"/>
      <c r="C259" s="2896"/>
      <c r="D259" s="2950"/>
      <c r="E259" s="159"/>
      <c r="F259" s="2950"/>
      <c r="G259" s="441"/>
      <c r="H259" s="544"/>
      <c r="I259" s="533"/>
      <c r="J259" s="103"/>
      <c r="L259" s="364"/>
      <c r="M259" s="364"/>
      <c r="N259" s="365"/>
      <c r="O259" s="365"/>
      <c r="P259" s="365"/>
      <c r="Q259" s="365"/>
      <c r="R259" s="365"/>
      <c r="S259" s="365"/>
      <c r="T259" s="365"/>
      <c r="U259" s="365"/>
      <c r="W259" s="364"/>
      <c r="X259" s="364"/>
      <c r="Y259" s="364"/>
      <c r="Z259" s="364"/>
      <c r="AA259" s="364"/>
      <c r="AB259" s="3838"/>
      <c r="AD259" s="1381"/>
      <c r="AE259" s="712"/>
      <c r="AF259" s="179"/>
      <c r="AG259" s="179"/>
      <c r="AH259" s="1048"/>
      <c r="AI259" s="1048"/>
      <c r="AJ259" s="1400"/>
      <c r="AL259" s="1032"/>
      <c r="AM259" s="1032"/>
      <c r="AN259" s="1041"/>
      <c r="AP259" s="986"/>
      <c r="AQ259" s="986"/>
      <c r="AR259" s="986"/>
      <c r="AS259" s="986"/>
      <c r="AT259" s="986"/>
      <c r="AU259" s="986"/>
      <c r="AV259" s="986"/>
      <c r="AW259" s="986"/>
      <c r="AX259" s="986"/>
      <c r="AY259" s="986"/>
      <c r="AZ259" s="2011"/>
      <c r="BB259" s="986"/>
      <c r="BC259" s="986"/>
      <c r="BD259" s="986"/>
      <c r="BE259" s="986"/>
      <c r="BF259" s="986"/>
      <c r="BG259" s="986"/>
      <c r="BH259" s="986"/>
      <c r="BI259" s="986"/>
      <c r="BJ259" s="986"/>
      <c r="BK259" s="986"/>
      <c r="BL259" s="986"/>
      <c r="BM259" s="986"/>
      <c r="BN259" s="2011"/>
      <c r="BP259" s="986"/>
      <c r="BQ259" s="986"/>
      <c r="BR259" s="986"/>
      <c r="BS259" s="986"/>
      <c r="BT259" s="986"/>
      <c r="BU259" s="986"/>
      <c r="BV259" s="986"/>
      <c r="BW259" s="986"/>
      <c r="BX259" s="986"/>
      <c r="BY259" s="986"/>
      <c r="BZ259" s="986"/>
      <c r="CA259" s="986"/>
      <c r="CB259" s="2011"/>
      <c r="CD259" s="986"/>
      <c r="CE259" s="986"/>
      <c r="CF259" s="986"/>
      <c r="CG259" s="986"/>
      <c r="CH259" s="986"/>
      <c r="CI259" s="986"/>
      <c r="CJ259" s="986"/>
      <c r="CK259" s="986"/>
      <c r="CL259" s="986"/>
      <c r="CM259" s="986"/>
      <c r="CN259" s="986"/>
      <c r="CO259" s="986"/>
      <c r="CP259" s="2014"/>
      <c r="CR259" s="986"/>
      <c r="CS259" s="986"/>
      <c r="CT259" s="986"/>
      <c r="CU259" s="986"/>
      <c r="CV259" s="986"/>
      <c r="CW259" s="986"/>
      <c r="CX259" s="986"/>
      <c r="CY259" s="986"/>
      <c r="CZ259" s="986"/>
      <c r="DA259" s="986"/>
      <c r="DB259" s="986"/>
      <c r="DC259" s="986"/>
      <c r="DD259" s="2017"/>
      <c r="DF259" s="986"/>
      <c r="DG259" s="986"/>
      <c r="DH259" s="986"/>
      <c r="DI259" s="2017"/>
      <c r="DJ259" s="3143"/>
      <c r="DK259" s="153"/>
      <c r="DL259" s="3180"/>
      <c r="DN259" s="2716" t="s">
        <v>1283</v>
      </c>
      <c r="DO259" s="2740" t="s">
        <v>1284</v>
      </c>
      <c r="DP259" s="2747" t="s">
        <v>1117</v>
      </c>
      <c r="DQ259" s="2747" t="s">
        <v>5</v>
      </c>
      <c r="DR259" s="2747" t="str">
        <f t="shared" si="386"/>
        <v/>
      </c>
      <c r="DS259" s="1037"/>
      <c r="DT259" s="1037"/>
    </row>
    <row r="260" spans="2:124" ht="15" hidden="1" outlineLevel="5">
      <c r="B260" s="1381"/>
      <c r="C260" s="2896"/>
      <c r="D260" s="2950"/>
      <c r="E260" s="159"/>
      <c r="F260" s="2950"/>
      <c r="G260" s="441"/>
      <c r="H260" s="544"/>
      <c r="I260" s="533"/>
      <c r="J260" s="103"/>
      <c r="L260" s="364"/>
      <c r="M260" s="364"/>
      <c r="N260" s="365"/>
      <c r="O260" s="365"/>
      <c r="P260" s="365"/>
      <c r="Q260" s="365"/>
      <c r="R260" s="365"/>
      <c r="S260" s="365"/>
      <c r="T260" s="365"/>
      <c r="U260" s="365"/>
      <c r="W260" s="364"/>
      <c r="X260" s="364"/>
      <c r="Y260" s="364"/>
      <c r="Z260" s="364"/>
      <c r="AA260" s="364"/>
      <c r="AB260" s="3839"/>
      <c r="AD260" s="1381"/>
      <c r="AE260" s="712"/>
      <c r="AF260" s="179"/>
      <c r="AG260" s="179"/>
      <c r="AH260" s="1048"/>
      <c r="AI260" s="1048"/>
      <c r="AJ260" s="1400"/>
      <c r="AL260" s="1032"/>
      <c r="AM260" s="1032"/>
      <c r="AN260" s="1041"/>
      <c r="AP260" s="986"/>
      <c r="AQ260" s="986"/>
      <c r="AR260" s="986"/>
      <c r="AS260" s="986"/>
      <c r="AT260" s="986"/>
      <c r="AU260" s="986"/>
      <c r="AV260" s="986"/>
      <c r="AW260" s="986"/>
      <c r="AX260" s="986"/>
      <c r="AY260" s="986"/>
      <c r="AZ260" s="2011"/>
      <c r="BB260" s="986"/>
      <c r="BC260" s="986"/>
      <c r="BD260" s="986"/>
      <c r="BE260" s="986"/>
      <c r="BF260" s="986"/>
      <c r="BG260" s="986"/>
      <c r="BH260" s="986"/>
      <c r="BI260" s="986"/>
      <c r="BJ260" s="986"/>
      <c r="BK260" s="986"/>
      <c r="BL260" s="986"/>
      <c r="BM260" s="986"/>
      <c r="BN260" s="2011"/>
      <c r="BP260" s="986"/>
      <c r="BQ260" s="986"/>
      <c r="BR260" s="986"/>
      <c r="BS260" s="986"/>
      <c r="BT260" s="986"/>
      <c r="BU260" s="986"/>
      <c r="BV260" s="986"/>
      <c r="BW260" s="986"/>
      <c r="BX260" s="986"/>
      <c r="BY260" s="986"/>
      <c r="BZ260" s="986"/>
      <c r="CA260" s="986"/>
      <c r="CB260" s="2011"/>
      <c r="CD260" s="986"/>
      <c r="CE260" s="986"/>
      <c r="CF260" s="986"/>
      <c r="CG260" s="986"/>
      <c r="CH260" s="986"/>
      <c r="CI260" s="986"/>
      <c r="CJ260" s="986"/>
      <c r="CK260" s="986"/>
      <c r="CL260" s="986"/>
      <c r="CM260" s="986"/>
      <c r="CN260" s="986"/>
      <c r="CO260" s="986"/>
      <c r="CP260" s="2014"/>
      <c r="CR260" s="986"/>
      <c r="CS260" s="986"/>
      <c r="CT260" s="986"/>
      <c r="CU260" s="986"/>
      <c r="CV260" s="986"/>
      <c r="CW260" s="986"/>
      <c r="CX260" s="986"/>
      <c r="CY260" s="986"/>
      <c r="CZ260" s="986"/>
      <c r="DA260" s="986"/>
      <c r="DB260" s="986"/>
      <c r="DC260" s="986"/>
      <c r="DD260" s="2017"/>
      <c r="DF260" s="986"/>
      <c r="DG260" s="986"/>
      <c r="DH260" s="986"/>
      <c r="DI260" s="2017"/>
      <c r="DJ260" s="3143"/>
      <c r="DK260" s="153"/>
      <c r="DL260" s="3180"/>
      <c r="DN260" s="2716" t="s">
        <v>1283</v>
      </c>
      <c r="DO260" s="2740" t="s">
        <v>1284</v>
      </c>
      <c r="DP260" s="2747" t="s">
        <v>1117</v>
      </c>
      <c r="DQ260" s="2747" t="s">
        <v>5</v>
      </c>
      <c r="DR260" s="2747" t="str">
        <f t="shared" si="386"/>
        <v/>
      </c>
      <c r="DS260" s="1037"/>
      <c r="DT260" s="1037"/>
    </row>
    <row r="261" spans="2:124" ht="15" hidden="1" outlineLevel="5">
      <c r="B261" s="1381"/>
      <c r="C261" s="2896"/>
      <c r="D261" s="2950"/>
      <c r="E261" s="159"/>
      <c r="F261" s="2950"/>
      <c r="G261" s="441"/>
      <c r="H261" s="544"/>
      <c r="I261" s="533"/>
      <c r="J261" s="103"/>
      <c r="L261" s="364"/>
      <c r="M261" s="364"/>
      <c r="N261" s="365"/>
      <c r="O261" s="365"/>
      <c r="P261" s="365"/>
      <c r="Q261" s="365"/>
      <c r="R261" s="365"/>
      <c r="S261" s="365"/>
      <c r="T261" s="365"/>
      <c r="U261" s="365"/>
      <c r="W261" s="364"/>
      <c r="X261" s="364"/>
      <c r="Y261" s="364"/>
      <c r="Z261" s="364"/>
      <c r="AA261" s="364"/>
      <c r="AB261" s="3839"/>
      <c r="AD261" s="1381"/>
      <c r="AE261" s="1382"/>
      <c r="AF261" s="1383"/>
      <c r="AG261" s="179"/>
      <c r="AH261" s="1048"/>
      <c r="AI261" s="1048"/>
      <c r="AJ261" s="1400"/>
      <c r="AL261" s="1032"/>
      <c r="AM261" s="1032"/>
      <c r="AN261" s="1041"/>
      <c r="AP261" s="986"/>
      <c r="AQ261" s="986"/>
      <c r="AR261" s="986"/>
      <c r="AS261" s="986"/>
      <c r="AT261" s="986"/>
      <c r="AU261" s="986"/>
      <c r="AV261" s="986"/>
      <c r="AW261" s="986"/>
      <c r="AX261" s="986"/>
      <c r="AY261" s="986"/>
      <c r="AZ261" s="2011"/>
      <c r="BB261" s="986"/>
      <c r="BC261" s="986"/>
      <c r="BD261" s="986"/>
      <c r="BE261" s="986"/>
      <c r="BF261" s="986"/>
      <c r="BG261" s="986"/>
      <c r="BH261" s="986"/>
      <c r="BI261" s="986"/>
      <c r="BJ261" s="986"/>
      <c r="BK261" s="986"/>
      <c r="BL261" s="986"/>
      <c r="BM261" s="986"/>
      <c r="BN261" s="2011"/>
      <c r="BP261" s="986"/>
      <c r="BQ261" s="986"/>
      <c r="BR261" s="986"/>
      <c r="BS261" s="986"/>
      <c r="BT261" s="986"/>
      <c r="BU261" s="986"/>
      <c r="BV261" s="986"/>
      <c r="BW261" s="986"/>
      <c r="BX261" s="986"/>
      <c r="BY261" s="986"/>
      <c r="BZ261" s="986"/>
      <c r="CA261" s="986"/>
      <c r="CB261" s="2011"/>
      <c r="CD261" s="986"/>
      <c r="CE261" s="986"/>
      <c r="CF261" s="986"/>
      <c r="CG261" s="986"/>
      <c r="CH261" s="986"/>
      <c r="CI261" s="986"/>
      <c r="CJ261" s="986"/>
      <c r="CK261" s="986"/>
      <c r="CL261" s="986"/>
      <c r="CM261" s="986"/>
      <c r="CN261" s="986"/>
      <c r="CO261" s="986"/>
      <c r="CP261" s="2014"/>
      <c r="CR261" s="986"/>
      <c r="CS261" s="986"/>
      <c r="CT261" s="986"/>
      <c r="CU261" s="986"/>
      <c r="CV261" s="986"/>
      <c r="CW261" s="986"/>
      <c r="CX261" s="986"/>
      <c r="CY261" s="986"/>
      <c r="CZ261" s="986"/>
      <c r="DA261" s="986"/>
      <c r="DB261" s="986"/>
      <c r="DC261" s="986"/>
      <c r="DD261" s="2017"/>
      <c r="DF261" s="986"/>
      <c r="DG261" s="986"/>
      <c r="DH261" s="986"/>
      <c r="DI261" s="2017"/>
      <c r="DJ261" s="3143"/>
      <c r="DK261" s="153"/>
      <c r="DL261" s="3180"/>
      <c r="DN261" s="2716" t="s">
        <v>1283</v>
      </c>
      <c r="DO261" s="2740" t="s">
        <v>1284</v>
      </c>
      <c r="DP261" s="2747" t="s">
        <v>1117</v>
      </c>
      <c r="DQ261" s="2747" t="s">
        <v>5</v>
      </c>
      <c r="DR261" s="2747" t="str">
        <f t="shared" si="386"/>
        <v/>
      </c>
      <c r="DS261" s="1037"/>
      <c r="DT261" s="1037"/>
    </row>
    <row r="262" spans="2:124" ht="15" hidden="1" outlineLevel="5">
      <c r="B262" s="1381"/>
      <c r="C262" s="2896"/>
      <c r="D262" s="2950"/>
      <c r="E262" s="159"/>
      <c r="F262" s="2950"/>
      <c r="G262" s="441"/>
      <c r="H262" s="544"/>
      <c r="I262" s="533"/>
      <c r="J262" s="103"/>
      <c r="L262" s="364"/>
      <c r="M262" s="364"/>
      <c r="N262" s="365"/>
      <c r="O262" s="365"/>
      <c r="P262" s="365"/>
      <c r="Q262" s="365"/>
      <c r="R262" s="365"/>
      <c r="S262" s="365"/>
      <c r="T262" s="365"/>
      <c r="U262" s="365"/>
      <c r="W262" s="364"/>
      <c r="X262" s="364"/>
      <c r="Y262" s="364"/>
      <c r="Z262" s="364"/>
      <c r="AA262" s="364"/>
      <c r="AB262" s="3840"/>
      <c r="AD262" s="1381"/>
      <c r="AE262" s="1382"/>
      <c r="AF262" s="1383"/>
      <c r="AG262" s="179"/>
      <c r="AH262" s="1048"/>
      <c r="AI262" s="1048"/>
      <c r="AJ262" s="1400"/>
      <c r="AL262" s="1032"/>
      <c r="AM262" s="1032"/>
      <c r="AN262" s="1041"/>
      <c r="AP262" s="986"/>
      <c r="AQ262" s="986"/>
      <c r="AR262" s="986"/>
      <c r="AS262" s="986"/>
      <c r="AT262" s="986"/>
      <c r="AU262" s="986"/>
      <c r="AV262" s="986"/>
      <c r="AW262" s="986"/>
      <c r="AX262" s="986"/>
      <c r="AY262" s="986"/>
      <c r="AZ262" s="2011"/>
      <c r="BB262" s="986"/>
      <c r="BC262" s="986"/>
      <c r="BD262" s="986"/>
      <c r="BE262" s="986"/>
      <c r="BF262" s="986"/>
      <c r="BG262" s="986"/>
      <c r="BH262" s="986"/>
      <c r="BI262" s="986"/>
      <c r="BJ262" s="986"/>
      <c r="BK262" s="986"/>
      <c r="BL262" s="986"/>
      <c r="BM262" s="986"/>
      <c r="BN262" s="2011"/>
      <c r="BP262" s="986"/>
      <c r="BQ262" s="986"/>
      <c r="BR262" s="986"/>
      <c r="BS262" s="986"/>
      <c r="BT262" s="986"/>
      <c r="BU262" s="986"/>
      <c r="BV262" s="986"/>
      <c r="BW262" s="986"/>
      <c r="BX262" s="986"/>
      <c r="BY262" s="986"/>
      <c r="BZ262" s="986"/>
      <c r="CA262" s="986"/>
      <c r="CB262" s="2011"/>
      <c r="CD262" s="986"/>
      <c r="CE262" s="986"/>
      <c r="CF262" s="986"/>
      <c r="CG262" s="986"/>
      <c r="CH262" s="986"/>
      <c r="CI262" s="986"/>
      <c r="CJ262" s="986"/>
      <c r="CK262" s="986"/>
      <c r="CL262" s="986"/>
      <c r="CM262" s="986"/>
      <c r="CN262" s="986"/>
      <c r="CO262" s="986"/>
      <c r="CP262" s="2014"/>
      <c r="CR262" s="986"/>
      <c r="CS262" s="986"/>
      <c r="CT262" s="986"/>
      <c r="CU262" s="986"/>
      <c r="CV262" s="986"/>
      <c r="CW262" s="986"/>
      <c r="CX262" s="986"/>
      <c r="CY262" s="986"/>
      <c r="CZ262" s="986"/>
      <c r="DA262" s="986"/>
      <c r="DB262" s="986"/>
      <c r="DC262" s="986"/>
      <c r="DD262" s="2017"/>
      <c r="DF262" s="986"/>
      <c r="DG262" s="986"/>
      <c r="DH262" s="986"/>
      <c r="DI262" s="2017"/>
      <c r="DJ262" s="3143"/>
      <c r="DK262" s="153"/>
      <c r="DL262" s="3180"/>
      <c r="DN262" s="2716" t="s">
        <v>1283</v>
      </c>
      <c r="DO262" s="2740" t="s">
        <v>1284</v>
      </c>
      <c r="DP262" s="2747" t="s">
        <v>1117</v>
      </c>
      <c r="DQ262" s="2747" t="s">
        <v>5</v>
      </c>
      <c r="DR262" s="2747" t="str">
        <f t="shared" si="386"/>
        <v/>
      </c>
      <c r="DS262" s="1037"/>
      <c r="DT262" s="1037"/>
    </row>
    <row r="263" spans="2:124" ht="15" hidden="1" outlineLevel="4">
      <c r="B263" s="1381"/>
      <c r="C263" s="2896"/>
      <c r="D263" s="2950"/>
      <c r="E263" s="159"/>
      <c r="F263" s="2950"/>
      <c r="G263" s="441"/>
      <c r="H263" s="544"/>
      <c r="I263" s="533"/>
      <c r="J263" s="103"/>
      <c r="L263" s="364"/>
      <c r="M263" s="364"/>
      <c r="N263" s="365"/>
      <c r="O263" s="365"/>
      <c r="P263" s="365"/>
      <c r="Q263" s="365"/>
      <c r="R263" s="365"/>
      <c r="S263" s="365"/>
      <c r="T263" s="365"/>
      <c r="U263" s="365"/>
      <c r="W263" s="364"/>
      <c r="X263" s="364"/>
      <c r="Y263" s="364"/>
      <c r="Z263" s="364"/>
      <c r="AA263" s="364"/>
      <c r="AB263" s="1459"/>
      <c r="AD263" s="1381"/>
      <c r="AE263" s="1382"/>
      <c r="AF263" s="1383"/>
      <c r="AG263" s="179"/>
      <c r="AH263" s="1048"/>
      <c r="AI263" s="1048"/>
      <c r="AJ263" s="1400"/>
      <c r="AL263" s="1032"/>
      <c r="AM263" s="1032"/>
      <c r="AN263" s="1041"/>
      <c r="AP263" s="986"/>
      <c r="AQ263" s="986"/>
      <c r="AR263" s="986"/>
      <c r="AS263" s="986"/>
      <c r="AT263" s="986"/>
      <c r="AU263" s="986"/>
      <c r="AV263" s="986"/>
      <c r="AW263" s="986"/>
      <c r="AX263" s="986"/>
      <c r="AY263" s="986"/>
      <c r="AZ263" s="2011"/>
      <c r="BB263" s="986"/>
      <c r="BC263" s="986"/>
      <c r="BD263" s="986"/>
      <c r="BE263" s="986"/>
      <c r="BF263" s="986"/>
      <c r="BG263" s="986"/>
      <c r="BH263" s="986"/>
      <c r="BI263" s="986"/>
      <c r="BJ263" s="986"/>
      <c r="BK263" s="986"/>
      <c r="BL263" s="986"/>
      <c r="BM263" s="986"/>
      <c r="BN263" s="2011"/>
      <c r="BP263" s="986"/>
      <c r="BQ263" s="986"/>
      <c r="BR263" s="986"/>
      <c r="BS263" s="986"/>
      <c r="BT263" s="986"/>
      <c r="BU263" s="986"/>
      <c r="BV263" s="986"/>
      <c r="BW263" s="986"/>
      <c r="BX263" s="986"/>
      <c r="BY263" s="986"/>
      <c r="BZ263" s="986"/>
      <c r="CA263" s="986"/>
      <c r="CB263" s="2011"/>
      <c r="CD263" s="986"/>
      <c r="CE263" s="986"/>
      <c r="CF263" s="986"/>
      <c r="CG263" s="986"/>
      <c r="CH263" s="986"/>
      <c r="CI263" s="986"/>
      <c r="CJ263" s="986"/>
      <c r="CK263" s="986"/>
      <c r="CL263" s="986"/>
      <c r="CM263" s="986"/>
      <c r="CN263" s="986"/>
      <c r="CO263" s="986"/>
      <c r="CP263" s="2014"/>
      <c r="CR263" s="986"/>
      <c r="CS263" s="986"/>
      <c r="CT263" s="986"/>
      <c r="CU263" s="986"/>
      <c r="CV263" s="986"/>
      <c r="CW263" s="986"/>
      <c r="CX263" s="986"/>
      <c r="CY263" s="986"/>
      <c r="CZ263" s="986"/>
      <c r="DA263" s="986"/>
      <c r="DB263" s="986"/>
      <c r="DC263" s="986"/>
      <c r="DD263" s="2017"/>
      <c r="DF263" s="986"/>
      <c r="DG263" s="986"/>
      <c r="DH263" s="986"/>
      <c r="DI263" s="2017"/>
      <c r="DJ263" s="3143"/>
      <c r="DK263" s="153"/>
      <c r="DL263" s="3180"/>
      <c r="DN263" s="2716" t="s">
        <v>1283</v>
      </c>
      <c r="DO263" s="2740" t="s">
        <v>1284</v>
      </c>
      <c r="DP263" s="2747" t="s">
        <v>1117</v>
      </c>
      <c r="DQ263" s="2747" t="s">
        <v>5</v>
      </c>
      <c r="DR263" s="2747" t="str">
        <f t="shared" si="386"/>
        <v/>
      </c>
      <c r="DS263" s="1037"/>
      <c r="DT263" s="1037"/>
    </row>
    <row r="264" spans="2:124" hidden="1" outlineLevel="3">
      <c r="B264" s="1381"/>
      <c r="C264" s="2896"/>
      <c r="D264" s="2950"/>
      <c r="E264" s="159"/>
      <c r="F264" s="2950"/>
      <c r="G264" s="441"/>
      <c r="H264" s="544"/>
      <c r="I264" s="533"/>
      <c r="J264" s="103"/>
      <c r="L264" s="364"/>
      <c r="M264" s="364"/>
      <c r="N264" s="365"/>
      <c r="O264" s="365"/>
      <c r="P264" s="365"/>
      <c r="Q264" s="365"/>
      <c r="R264" s="365"/>
      <c r="S264" s="365"/>
      <c r="T264" s="365"/>
      <c r="U264" s="365"/>
      <c r="W264" s="364"/>
      <c r="X264" s="364"/>
      <c r="Y264" s="364"/>
      <c r="Z264" s="364"/>
      <c r="AA264" s="364"/>
      <c r="AB264" s="1459"/>
      <c r="AD264" s="1381"/>
      <c r="AE264" s="1382"/>
      <c r="AF264" s="1383"/>
      <c r="AG264" s="179"/>
      <c r="AH264" s="1048"/>
      <c r="AI264" s="1048"/>
      <c r="AJ264" s="1400"/>
      <c r="AL264" s="1032"/>
      <c r="AM264" s="1032"/>
      <c r="AN264" s="1041"/>
      <c r="AP264" s="986"/>
      <c r="AQ264" s="986"/>
      <c r="AR264" s="986"/>
      <c r="AS264" s="986"/>
      <c r="AT264" s="986"/>
      <c r="AU264" s="986"/>
      <c r="AV264" s="986"/>
      <c r="AW264" s="986"/>
      <c r="AX264" s="986"/>
      <c r="AY264" s="986"/>
      <c r="AZ264" s="2011"/>
      <c r="BB264" s="986"/>
      <c r="BC264" s="986"/>
      <c r="BD264" s="986"/>
      <c r="BE264" s="986"/>
      <c r="BF264" s="986"/>
      <c r="BG264" s="986"/>
      <c r="BH264" s="986"/>
      <c r="BI264" s="986"/>
      <c r="BJ264" s="986"/>
      <c r="BK264" s="986"/>
      <c r="BL264" s="986"/>
      <c r="BM264" s="986"/>
      <c r="BN264" s="2011"/>
      <c r="BP264" s="986"/>
      <c r="BQ264" s="986"/>
      <c r="BR264" s="986"/>
      <c r="BS264" s="986"/>
      <c r="BT264" s="986"/>
      <c r="BU264" s="986"/>
      <c r="BV264" s="986"/>
      <c r="BW264" s="986"/>
      <c r="BX264" s="986"/>
      <c r="BY264" s="986"/>
      <c r="BZ264" s="986"/>
      <c r="CA264" s="986"/>
      <c r="CB264" s="2011"/>
      <c r="CD264" s="986"/>
      <c r="CE264" s="986"/>
      <c r="CF264" s="986"/>
      <c r="CG264" s="986"/>
      <c r="CH264" s="986"/>
      <c r="CI264" s="986"/>
      <c r="CJ264" s="986"/>
      <c r="CK264" s="986"/>
      <c r="CL264" s="986"/>
      <c r="CM264" s="986"/>
      <c r="CN264" s="986"/>
      <c r="CO264" s="986"/>
      <c r="CP264" s="2014"/>
      <c r="CR264" s="986"/>
      <c r="CS264" s="986"/>
      <c r="CT264" s="986"/>
      <c r="CU264" s="986"/>
      <c r="CV264" s="986"/>
      <c r="CW264" s="986"/>
      <c r="CX264" s="986"/>
      <c r="CY264" s="986"/>
      <c r="CZ264" s="986"/>
      <c r="DA264" s="986"/>
      <c r="DB264" s="986"/>
      <c r="DC264" s="986"/>
      <c r="DD264" s="2017"/>
      <c r="DF264" s="986"/>
      <c r="DG264" s="986"/>
      <c r="DH264" s="986"/>
      <c r="DI264" s="2017"/>
      <c r="DJ264" s="3143"/>
      <c r="DK264" s="153"/>
      <c r="DL264" s="3180"/>
      <c r="DN264" s="2749" t="s">
        <v>1175</v>
      </c>
      <c r="DO264" s="2747" t="s">
        <v>1175</v>
      </c>
      <c r="DP264" s="2747"/>
      <c r="DQ264" s="2747" t="s">
        <v>1175</v>
      </c>
      <c r="DR264" s="2747" t="str">
        <f t="shared" si="386"/>
        <v/>
      </c>
      <c r="DS264" s="1037"/>
      <c r="DT264" s="1037"/>
    </row>
    <row r="265" spans="2:124" s="153" customFormat="1" ht="15" hidden="1" outlineLevel="2">
      <c r="B265" s="106"/>
      <c r="C265" s="172"/>
      <c r="D265" s="2945"/>
      <c r="E265" s="704"/>
      <c r="F265" s="2945"/>
      <c r="G265" s="171"/>
      <c r="H265" s="538"/>
      <c r="I265" s="538"/>
      <c r="J265" s="175"/>
      <c r="K265" s="1037"/>
      <c r="L265" s="358"/>
      <c r="M265" s="358"/>
      <c r="N265" s="358"/>
      <c r="O265" s="358"/>
      <c r="P265" s="358"/>
      <c r="Q265" s="358"/>
      <c r="R265" s="358"/>
      <c r="S265" s="358"/>
      <c r="T265" s="358"/>
      <c r="U265" s="358"/>
      <c r="V265" s="1037"/>
      <c r="W265" s="854"/>
      <c r="X265" s="358"/>
      <c r="Y265" s="358"/>
      <c r="Z265" s="358"/>
      <c r="AA265" s="358"/>
      <c r="AB265" s="106"/>
      <c r="AC265" s="1037"/>
      <c r="AD265" s="106"/>
      <c r="AE265" s="172"/>
      <c r="AF265" s="172"/>
      <c r="AG265" s="172"/>
      <c r="AH265" s="176"/>
      <c r="AI265" s="176"/>
      <c r="AJ265" s="692"/>
      <c r="AK265" s="1037"/>
      <c r="AL265" s="176"/>
      <c r="AM265" s="176"/>
      <c r="AN265" s="176"/>
      <c r="AO265" s="1037"/>
      <c r="AP265" s="176"/>
      <c r="AQ265" s="176"/>
      <c r="AR265" s="176"/>
      <c r="AS265" s="176"/>
      <c r="AT265" s="176"/>
      <c r="AU265" s="176"/>
      <c r="AV265" s="176"/>
      <c r="AW265" s="176"/>
      <c r="AX265" s="176"/>
      <c r="AY265" s="176"/>
      <c r="AZ265" s="176"/>
      <c r="BA265" s="1037"/>
      <c r="BB265" s="176"/>
      <c r="BC265" s="176"/>
      <c r="BD265" s="176"/>
      <c r="BE265" s="176"/>
      <c r="BF265" s="176"/>
      <c r="BG265" s="176"/>
      <c r="BH265" s="176"/>
      <c r="BI265" s="176"/>
      <c r="BJ265" s="176"/>
      <c r="BK265" s="176"/>
      <c r="BL265" s="176"/>
      <c r="BM265" s="176"/>
      <c r="BN265" s="176"/>
      <c r="BO265" s="1037"/>
      <c r="BP265" s="176"/>
      <c r="BQ265" s="176"/>
      <c r="BR265" s="176"/>
      <c r="BS265" s="176"/>
      <c r="BT265" s="176"/>
      <c r="BU265" s="176"/>
      <c r="BV265" s="176"/>
      <c r="BW265" s="176"/>
      <c r="BX265" s="176"/>
      <c r="BY265" s="176"/>
      <c r="BZ265" s="176"/>
      <c r="CA265" s="176"/>
      <c r="CB265" s="176"/>
      <c r="CC265" s="1037"/>
      <c r="CD265" s="176"/>
      <c r="CE265" s="176"/>
      <c r="CF265" s="176"/>
      <c r="CG265" s="176"/>
      <c r="CH265" s="176"/>
      <c r="CI265" s="176"/>
      <c r="CJ265" s="176"/>
      <c r="CK265" s="176"/>
      <c r="CL265" s="176"/>
      <c r="CM265" s="176"/>
      <c r="CN265" s="176"/>
      <c r="CO265" s="176"/>
      <c r="CP265" s="176"/>
      <c r="CQ265" s="1037"/>
      <c r="CR265" s="176"/>
      <c r="CS265" s="176"/>
      <c r="CT265" s="176"/>
      <c r="CU265" s="176"/>
      <c r="CV265" s="176"/>
      <c r="CW265" s="176"/>
      <c r="CX265" s="176"/>
      <c r="CY265" s="176"/>
      <c r="CZ265" s="176"/>
      <c r="DA265" s="176"/>
      <c r="DB265" s="176"/>
      <c r="DC265" s="176"/>
      <c r="DD265" s="176"/>
      <c r="DE265" s="1037"/>
      <c r="DF265" s="176"/>
      <c r="DG265" s="176"/>
      <c r="DH265" s="176"/>
      <c r="DI265" s="3082"/>
      <c r="DJ265" s="3154"/>
      <c r="DL265" s="3180"/>
      <c r="DN265" s="2723" t="s">
        <v>1175</v>
      </c>
      <c r="DO265" s="2724" t="s">
        <v>1175</v>
      </c>
      <c r="DP265" s="2724"/>
      <c r="DQ265" s="2724" t="s">
        <v>1175</v>
      </c>
      <c r="DR265" s="2724" t="str">
        <f t="shared" si="386"/>
        <v/>
      </c>
      <c r="DS265" s="1037"/>
      <c r="DT265" s="1037"/>
    </row>
    <row r="266" spans="2:124" s="2353" customFormat="1" ht="15" hidden="1" outlineLevel="3">
      <c r="B266" s="2897"/>
      <c r="C266" s="2323"/>
      <c r="D266" s="2952"/>
      <c r="E266" s="2655"/>
      <c r="F266" s="2952"/>
      <c r="G266" s="1656"/>
      <c r="H266" s="2701"/>
      <c r="I266" s="1658"/>
      <c r="J266" s="1622"/>
      <c r="K266" s="2862"/>
      <c r="L266" s="1619"/>
      <c r="M266" s="1619"/>
      <c r="N266" s="1619"/>
      <c r="O266" s="1619"/>
      <c r="P266" s="1619"/>
      <c r="Q266" s="1619"/>
      <c r="R266" s="1619"/>
      <c r="S266" s="1619"/>
      <c r="T266" s="1619"/>
      <c r="U266" s="1619"/>
      <c r="V266" s="2862"/>
      <c r="W266" s="1662"/>
      <c r="X266" s="1662"/>
      <c r="Y266" s="1662"/>
      <c r="Z266" s="1662"/>
      <c r="AA266" s="1662"/>
      <c r="AB266" s="2897"/>
      <c r="AC266" s="2862"/>
      <c r="AD266" s="2897"/>
      <c r="AE266" s="2323"/>
      <c r="AF266" s="2323"/>
      <c r="AG266" s="2323"/>
      <c r="AH266" s="2350"/>
      <c r="AI266" s="2350"/>
      <c r="AJ266" s="2351"/>
      <c r="AK266" s="2862"/>
      <c r="AL266" s="2350"/>
      <c r="AM266" s="2350"/>
      <c r="AN266" s="2350"/>
      <c r="AO266" s="2862"/>
      <c r="AP266" s="2350"/>
      <c r="AQ266" s="2350"/>
      <c r="AR266" s="2350"/>
      <c r="AS266" s="2350"/>
      <c r="AT266" s="2350"/>
      <c r="AU266" s="2350"/>
      <c r="AV266" s="2350"/>
      <c r="AW266" s="2350"/>
      <c r="AX266" s="2350"/>
      <c r="AY266" s="2350"/>
      <c r="AZ266" s="2352"/>
      <c r="BA266" s="1037"/>
      <c r="BB266" s="2350"/>
      <c r="BC266" s="2350"/>
      <c r="BD266" s="2350"/>
      <c r="BE266" s="2350"/>
      <c r="BF266" s="2350"/>
      <c r="BG266" s="2350"/>
      <c r="BH266" s="2350"/>
      <c r="BI266" s="2350"/>
      <c r="BJ266" s="2350"/>
      <c r="BK266" s="2350"/>
      <c r="BL266" s="2350"/>
      <c r="BM266" s="2350"/>
      <c r="BN266" s="2352"/>
      <c r="BO266" s="2862"/>
      <c r="BP266" s="2350"/>
      <c r="BQ266" s="2350"/>
      <c r="BR266" s="2350"/>
      <c r="BS266" s="2350"/>
      <c r="BT266" s="2350"/>
      <c r="BU266" s="2350"/>
      <c r="BV266" s="2350"/>
      <c r="BW266" s="2350"/>
      <c r="BX266" s="2350"/>
      <c r="BY266" s="2350"/>
      <c r="BZ266" s="2350"/>
      <c r="CA266" s="2350"/>
      <c r="CB266" s="2352"/>
      <c r="CC266" s="2862"/>
      <c r="CD266" s="2350"/>
      <c r="CE266" s="2350"/>
      <c r="CF266" s="2350"/>
      <c r="CG266" s="2350"/>
      <c r="CH266" s="2350"/>
      <c r="CI266" s="2350"/>
      <c r="CJ266" s="2350"/>
      <c r="CK266" s="2350"/>
      <c r="CL266" s="2350"/>
      <c r="CM266" s="2350"/>
      <c r="CN266" s="2350"/>
      <c r="CO266" s="2350"/>
      <c r="CP266" s="2352"/>
      <c r="CQ266" s="2862"/>
      <c r="CR266" s="2350"/>
      <c r="CS266" s="2350"/>
      <c r="CT266" s="2350"/>
      <c r="CU266" s="2350"/>
      <c r="CV266" s="2350"/>
      <c r="CW266" s="2350"/>
      <c r="CX266" s="2350"/>
      <c r="CY266" s="2350"/>
      <c r="CZ266" s="2350"/>
      <c r="DA266" s="2350"/>
      <c r="DB266" s="2350"/>
      <c r="DC266" s="2350"/>
      <c r="DD266" s="2352"/>
      <c r="DE266" s="2862"/>
      <c r="DF266" s="2350"/>
      <c r="DG266" s="2350"/>
      <c r="DH266" s="2350"/>
      <c r="DI266" s="3098"/>
      <c r="DJ266" s="3155"/>
      <c r="DL266" s="3183"/>
      <c r="DN266" s="2767" t="s">
        <v>1283</v>
      </c>
      <c r="DO266" s="2768" t="s">
        <v>1284</v>
      </c>
      <c r="DP266" s="2769" t="s">
        <v>1117</v>
      </c>
      <c r="DQ266" s="2769" t="s">
        <v>5</v>
      </c>
      <c r="DR266" s="2769" t="str">
        <f t="shared" si="386"/>
        <v/>
      </c>
      <c r="DS266" s="2862"/>
      <c r="DT266" s="2862"/>
    </row>
    <row r="267" spans="2:124" ht="15" hidden="1" outlineLevel="3">
      <c r="B267" s="3903"/>
      <c r="C267" s="2711"/>
      <c r="D267" s="2953"/>
      <c r="E267" s="580"/>
      <c r="F267" s="2953"/>
      <c r="G267" s="702"/>
      <c r="H267" s="544"/>
      <c r="I267" s="533"/>
      <c r="J267" s="103"/>
      <c r="L267" s="364"/>
      <c r="M267" s="364"/>
      <c r="N267" s="365"/>
      <c r="O267" s="365"/>
      <c r="P267" s="365"/>
      <c r="Q267" s="365"/>
      <c r="R267" s="365"/>
      <c r="S267" s="365"/>
      <c r="T267" s="365"/>
      <c r="U267" s="365"/>
      <c r="W267" s="3897"/>
      <c r="X267" s="3897"/>
      <c r="Y267" s="3999"/>
      <c r="Z267" s="3897"/>
      <c r="AA267" s="852"/>
      <c r="AB267" s="3903"/>
      <c r="AD267" s="3903"/>
      <c r="AE267" s="3838"/>
      <c r="AF267" s="3838"/>
      <c r="AG267" s="3838"/>
      <c r="AH267" s="3906"/>
      <c r="AI267" s="3906"/>
      <c r="AJ267" s="3900"/>
      <c r="AL267" s="3906"/>
      <c r="AM267" s="3906"/>
      <c r="AN267" s="3906"/>
      <c r="AP267" s="3874"/>
      <c r="AQ267" s="3874"/>
      <c r="AR267" s="3874"/>
      <c r="AS267" s="3874"/>
      <c r="AT267" s="3874"/>
      <c r="AU267" s="3874"/>
      <c r="AV267" s="3874"/>
      <c r="AW267" s="3874"/>
      <c r="AX267" s="3874"/>
      <c r="AY267" s="3874"/>
      <c r="AZ267" s="3885"/>
      <c r="BB267" s="3874"/>
      <c r="BC267" s="3874"/>
      <c r="BD267" s="3874"/>
      <c r="BE267" s="3874"/>
      <c r="BF267" s="3874"/>
      <c r="BG267" s="3874"/>
      <c r="BH267" s="3874"/>
      <c r="BI267" s="3874"/>
      <c r="BJ267" s="3874"/>
      <c r="BK267" s="3874"/>
      <c r="BL267" s="3874"/>
      <c r="BM267" s="3874"/>
      <c r="BN267" s="3885"/>
      <c r="BP267" s="3874"/>
      <c r="BQ267" s="3874"/>
      <c r="BR267" s="3874"/>
      <c r="BS267" s="3874"/>
      <c r="BT267" s="3874"/>
      <c r="BU267" s="3874"/>
      <c r="BV267" s="3874"/>
      <c r="BW267" s="3874"/>
      <c r="BX267" s="3874"/>
      <c r="BY267" s="3874"/>
      <c r="BZ267" s="3874"/>
      <c r="CA267" s="3874"/>
      <c r="CB267" s="3885"/>
      <c r="CD267" s="3874"/>
      <c r="CE267" s="3874"/>
      <c r="CF267" s="3874"/>
      <c r="CG267" s="3874"/>
      <c r="CH267" s="3874"/>
      <c r="CI267" s="3874"/>
      <c r="CJ267" s="3874"/>
      <c r="CK267" s="3874"/>
      <c r="CL267" s="3874"/>
      <c r="CM267" s="3874"/>
      <c r="CN267" s="3874"/>
      <c r="CO267" s="3874"/>
      <c r="CP267" s="3885"/>
      <c r="CR267" s="3874"/>
      <c r="CS267" s="3874"/>
      <c r="CT267" s="3874"/>
      <c r="CU267" s="3874"/>
      <c r="CV267" s="3874"/>
      <c r="CW267" s="3874"/>
      <c r="CX267" s="3874"/>
      <c r="CY267" s="3874"/>
      <c r="CZ267" s="3874"/>
      <c r="DA267" s="3874"/>
      <c r="DB267" s="3874"/>
      <c r="DC267" s="3874"/>
      <c r="DD267" s="3885"/>
      <c r="DF267" s="3874"/>
      <c r="DG267" s="3874"/>
      <c r="DH267" s="3874"/>
      <c r="DI267" s="4017"/>
      <c r="DJ267" s="4039"/>
      <c r="DL267" s="3180"/>
      <c r="DN267" s="2716" t="s">
        <v>1283</v>
      </c>
      <c r="DO267" s="2740" t="s">
        <v>1284</v>
      </c>
      <c r="DP267" s="3888" t="s">
        <v>1117</v>
      </c>
      <c r="DQ267" s="3888" t="s">
        <v>5</v>
      </c>
      <c r="DR267" s="3888" t="str">
        <f t="shared" si="386"/>
        <v/>
      </c>
      <c r="DS267" s="1037"/>
      <c r="DT267" s="1037"/>
    </row>
    <row r="268" spans="2:124" ht="15" hidden="1" outlineLevel="3">
      <c r="B268" s="3933"/>
      <c r="C268" s="1479"/>
      <c r="D268" s="2953"/>
      <c r="E268" s="580"/>
      <c r="F268" s="2953"/>
      <c r="G268" s="702"/>
      <c r="H268" s="544"/>
      <c r="I268" s="533"/>
      <c r="J268" s="103"/>
      <c r="L268" s="364"/>
      <c r="M268" s="364"/>
      <c r="N268" s="365"/>
      <c r="O268" s="365"/>
      <c r="P268" s="365"/>
      <c r="Q268" s="365"/>
      <c r="R268" s="365"/>
      <c r="S268" s="365"/>
      <c r="T268" s="365"/>
      <c r="U268" s="365"/>
      <c r="W268" s="3898"/>
      <c r="X268" s="3898"/>
      <c r="Y268" s="4000"/>
      <c r="Z268" s="3898"/>
      <c r="AA268" s="1190"/>
      <c r="AB268" s="3933"/>
      <c r="AD268" s="3933"/>
      <c r="AE268" s="3839"/>
      <c r="AF268" s="3839"/>
      <c r="AG268" s="3839"/>
      <c r="AH268" s="3907"/>
      <c r="AI268" s="3907"/>
      <c r="AJ268" s="3901"/>
      <c r="AL268" s="3907"/>
      <c r="AM268" s="3907"/>
      <c r="AN268" s="3907"/>
      <c r="AP268" s="3875"/>
      <c r="AQ268" s="3875"/>
      <c r="AR268" s="3875"/>
      <c r="AS268" s="3875"/>
      <c r="AT268" s="3875"/>
      <c r="AU268" s="3875"/>
      <c r="AV268" s="3875"/>
      <c r="AW268" s="3875"/>
      <c r="AX268" s="3875"/>
      <c r="AY268" s="3875"/>
      <c r="AZ268" s="3886"/>
      <c r="BB268" s="3875"/>
      <c r="BC268" s="3875"/>
      <c r="BD268" s="3875"/>
      <c r="BE268" s="3875"/>
      <c r="BF268" s="3875"/>
      <c r="BG268" s="3875"/>
      <c r="BH268" s="3875"/>
      <c r="BI268" s="3875"/>
      <c r="BJ268" s="3875"/>
      <c r="BK268" s="3875"/>
      <c r="BL268" s="3875"/>
      <c r="BM268" s="3875"/>
      <c r="BN268" s="3886"/>
      <c r="BP268" s="3875"/>
      <c r="BQ268" s="3875"/>
      <c r="BR268" s="3875"/>
      <c r="BS268" s="3875"/>
      <c r="BT268" s="3875"/>
      <c r="BU268" s="3875"/>
      <c r="BV268" s="3875"/>
      <c r="BW268" s="3875"/>
      <c r="BX268" s="3875"/>
      <c r="BY268" s="3875"/>
      <c r="BZ268" s="3875"/>
      <c r="CA268" s="3875"/>
      <c r="CB268" s="3886"/>
      <c r="CD268" s="3875"/>
      <c r="CE268" s="3875"/>
      <c r="CF268" s="3875"/>
      <c r="CG268" s="3875"/>
      <c r="CH268" s="3875"/>
      <c r="CI268" s="3875"/>
      <c r="CJ268" s="3875"/>
      <c r="CK268" s="3875"/>
      <c r="CL268" s="3875"/>
      <c r="CM268" s="3875"/>
      <c r="CN268" s="3875"/>
      <c r="CO268" s="3875"/>
      <c r="CP268" s="3886"/>
      <c r="CR268" s="3875"/>
      <c r="CS268" s="3875"/>
      <c r="CT268" s="3875"/>
      <c r="CU268" s="3875"/>
      <c r="CV268" s="3875"/>
      <c r="CW268" s="3875"/>
      <c r="CX268" s="3875"/>
      <c r="CY268" s="3875"/>
      <c r="CZ268" s="3875"/>
      <c r="DA268" s="3875"/>
      <c r="DB268" s="3875"/>
      <c r="DC268" s="3875"/>
      <c r="DD268" s="3886"/>
      <c r="DF268" s="3875"/>
      <c r="DG268" s="3875"/>
      <c r="DH268" s="3875"/>
      <c r="DI268" s="4018"/>
      <c r="DJ268" s="4040"/>
      <c r="DL268" s="3180"/>
      <c r="DN268" s="2716" t="s">
        <v>1283</v>
      </c>
      <c r="DO268" s="2740" t="s">
        <v>1284</v>
      </c>
      <c r="DP268" s="3894"/>
      <c r="DQ268" s="3894"/>
      <c r="DR268" s="3894" t="str">
        <f t="shared" si="386"/>
        <v/>
      </c>
      <c r="DS268" s="1037"/>
      <c r="DT268" s="1037"/>
    </row>
    <row r="269" spans="2:124" ht="15" hidden="1" outlineLevel="3">
      <c r="B269" s="3933"/>
      <c r="C269" s="1479"/>
      <c r="D269" s="2953"/>
      <c r="E269" s="580"/>
      <c r="F269" s="2953"/>
      <c r="G269" s="702"/>
      <c r="H269" s="544"/>
      <c r="I269" s="533"/>
      <c r="J269" s="103"/>
      <c r="L269" s="364"/>
      <c r="M269" s="364"/>
      <c r="N269" s="365"/>
      <c r="O269" s="365"/>
      <c r="P269" s="365"/>
      <c r="Q269" s="365"/>
      <c r="R269" s="365"/>
      <c r="S269" s="365"/>
      <c r="T269" s="365"/>
      <c r="U269" s="365"/>
      <c r="W269" s="3898"/>
      <c r="X269" s="3898"/>
      <c r="Y269" s="4000"/>
      <c r="Z269" s="3898"/>
      <c r="AA269" s="1190"/>
      <c r="AB269" s="3933"/>
      <c r="AD269" s="3933"/>
      <c r="AE269" s="3839"/>
      <c r="AF269" s="3839"/>
      <c r="AG269" s="3839"/>
      <c r="AH269" s="3907"/>
      <c r="AI269" s="3907"/>
      <c r="AJ269" s="3901"/>
      <c r="AL269" s="3907"/>
      <c r="AM269" s="3907"/>
      <c r="AN269" s="3907"/>
      <c r="AP269" s="3875"/>
      <c r="AQ269" s="3875"/>
      <c r="AR269" s="3875"/>
      <c r="AS269" s="3875"/>
      <c r="AT269" s="3875"/>
      <c r="AU269" s="3875"/>
      <c r="AV269" s="3875"/>
      <c r="AW269" s="3875"/>
      <c r="AX269" s="3875"/>
      <c r="AY269" s="3875"/>
      <c r="AZ269" s="3886"/>
      <c r="BB269" s="3875"/>
      <c r="BC269" s="3875"/>
      <c r="BD269" s="3875"/>
      <c r="BE269" s="3875"/>
      <c r="BF269" s="3875"/>
      <c r="BG269" s="3875"/>
      <c r="BH269" s="3875"/>
      <c r="BI269" s="3875"/>
      <c r="BJ269" s="3875"/>
      <c r="BK269" s="3875"/>
      <c r="BL269" s="3875"/>
      <c r="BM269" s="3875"/>
      <c r="BN269" s="3886"/>
      <c r="BP269" s="3875"/>
      <c r="BQ269" s="3875"/>
      <c r="BR269" s="3875"/>
      <c r="BS269" s="3875"/>
      <c r="BT269" s="3875"/>
      <c r="BU269" s="3875"/>
      <c r="BV269" s="3875"/>
      <c r="BW269" s="3875"/>
      <c r="BX269" s="3875"/>
      <c r="BY269" s="3875"/>
      <c r="BZ269" s="3875"/>
      <c r="CA269" s="3875"/>
      <c r="CB269" s="3886"/>
      <c r="CD269" s="3875"/>
      <c r="CE269" s="3875"/>
      <c r="CF269" s="3875"/>
      <c r="CG269" s="3875"/>
      <c r="CH269" s="3875"/>
      <c r="CI269" s="3875"/>
      <c r="CJ269" s="3875"/>
      <c r="CK269" s="3875"/>
      <c r="CL269" s="3875"/>
      <c r="CM269" s="3875"/>
      <c r="CN269" s="3875"/>
      <c r="CO269" s="3875"/>
      <c r="CP269" s="3886"/>
      <c r="CR269" s="3875"/>
      <c r="CS269" s="3875"/>
      <c r="CT269" s="3875"/>
      <c r="CU269" s="3875"/>
      <c r="CV269" s="3875"/>
      <c r="CW269" s="3875"/>
      <c r="CX269" s="3875"/>
      <c r="CY269" s="3875"/>
      <c r="CZ269" s="3875"/>
      <c r="DA269" s="3875"/>
      <c r="DB269" s="3875"/>
      <c r="DC269" s="3875"/>
      <c r="DD269" s="3886"/>
      <c r="DF269" s="3875"/>
      <c r="DG269" s="3875"/>
      <c r="DH269" s="3875"/>
      <c r="DI269" s="4018"/>
      <c r="DJ269" s="4040"/>
      <c r="DL269" s="3180"/>
      <c r="DN269" s="2716" t="s">
        <v>1283</v>
      </c>
      <c r="DO269" s="2740" t="s">
        <v>1284</v>
      </c>
      <c r="DP269" s="3894"/>
      <c r="DQ269" s="3894"/>
      <c r="DR269" s="3894" t="str">
        <f t="shared" si="386"/>
        <v/>
      </c>
      <c r="DS269" s="1037"/>
      <c r="DT269" s="1037"/>
    </row>
    <row r="270" spans="2:124" ht="15" hidden="1" outlineLevel="3">
      <c r="B270" s="3933"/>
      <c r="C270" s="1479"/>
      <c r="D270" s="2953"/>
      <c r="E270" s="580"/>
      <c r="F270" s="2953"/>
      <c r="G270" s="702"/>
      <c r="H270" s="1547"/>
      <c r="I270" s="703"/>
      <c r="J270" s="103"/>
      <c r="L270" s="364"/>
      <c r="M270" s="364"/>
      <c r="N270" s="367"/>
      <c r="O270" s="367"/>
      <c r="P270" s="367"/>
      <c r="Q270" s="367"/>
      <c r="R270" s="367"/>
      <c r="S270" s="367"/>
      <c r="T270" s="367"/>
      <c r="U270" s="367"/>
      <c r="W270" s="3898"/>
      <c r="X270" s="3898"/>
      <c r="Y270" s="4000"/>
      <c r="Z270" s="3898"/>
      <c r="AA270" s="1190"/>
      <c r="AB270" s="3933"/>
      <c r="AD270" s="3933"/>
      <c r="AE270" s="3839"/>
      <c r="AF270" s="3839"/>
      <c r="AG270" s="3839"/>
      <c r="AH270" s="3907"/>
      <c r="AI270" s="3907"/>
      <c r="AJ270" s="3901"/>
      <c r="AL270" s="3907"/>
      <c r="AM270" s="3907"/>
      <c r="AN270" s="3907"/>
      <c r="AP270" s="3875"/>
      <c r="AQ270" s="3875"/>
      <c r="AR270" s="3875"/>
      <c r="AS270" s="3875"/>
      <c r="AT270" s="3875"/>
      <c r="AU270" s="3875"/>
      <c r="AV270" s="3875"/>
      <c r="AW270" s="3875"/>
      <c r="AX270" s="3875"/>
      <c r="AY270" s="3875"/>
      <c r="AZ270" s="3886"/>
      <c r="BB270" s="3875"/>
      <c r="BC270" s="3875"/>
      <c r="BD270" s="3875"/>
      <c r="BE270" s="3875"/>
      <c r="BF270" s="3875"/>
      <c r="BG270" s="3875"/>
      <c r="BH270" s="3875"/>
      <c r="BI270" s="3875"/>
      <c r="BJ270" s="3875"/>
      <c r="BK270" s="3875"/>
      <c r="BL270" s="3875"/>
      <c r="BM270" s="3875"/>
      <c r="BN270" s="3886"/>
      <c r="BP270" s="3875"/>
      <c r="BQ270" s="3875"/>
      <c r="BR270" s="3875"/>
      <c r="BS270" s="3875"/>
      <c r="BT270" s="3875"/>
      <c r="BU270" s="3875"/>
      <c r="BV270" s="3875"/>
      <c r="BW270" s="3875"/>
      <c r="BX270" s="3875"/>
      <c r="BY270" s="3875"/>
      <c r="BZ270" s="3875"/>
      <c r="CA270" s="3875"/>
      <c r="CB270" s="3886"/>
      <c r="CD270" s="3875"/>
      <c r="CE270" s="3875"/>
      <c r="CF270" s="3875"/>
      <c r="CG270" s="3875"/>
      <c r="CH270" s="3875"/>
      <c r="CI270" s="3875"/>
      <c r="CJ270" s="3875"/>
      <c r="CK270" s="3875"/>
      <c r="CL270" s="3875"/>
      <c r="CM270" s="3875"/>
      <c r="CN270" s="3875"/>
      <c r="CO270" s="3875"/>
      <c r="CP270" s="3886"/>
      <c r="CR270" s="3875"/>
      <c r="CS270" s="3875"/>
      <c r="CT270" s="3875"/>
      <c r="CU270" s="3875"/>
      <c r="CV270" s="3875"/>
      <c r="CW270" s="3875"/>
      <c r="CX270" s="3875"/>
      <c r="CY270" s="3875"/>
      <c r="CZ270" s="3875"/>
      <c r="DA270" s="3875"/>
      <c r="DB270" s="3875"/>
      <c r="DC270" s="3875"/>
      <c r="DD270" s="3886"/>
      <c r="DF270" s="3875"/>
      <c r="DG270" s="3875"/>
      <c r="DH270" s="3875"/>
      <c r="DI270" s="4018"/>
      <c r="DJ270" s="4040"/>
      <c r="DL270" s="3180"/>
      <c r="DN270" s="2716" t="s">
        <v>1283</v>
      </c>
      <c r="DO270" s="2740" t="s">
        <v>1284</v>
      </c>
      <c r="DP270" s="3894"/>
      <c r="DQ270" s="3894"/>
      <c r="DR270" s="3894" t="str">
        <f t="shared" si="386"/>
        <v/>
      </c>
      <c r="DS270" s="1037"/>
      <c r="DT270" s="1037"/>
    </row>
    <row r="271" spans="2:124" ht="15" hidden="1" outlineLevel="4">
      <c r="B271" s="3933"/>
      <c r="C271" s="1479"/>
      <c r="D271" s="2953"/>
      <c r="E271" s="580"/>
      <c r="F271" s="2953"/>
      <c r="G271" s="702"/>
      <c r="H271" s="1547"/>
      <c r="I271" s="533"/>
      <c r="J271" s="103"/>
      <c r="L271" s="364"/>
      <c r="M271" s="364"/>
      <c r="N271" s="365"/>
      <c r="O271" s="365"/>
      <c r="P271" s="365"/>
      <c r="Q271" s="365"/>
      <c r="R271" s="365"/>
      <c r="S271" s="365"/>
      <c r="T271" s="365"/>
      <c r="U271" s="365"/>
      <c r="W271" s="3898"/>
      <c r="X271" s="3898"/>
      <c r="Y271" s="4000"/>
      <c r="Z271" s="3898"/>
      <c r="AA271" s="1190"/>
      <c r="AB271" s="3933"/>
      <c r="AD271" s="3933"/>
      <c r="AE271" s="3839"/>
      <c r="AF271" s="3839"/>
      <c r="AG271" s="3839"/>
      <c r="AH271" s="3907"/>
      <c r="AI271" s="3907"/>
      <c r="AJ271" s="3901"/>
      <c r="AL271" s="3907"/>
      <c r="AM271" s="3907"/>
      <c r="AN271" s="3907"/>
      <c r="AP271" s="3875"/>
      <c r="AQ271" s="3875"/>
      <c r="AR271" s="3875"/>
      <c r="AS271" s="3875"/>
      <c r="AT271" s="3875"/>
      <c r="AU271" s="3875"/>
      <c r="AV271" s="3875"/>
      <c r="AW271" s="3875"/>
      <c r="AX271" s="3875"/>
      <c r="AY271" s="3875"/>
      <c r="AZ271" s="3886"/>
      <c r="BB271" s="3875"/>
      <c r="BC271" s="3875"/>
      <c r="BD271" s="3875"/>
      <c r="BE271" s="3875"/>
      <c r="BF271" s="3875"/>
      <c r="BG271" s="3875"/>
      <c r="BH271" s="3875"/>
      <c r="BI271" s="3875"/>
      <c r="BJ271" s="3875"/>
      <c r="BK271" s="3875"/>
      <c r="BL271" s="3875"/>
      <c r="BM271" s="3875"/>
      <c r="BN271" s="3886"/>
      <c r="BP271" s="3875"/>
      <c r="BQ271" s="3875"/>
      <c r="BR271" s="3875"/>
      <c r="BS271" s="3875"/>
      <c r="BT271" s="3875"/>
      <c r="BU271" s="3875"/>
      <c r="BV271" s="3875"/>
      <c r="BW271" s="3875"/>
      <c r="BX271" s="3875"/>
      <c r="BY271" s="3875"/>
      <c r="BZ271" s="3875"/>
      <c r="CA271" s="3875"/>
      <c r="CB271" s="3886"/>
      <c r="CD271" s="3875"/>
      <c r="CE271" s="3875"/>
      <c r="CF271" s="3875"/>
      <c r="CG271" s="3875"/>
      <c r="CH271" s="3875"/>
      <c r="CI271" s="3875"/>
      <c r="CJ271" s="3875"/>
      <c r="CK271" s="3875"/>
      <c r="CL271" s="3875"/>
      <c r="CM271" s="3875"/>
      <c r="CN271" s="3875"/>
      <c r="CO271" s="3875"/>
      <c r="CP271" s="3886"/>
      <c r="CR271" s="3875"/>
      <c r="CS271" s="3875"/>
      <c r="CT271" s="3875"/>
      <c r="CU271" s="3875"/>
      <c r="CV271" s="3875"/>
      <c r="CW271" s="3875"/>
      <c r="CX271" s="3875"/>
      <c r="CY271" s="3875"/>
      <c r="CZ271" s="3875"/>
      <c r="DA271" s="3875"/>
      <c r="DB271" s="3875"/>
      <c r="DC271" s="3875"/>
      <c r="DD271" s="3886"/>
      <c r="DF271" s="3875"/>
      <c r="DG271" s="3875"/>
      <c r="DH271" s="3875"/>
      <c r="DI271" s="4018"/>
      <c r="DJ271" s="4040"/>
      <c r="DL271" s="3180"/>
      <c r="DN271" s="2716" t="s">
        <v>1283</v>
      </c>
      <c r="DO271" s="2740" t="s">
        <v>1284</v>
      </c>
      <c r="DP271" s="3894"/>
      <c r="DQ271" s="3894"/>
      <c r="DR271" s="3894" t="str">
        <f t="shared" si="386"/>
        <v/>
      </c>
      <c r="DS271" s="1037"/>
      <c r="DT271" s="1037"/>
    </row>
    <row r="272" spans="2:124" ht="15" hidden="1" outlineLevel="4">
      <c r="B272" s="3933"/>
      <c r="C272" s="1479"/>
      <c r="D272" s="2953"/>
      <c r="E272" s="580"/>
      <c r="F272" s="2953"/>
      <c r="G272" s="702"/>
      <c r="H272" s="1547"/>
      <c r="I272" s="533"/>
      <c r="J272" s="103"/>
      <c r="L272" s="364"/>
      <c r="M272" s="364"/>
      <c r="N272" s="365"/>
      <c r="O272" s="365"/>
      <c r="P272" s="365"/>
      <c r="Q272" s="365"/>
      <c r="R272" s="365"/>
      <c r="S272" s="365"/>
      <c r="T272" s="365"/>
      <c r="U272" s="365"/>
      <c r="W272" s="3898"/>
      <c r="X272" s="3898"/>
      <c r="Y272" s="4000"/>
      <c r="Z272" s="3898"/>
      <c r="AA272" s="1190"/>
      <c r="AB272" s="3933"/>
      <c r="AD272" s="3933"/>
      <c r="AE272" s="3839"/>
      <c r="AF272" s="3839"/>
      <c r="AG272" s="3839"/>
      <c r="AH272" s="3907"/>
      <c r="AI272" s="3907"/>
      <c r="AJ272" s="3901"/>
      <c r="AL272" s="3907"/>
      <c r="AM272" s="3907"/>
      <c r="AN272" s="3907"/>
      <c r="AP272" s="3875"/>
      <c r="AQ272" s="3875"/>
      <c r="AR272" s="3875"/>
      <c r="AS272" s="3875"/>
      <c r="AT272" s="3875"/>
      <c r="AU272" s="3875"/>
      <c r="AV272" s="3875"/>
      <c r="AW272" s="3875"/>
      <c r="AX272" s="3875"/>
      <c r="AY272" s="3875"/>
      <c r="AZ272" s="3886"/>
      <c r="BB272" s="3875"/>
      <c r="BC272" s="3875"/>
      <c r="BD272" s="3875"/>
      <c r="BE272" s="3875"/>
      <c r="BF272" s="3875"/>
      <c r="BG272" s="3875"/>
      <c r="BH272" s="3875"/>
      <c r="BI272" s="3875"/>
      <c r="BJ272" s="3875"/>
      <c r="BK272" s="3875"/>
      <c r="BL272" s="3875"/>
      <c r="BM272" s="3875"/>
      <c r="BN272" s="3886"/>
      <c r="BP272" s="3875"/>
      <c r="BQ272" s="3875"/>
      <c r="BR272" s="3875"/>
      <c r="BS272" s="3875"/>
      <c r="BT272" s="3875"/>
      <c r="BU272" s="3875"/>
      <c r="BV272" s="3875"/>
      <c r="BW272" s="3875"/>
      <c r="BX272" s="3875"/>
      <c r="BY272" s="3875"/>
      <c r="BZ272" s="3875"/>
      <c r="CA272" s="3875"/>
      <c r="CB272" s="3886"/>
      <c r="CD272" s="3875"/>
      <c r="CE272" s="3875"/>
      <c r="CF272" s="3875"/>
      <c r="CG272" s="3875"/>
      <c r="CH272" s="3875"/>
      <c r="CI272" s="3875"/>
      <c r="CJ272" s="3875"/>
      <c r="CK272" s="3875"/>
      <c r="CL272" s="3875"/>
      <c r="CM272" s="3875"/>
      <c r="CN272" s="3875"/>
      <c r="CO272" s="3875"/>
      <c r="CP272" s="3886"/>
      <c r="CR272" s="3875"/>
      <c r="CS272" s="3875"/>
      <c r="CT272" s="3875"/>
      <c r="CU272" s="3875"/>
      <c r="CV272" s="3875"/>
      <c r="CW272" s="3875"/>
      <c r="CX272" s="3875"/>
      <c r="CY272" s="3875"/>
      <c r="CZ272" s="3875"/>
      <c r="DA272" s="3875"/>
      <c r="DB272" s="3875"/>
      <c r="DC272" s="3875"/>
      <c r="DD272" s="3886"/>
      <c r="DF272" s="3875"/>
      <c r="DG272" s="3875"/>
      <c r="DH272" s="3875"/>
      <c r="DI272" s="4018"/>
      <c r="DJ272" s="4040"/>
      <c r="DL272" s="3180"/>
      <c r="DN272" s="2716" t="s">
        <v>1283</v>
      </c>
      <c r="DO272" s="2740" t="s">
        <v>1284</v>
      </c>
      <c r="DP272" s="3894"/>
      <c r="DQ272" s="3894"/>
      <c r="DR272" s="3894" t="str">
        <f t="shared" si="386"/>
        <v/>
      </c>
      <c r="DS272" s="1037"/>
      <c r="DT272" s="1037"/>
    </row>
    <row r="273" spans="2:124" ht="15" hidden="1" outlineLevel="4">
      <c r="B273" s="3933"/>
      <c r="C273" s="1479"/>
      <c r="D273" s="2953"/>
      <c r="E273" s="580"/>
      <c r="F273" s="2953"/>
      <c r="G273" s="702"/>
      <c r="H273" s="1547"/>
      <c r="I273" s="533"/>
      <c r="J273" s="103"/>
      <c r="L273" s="364"/>
      <c r="M273" s="364"/>
      <c r="N273" s="365"/>
      <c r="O273" s="365"/>
      <c r="P273" s="365"/>
      <c r="Q273" s="365"/>
      <c r="R273" s="365"/>
      <c r="S273" s="365"/>
      <c r="T273" s="365"/>
      <c r="U273" s="365"/>
      <c r="W273" s="3898"/>
      <c r="X273" s="3898"/>
      <c r="Y273" s="4000"/>
      <c r="Z273" s="3898"/>
      <c r="AA273" s="1190"/>
      <c r="AB273" s="3933"/>
      <c r="AD273" s="3933"/>
      <c r="AE273" s="3839"/>
      <c r="AF273" s="3839"/>
      <c r="AG273" s="3839"/>
      <c r="AH273" s="3907"/>
      <c r="AI273" s="3907"/>
      <c r="AJ273" s="3901"/>
      <c r="AL273" s="3907"/>
      <c r="AM273" s="3907"/>
      <c r="AN273" s="3907"/>
      <c r="AP273" s="3875"/>
      <c r="AQ273" s="3875"/>
      <c r="AR273" s="3875"/>
      <c r="AS273" s="3875"/>
      <c r="AT273" s="3875"/>
      <c r="AU273" s="3875"/>
      <c r="AV273" s="3875"/>
      <c r="AW273" s="3875"/>
      <c r="AX273" s="3875"/>
      <c r="AY273" s="3875"/>
      <c r="AZ273" s="3886"/>
      <c r="BB273" s="3875"/>
      <c r="BC273" s="3875"/>
      <c r="BD273" s="3875"/>
      <c r="BE273" s="3875"/>
      <c r="BF273" s="3875"/>
      <c r="BG273" s="3875"/>
      <c r="BH273" s="3875"/>
      <c r="BI273" s="3875"/>
      <c r="BJ273" s="3875"/>
      <c r="BK273" s="3875"/>
      <c r="BL273" s="3875"/>
      <c r="BM273" s="3875"/>
      <c r="BN273" s="3886"/>
      <c r="BP273" s="3875"/>
      <c r="BQ273" s="3875"/>
      <c r="BR273" s="3875"/>
      <c r="BS273" s="3875"/>
      <c r="BT273" s="3875"/>
      <c r="BU273" s="3875"/>
      <c r="BV273" s="3875"/>
      <c r="BW273" s="3875"/>
      <c r="BX273" s="3875"/>
      <c r="BY273" s="3875"/>
      <c r="BZ273" s="3875"/>
      <c r="CA273" s="3875"/>
      <c r="CB273" s="3886"/>
      <c r="CD273" s="3875"/>
      <c r="CE273" s="3875"/>
      <c r="CF273" s="3875"/>
      <c r="CG273" s="3875"/>
      <c r="CH273" s="3875"/>
      <c r="CI273" s="3875"/>
      <c r="CJ273" s="3875"/>
      <c r="CK273" s="3875"/>
      <c r="CL273" s="3875"/>
      <c r="CM273" s="3875"/>
      <c r="CN273" s="3875"/>
      <c r="CO273" s="3875"/>
      <c r="CP273" s="3886"/>
      <c r="CR273" s="3875"/>
      <c r="CS273" s="3875"/>
      <c r="CT273" s="3875"/>
      <c r="CU273" s="3875"/>
      <c r="CV273" s="3875"/>
      <c r="CW273" s="3875"/>
      <c r="CX273" s="3875"/>
      <c r="CY273" s="3875"/>
      <c r="CZ273" s="3875"/>
      <c r="DA273" s="3875"/>
      <c r="DB273" s="3875"/>
      <c r="DC273" s="3875"/>
      <c r="DD273" s="3886"/>
      <c r="DF273" s="3875"/>
      <c r="DG273" s="3875"/>
      <c r="DH273" s="3875"/>
      <c r="DI273" s="4018"/>
      <c r="DJ273" s="4040"/>
      <c r="DL273" s="3180"/>
      <c r="DN273" s="2716" t="s">
        <v>1283</v>
      </c>
      <c r="DO273" s="2740" t="s">
        <v>1284</v>
      </c>
      <c r="DP273" s="3894"/>
      <c r="DQ273" s="3894"/>
      <c r="DR273" s="3894" t="str">
        <f t="shared" si="386"/>
        <v/>
      </c>
      <c r="DS273" s="1037"/>
      <c r="DT273" s="1037"/>
    </row>
    <row r="274" spans="2:124" ht="15" hidden="1" outlineLevel="3">
      <c r="B274" s="3934"/>
      <c r="C274" s="765"/>
      <c r="D274" s="2953"/>
      <c r="E274" s="580"/>
      <c r="F274" s="2953"/>
      <c r="G274" s="702"/>
      <c r="H274" s="1547"/>
      <c r="I274" s="533"/>
      <c r="J274" s="103"/>
      <c r="L274" s="364"/>
      <c r="M274" s="364"/>
      <c r="N274" s="365"/>
      <c r="O274" s="365"/>
      <c r="P274" s="365"/>
      <c r="Q274" s="365"/>
      <c r="R274" s="365"/>
      <c r="S274" s="365"/>
      <c r="T274" s="365"/>
      <c r="U274" s="365"/>
      <c r="W274" s="3899"/>
      <c r="X274" s="3899"/>
      <c r="Y274" s="4001"/>
      <c r="Z274" s="3899"/>
      <c r="AA274" s="951"/>
      <c r="AB274" s="3934"/>
      <c r="AD274" s="3934"/>
      <c r="AE274" s="3840"/>
      <c r="AF274" s="3840"/>
      <c r="AG274" s="3840"/>
      <c r="AH274" s="3908"/>
      <c r="AI274" s="3908"/>
      <c r="AJ274" s="3902"/>
      <c r="AL274" s="3908"/>
      <c r="AM274" s="3908"/>
      <c r="AN274" s="3908"/>
      <c r="AP274" s="3876"/>
      <c r="AQ274" s="3876"/>
      <c r="AR274" s="3876"/>
      <c r="AS274" s="3876"/>
      <c r="AT274" s="3876"/>
      <c r="AU274" s="3876"/>
      <c r="AV274" s="3876"/>
      <c r="AW274" s="3876"/>
      <c r="AX274" s="3876"/>
      <c r="AY274" s="3876"/>
      <c r="AZ274" s="3887"/>
      <c r="BB274" s="3876"/>
      <c r="BC274" s="3876"/>
      <c r="BD274" s="3876"/>
      <c r="BE274" s="3876"/>
      <c r="BF274" s="3876"/>
      <c r="BG274" s="3876"/>
      <c r="BH274" s="3876"/>
      <c r="BI274" s="3876"/>
      <c r="BJ274" s="3876"/>
      <c r="BK274" s="3876"/>
      <c r="BL274" s="3876"/>
      <c r="BM274" s="3876"/>
      <c r="BN274" s="3887"/>
      <c r="BP274" s="3876"/>
      <c r="BQ274" s="3876"/>
      <c r="BR274" s="3876"/>
      <c r="BS274" s="3876"/>
      <c r="BT274" s="3876"/>
      <c r="BU274" s="3876"/>
      <c r="BV274" s="3876"/>
      <c r="BW274" s="3876"/>
      <c r="BX274" s="3876"/>
      <c r="BY274" s="3876"/>
      <c r="BZ274" s="3876"/>
      <c r="CA274" s="3876"/>
      <c r="CB274" s="3887"/>
      <c r="CD274" s="3876"/>
      <c r="CE274" s="3876"/>
      <c r="CF274" s="3876"/>
      <c r="CG274" s="3876"/>
      <c r="CH274" s="3876"/>
      <c r="CI274" s="3876"/>
      <c r="CJ274" s="3876"/>
      <c r="CK274" s="3876"/>
      <c r="CL274" s="3876"/>
      <c r="CM274" s="3876"/>
      <c r="CN274" s="3876"/>
      <c r="CO274" s="3876"/>
      <c r="CP274" s="3887"/>
      <c r="CR274" s="3876"/>
      <c r="CS274" s="3876"/>
      <c r="CT274" s="3876"/>
      <c r="CU274" s="3876"/>
      <c r="CV274" s="3876"/>
      <c r="CW274" s="3876"/>
      <c r="CX274" s="3876"/>
      <c r="CY274" s="3876"/>
      <c r="CZ274" s="3876"/>
      <c r="DA274" s="3876"/>
      <c r="DB274" s="3876"/>
      <c r="DC274" s="3876"/>
      <c r="DD274" s="3887"/>
      <c r="DF274" s="3876"/>
      <c r="DG274" s="3876"/>
      <c r="DH274" s="3876"/>
      <c r="DI274" s="4019"/>
      <c r="DJ274" s="4041"/>
      <c r="DL274" s="3180"/>
      <c r="DN274" s="2716" t="s">
        <v>1283</v>
      </c>
      <c r="DO274" s="2740" t="s">
        <v>1284</v>
      </c>
      <c r="DP274" s="3895"/>
      <c r="DQ274" s="3895"/>
      <c r="DR274" s="3895" t="str">
        <f t="shared" si="386"/>
        <v/>
      </c>
      <c r="DS274" s="1037"/>
      <c r="DT274" s="1037"/>
    </row>
    <row r="275" spans="2:124" ht="15" hidden="1" outlineLevel="3">
      <c r="B275" s="762"/>
      <c r="C275" s="765"/>
      <c r="D275" s="2953"/>
      <c r="E275" s="580"/>
      <c r="F275" s="2953"/>
      <c r="G275" s="703"/>
      <c r="H275" s="1547"/>
      <c r="I275" s="533"/>
      <c r="J275" s="103"/>
      <c r="L275" s="364"/>
      <c r="M275" s="364"/>
      <c r="N275" s="365"/>
      <c r="O275" s="365"/>
      <c r="P275" s="365"/>
      <c r="Q275" s="365"/>
      <c r="R275" s="365"/>
      <c r="S275" s="365"/>
      <c r="T275" s="365"/>
      <c r="U275" s="365"/>
      <c r="W275" s="951"/>
      <c r="X275" s="951"/>
      <c r="Y275" s="951"/>
      <c r="Z275" s="951"/>
      <c r="AA275" s="951"/>
      <c r="AB275" s="762"/>
      <c r="AD275" s="762"/>
      <c r="AE275" s="765"/>
      <c r="AF275" s="765"/>
      <c r="AG275" s="765"/>
      <c r="AH275" s="757"/>
      <c r="AI275" s="757"/>
      <c r="AJ275" s="1406"/>
      <c r="AL275" s="757"/>
      <c r="AM275" s="757"/>
      <c r="AN275" s="757"/>
      <c r="AP275" s="999"/>
      <c r="AQ275" s="999"/>
      <c r="AR275" s="999"/>
      <c r="AS275" s="999"/>
      <c r="AT275" s="999"/>
      <c r="AU275" s="999"/>
      <c r="AV275" s="999"/>
      <c r="AW275" s="999"/>
      <c r="AX275" s="999"/>
      <c r="AY275" s="999"/>
      <c r="AZ275" s="2020"/>
      <c r="BB275" s="999"/>
      <c r="BC275" s="999"/>
      <c r="BD275" s="999"/>
      <c r="BE275" s="999"/>
      <c r="BF275" s="999"/>
      <c r="BG275" s="999"/>
      <c r="BH275" s="999"/>
      <c r="BI275" s="999"/>
      <c r="BJ275" s="999"/>
      <c r="BK275" s="999"/>
      <c r="BL275" s="999"/>
      <c r="BM275" s="999"/>
      <c r="BN275" s="2020"/>
      <c r="BP275" s="999"/>
      <c r="BQ275" s="999"/>
      <c r="BR275" s="999"/>
      <c r="BS275" s="999"/>
      <c r="BT275" s="999"/>
      <c r="BU275" s="999"/>
      <c r="BV275" s="999"/>
      <c r="BW275" s="999"/>
      <c r="BX275" s="999"/>
      <c r="BY275" s="999"/>
      <c r="BZ275" s="999"/>
      <c r="CA275" s="999"/>
      <c r="CB275" s="2020"/>
      <c r="CD275" s="999"/>
      <c r="CE275" s="999"/>
      <c r="CF275" s="999"/>
      <c r="CG275" s="999"/>
      <c r="CH275" s="999"/>
      <c r="CI275" s="999"/>
      <c r="CJ275" s="999"/>
      <c r="CK275" s="999"/>
      <c r="CL275" s="999"/>
      <c r="CM275" s="999"/>
      <c r="CN275" s="999"/>
      <c r="CO275" s="999"/>
      <c r="CP275" s="2020"/>
      <c r="CR275" s="999"/>
      <c r="CS275" s="999"/>
      <c r="CT275" s="999"/>
      <c r="CU275" s="999"/>
      <c r="CV275" s="999"/>
      <c r="CW275" s="999"/>
      <c r="CX275" s="999"/>
      <c r="CY275" s="999"/>
      <c r="CZ275" s="999"/>
      <c r="DA275" s="999"/>
      <c r="DB275" s="999"/>
      <c r="DC275" s="999"/>
      <c r="DD275" s="2020"/>
      <c r="DF275" s="999"/>
      <c r="DG275" s="999"/>
      <c r="DH275" s="999"/>
      <c r="DI275" s="3095"/>
      <c r="DJ275" s="3149"/>
      <c r="DL275" s="3180"/>
      <c r="DN275" s="2770" t="s">
        <v>1331</v>
      </c>
      <c r="DO275" s="2740" t="s">
        <v>1332</v>
      </c>
      <c r="DP275" s="2740" t="s">
        <v>1160</v>
      </c>
      <c r="DQ275" s="2740" t="s">
        <v>5</v>
      </c>
      <c r="DR275" s="2740" t="str">
        <f t="shared" si="386"/>
        <v/>
      </c>
      <c r="DS275" s="1037"/>
      <c r="DT275" s="1037"/>
    </row>
    <row r="276" spans="2:124" ht="15" hidden="1" outlineLevel="2">
      <c r="B276" s="765"/>
      <c r="C276" s="765"/>
      <c r="D276" s="2953"/>
      <c r="E276" s="580"/>
      <c r="F276" s="2953"/>
      <c r="G276" s="107"/>
      <c r="H276" s="544"/>
      <c r="I276" s="533"/>
      <c r="J276" s="103"/>
      <c r="L276" s="364"/>
      <c r="M276" s="364"/>
      <c r="N276" s="365"/>
      <c r="O276" s="365"/>
      <c r="P276" s="365"/>
      <c r="Q276" s="365"/>
      <c r="R276" s="365"/>
      <c r="S276" s="365"/>
      <c r="T276" s="365"/>
      <c r="U276" s="365"/>
      <c r="W276" s="364"/>
      <c r="X276" s="364"/>
      <c r="Y276" s="364"/>
      <c r="Z276" s="364"/>
      <c r="AA276" s="364"/>
      <c r="AB276" s="181"/>
      <c r="AD276" s="765"/>
      <c r="AE276" s="765"/>
      <c r="AF276" s="765"/>
      <c r="AG276" s="765"/>
      <c r="AH276" s="757"/>
      <c r="AI276" s="757"/>
      <c r="AJ276" s="765"/>
      <c r="AL276" s="1032"/>
      <c r="AM276" s="1032"/>
      <c r="AN276" s="1041"/>
      <c r="AP276" s="999"/>
      <c r="AQ276" s="999"/>
      <c r="AR276" s="999"/>
      <c r="AS276" s="999"/>
      <c r="AT276" s="999"/>
      <c r="AU276" s="999"/>
      <c r="AV276" s="999"/>
      <c r="AW276" s="999"/>
      <c r="AX276" s="999"/>
      <c r="AY276" s="999"/>
      <c r="AZ276" s="2020"/>
      <c r="BB276" s="999"/>
      <c r="BC276" s="999"/>
      <c r="BD276" s="999"/>
      <c r="BE276" s="999"/>
      <c r="BF276" s="999"/>
      <c r="BG276" s="999"/>
      <c r="BH276" s="999"/>
      <c r="BI276" s="999"/>
      <c r="BJ276" s="999"/>
      <c r="BK276" s="999"/>
      <c r="BL276" s="999"/>
      <c r="BM276" s="999"/>
      <c r="BN276" s="2020"/>
      <c r="BP276" s="999"/>
      <c r="BQ276" s="999"/>
      <c r="BR276" s="999"/>
      <c r="BS276" s="999"/>
      <c r="BT276" s="999"/>
      <c r="BU276" s="999"/>
      <c r="BV276" s="999"/>
      <c r="BW276" s="999"/>
      <c r="BX276" s="999"/>
      <c r="BY276" s="999"/>
      <c r="BZ276" s="999"/>
      <c r="CA276" s="999"/>
      <c r="CB276" s="2020"/>
      <c r="CD276" s="999"/>
      <c r="CE276" s="999"/>
      <c r="CF276" s="999"/>
      <c r="CG276" s="999"/>
      <c r="CH276" s="999"/>
      <c r="CI276" s="999"/>
      <c r="CJ276" s="999"/>
      <c r="CK276" s="999"/>
      <c r="CL276" s="999"/>
      <c r="CM276" s="999"/>
      <c r="CN276" s="999"/>
      <c r="CO276" s="999"/>
      <c r="CP276" s="2020"/>
      <c r="CR276" s="999"/>
      <c r="CS276" s="999"/>
      <c r="CT276" s="999"/>
      <c r="CU276" s="999"/>
      <c r="CV276" s="999"/>
      <c r="CW276" s="999"/>
      <c r="CX276" s="999"/>
      <c r="CY276" s="999"/>
      <c r="CZ276" s="999"/>
      <c r="DA276" s="999"/>
      <c r="DB276" s="999"/>
      <c r="DC276" s="999"/>
      <c r="DD276" s="2020"/>
      <c r="DF276" s="999"/>
      <c r="DG276" s="999"/>
      <c r="DH276" s="999"/>
      <c r="DI276" s="3095"/>
      <c r="DJ276" s="3149"/>
      <c r="DL276" s="3180"/>
      <c r="DN276" s="2716" t="s">
        <v>1175</v>
      </c>
      <c r="DO276" s="2740" t="s">
        <v>1175</v>
      </c>
      <c r="DP276" s="2740"/>
      <c r="DQ276" s="2740" t="s">
        <v>1175</v>
      </c>
      <c r="DR276" s="2740" t="str">
        <f t="shared" si="386"/>
        <v/>
      </c>
      <c r="DS276" s="1037"/>
      <c r="DT276" s="1037"/>
    </row>
    <row r="277" spans="2:124" s="153" customFormat="1" ht="15" hidden="1" outlineLevel="1">
      <c r="B277" s="426"/>
      <c r="C277" s="425"/>
      <c r="D277" s="2944"/>
      <c r="E277" s="582"/>
      <c r="F277" s="2944"/>
      <c r="G277" s="428"/>
      <c r="H277" s="539"/>
      <c r="I277" s="539"/>
      <c r="J277" s="427"/>
      <c r="K277" s="1037"/>
      <c r="L277" s="425"/>
      <c r="M277" s="425"/>
      <c r="N277" s="430"/>
      <c r="O277" s="430"/>
      <c r="P277" s="430"/>
      <c r="Q277" s="430"/>
      <c r="R277" s="430"/>
      <c r="S277" s="430"/>
      <c r="T277" s="430"/>
      <c r="U277" s="430"/>
      <c r="V277" s="1037"/>
      <c r="W277" s="850"/>
      <c r="X277" s="850"/>
      <c r="Y277" s="850"/>
      <c r="Z277" s="850"/>
      <c r="AA277" s="850"/>
      <c r="AB277" s="431"/>
      <c r="AC277" s="1037"/>
      <c r="AD277" s="426"/>
      <c r="AE277" s="425"/>
      <c r="AF277" s="425"/>
      <c r="AG277" s="425"/>
      <c r="AH277" s="433"/>
      <c r="AI277" s="433"/>
      <c r="AJ277" s="685"/>
      <c r="AK277" s="1037"/>
      <c r="AL277" s="433"/>
      <c r="AM277" s="433"/>
      <c r="AN277" s="433"/>
      <c r="AO277" s="1037"/>
      <c r="AP277" s="433"/>
      <c r="AQ277" s="433"/>
      <c r="AR277" s="433"/>
      <c r="AS277" s="433"/>
      <c r="AT277" s="433"/>
      <c r="AU277" s="433"/>
      <c r="AV277" s="433"/>
      <c r="AW277" s="433"/>
      <c r="AX277" s="433"/>
      <c r="AY277" s="433"/>
      <c r="AZ277" s="977"/>
      <c r="BA277" s="1037"/>
      <c r="BB277" s="433"/>
      <c r="BC277" s="433"/>
      <c r="BD277" s="433"/>
      <c r="BE277" s="433"/>
      <c r="BF277" s="433"/>
      <c r="BG277" s="433"/>
      <c r="BH277" s="433"/>
      <c r="BI277" s="433"/>
      <c r="BJ277" s="433"/>
      <c r="BK277" s="433"/>
      <c r="BL277" s="433"/>
      <c r="BM277" s="433"/>
      <c r="BN277" s="977"/>
      <c r="BO277" s="1037"/>
      <c r="BP277" s="433"/>
      <c r="BQ277" s="433"/>
      <c r="BR277" s="433"/>
      <c r="BS277" s="433"/>
      <c r="BT277" s="433"/>
      <c r="BU277" s="433"/>
      <c r="BV277" s="433"/>
      <c r="BW277" s="433"/>
      <c r="BX277" s="433"/>
      <c r="BY277" s="433"/>
      <c r="BZ277" s="433"/>
      <c r="CA277" s="433"/>
      <c r="CB277" s="977"/>
      <c r="CC277" s="1037"/>
      <c r="CD277" s="433"/>
      <c r="CE277" s="433"/>
      <c r="CF277" s="433"/>
      <c r="CG277" s="433"/>
      <c r="CH277" s="433"/>
      <c r="CI277" s="433"/>
      <c r="CJ277" s="433"/>
      <c r="CK277" s="433"/>
      <c r="CL277" s="433"/>
      <c r="CM277" s="433"/>
      <c r="CN277" s="433"/>
      <c r="CO277" s="433"/>
      <c r="CP277" s="978"/>
      <c r="CQ277" s="1037"/>
      <c r="CR277" s="433"/>
      <c r="CS277" s="433"/>
      <c r="CT277" s="433"/>
      <c r="CU277" s="433"/>
      <c r="CV277" s="433"/>
      <c r="CW277" s="433"/>
      <c r="CX277" s="433"/>
      <c r="CY277" s="433"/>
      <c r="CZ277" s="433"/>
      <c r="DA277" s="433"/>
      <c r="DB277" s="433"/>
      <c r="DC277" s="433"/>
      <c r="DD277" s="976"/>
      <c r="DE277" s="1037"/>
      <c r="DF277" s="433"/>
      <c r="DG277" s="433"/>
      <c r="DH277" s="433"/>
      <c r="DI277" s="3090"/>
      <c r="DJ277" s="3145"/>
      <c r="DL277" s="3180"/>
      <c r="DN277" s="2721" t="s">
        <v>1175</v>
      </c>
      <c r="DO277" s="2722" t="s">
        <v>1175</v>
      </c>
      <c r="DP277" s="2722"/>
      <c r="DQ277" s="2722" t="s">
        <v>1175</v>
      </c>
      <c r="DR277" s="2722" t="str">
        <f t="shared" si="386"/>
        <v/>
      </c>
      <c r="DS277" s="1037"/>
      <c r="DT277" s="1037"/>
    </row>
    <row r="278" spans="2:124" s="153" customFormat="1" ht="15" hidden="1" outlineLevel="2" collapsed="1">
      <c r="B278" s="106"/>
      <c r="C278" s="172"/>
      <c r="D278" s="2945"/>
      <c r="E278" s="704"/>
      <c r="F278" s="2945"/>
      <c r="G278" s="171"/>
      <c r="H278" s="538"/>
      <c r="I278" s="538"/>
      <c r="J278" s="106"/>
      <c r="K278" s="1037"/>
      <c r="L278" s="358"/>
      <c r="M278" s="358"/>
      <c r="N278" s="358"/>
      <c r="O278" s="358"/>
      <c r="P278" s="358"/>
      <c r="Q278" s="358"/>
      <c r="R278" s="358"/>
      <c r="S278" s="358"/>
      <c r="T278" s="358"/>
      <c r="U278" s="358"/>
      <c r="V278" s="1037"/>
      <c r="W278" s="854"/>
      <c r="X278" s="358"/>
      <c r="Y278" s="358"/>
      <c r="Z278" s="358"/>
      <c r="AA278" s="358"/>
      <c r="AB278" s="106"/>
      <c r="AC278" s="1037"/>
      <c r="AD278" s="106"/>
      <c r="AE278" s="172"/>
      <c r="AF278" s="172"/>
      <c r="AG278" s="172"/>
      <c r="AH278" s="176"/>
      <c r="AI278" s="176"/>
      <c r="AJ278" s="692"/>
      <c r="AK278" s="1037"/>
      <c r="AL278" s="176"/>
      <c r="AM278" s="176"/>
      <c r="AN278" s="176"/>
      <c r="AO278" s="1037"/>
      <c r="AP278" s="176"/>
      <c r="AQ278" s="176"/>
      <c r="AR278" s="176"/>
      <c r="AS278" s="176"/>
      <c r="AT278" s="176"/>
      <c r="AU278" s="176"/>
      <c r="AV278" s="176"/>
      <c r="AW278" s="176"/>
      <c r="AX278" s="176"/>
      <c r="AY278" s="176"/>
      <c r="AZ278" s="980"/>
      <c r="BA278" s="1037"/>
      <c r="BB278" s="176"/>
      <c r="BC278" s="176"/>
      <c r="BD278" s="176"/>
      <c r="BE278" s="176"/>
      <c r="BF278" s="176"/>
      <c r="BG278" s="176"/>
      <c r="BH278" s="176"/>
      <c r="BI278" s="176"/>
      <c r="BJ278" s="176"/>
      <c r="BK278" s="176"/>
      <c r="BL278" s="176"/>
      <c r="BM278" s="176"/>
      <c r="BN278" s="980"/>
      <c r="BO278" s="1037"/>
      <c r="BP278" s="176"/>
      <c r="BQ278" s="176"/>
      <c r="BR278" s="176"/>
      <c r="BS278" s="176"/>
      <c r="BT278" s="176"/>
      <c r="BU278" s="176"/>
      <c r="BV278" s="176"/>
      <c r="BW278" s="176"/>
      <c r="BX278" s="176"/>
      <c r="BY278" s="176"/>
      <c r="BZ278" s="176"/>
      <c r="CA278" s="176"/>
      <c r="CB278" s="980"/>
      <c r="CC278" s="1037"/>
      <c r="CD278" s="176"/>
      <c r="CE278" s="176"/>
      <c r="CF278" s="176"/>
      <c r="CG278" s="176"/>
      <c r="CH278" s="176"/>
      <c r="CI278" s="176"/>
      <c r="CJ278" s="176"/>
      <c r="CK278" s="176"/>
      <c r="CL278" s="176"/>
      <c r="CM278" s="176"/>
      <c r="CN278" s="176"/>
      <c r="CO278" s="176"/>
      <c r="CP278" s="981"/>
      <c r="CQ278" s="1037"/>
      <c r="CR278" s="176"/>
      <c r="CS278" s="176"/>
      <c r="CT278" s="176"/>
      <c r="CU278" s="176"/>
      <c r="CV278" s="176"/>
      <c r="CW278" s="176"/>
      <c r="CX278" s="176"/>
      <c r="CY278" s="176"/>
      <c r="CZ278" s="176"/>
      <c r="DA278" s="176"/>
      <c r="DB278" s="176"/>
      <c r="DC278" s="176"/>
      <c r="DD278" s="979"/>
      <c r="DE278" s="1037"/>
      <c r="DF278" s="176"/>
      <c r="DG278" s="176"/>
      <c r="DH278" s="176"/>
      <c r="DI278" s="3091"/>
      <c r="DJ278" s="3135"/>
      <c r="DL278" s="3180"/>
      <c r="DN278" s="2723" t="s">
        <v>1175</v>
      </c>
      <c r="DO278" s="2724" t="s">
        <v>1175</v>
      </c>
      <c r="DP278" s="2724"/>
      <c r="DQ278" s="2724" t="s">
        <v>1175</v>
      </c>
      <c r="DR278" s="2724" t="str">
        <f t="shared" si="386"/>
        <v/>
      </c>
      <c r="DS278" s="1037"/>
      <c r="DT278" s="1037"/>
    </row>
    <row r="279" spans="2:124" s="153" customFormat="1" hidden="1" outlineLevel="3">
      <c r="B279" s="1548"/>
      <c r="C279" s="1549"/>
      <c r="D279" s="2954"/>
      <c r="E279" s="583"/>
      <c r="F279" s="2954"/>
      <c r="G279" s="354"/>
      <c r="H279" s="2695"/>
      <c r="I279" s="1547"/>
      <c r="J279" s="173"/>
      <c r="K279" s="1037"/>
      <c r="L279" s="853"/>
      <c r="M279" s="853"/>
      <c r="N279" s="853"/>
      <c r="O279" s="853"/>
      <c r="P279" s="853"/>
      <c r="Q279" s="853"/>
      <c r="R279" s="853"/>
      <c r="S279" s="853"/>
      <c r="T279" s="853"/>
      <c r="U279" s="853"/>
      <c r="V279" s="1037"/>
      <c r="W279" s="852"/>
      <c r="X279" s="1207"/>
      <c r="Y279" s="1207"/>
      <c r="Z279" s="1207"/>
      <c r="AA279" s="1207"/>
      <c r="AB279" s="1548"/>
      <c r="AC279" s="1037"/>
      <c r="AD279" s="1548"/>
      <c r="AE279" s="1549"/>
      <c r="AF279" s="1549"/>
      <c r="AG279" s="1549"/>
      <c r="AH279" s="2354"/>
      <c r="AI279" s="1553"/>
      <c r="AJ279" s="1580"/>
      <c r="AK279" s="1037"/>
      <c r="AL279" s="1551"/>
      <c r="AM279" s="1551"/>
      <c r="AN279" s="1551"/>
      <c r="AO279" s="1037"/>
      <c r="AP279" s="1591"/>
      <c r="AQ279" s="1591"/>
      <c r="AR279" s="1591"/>
      <c r="AS279" s="1591"/>
      <c r="AT279" s="1591"/>
      <c r="AU279" s="1591"/>
      <c r="AV279" s="1591"/>
      <c r="AW279" s="1591"/>
      <c r="AX279" s="1591"/>
      <c r="AY279" s="1591"/>
      <c r="AZ279" s="1591"/>
      <c r="BA279" s="1037"/>
      <c r="BB279" s="1591"/>
      <c r="BC279" s="1591"/>
      <c r="BD279" s="1591"/>
      <c r="BE279" s="1591"/>
      <c r="BF279" s="1591"/>
      <c r="BG279" s="1591"/>
      <c r="BH279" s="1591"/>
      <c r="BI279" s="1591"/>
      <c r="BJ279" s="1591"/>
      <c r="BK279" s="1591"/>
      <c r="BL279" s="1591"/>
      <c r="BM279" s="1591"/>
      <c r="BN279" s="1591"/>
      <c r="BO279" s="1037"/>
      <c r="BP279" s="1591"/>
      <c r="BQ279" s="1591"/>
      <c r="BR279" s="1591"/>
      <c r="BS279" s="1591"/>
      <c r="BT279" s="1591"/>
      <c r="BU279" s="1591"/>
      <c r="BV279" s="1591"/>
      <c r="BW279" s="1591"/>
      <c r="BX279" s="1591"/>
      <c r="BY279" s="1591"/>
      <c r="BZ279" s="1591"/>
      <c r="CA279" s="1591"/>
      <c r="CB279" s="1591"/>
      <c r="CC279" s="1037"/>
      <c r="CD279" s="1591"/>
      <c r="CE279" s="1591"/>
      <c r="CF279" s="1591"/>
      <c r="CG279" s="1591"/>
      <c r="CH279" s="1591"/>
      <c r="CI279" s="1591"/>
      <c r="CJ279" s="1591"/>
      <c r="CK279" s="1591"/>
      <c r="CL279" s="1591"/>
      <c r="CM279" s="1591"/>
      <c r="CN279" s="1591"/>
      <c r="CO279" s="1591"/>
      <c r="CP279" s="1592"/>
      <c r="CQ279" s="1037"/>
      <c r="CR279" s="1591"/>
      <c r="CS279" s="1591"/>
      <c r="CT279" s="1591"/>
      <c r="CU279" s="1591"/>
      <c r="CV279" s="1591"/>
      <c r="CW279" s="1591"/>
      <c r="CX279" s="1591"/>
      <c r="CY279" s="1591"/>
      <c r="CZ279" s="1591"/>
      <c r="DA279" s="1591"/>
      <c r="DB279" s="1591"/>
      <c r="DC279" s="1591"/>
      <c r="DD279" s="1581"/>
      <c r="DE279" s="1037"/>
      <c r="DF279" s="1591"/>
      <c r="DG279" s="1591"/>
      <c r="DH279" s="1591"/>
      <c r="DI279" s="2498"/>
      <c r="DJ279" s="3156"/>
      <c r="DL279" s="3180"/>
      <c r="DN279" s="2766"/>
      <c r="DO279" s="2764"/>
      <c r="DP279" s="2764"/>
      <c r="DQ279" s="2764"/>
      <c r="DR279" s="2764"/>
      <c r="DS279" s="1037"/>
      <c r="DT279" s="1037"/>
    </row>
    <row r="280" spans="2:124" ht="15" hidden="1" outlineLevel="3">
      <c r="B280" s="3838"/>
      <c r="C280" s="2711"/>
      <c r="D280" s="2946"/>
      <c r="E280" s="159"/>
      <c r="F280" s="2946"/>
      <c r="G280" s="702"/>
      <c r="H280" s="1547"/>
      <c r="I280" s="533"/>
      <c r="J280" s="103"/>
      <c r="L280" s="364"/>
      <c r="M280" s="364"/>
      <c r="N280" s="365"/>
      <c r="O280" s="365"/>
      <c r="P280" s="365"/>
      <c r="Q280" s="365"/>
      <c r="R280" s="365"/>
      <c r="S280" s="365"/>
      <c r="T280" s="365"/>
      <c r="U280" s="365"/>
      <c r="W280" s="3897"/>
      <c r="X280" s="3897"/>
      <c r="Y280" s="3969"/>
      <c r="Z280" s="3897"/>
      <c r="AA280" s="3897"/>
      <c r="AB280" s="529"/>
      <c r="AD280" s="3838"/>
      <c r="AE280" s="3841"/>
      <c r="AF280" s="3841"/>
      <c r="AG280" s="3841"/>
      <c r="AH280" s="3844"/>
      <c r="AI280" s="3844"/>
      <c r="AJ280" s="3838"/>
      <c r="AL280" s="3844"/>
      <c r="AM280" s="3844"/>
      <c r="AN280" s="3844"/>
      <c r="AP280" s="3844"/>
      <c r="AQ280" s="3844"/>
      <c r="AR280" s="3844"/>
      <c r="AS280" s="3844"/>
      <c r="AT280" s="3844"/>
      <c r="AU280" s="3844"/>
      <c r="AV280" s="3844"/>
      <c r="AW280" s="3844"/>
      <c r="AX280" s="3844"/>
      <c r="AY280" s="3844"/>
      <c r="AZ280" s="3882"/>
      <c r="BB280" s="3844"/>
      <c r="BC280" s="3844"/>
      <c r="BD280" s="3844"/>
      <c r="BE280" s="3844"/>
      <c r="BF280" s="3844"/>
      <c r="BG280" s="3844"/>
      <c r="BH280" s="3844"/>
      <c r="BI280" s="3844"/>
      <c r="BJ280" s="3844"/>
      <c r="BK280" s="3844"/>
      <c r="BL280" s="3844"/>
      <c r="BM280" s="3844"/>
      <c r="BN280" s="3882"/>
      <c r="BP280" s="3844"/>
      <c r="BQ280" s="3844"/>
      <c r="BR280" s="3844"/>
      <c r="BS280" s="3844"/>
      <c r="BT280" s="3844"/>
      <c r="BU280" s="3844"/>
      <c r="BV280" s="3844"/>
      <c r="BW280" s="3844"/>
      <c r="BX280" s="3844"/>
      <c r="BY280" s="3844"/>
      <c r="BZ280" s="3844"/>
      <c r="CA280" s="3844"/>
      <c r="CB280" s="3882"/>
      <c r="CD280" s="3844"/>
      <c r="CE280" s="3844"/>
      <c r="CF280" s="3844"/>
      <c r="CG280" s="3844"/>
      <c r="CH280" s="3844"/>
      <c r="CI280" s="3844"/>
      <c r="CJ280" s="3844"/>
      <c r="CK280" s="3844"/>
      <c r="CL280" s="3844"/>
      <c r="CM280" s="3844"/>
      <c r="CN280" s="3844"/>
      <c r="CO280" s="3844"/>
      <c r="CP280" s="3882"/>
      <c r="CR280" s="3844"/>
      <c r="CS280" s="3844"/>
      <c r="CT280" s="3844"/>
      <c r="CU280" s="3844"/>
      <c r="CV280" s="3844"/>
      <c r="CW280" s="3844"/>
      <c r="CX280" s="3844"/>
      <c r="CY280" s="3844"/>
      <c r="CZ280" s="3844"/>
      <c r="DA280" s="3844"/>
      <c r="DB280" s="3844"/>
      <c r="DC280" s="3844"/>
      <c r="DD280" s="3882"/>
      <c r="DF280" s="3844"/>
      <c r="DG280" s="3844"/>
      <c r="DH280" s="3844"/>
      <c r="DI280" s="4042"/>
      <c r="DJ280" s="4054"/>
      <c r="DL280" s="3180"/>
      <c r="DN280" s="2716" t="s">
        <v>1283</v>
      </c>
      <c r="DO280" s="2740" t="s">
        <v>1284</v>
      </c>
      <c r="DP280" s="3896" t="s">
        <v>1117</v>
      </c>
      <c r="DQ280" s="3896" t="s">
        <v>5</v>
      </c>
      <c r="DR280" s="3896" t="str">
        <f t="shared" si="386"/>
        <v/>
      </c>
      <c r="DS280" s="1037"/>
      <c r="DT280" s="1037"/>
    </row>
    <row r="281" spans="2:124" ht="15" hidden="1" outlineLevel="3">
      <c r="B281" s="3839"/>
      <c r="C281" s="1479"/>
      <c r="D281" s="2946"/>
      <c r="E281" s="159"/>
      <c r="F281" s="2946"/>
      <c r="G281" s="702"/>
      <c r="H281" s="1547"/>
      <c r="I281" s="533"/>
      <c r="J281" s="103"/>
      <c r="L281" s="364"/>
      <c r="M281" s="364"/>
      <c r="N281" s="365"/>
      <c r="O281" s="365"/>
      <c r="P281" s="365"/>
      <c r="Q281" s="365"/>
      <c r="R281" s="365"/>
      <c r="S281" s="365"/>
      <c r="T281" s="365"/>
      <c r="U281" s="365"/>
      <c r="W281" s="3898"/>
      <c r="X281" s="3898"/>
      <c r="Y281" s="3970"/>
      <c r="Z281" s="3898"/>
      <c r="AA281" s="3898"/>
      <c r="AB281" s="1309"/>
      <c r="AD281" s="3839"/>
      <c r="AE281" s="3842"/>
      <c r="AF281" s="3842"/>
      <c r="AG281" s="3842"/>
      <c r="AH281" s="3845"/>
      <c r="AI281" s="3845"/>
      <c r="AJ281" s="3839"/>
      <c r="AL281" s="3845"/>
      <c r="AM281" s="3845"/>
      <c r="AN281" s="3845"/>
      <c r="AP281" s="3845"/>
      <c r="AQ281" s="3845"/>
      <c r="AR281" s="3845"/>
      <c r="AS281" s="3845"/>
      <c r="AT281" s="3845"/>
      <c r="AU281" s="3845"/>
      <c r="AV281" s="3845"/>
      <c r="AW281" s="3845"/>
      <c r="AX281" s="3845"/>
      <c r="AY281" s="3845"/>
      <c r="AZ281" s="3883"/>
      <c r="BB281" s="3845"/>
      <c r="BC281" s="3845"/>
      <c r="BD281" s="3845"/>
      <c r="BE281" s="3845"/>
      <c r="BF281" s="3845"/>
      <c r="BG281" s="3845"/>
      <c r="BH281" s="3845"/>
      <c r="BI281" s="3845"/>
      <c r="BJ281" s="3845"/>
      <c r="BK281" s="3845"/>
      <c r="BL281" s="3845"/>
      <c r="BM281" s="3845"/>
      <c r="BN281" s="3883"/>
      <c r="BP281" s="3845"/>
      <c r="BQ281" s="3845"/>
      <c r="BR281" s="3845"/>
      <c r="BS281" s="3845"/>
      <c r="BT281" s="3845"/>
      <c r="BU281" s="3845"/>
      <c r="BV281" s="3845"/>
      <c r="BW281" s="3845"/>
      <c r="BX281" s="3845"/>
      <c r="BY281" s="3845"/>
      <c r="BZ281" s="3845"/>
      <c r="CA281" s="3845"/>
      <c r="CB281" s="3883"/>
      <c r="CD281" s="3845"/>
      <c r="CE281" s="3845"/>
      <c r="CF281" s="3845"/>
      <c r="CG281" s="3845"/>
      <c r="CH281" s="3845"/>
      <c r="CI281" s="3845"/>
      <c r="CJ281" s="3845"/>
      <c r="CK281" s="3845"/>
      <c r="CL281" s="3845"/>
      <c r="CM281" s="3845"/>
      <c r="CN281" s="3845"/>
      <c r="CO281" s="3845"/>
      <c r="CP281" s="3883"/>
      <c r="CR281" s="3845"/>
      <c r="CS281" s="3845"/>
      <c r="CT281" s="3845"/>
      <c r="CU281" s="3845"/>
      <c r="CV281" s="3845"/>
      <c r="CW281" s="3845"/>
      <c r="CX281" s="3845"/>
      <c r="CY281" s="3845"/>
      <c r="CZ281" s="3845"/>
      <c r="DA281" s="3845"/>
      <c r="DB281" s="3845"/>
      <c r="DC281" s="3845"/>
      <c r="DD281" s="3883"/>
      <c r="DF281" s="3845"/>
      <c r="DG281" s="3845"/>
      <c r="DH281" s="3845"/>
      <c r="DI281" s="4043"/>
      <c r="DJ281" s="4055"/>
      <c r="DL281" s="3180"/>
      <c r="DN281" s="2716" t="s">
        <v>1283</v>
      </c>
      <c r="DO281" s="2740" t="s">
        <v>1284</v>
      </c>
      <c r="DP281" s="3814"/>
      <c r="DQ281" s="3814"/>
      <c r="DR281" s="3814" t="str">
        <f t="shared" si="386"/>
        <v/>
      </c>
      <c r="DS281" s="1037"/>
      <c r="DT281" s="1037"/>
    </row>
    <row r="282" spans="2:124" s="153" customFormat="1" ht="15" hidden="1" outlineLevel="3">
      <c r="B282" s="3839"/>
      <c r="C282" s="1479"/>
      <c r="D282" s="2949"/>
      <c r="E282" s="704"/>
      <c r="F282" s="2949"/>
      <c r="G282" s="395"/>
      <c r="H282" s="1250"/>
      <c r="I282" s="1249"/>
      <c r="J282" s="1495"/>
      <c r="K282" s="1037"/>
      <c r="L282" s="851"/>
      <c r="M282" s="851"/>
      <c r="N282" s="402"/>
      <c r="O282" s="402"/>
      <c r="P282" s="402"/>
      <c r="Q282" s="402"/>
      <c r="R282" s="402"/>
      <c r="S282" s="402"/>
      <c r="T282" s="402"/>
      <c r="U282" s="402"/>
      <c r="V282" s="1037"/>
      <c r="W282" s="3898"/>
      <c r="X282" s="3898"/>
      <c r="Y282" s="3970"/>
      <c r="Z282" s="3898"/>
      <c r="AA282" s="3898"/>
      <c r="AB282" s="1309"/>
      <c r="AC282" s="1037"/>
      <c r="AD282" s="3839"/>
      <c r="AE282" s="3842"/>
      <c r="AF282" s="3842"/>
      <c r="AG282" s="3842"/>
      <c r="AH282" s="3845"/>
      <c r="AI282" s="3845"/>
      <c r="AJ282" s="3839"/>
      <c r="AK282" s="1037"/>
      <c r="AL282" s="3845"/>
      <c r="AM282" s="3845"/>
      <c r="AN282" s="3845"/>
      <c r="AO282" s="1037"/>
      <c r="AP282" s="3845"/>
      <c r="AQ282" s="3845"/>
      <c r="AR282" s="3845"/>
      <c r="AS282" s="3845"/>
      <c r="AT282" s="3845"/>
      <c r="AU282" s="3845"/>
      <c r="AV282" s="3845"/>
      <c r="AW282" s="3845"/>
      <c r="AX282" s="3845"/>
      <c r="AY282" s="3845"/>
      <c r="AZ282" s="3883"/>
      <c r="BA282" s="1037"/>
      <c r="BB282" s="3845"/>
      <c r="BC282" s="3845"/>
      <c r="BD282" s="3845"/>
      <c r="BE282" s="3845"/>
      <c r="BF282" s="3845"/>
      <c r="BG282" s="3845"/>
      <c r="BH282" s="3845"/>
      <c r="BI282" s="3845"/>
      <c r="BJ282" s="3845"/>
      <c r="BK282" s="3845"/>
      <c r="BL282" s="3845"/>
      <c r="BM282" s="3845"/>
      <c r="BN282" s="3883"/>
      <c r="BO282" s="1037"/>
      <c r="BP282" s="3845"/>
      <c r="BQ282" s="3845"/>
      <c r="BR282" s="3845"/>
      <c r="BS282" s="3845"/>
      <c r="BT282" s="3845"/>
      <c r="BU282" s="3845"/>
      <c r="BV282" s="3845"/>
      <c r="BW282" s="3845"/>
      <c r="BX282" s="3845"/>
      <c r="BY282" s="3845"/>
      <c r="BZ282" s="3845"/>
      <c r="CA282" s="3845"/>
      <c r="CB282" s="3883"/>
      <c r="CC282" s="1037"/>
      <c r="CD282" s="3845"/>
      <c r="CE282" s="3845"/>
      <c r="CF282" s="3845"/>
      <c r="CG282" s="3845"/>
      <c r="CH282" s="3845"/>
      <c r="CI282" s="3845"/>
      <c r="CJ282" s="3845"/>
      <c r="CK282" s="3845"/>
      <c r="CL282" s="3845"/>
      <c r="CM282" s="3845"/>
      <c r="CN282" s="3845"/>
      <c r="CO282" s="3845"/>
      <c r="CP282" s="3883"/>
      <c r="CQ282" s="1037"/>
      <c r="CR282" s="3845"/>
      <c r="CS282" s="3845"/>
      <c r="CT282" s="3845"/>
      <c r="CU282" s="3845"/>
      <c r="CV282" s="3845"/>
      <c r="CW282" s="3845"/>
      <c r="CX282" s="3845"/>
      <c r="CY282" s="3845"/>
      <c r="CZ282" s="3845"/>
      <c r="DA282" s="3845"/>
      <c r="DB282" s="3845"/>
      <c r="DC282" s="3845"/>
      <c r="DD282" s="3883"/>
      <c r="DE282" s="1037"/>
      <c r="DF282" s="3845"/>
      <c r="DG282" s="3845"/>
      <c r="DH282" s="3845"/>
      <c r="DI282" s="4043"/>
      <c r="DJ282" s="4055"/>
      <c r="DL282" s="3180"/>
      <c r="DN282" s="2716" t="s">
        <v>1283</v>
      </c>
      <c r="DO282" s="2740" t="s">
        <v>1284</v>
      </c>
      <c r="DP282" s="3814"/>
      <c r="DQ282" s="3814"/>
      <c r="DR282" s="3814" t="str">
        <f t="shared" si="386"/>
        <v/>
      </c>
      <c r="DS282" s="1037"/>
      <c r="DT282" s="1037"/>
    </row>
    <row r="283" spans="2:124" ht="15" hidden="1" outlineLevel="4">
      <c r="B283" s="3839"/>
      <c r="C283" s="1479"/>
      <c r="D283" s="2946"/>
      <c r="E283" s="159"/>
      <c r="F283" s="2946"/>
      <c r="G283" s="702"/>
      <c r="H283" s="1547"/>
      <c r="I283" s="533"/>
      <c r="J283" s="103"/>
      <c r="L283" s="364"/>
      <c r="M283" s="364"/>
      <c r="N283" s="365"/>
      <c r="O283" s="365"/>
      <c r="P283" s="365"/>
      <c r="Q283" s="365"/>
      <c r="R283" s="365"/>
      <c r="S283" s="365"/>
      <c r="T283" s="365"/>
      <c r="U283" s="365"/>
      <c r="W283" s="3898"/>
      <c r="X283" s="3898"/>
      <c r="Y283" s="3970"/>
      <c r="Z283" s="3898"/>
      <c r="AA283" s="3898"/>
      <c r="AB283" s="1309"/>
      <c r="AD283" s="3839"/>
      <c r="AE283" s="3842"/>
      <c r="AF283" s="3842"/>
      <c r="AG283" s="3842"/>
      <c r="AH283" s="3845"/>
      <c r="AI283" s="3845"/>
      <c r="AJ283" s="3839"/>
      <c r="AL283" s="3845"/>
      <c r="AM283" s="3845"/>
      <c r="AN283" s="3845"/>
      <c r="AP283" s="3845"/>
      <c r="AQ283" s="3845"/>
      <c r="AR283" s="3845"/>
      <c r="AS283" s="3845"/>
      <c r="AT283" s="3845"/>
      <c r="AU283" s="3845"/>
      <c r="AV283" s="3845"/>
      <c r="AW283" s="3845"/>
      <c r="AX283" s="3845"/>
      <c r="AY283" s="3845"/>
      <c r="AZ283" s="3883"/>
      <c r="BB283" s="3845"/>
      <c r="BC283" s="3845"/>
      <c r="BD283" s="3845"/>
      <c r="BE283" s="3845"/>
      <c r="BF283" s="3845"/>
      <c r="BG283" s="3845"/>
      <c r="BH283" s="3845"/>
      <c r="BI283" s="3845"/>
      <c r="BJ283" s="3845"/>
      <c r="BK283" s="3845"/>
      <c r="BL283" s="3845"/>
      <c r="BM283" s="3845"/>
      <c r="BN283" s="3883"/>
      <c r="BP283" s="3845"/>
      <c r="BQ283" s="3845"/>
      <c r="BR283" s="3845"/>
      <c r="BS283" s="3845"/>
      <c r="BT283" s="3845"/>
      <c r="BU283" s="3845"/>
      <c r="BV283" s="3845"/>
      <c r="BW283" s="3845"/>
      <c r="BX283" s="3845"/>
      <c r="BY283" s="3845"/>
      <c r="BZ283" s="3845"/>
      <c r="CA283" s="3845"/>
      <c r="CB283" s="3883"/>
      <c r="CD283" s="3845"/>
      <c r="CE283" s="3845"/>
      <c r="CF283" s="3845"/>
      <c r="CG283" s="3845"/>
      <c r="CH283" s="3845"/>
      <c r="CI283" s="3845"/>
      <c r="CJ283" s="3845"/>
      <c r="CK283" s="3845"/>
      <c r="CL283" s="3845"/>
      <c r="CM283" s="3845"/>
      <c r="CN283" s="3845"/>
      <c r="CO283" s="3845"/>
      <c r="CP283" s="3883"/>
      <c r="CR283" s="3845"/>
      <c r="CS283" s="3845"/>
      <c r="CT283" s="3845"/>
      <c r="CU283" s="3845"/>
      <c r="CV283" s="3845"/>
      <c r="CW283" s="3845"/>
      <c r="CX283" s="3845"/>
      <c r="CY283" s="3845"/>
      <c r="CZ283" s="3845"/>
      <c r="DA283" s="3845"/>
      <c r="DB283" s="3845"/>
      <c r="DC283" s="3845"/>
      <c r="DD283" s="3883"/>
      <c r="DF283" s="3845"/>
      <c r="DG283" s="3845"/>
      <c r="DH283" s="3845"/>
      <c r="DI283" s="4043"/>
      <c r="DJ283" s="4055"/>
      <c r="DL283" s="3180"/>
      <c r="DN283" s="2716" t="s">
        <v>1283</v>
      </c>
      <c r="DO283" s="2740" t="s">
        <v>1284</v>
      </c>
      <c r="DP283" s="3814"/>
      <c r="DQ283" s="3814"/>
      <c r="DR283" s="3814" t="str">
        <f t="shared" si="386"/>
        <v/>
      </c>
      <c r="DS283" s="1037"/>
      <c r="DT283" s="1037"/>
    </row>
    <row r="284" spans="2:124" ht="15" hidden="1" outlineLevel="4">
      <c r="B284" s="3839"/>
      <c r="C284" s="1479"/>
      <c r="D284" s="2946"/>
      <c r="E284" s="159"/>
      <c r="F284" s="2946"/>
      <c r="G284" s="702"/>
      <c r="H284" s="1547"/>
      <c r="I284" s="533"/>
      <c r="J284" s="103"/>
      <c r="L284" s="364"/>
      <c r="M284" s="364"/>
      <c r="N284" s="365"/>
      <c r="O284" s="365"/>
      <c r="P284" s="365"/>
      <c r="Q284" s="365"/>
      <c r="R284" s="365"/>
      <c r="S284" s="365"/>
      <c r="T284" s="365"/>
      <c r="U284" s="365"/>
      <c r="W284" s="3898"/>
      <c r="X284" s="3898"/>
      <c r="Y284" s="3970"/>
      <c r="Z284" s="3898"/>
      <c r="AA284" s="3898"/>
      <c r="AB284" s="1309"/>
      <c r="AD284" s="3839"/>
      <c r="AE284" s="3842"/>
      <c r="AF284" s="3842"/>
      <c r="AG284" s="3842"/>
      <c r="AH284" s="3845"/>
      <c r="AI284" s="3845"/>
      <c r="AJ284" s="3839"/>
      <c r="AL284" s="3845"/>
      <c r="AM284" s="3845"/>
      <c r="AN284" s="3845"/>
      <c r="AP284" s="3845"/>
      <c r="AQ284" s="3845"/>
      <c r="AR284" s="3845"/>
      <c r="AS284" s="3845"/>
      <c r="AT284" s="3845"/>
      <c r="AU284" s="3845"/>
      <c r="AV284" s="3845"/>
      <c r="AW284" s="3845"/>
      <c r="AX284" s="3845"/>
      <c r="AY284" s="3845"/>
      <c r="AZ284" s="3883"/>
      <c r="BB284" s="3845"/>
      <c r="BC284" s="3845"/>
      <c r="BD284" s="3845"/>
      <c r="BE284" s="3845"/>
      <c r="BF284" s="3845"/>
      <c r="BG284" s="3845"/>
      <c r="BH284" s="3845"/>
      <c r="BI284" s="3845"/>
      <c r="BJ284" s="3845"/>
      <c r="BK284" s="3845"/>
      <c r="BL284" s="3845"/>
      <c r="BM284" s="3845"/>
      <c r="BN284" s="3883"/>
      <c r="BP284" s="3845"/>
      <c r="BQ284" s="3845"/>
      <c r="BR284" s="3845"/>
      <c r="BS284" s="3845"/>
      <c r="BT284" s="3845"/>
      <c r="BU284" s="3845"/>
      <c r="BV284" s="3845"/>
      <c r="BW284" s="3845"/>
      <c r="BX284" s="3845"/>
      <c r="BY284" s="3845"/>
      <c r="BZ284" s="3845"/>
      <c r="CA284" s="3845"/>
      <c r="CB284" s="3883"/>
      <c r="CD284" s="3845"/>
      <c r="CE284" s="3845"/>
      <c r="CF284" s="3845"/>
      <c r="CG284" s="3845"/>
      <c r="CH284" s="3845"/>
      <c r="CI284" s="3845"/>
      <c r="CJ284" s="3845"/>
      <c r="CK284" s="3845"/>
      <c r="CL284" s="3845"/>
      <c r="CM284" s="3845"/>
      <c r="CN284" s="3845"/>
      <c r="CO284" s="3845"/>
      <c r="CP284" s="3883"/>
      <c r="CR284" s="3845"/>
      <c r="CS284" s="3845"/>
      <c r="CT284" s="3845"/>
      <c r="CU284" s="3845"/>
      <c r="CV284" s="3845"/>
      <c r="CW284" s="3845"/>
      <c r="CX284" s="3845"/>
      <c r="CY284" s="3845"/>
      <c r="CZ284" s="3845"/>
      <c r="DA284" s="3845"/>
      <c r="DB284" s="3845"/>
      <c r="DC284" s="3845"/>
      <c r="DD284" s="3883"/>
      <c r="DF284" s="3845"/>
      <c r="DG284" s="3845"/>
      <c r="DH284" s="3845"/>
      <c r="DI284" s="4043"/>
      <c r="DJ284" s="4055"/>
      <c r="DL284" s="3180"/>
      <c r="DN284" s="2716" t="s">
        <v>1283</v>
      </c>
      <c r="DO284" s="2740" t="s">
        <v>1284</v>
      </c>
      <c r="DP284" s="3814"/>
      <c r="DQ284" s="3814"/>
      <c r="DR284" s="3814" t="str">
        <f t="shared" si="386"/>
        <v/>
      </c>
      <c r="DS284" s="1037"/>
      <c r="DT284" s="1037"/>
    </row>
    <row r="285" spans="2:124" ht="15" hidden="1" outlineLevel="4">
      <c r="B285" s="3839"/>
      <c r="C285" s="1479"/>
      <c r="D285" s="2946"/>
      <c r="E285" s="159"/>
      <c r="F285" s="2946"/>
      <c r="G285" s="702"/>
      <c r="H285" s="1547"/>
      <c r="I285" s="533"/>
      <c r="J285" s="103"/>
      <c r="L285" s="364"/>
      <c r="M285" s="364"/>
      <c r="N285" s="365"/>
      <c r="O285" s="365"/>
      <c r="P285" s="365"/>
      <c r="Q285" s="365"/>
      <c r="R285" s="365"/>
      <c r="S285" s="365"/>
      <c r="T285" s="365"/>
      <c r="U285" s="365"/>
      <c r="W285" s="3898"/>
      <c r="X285" s="3899"/>
      <c r="Y285" s="3970"/>
      <c r="Z285" s="3899"/>
      <c r="AA285" s="3898"/>
      <c r="AB285" s="1309"/>
      <c r="AD285" s="3839"/>
      <c r="AE285" s="3842"/>
      <c r="AF285" s="3842"/>
      <c r="AG285" s="3842"/>
      <c r="AH285" s="3845"/>
      <c r="AI285" s="3845"/>
      <c r="AJ285" s="3839"/>
      <c r="AL285" s="3845"/>
      <c r="AM285" s="3845"/>
      <c r="AN285" s="3845"/>
      <c r="AP285" s="3845"/>
      <c r="AQ285" s="3845"/>
      <c r="AR285" s="3845"/>
      <c r="AS285" s="3845"/>
      <c r="AT285" s="3845"/>
      <c r="AU285" s="3845"/>
      <c r="AV285" s="3845"/>
      <c r="AW285" s="3845"/>
      <c r="AX285" s="3845"/>
      <c r="AY285" s="3845"/>
      <c r="AZ285" s="3883"/>
      <c r="BB285" s="3845"/>
      <c r="BC285" s="3845"/>
      <c r="BD285" s="3845"/>
      <c r="BE285" s="3845"/>
      <c r="BF285" s="3845"/>
      <c r="BG285" s="3845"/>
      <c r="BH285" s="3845"/>
      <c r="BI285" s="3845"/>
      <c r="BJ285" s="3845"/>
      <c r="BK285" s="3845"/>
      <c r="BL285" s="3845"/>
      <c r="BM285" s="3845"/>
      <c r="BN285" s="3883"/>
      <c r="BP285" s="3845"/>
      <c r="BQ285" s="3845"/>
      <c r="BR285" s="3845"/>
      <c r="BS285" s="3845"/>
      <c r="BT285" s="3845"/>
      <c r="BU285" s="3845"/>
      <c r="BV285" s="3845"/>
      <c r="BW285" s="3845"/>
      <c r="BX285" s="3845"/>
      <c r="BY285" s="3845"/>
      <c r="BZ285" s="3845"/>
      <c r="CA285" s="3845"/>
      <c r="CB285" s="3883"/>
      <c r="CD285" s="3845"/>
      <c r="CE285" s="3845"/>
      <c r="CF285" s="3845"/>
      <c r="CG285" s="3845"/>
      <c r="CH285" s="3845"/>
      <c r="CI285" s="3845"/>
      <c r="CJ285" s="3845"/>
      <c r="CK285" s="3845"/>
      <c r="CL285" s="3845"/>
      <c r="CM285" s="3845"/>
      <c r="CN285" s="3845"/>
      <c r="CO285" s="3845"/>
      <c r="CP285" s="3883"/>
      <c r="CR285" s="3845"/>
      <c r="CS285" s="3845"/>
      <c r="CT285" s="3845"/>
      <c r="CU285" s="3845"/>
      <c r="CV285" s="3845"/>
      <c r="CW285" s="3845"/>
      <c r="CX285" s="3845"/>
      <c r="CY285" s="3845"/>
      <c r="CZ285" s="3845"/>
      <c r="DA285" s="3845"/>
      <c r="DB285" s="3845"/>
      <c r="DC285" s="3845"/>
      <c r="DD285" s="3883"/>
      <c r="DF285" s="3845"/>
      <c r="DG285" s="3845"/>
      <c r="DH285" s="3845"/>
      <c r="DI285" s="4043"/>
      <c r="DJ285" s="4055"/>
      <c r="DL285" s="3180"/>
      <c r="DN285" s="2716" t="s">
        <v>1283</v>
      </c>
      <c r="DO285" s="2740" t="s">
        <v>1284</v>
      </c>
      <c r="DP285" s="3814"/>
      <c r="DQ285" s="3814"/>
      <c r="DR285" s="3814" t="str">
        <f t="shared" si="386"/>
        <v/>
      </c>
      <c r="DS285" s="1037"/>
      <c r="DT285" s="1037"/>
    </row>
    <row r="286" spans="2:124" ht="15" hidden="1" outlineLevel="4">
      <c r="B286" s="3840"/>
      <c r="C286" s="765"/>
      <c r="D286" s="2946"/>
      <c r="E286" s="159"/>
      <c r="F286" s="2946"/>
      <c r="G286" s="702"/>
      <c r="H286" s="1547"/>
      <c r="I286" s="533"/>
      <c r="J286" s="103"/>
      <c r="L286" s="364"/>
      <c r="M286" s="364"/>
      <c r="N286" s="365"/>
      <c r="O286" s="365"/>
      <c r="P286" s="365"/>
      <c r="Q286" s="365"/>
      <c r="R286" s="365"/>
      <c r="S286" s="365"/>
      <c r="T286" s="365"/>
      <c r="U286" s="365"/>
      <c r="W286" s="3898"/>
      <c r="X286" s="951"/>
      <c r="Y286" s="3970"/>
      <c r="Z286" s="951"/>
      <c r="AA286" s="3898"/>
      <c r="AB286" s="1309"/>
      <c r="AD286" s="3840"/>
      <c r="AE286" s="3843"/>
      <c r="AF286" s="3843"/>
      <c r="AG286" s="3843"/>
      <c r="AH286" s="3846"/>
      <c r="AI286" s="3846"/>
      <c r="AJ286" s="3840"/>
      <c r="AL286" s="3846"/>
      <c r="AM286" s="3846"/>
      <c r="AN286" s="3846"/>
      <c r="AP286" s="3846"/>
      <c r="AQ286" s="3846"/>
      <c r="AR286" s="3846"/>
      <c r="AS286" s="3846"/>
      <c r="AT286" s="3846"/>
      <c r="AU286" s="3846"/>
      <c r="AV286" s="3846"/>
      <c r="AW286" s="3846"/>
      <c r="AX286" s="3846"/>
      <c r="AY286" s="3846"/>
      <c r="AZ286" s="3884"/>
      <c r="BB286" s="3846"/>
      <c r="BC286" s="3846"/>
      <c r="BD286" s="3846"/>
      <c r="BE286" s="3846"/>
      <c r="BF286" s="3846"/>
      <c r="BG286" s="3846"/>
      <c r="BH286" s="3846"/>
      <c r="BI286" s="3846"/>
      <c r="BJ286" s="3846"/>
      <c r="BK286" s="3846"/>
      <c r="BL286" s="3846"/>
      <c r="BM286" s="3846"/>
      <c r="BN286" s="3884"/>
      <c r="BP286" s="3846"/>
      <c r="BQ286" s="3846"/>
      <c r="BR286" s="3846"/>
      <c r="BS286" s="3846"/>
      <c r="BT286" s="3846"/>
      <c r="BU286" s="3846"/>
      <c r="BV286" s="3846"/>
      <c r="BW286" s="3846"/>
      <c r="BX286" s="3846"/>
      <c r="BY286" s="3846"/>
      <c r="BZ286" s="3846"/>
      <c r="CA286" s="3846"/>
      <c r="CB286" s="3884"/>
      <c r="CD286" s="3846"/>
      <c r="CE286" s="3846"/>
      <c r="CF286" s="3846"/>
      <c r="CG286" s="3846"/>
      <c r="CH286" s="3846"/>
      <c r="CI286" s="3846"/>
      <c r="CJ286" s="3846"/>
      <c r="CK286" s="3846"/>
      <c r="CL286" s="3846"/>
      <c r="CM286" s="3846"/>
      <c r="CN286" s="3846"/>
      <c r="CO286" s="3846"/>
      <c r="CP286" s="3884"/>
      <c r="CR286" s="3846"/>
      <c r="CS286" s="3846"/>
      <c r="CT286" s="3846"/>
      <c r="CU286" s="3846"/>
      <c r="CV286" s="3846"/>
      <c r="CW286" s="3846"/>
      <c r="CX286" s="3846"/>
      <c r="CY286" s="3846"/>
      <c r="CZ286" s="3846"/>
      <c r="DA286" s="3846"/>
      <c r="DB286" s="3846"/>
      <c r="DC286" s="3846"/>
      <c r="DD286" s="3884"/>
      <c r="DF286" s="3846"/>
      <c r="DG286" s="3846"/>
      <c r="DH286" s="3846"/>
      <c r="DI286" s="4044"/>
      <c r="DJ286" s="4056"/>
      <c r="DL286" s="3180"/>
      <c r="DN286" s="2716" t="s">
        <v>1283</v>
      </c>
      <c r="DO286" s="2740" t="s">
        <v>1284</v>
      </c>
      <c r="DP286" s="3815"/>
      <c r="DQ286" s="3815"/>
      <c r="DR286" s="3815" t="str">
        <f t="shared" si="386"/>
        <v/>
      </c>
      <c r="DS286" s="1037"/>
      <c r="DT286" s="1037"/>
    </row>
    <row r="287" spans="2:124" ht="15" hidden="1" outlineLevel="3">
      <c r="B287" s="3838"/>
      <c r="C287" s="2711"/>
      <c r="D287" s="2946"/>
      <c r="E287" s="159"/>
      <c r="F287" s="2946"/>
      <c r="G287" s="702"/>
      <c r="H287" s="1547"/>
      <c r="I287" s="533"/>
      <c r="J287" s="103"/>
      <c r="L287" s="364"/>
      <c r="M287" s="364"/>
      <c r="N287" s="365"/>
      <c r="O287" s="365"/>
      <c r="P287" s="365"/>
      <c r="Q287" s="365"/>
      <c r="R287" s="365"/>
      <c r="S287" s="365"/>
      <c r="T287" s="365"/>
      <c r="U287" s="365"/>
      <c r="W287" s="3898"/>
      <c r="X287" s="951"/>
      <c r="Y287" s="3970"/>
      <c r="Z287" s="951"/>
      <c r="AA287" s="3898"/>
      <c r="AB287" s="1309"/>
      <c r="AD287" s="3838"/>
      <c r="AE287" s="3841"/>
      <c r="AF287" s="3841"/>
      <c r="AG287" s="3841"/>
      <c r="AH287" s="3844"/>
      <c r="AI287" s="3844"/>
      <c r="AJ287" s="3924"/>
      <c r="AL287" s="3787"/>
      <c r="AM287" s="3787"/>
      <c r="AN287" s="3787"/>
      <c r="AP287" s="1005"/>
      <c r="AQ287" s="1005"/>
      <c r="AR287" s="1005"/>
      <c r="AS287" s="1005"/>
      <c r="AT287" s="1005"/>
      <c r="AU287" s="1005"/>
      <c r="AV287" s="1005"/>
      <c r="AW287" s="1005"/>
      <c r="AX287" s="1005"/>
      <c r="AY287" s="1005"/>
      <c r="AZ287" s="2021"/>
      <c r="BB287" s="1005"/>
      <c r="BC287" s="1005"/>
      <c r="BD287" s="1005"/>
      <c r="BE287" s="1005"/>
      <c r="BF287" s="1005"/>
      <c r="BG287" s="1005"/>
      <c r="BH287" s="1005"/>
      <c r="BI287" s="1005"/>
      <c r="BJ287" s="1005"/>
      <c r="BK287" s="1005"/>
      <c r="BL287" s="1005"/>
      <c r="BM287" s="1005"/>
      <c r="BN287" s="2021"/>
      <c r="BP287" s="1005"/>
      <c r="BQ287" s="1005"/>
      <c r="BR287" s="1005"/>
      <c r="BS287" s="1005"/>
      <c r="BT287" s="1005"/>
      <c r="BU287" s="1005"/>
      <c r="BV287" s="1005"/>
      <c r="BW287" s="1005"/>
      <c r="BX287" s="1005"/>
      <c r="BY287" s="1005"/>
      <c r="BZ287" s="1005"/>
      <c r="CA287" s="1005"/>
      <c r="CB287" s="2021"/>
      <c r="CD287" s="1005"/>
      <c r="CE287" s="1005"/>
      <c r="CF287" s="1005"/>
      <c r="CG287" s="1005"/>
      <c r="CH287" s="1005"/>
      <c r="CI287" s="1005"/>
      <c r="CJ287" s="1005"/>
      <c r="CK287" s="1005"/>
      <c r="CL287" s="1005"/>
      <c r="CM287" s="1005"/>
      <c r="CN287" s="1005"/>
      <c r="CO287" s="1005"/>
      <c r="CP287" s="2021"/>
      <c r="CR287" s="1005"/>
      <c r="CS287" s="1005"/>
      <c r="CT287" s="1005"/>
      <c r="CU287" s="1005"/>
      <c r="CV287" s="1005"/>
      <c r="CW287" s="1005"/>
      <c r="CX287" s="1005"/>
      <c r="CY287" s="1005"/>
      <c r="CZ287" s="1005"/>
      <c r="DA287" s="1005"/>
      <c r="DB287" s="1005"/>
      <c r="DC287" s="1005"/>
      <c r="DD287" s="2021"/>
      <c r="DF287" s="1005"/>
      <c r="DG287" s="1005"/>
      <c r="DH287" s="1005"/>
      <c r="DI287" s="3099"/>
      <c r="DJ287" s="3157"/>
      <c r="DL287" s="3180"/>
      <c r="DN287" s="2716" t="s">
        <v>1283</v>
      </c>
      <c r="DO287" s="2740" t="s">
        <v>1284</v>
      </c>
      <c r="DP287" s="2744" t="s">
        <v>1117</v>
      </c>
      <c r="DQ287" s="2744" t="s">
        <v>5</v>
      </c>
      <c r="DR287" s="2744" t="str">
        <f t="shared" si="386"/>
        <v/>
      </c>
      <c r="DS287" s="1037"/>
      <c r="DT287" s="1037"/>
    </row>
    <row r="288" spans="2:124" ht="15" hidden="1" outlineLevel="3">
      <c r="B288" s="3840"/>
      <c r="C288" s="765"/>
      <c r="D288" s="2946"/>
      <c r="E288" s="159"/>
      <c r="F288" s="2946"/>
      <c r="G288" s="702"/>
      <c r="H288" s="1547"/>
      <c r="I288" s="533"/>
      <c r="J288" s="103"/>
      <c r="L288" s="364"/>
      <c r="M288" s="364"/>
      <c r="N288" s="365"/>
      <c r="O288" s="365"/>
      <c r="P288" s="365"/>
      <c r="Q288" s="365"/>
      <c r="R288" s="365"/>
      <c r="S288" s="365"/>
      <c r="T288" s="365"/>
      <c r="U288" s="365"/>
      <c r="W288" s="3899"/>
      <c r="X288" s="951"/>
      <c r="Y288" s="3971"/>
      <c r="Z288" s="951"/>
      <c r="AA288" s="3899"/>
      <c r="AB288" s="533"/>
      <c r="AD288" s="3840"/>
      <c r="AE288" s="3843"/>
      <c r="AF288" s="3843"/>
      <c r="AG288" s="3843"/>
      <c r="AH288" s="3846"/>
      <c r="AI288" s="3846"/>
      <c r="AJ288" s="3925"/>
      <c r="AL288" s="3789"/>
      <c r="AM288" s="3789"/>
      <c r="AN288" s="3789"/>
      <c r="AP288" s="1005"/>
      <c r="AQ288" s="1005"/>
      <c r="AR288" s="1005"/>
      <c r="AS288" s="1005"/>
      <c r="AT288" s="1005"/>
      <c r="AU288" s="1005"/>
      <c r="AV288" s="1005"/>
      <c r="AW288" s="1005"/>
      <c r="AX288" s="1005"/>
      <c r="AY288" s="1005"/>
      <c r="AZ288" s="2021"/>
      <c r="BB288" s="1005"/>
      <c r="BC288" s="1005"/>
      <c r="BD288" s="1005"/>
      <c r="BE288" s="1005"/>
      <c r="BF288" s="1005"/>
      <c r="BG288" s="1005"/>
      <c r="BH288" s="1005"/>
      <c r="BI288" s="1005"/>
      <c r="BJ288" s="1005"/>
      <c r="BK288" s="1005"/>
      <c r="BL288" s="1005"/>
      <c r="BM288" s="1005"/>
      <c r="BN288" s="2021"/>
      <c r="BP288" s="1005"/>
      <c r="BQ288" s="1005"/>
      <c r="BR288" s="1005"/>
      <c r="BS288" s="1005"/>
      <c r="BT288" s="1005"/>
      <c r="BU288" s="1005"/>
      <c r="BV288" s="1005"/>
      <c r="BW288" s="1005"/>
      <c r="BX288" s="1005"/>
      <c r="BY288" s="1005"/>
      <c r="BZ288" s="1005"/>
      <c r="CA288" s="1005"/>
      <c r="CB288" s="2021"/>
      <c r="CD288" s="1005"/>
      <c r="CE288" s="1005"/>
      <c r="CF288" s="1005"/>
      <c r="CG288" s="1005"/>
      <c r="CH288" s="1005"/>
      <c r="CI288" s="1005"/>
      <c r="CJ288" s="1005"/>
      <c r="CK288" s="1005"/>
      <c r="CL288" s="1005"/>
      <c r="CM288" s="1005"/>
      <c r="CN288" s="1005"/>
      <c r="CO288" s="1005"/>
      <c r="CP288" s="2021"/>
      <c r="CR288" s="1005"/>
      <c r="CS288" s="1005"/>
      <c r="CT288" s="1005"/>
      <c r="CU288" s="1005"/>
      <c r="CV288" s="1005"/>
      <c r="CW288" s="1005"/>
      <c r="CX288" s="1005"/>
      <c r="CY288" s="1005"/>
      <c r="CZ288" s="1005"/>
      <c r="DA288" s="1005"/>
      <c r="DB288" s="1005"/>
      <c r="DC288" s="1005"/>
      <c r="DD288" s="2021"/>
      <c r="DF288" s="1005"/>
      <c r="DG288" s="1005"/>
      <c r="DH288" s="1005"/>
      <c r="DI288" s="3099"/>
      <c r="DJ288" s="3157"/>
      <c r="DL288" s="3180"/>
      <c r="DN288" s="2716" t="s">
        <v>1283</v>
      </c>
      <c r="DO288" s="2740" t="s">
        <v>1284</v>
      </c>
      <c r="DP288" s="2744"/>
      <c r="DQ288" s="2744" t="s">
        <v>1175</v>
      </c>
      <c r="DR288" s="2744" t="str">
        <f t="shared" si="386"/>
        <v/>
      </c>
      <c r="DS288" s="1037"/>
      <c r="DT288" s="1037"/>
    </row>
    <row r="289" spans="2:124" ht="15" hidden="1" outlineLevel="3">
      <c r="B289" s="533"/>
      <c r="C289" s="2653"/>
      <c r="D289" s="2946"/>
      <c r="E289" s="159"/>
      <c r="F289" s="2946"/>
      <c r="G289" s="702"/>
      <c r="H289" s="2702"/>
      <c r="I289" s="533"/>
      <c r="J289" s="103"/>
      <c r="L289" s="364"/>
      <c r="M289" s="364"/>
      <c r="N289" s="365"/>
      <c r="O289" s="365"/>
      <c r="P289" s="365"/>
      <c r="Q289" s="365"/>
      <c r="R289" s="365"/>
      <c r="S289" s="365"/>
      <c r="T289" s="365"/>
      <c r="U289" s="365"/>
      <c r="W289" s="364"/>
      <c r="X289" s="364"/>
      <c r="Y289" s="364"/>
      <c r="Z289" s="364"/>
      <c r="AA289" s="364"/>
      <c r="AB289" s="181"/>
      <c r="AD289" s="533"/>
      <c r="AE289" s="365"/>
      <c r="AF289" s="2004"/>
      <c r="AG289" s="2004"/>
      <c r="AH289" s="618"/>
      <c r="AI289" s="618"/>
      <c r="AJ289" s="533"/>
      <c r="AL289" s="1032"/>
      <c r="AM289" s="1032"/>
      <c r="AN289" s="1041"/>
      <c r="AP289" s="728"/>
      <c r="AQ289" s="728"/>
      <c r="AR289" s="728"/>
      <c r="AS289" s="728"/>
      <c r="AT289" s="728"/>
      <c r="AU289" s="728"/>
      <c r="AV289" s="728"/>
      <c r="AW289" s="728"/>
      <c r="AX289" s="728"/>
      <c r="AY289" s="728"/>
      <c r="AZ289" s="995"/>
      <c r="BB289" s="728"/>
      <c r="BC289" s="728"/>
      <c r="BD289" s="728"/>
      <c r="BE289" s="728"/>
      <c r="BF289" s="728"/>
      <c r="BG289" s="728"/>
      <c r="BH289" s="728"/>
      <c r="BI289" s="728"/>
      <c r="BJ289" s="728"/>
      <c r="BK289" s="728"/>
      <c r="BL289" s="728"/>
      <c r="BM289" s="728"/>
      <c r="BN289" s="995"/>
      <c r="BP289" s="728"/>
      <c r="BQ289" s="728"/>
      <c r="BR289" s="728"/>
      <c r="BS289" s="728"/>
      <c r="BT289" s="728"/>
      <c r="BU289" s="728"/>
      <c r="BV289" s="728"/>
      <c r="BW289" s="728"/>
      <c r="BX289" s="728"/>
      <c r="BY289" s="728"/>
      <c r="BZ289" s="728"/>
      <c r="CA289" s="728"/>
      <c r="CB289" s="995"/>
      <c r="CD289" s="728"/>
      <c r="CE289" s="728"/>
      <c r="CF289" s="728"/>
      <c r="CG289" s="728"/>
      <c r="CH289" s="728"/>
      <c r="CI289" s="728"/>
      <c r="CJ289" s="728"/>
      <c r="CK289" s="728"/>
      <c r="CL289" s="728"/>
      <c r="CM289" s="728"/>
      <c r="CN289" s="728"/>
      <c r="CO289" s="728"/>
      <c r="CP289" s="995"/>
      <c r="CR289" s="728"/>
      <c r="CS289" s="1005"/>
      <c r="CT289" s="728"/>
      <c r="CU289" s="728"/>
      <c r="CV289" s="728"/>
      <c r="CW289" s="1005"/>
      <c r="CX289" s="728"/>
      <c r="CY289" s="728"/>
      <c r="CZ289" s="728"/>
      <c r="DA289" s="1005"/>
      <c r="DB289" s="728"/>
      <c r="DC289" s="728"/>
      <c r="DD289" s="995"/>
      <c r="DF289" s="728"/>
      <c r="DG289" s="728"/>
      <c r="DH289" s="728"/>
      <c r="DI289" s="3085"/>
      <c r="DJ289" s="3158"/>
      <c r="DL289" s="3180"/>
      <c r="DN289" s="2716" t="s">
        <v>1283</v>
      </c>
      <c r="DO289" s="2740" t="s">
        <v>1284</v>
      </c>
      <c r="DP289" s="2740" t="s">
        <v>1117</v>
      </c>
      <c r="DQ289" s="2740" t="s">
        <v>5</v>
      </c>
      <c r="DR289" s="2740" t="str">
        <f t="shared" si="386"/>
        <v/>
      </c>
      <c r="DS289" s="1037"/>
      <c r="DT289" s="1037"/>
    </row>
    <row r="290" spans="2:124" s="879" customFormat="1" hidden="1" outlineLevel="3">
      <c r="B290" s="533"/>
      <c r="C290" s="2653"/>
      <c r="D290" s="2954"/>
      <c r="E290" s="583"/>
      <c r="F290" s="2954"/>
      <c r="G290" s="550"/>
      <c r="H290" s="2695"/>
      <c r="I290" s="1202"/>
      <c r="J290" s="491"/>
      <c r="K290" s="2898"/>
      <c r="L290" s="494"/>
      <c r="M290" s="494"/>
      <c r="N290" s="1322"/>
      <c r="O290" s="1322"/>
      <c r="P290" s="1322"/>
      <c r="Q290" s="1322"/>
      <c r="R290" s="1322"/>
      <c r="S290" s="1322"/>
      <c r="T290" s="1322"/>
      <c r="U290" s="1322"/>
      <c r="V290" s="2898"/>
      <c r="W290" s="494"/>
      <c r="X290" s="494"/>
      <c r="Y290" s="494"/>
      <c r="Z290" s="494"/>
      <c r="AA290" s="494"/>
      <c r="AB290" s="496"/>
      <c r="AC290" s="2898"/>
      <c r="AD290" s="533"/>
      <c r="AE290" s="365"/>
      <c r="AF290" s="2505"/>
      <c r="AG290" s="2505"/>
      <c r="AH290" s="2335"/>
      <c r="AI290" s="618"/>
      <c r="AJ290" s="1202"/>
      <c r="AK290" s="2898"/>
      <c r="AL290" s="1032"/>
      <c r="AM290" s="1032"/>
      <c r="AN290" s="1041"/>
      <c r="AO290" s="2898"/>
      <c r="AP290" s="2331"/>
      <c r="AQ290" s="2331"/>
      <c r="AR290" s="2331"/>
      <c r="AS290" s="2331"/>
      <c r="AT290" s="2331"/>
      <c r="AU290" s="2331"/>
      <c r="AV290" s="2331"/>
      <c r="AW290" s="2331"/>
      <c r="AX290" s="2331"/>
      <c r="AY290" s="2331"/>
      <c r="AZ290" s="2332"/>
      <c r="BA290" s="1037"/>
      <c r="BB290" s="2331"/>
      <c r="BC290" s="2331"/>
      <c r="BD290" s="2331"/>
      <c r="BE290" s="2331"/>
      <c r="BF290" s="2331"/>
      <c r="BG290" s="2331"/>
      <c r="BH290" s="2331"/>
      <c r="BI290" s="2331"/>
      <c r="BJ290" s="2331"/>
      <c r="BK290" s="2331"/>
      <c r="BL290" s="2331"/>
      <c r="BM290" s="2331"/>
      <c r="BN290" s="2332"/>
      <c r="BO290" s="2898"/>
      <c r="BP290" s="2331"/>
      <c r="BQ290" s="2331"/>
      <c r="BR290" s="2331"/>
      <c r="BS290" s="2331"/>
      <c r="BT290" s="2331"/>
      <c r="BU290" s="2331"/>
      <c r="BV290" s="2331"/>
      <c r="BW290" s="2331"/>
      <c r="BX290" s="2331"/>
      <c r="BY290" s="2331"/>
      <c r="BZ290" s="2331"/>
      <c r="CA290" s="2331"/>
      <c r="CB290" s="2332"/>
      <c r="CC290" s="2898"/>
      <c r="CD290" s="2331"/>
      <c r="CE290" s="2331"/>
      <c r="CF290" s="2331"/>
      <c r="CG290" s="2331"/>
      <c r="CH290" s="2331"/>
      <c r="CI290" s="2331"/>
      <c r="CJ290" s="2331"/>
      <c r="CK290" s="2331"/>
      <c r="CL290" s="2331"/>
      <c r="CM290" s="2331"/>
      <c r="CN290" s="2331"/>
      <c r="CO290" s="2331"/>
      <c r="CP290" s="2332"/>
      <c r="CQ290" s="2898"/>
      <c r="CR290" s="2331"/>
      <c r="CS290" s="2333"/>
      <c r="CT290" s="2331"/>
      <c r="CU290" s="2331"/>
      <c r="CV290" s="2331"/>
      <c r="CW290" s="2333"/>
      <c r="CX290" s="2331"/>
      <c r="CY290" s="2331"/>
      <c r="CZ290" s="2331"/>
      <c r="DA290" s="2333"/>
      <c r="DB290" s="2331"/>
      <c r="DC290" s="2331"/>
      <c r="DD290" s="2332"/>
      <c r="DE290" s="2898"/>
      <c r="DF290" s="2331"/>
      <c r="DG290" s="2331"/>
      <c r="DH290" s="2331"/>
      <c r="DI290" s="3100"/>
      <c r="DJ290" s="3159"/>
      <c r="DL290" s="3184"/>
      <c r="DN290" s="2771"/>
      <c r="DO290" s="2772"/>
      <c r="DP290" s="2772"/>
      <c r="DQ290" s="2772"/>
      <c r="DR290" s="2772"/>
      <c r="DS290" s="2898"/>
      <c r="DT290" s="2898"/>
    </row>
    <row r="291" spans="2:124" s="153" customFormat="1" ht="15" hidden="1" outlineLevel="2">
      <c r="B291" s="106"/>
      <c r="C291" s="172"/>
      <c r="D291" s="2945"/>
      <c r="E291" s="704"/>
      <c r="F291" s="2945"/>
      <c r="G291" s="171"/>
      <c r="H291" s="538"/>
      <c r="I291" s="538"/>
      <c r="J291" s="106"/>
      <c r="K291" s="1037"/>
      <c r="L291" s="358"/>
      <c r="M291" s="358"/>
      <c r="N291" s="358"/>
      <c r="O291" s="358"/>
      <c r="P291" s="358"/>
      <c r="Q291" s="358"/>
      <c r="R291" s="358"/>
      <c r="S291" s="358"/>
      <c r="T291" s="358"/>
      <c r="U291" s="358"/>
      <c r="V291" s="1037"/>
      <c r="W291" s="854"/>
      <c r="X291" s="358"/>
      <c r="Y291" s="358"/>
      <c r="Z291" s="358"/>
      <c r="AA291" s="358"/>
      <c r="AB291" s="106"/>
      <c r="AC291" s="1037"/>
      <c r="AD291" s="106"/>
      <c r="AE291" s="172"/>
      <c r="AF291" s="172"/>
      <c r="AG291" s="172"/>
      <c r="AH291" s="176"/>
      <c r="AI291" s="176"/>
      <c r="AJ291" s="692"/>
      <c r="AK291" s="1037"/>
      <c r="AL291" s="176"/>
      <c r="AM291" s="176"/>
      <c r="AN291" s="176"/>
      <c r="AO291" s="1037"/>
      <c r="AP291" s="176"/>
      <c r="AQ291" s="176"/>
      <c r="AR291" s="176"/>
      <c r="AS291" s="176"/>
      <c r="AT291" s="176"/>
      <c r="AU291" s="176"/>
      <c r="AV291" s="176"/>
      <c r="AW291" s="176"/>
      <c r="AX291" s="176"/>
      <c r="AY291" s="176"/>
      <c r="AZ291" s="980"/>
      <c r="BA291" s="1037"/>
      <c r="BB291" s="176"/>
      <c r="BC291" s="176"/>
      <c r="BD291" s="176"/>
      <c r="BE291" s="176"/>
      <c r="BF291" s="176"/>
      <c r="BG291" s="176"/>
      <c r="BH291" s="176"/>
      <c r="BI291" s="176"/>
      <c r="BJ291" s="176"/>
      <c r="BK291" s="176"/>
      <c r="BL291" s="176"/>
      <c r="BM291" s="176"/>
      <c r="BN291" s="980"/>
      <c r="BO291" s="1037"/>
      <c r="BP291" s="176"/>
      <c r="BQ291" s="176"/>
      <c r="BR291" s="176"/>
      <c r="BS291" s="176"/>
      <c r="BT291" s="176"/>
      <c r="BU291" s="176"/>
      <c r="BV291" s="176"/>
      <c r="BW291" s="176"/>
      <c r="BX291" s="176"/>
      <c r="BY291" s="176"/>
      <c r="BZ291" s="176"/>
      <c r="CA291" s="176"/>
      <c r="CB291" s="980"/>
      <c r="CC291" s="1037"/>
      <c r="CD291" s="176"/>
      <c r="CE291" s="176"/>
      <c r="CF291" s="176"/>
      <c r="CG291" s="176"/>
      <c r="CH291" s="176"/>
      <c r="CI291" s="176"/>
      <c r="CJ291" s="176"/>
      <c r="CK291" s="176"/>
      <c r="CL291" s="176"/>
      <c r="CM291" s="176"/>
      <c r="CN291" s="176"/>
      <c r="CO291" s="176"/>
      <c r="CP291" s="981"/>
      <c r="CQ291" s="1037"/>
      <c r="CR291" s="176"/>
      <c r="CS291" s="176"/>
      <c r="CT291" s="176"/>
      <c r="CU291" s="176"/>
      <c r="CV291" s="176"/>
      <c r="CW291" s="176"/>
      <c r="CX291" s="176"/>
      <c r="CY291" s="176"/>
      <c r="CZ291" s="176"/>
      <c r="DA291" s="176"/>
      <c r="DB291" s="176"/>
      <c r="DC291" s="176"/>
      <c r="DD291" s="979"/>
      <c r="DE291" s="1037"/>
      <c r="DF291" s="176"/>
      <c r="DG291" s="176"/>
      <c r="DH291" s="176"/>
      <c r="DI291" s="3091"/>
      <c r="DJ291" s="3135"/>
      <c r="DL291" s="3180"/>
      <c r="DN291" s="2723" t="s">
        <v>1175</v>
      </c>
      <c r="DO291" s="2724" t="s">
        <v>1175</v>
      </c>
      <c r="DP291" s="2724"/>
      <c r="DQ291" s="2724" t="s">
        <v>1175</v>
      </c>
      <c r="DR291" s="2724" t="str">
        <f t="shared" si="386"/>
        <v/>
      </c>
      <c r="DS291" s="1037"/>
      <c r="DT291" s="1037"/>
    </row>
    <row r="292" spans="2:124" s="153" customFormat="1" ht="15" hidden="1" outlineLevel="3">
      <c r="B292" s="2840"/>
      <c r="C292" s="397"/>
      <c r="D292" s="2949"/>
      <c r="E292" s="704"/>
      <c r="F292" s="2949"/>
      <c r="G292" s="395"/>
      <c r="H292" s="1249"/>
      <c r="I292" s="536"/>
      <c r="J292" s="399"/>
      <c r="K292" s="1037"/>
      <c r="L292" s="851"/>
      <c r="M292" s="851"/>
      <c r="N292" s="402"/>
      <c r="O292" s="402"/>
      <c r="P292" s="402"/>
      <c r="Q292" s="402"/>
      <c r="R292" s="402"/>
      <c r="S292" s="402"/>
      <c r="T292" s="402"/>
      <c r="U292" s="402"/>
      <c r="V292" s="1037"/>
      <c r="W292" s="837"/>
      <c r="X292" s="851"/>
      <c r="Y292" s="851"/>
      <c r="Z292" s="851"/>
      <c r="AA292" s="851"/>
      <c r="AB292" s="399"/>
      <c r="AC292" s="1037"/>
      <c r="AD292" s="2840"/>
      <c r="AE292" s="397"/>
      <c r="AF292" s="397"/>
      <c r="AG292" s="397"/>
      <c r="AH292" s="398"/>
      <c r="AI292" s="1458"/>
      <c r="AJ292" s="680"/>
      <c r="AK292" s="1037"/>
      <c r="AL292" s="1458"/>
      <c r="AM292" s="1458"/>
      <c r="AN292" s="398"/>
      <c r="AO292" s="1037"/>
      <c r="AP292" s="1458"/>
      <c r="AQ292" s="1458"/>
      <c r="AR292" s="1458"/>
      <c r="AS292" s="1458"/>
      <c r="AT292" s="1458"/>
      <c r="AU292" s="1458"/>
      <c r="AV292" s="1458"/>
      <c r="AW292" s="1458"/>
      <c r="AX292" s="1458"/>
      <c r="AY292" s="1458"/>
      <c r="AZ292" s="398"/>
      <c r="BA292" s="1037"/>
      <c r="BB292" s="1458"/>
      <c r="BC292" s="1458"/>
      <c r="BD292" s="1458"/>
      <c r="BE292" s="1458"/>
      <c r="BF292" s="1458"/>
      <c r="BG292" s="1458"/>
      <c r="BH292" s="1458"/>
      <c r="BI292" s="1458"/>
      <c r="BJ292" s="1458"/>
      <c r="BK292" s="1458"/>
      <c r="BL292" s="1458"/>
      <c r="BM292" s="1458"/>
      <c r="BN292" s="398"/>
      <c r="BO292" s="1037"/>
      <c r="BP292" s="1458"/>
      <c r="BQ292" s="1458"/>
      <c r="BR292" s="1458"/>
      <c r="BS292" s="1458"/>
      <c r="BT292" s="1458"/>
      <c r="BU292" s="1458"/>
      <c r="BV292" s="1458"/>
      <c r="BW292" s="1458"/>
      <c r="BX292" s="1458"/>
      <c r="BY292" s="1458"/>
      <c r="BZ292" s="1458"/>
      <c r="CA292" s="1458"/>
      <c r="CB292" s="398"/>
      <c r="CC292" s="1037"/>
      <c r="CD292" s="1458"/>
      <c r="CE292" s="1458"/>
      <c r="CF292" s="1458"/>
      <c r="CG292" s="1458"/>
      <c r="CH292" s="1458"/>
      <c r="CI292" s="1458"/>
      <c r="CJ292" s="1458"/>
      <c r="CK292" s="1458"/>
      <c r="CL292" s="1458"/>
      <c r="CM292" s="1458"/>
      <c r="CN292" s="1458"/>
      <c r="CO292" s="1458"/>
      <c r="CP292" s="398"/>
      <c r="CQ292" s="1037"/>
      <c r="CR292" s="1458"/>
      <c r="CS292" s="1458"/>
      <c r="CT292" s="1458"/>
      <c r="CU292" s="1458"/>
      <c r="CV292" s="1458"/>
      <c r="CW292" s="1458"/>
      <c r="CX292" s="1458"/>
      <c r="CY292" s="1458"/>
      <c r="CZ292" s="1458"/>
      <c r="DA292" s="1458"/>
      <c r="DB292" s="1458"/>
      <c r="DC292" s="1458"/>
      <c r="DD292" s="398"/>
      <c r="DE292" s="1037"/>
      <c r="DF292" s="1458"/>
      <c r="DG292" s="1458"/>
      <c r="DH292" s="1458"/>
      <c r="DI292" s="3087"/>
      <c r="DJ292" s="3153"/>
      <c r="DL292" s="3180"/>
      <c r="DN292" s="2725" t="s">
        <v>1175</v>
      </c>
      <c r="DO292" s="2726" t="s">
        <v>1175</v>
      </c>
      <c r="DP292" s="2726"/>
      <c r="DQ292" s="2726" t="s">
        <v>1175</v>
      </c>
      <c r="DR292" s="2726" t="str">
        <f t="shared" si="386"/>
        <v/>
      </c>
      <c r="DS292" s="1037"/>
      <c r="DT292" s="1037"/>
    </row>
    <row r="293" spans="2:124" hidden="1" outlineLevel="4">
      <c r="B293" s="711"/>
      <c r="C293" s="182"/>
      <c r="D293" s="2953"/>
      <c r="E293" s="580"/>
      <c r="F293" s="2953"/>
      <c r="G293" s="107"/>
      <c r="H293" s="1547"/>
      <c r="I293" s="533"/>
      <c r="J293" s="103"/>
      <c r="L293" s="364"/>
      <c r="M293" s="364"/>
      <c r="N293" s="365"/>
      <c r="O293" s="365"/>
      <c r="P293" s="365"/>
      <c r="Q293" s="365"/>
      <c r="R293" s="365"/>
      <c r="S293" s="365"/>
      <c r="T293" s="365"/>
      <c r="U293" s="365"/>
      <c r="W293" s="364"/>
      <c r="X293" s="364"/>
      <c r="Y293" s="852"/>
      <c r="Z293" s="364"/>
      <c r="AA293" s="852"/>
      <c r="AB293" s="2899"/>
      <c r="AD293" s="711"/>
      <c r="AE293" s="712"/>
      <c r="AF293" s="712"/>
      <c r="AG293" s="179"/>
      <c r="AH293" s="1048"/>
      <c r="AI293" s="1048"/>
      <c r="AJ293" s="1399"/>
      <c r="AL293" s="1032"/>
      <c r="AM293" s="1048"/>
      <c r="AN293" s="1041"/>
      <c r="AP293" s="1032"/>
      <c r="AQ293" s="1032"/>
      <c r="AR293" s="1032"/>
      <c r="AS293" s="1032"/>
      <c r="AT293" s="1032"/>
      <c r="AU293" s="1032"/>
      <c r="AV293" s="1032"/>
      <c r="AW293" s="1032"/>
      <c r="AX293" s="1032"/>
      <c r="AY293" s="1032"/>
      <c r="AZ293" s="2011"/>
      <c r="BB293" s="1032"/>
      <c r="BC293" s="1032"/>
      <c r="BD293" s="1032"/>
      <c r="BE293" s="1032"/>
      <c r="BF293" s="1032"/>
      <c r="BG293" s="1032"/>
      <c r="BH293" s="1032"/>
      <c r="BI293" s="1032"/>
      <c r="BJ293" s="1032"/>
      <c r="BK293" s="1032"/>
      <c r="BL293" s="1032"/>
      <c r="BM293" s="1032"/>
      <c r="BN293" s="2011"/>
      <c r="BP293" s="1032"/>
      <c r="BQ293" s="1032"/>
      <c r="BR293" s="1032"/>
      <c r="BS293" s="1032"/>
      <c r="BT293" s="1032"/>
      <c r="BU293" s="1032"/>
      <c r="BV293" s="1032"/>
      <c r="BW293" s="1032"/>
      <c r="BX293" s="1032"/>
      <c r="BY293" s="1032"/>
      <c r="BZ293" s="1032"/>
      <c r="CA293" s="1032"/>
      <c r="CB293" s="2011"/>
      <c r="CD293" s="1032"/>
      <c r="CE293" s="1032"/>
      <c r="CF293" s="1032"/>
      <c r="CG293" s="1032"/>
      <c r="CH293" s="1032"/>
      <c r="CI293" s="1032"/>
      <c r="CJ293" s="1032"/>
      <c r="CK293" s="1032"/>
      <c r="CL293" s="1032"/>
      <c r="CM293" s="1032"/>
      <c r="CN293" s="1032"/>
      <c r="CO293" s="1032"/>
      <c r="CP293" s="2014"/>
      <c r="CR293" s="1032"/>
      <c r="CS293" s="1032"/>
      <c r="CT293" s="1032"/>
      <c r="CU293" s="1032"/>
      <c r="CV293" s="1032"/>
      <c r="CW293" s="1032"/>
      <c r="CX293" s="1032"/>
      <c r="CY293" s="1032"/>
      <c r="CZ293" s="1032"/>
      <c r="DA293" s="1032"/>
      <c r="DB293" s="1032"/>
      <c r="DC293" s="1032"/>
      <c r="DD293" s="1498"/>
      <c r="DF293" s="1032"/>
      <c r="DG293" s="1032"/>
      <c r="DH293" s="1032"/>
      <c r="DI293" s="1498"/>
      <c r="DJ293" s="3142"/>
      <c r="DL293" s="3180"/>
      <c r="DN293" s="2749" t="s">
        <v>1346</v>
      </c>
      <c r="DO293" s="2747" t="s">
        <v>1347</v>
      </c>
      <c r="DP293" s="2751" t="s">
        <v>1115</v>
      </c>
      <c r="DQ293" s="2747" t="s">
        <v>5</v>
      </c>
      <c r="DR293" s="2747" t="str">
        <f t="shared" si="386"/>
        <v/>
      </c>
      <c r="DS293" s="1037"/>
      <c r="DT293" s="1037"/>
    </row>
    <row r="294" spans="2:124" hidden="1" outlineLevel="4">
      <c r="B294" s="711"/>
      <c r="C294" s="182"/>
      <c r="D294" s="2953"/>
      <c r="E294" s="580"/>
      <c r="F294" s="2953"/>
      <c r="G294" s="107"/>
      <c r="H294" s="1547"/>
      <c r="I294" s="533"/>
      <c r="J294" s="103"/>
      <c r="L294" s="364"/>
      <c r="M294" s="364"/>
      <c r="N294" s="365"/>
      <c r="O294" s="365"/>
      <c r="P294" s="365"/>
      <c r="Q294" s="365"/>
      <c r="R294" s="365"/>
      <c r="S294" s="365"/>
      <c r="T294" s="365"/>
      <c r="U294" s="365"/>
      <c r="W294" s="364"/>
      <c r="X294" s="364"/>
      <c r="Y294" s="852"/>
      <c r="Z294" s="364"/>
      <c r="AA294" s="852"/>
      <c r="AB294" s="2899"/>
      <c r="AD294" s="711"/>
      <c r="AE294" s="712"/>
      <c r="AF294" s="712"/>
      <c r="AG294" s="179"/>
      <c r="AH294" s="1048"/>
      <c r="AI294" s="1048"/>
      <c r="AJ294" s="1399"/>
      <c r="AL294" s="1032"/>
      <c r="AM294" s="1048"/>
      <c r="AN294" s="1041"/>
      <c r="AP294" s="1032"/>
      <c r="AQ294" s="1032"/>
      <c r="AR294" s="1032"/>
      <c r="AS294" s="1032"/>
      <c r="AT294" s="1032"/>
      <c r="AU294" s="1032"/>
      <c r="AV294" s="1032"/>
      <c r="AW294" s="1032"/>
      <c r="AX294" s="1032"/>
      <c r="AY294" s="1032"/>
      <c r="AZ294" s="2011"/>
      <c r="BB294" s="1032"/>
      <c r="BC294" s="1032"/>
      <c r="BD294" s="1032"/>
      <c r="BE294" s="1032"/>
      <c r="BF294" s="1032"/>
      <c r="BG294" s="1032"/>
      <c r="BH294" s="1032"/>
      <c r="BI294" s="1032"/>
      <c r="BJ294" s="1032"/>
      <c r="BK294" s="1032"/>
      <c r="BL294" s="1032"/>
      <c r="BM294" s="1032"/>
      <c r="BN294" s="2011"/>
      <c r="BP294" s="1032"/>
      <c r="BQ294" s="1032"/>
      <c r="BR294" s="1032"/>
      <c r="BS294" s="1032"/>
      <c r="BT294" s="1032"/>
      <c r="BU294" s="1032"/>
      <c r="BV294" s="1032"/>
      <c r="BW294" s="1032"/>
      <c r="BX294" s="1032"/>
      <c r="BY294" s="1032"/>
      <c r="BZ294" s="1032"/>
      <c r="CA294" s="1032"/>
      <c r="CB294" s="2011"/>
      <c r="CD294" s="1032"/>
      <c r="CE294" s="1032"/>
      <c r="CF294" s="1032"/>
      <c r="CG294" s="1032"/>
      <c r="CH294" s="1032"/>
      <c r="CI294" s="1032"/>
      <c r="CJ294" s="1032"/>
      <c r="CK294" s="1032"/>
      <c r="CL294" s="1032"/>
      <c r="CM294" s="1032"/>
      <c r="CN294" s="1032"/>
      <c r="CO294" s="1032"/>
      <c r="CP294" s="2014"/>
      <c r="CR294" s="1032"/>
      <c r="CS294" s="1032"/>
      <c r="CT294" s="1032"/>
      <c r="CU294" s="1032"/>
      <c r="CV294" s="1032"/>
      <c r="CW294" s="1032"/>
      <c r="CX294" s="1032"/>
      <c r="CY294" s="1032"/>
      <c r="CZ294" s="1032"/>
      <c r="DA294" s="1032"/>
      <c r="DB294" s="1032"/>
      <c r="DC294" s="1032"/>
      <c r="DD294" s="1498"/>
      <c r="DF294" s="1032"/>
      <c r="DG294" s="1032"/>
      <c r="DH294" s="1032"/>
      <c r="DI294" s="1498"/>
      <c r="DJ294" s="3142"/>
      <c r="DL294" s="3180"/>
      <c r="DN294" s="2749" t="s">
        <v>1346</v>
      </c>
      <c r="DO294" s="2747" t="s">
        <v>1347</v>
      </c>
      <c r="DP294" s="2751" t="s">
        <v>1115</v>
      </c>
      <c r="DQ294" s="2747" t="s">
        <v>5</v>
      </c>
      <c r="DR294" s="2747" t="str">
        <f t="shared" si="386"/>
        <v/>
      </c>
      <c r="DS294" s="1037"/>
      <c r="DT294" s="1037"/>
    </row>
    <row r="295" spans="2:124" s="153" customFormat="1" ht="15" hidden="1" outlineLevel="3">
      <c r="B295" s="2840"/>
      <c r="C295" s="397"/>
      <c r="D295" s="2949"/>
      <c r="E295" s="704"/>
      <c r="F295" s="2949"/>
      <c r="G295" s="395"/>
      <c r="H295" s="1249"/>
      <c r="I295" s="536"/>
      <c r="J295" s="399"/>
      <c r="K295" s="1037"/>
      <c r="L295" s="851"/>
      <c r="M295" s="851"/>
      <c r="N295" s="402"/>
      <c r="O295" s="402"/>
      <c r="P295" s="402"/>
      <c r="Q295" s="402"/>
      <c r="R295" s="402"/>
      <c r="S295" s="402"/>
      <c r="T295" s="402"/>
      <c r="U295" s="402"/>
      <c r="V295" s="1037"/>
      <c r="W295" s="837"/>
      <c r="X295" s="851"/>
      <c r="Y295" s="851"/>
      <c r="Z295" s="851"/>
      <c r="AA295" s="851"/>
      <c r="AB295" s="399"/>
      <c r="AC295" s="1037"/>
      <c r="AD295" s="2840"/>
      <c r="AE295" s="397"/>
      <c r="AF295" s="397"/>
      <c r="AG295" s="397"/>
      <c r="AH295" s="398"/>
      <c r="AI295" s="1458"/>
      <c r="AJ295" s="680"/>
      <c r="AK295" s="1037"/>
      <c r="AL295" s="1458"/>
      <c r="AM295" s="1458"/>
      <c r="AN295" s="398"/>
      <c r="AO295" s="1037"/>
      <c r="AP295" s="1458"/>
      <c r="AQ295" s="1458"/>
      <c r="AR295" s="1458"/>
      <c r="AS295" s="1458"/>
      <c r="AT295" s="1458"/>
      <c r="AU295" s="1458"/>
      <c r="AV295" s="1458"/>
      <c r="AW295" s="1458"/>
      <c r="AX295" s="1458"/>
      <c r="AY295" s="1458"/>
      <c r="AZ295" s="398"/>
      <c r="BA295" s="1037"/>
      <c r="BB295" s="1458"/>
      <c r="BC295" s="1458"/>
      <c r="BD295" s="1458"/>
      <c r="BE295" s="1458"/>
      <c r="BF295" s="1458"/>
      <c r="BG295" s="1458"/>
      <c r="BH295" s="1458"/>
      <c r="BI295" s="1458"/>
      <c r="BJ295" s="1458"/>
      <c r="BK295" s="1458"/>
      <c r="BL295" s="1458"/>
      <c r="BM295" s="1458"/>
      <c r="BN295" s="398"/>
      <c r="BO295" s="1037"/>
      <c r="BP295" s="1458"/>
      <c r="BQ295" s="1458"/>
      <c r="BR295" s="1458"/>
      <c r="BS295" s="1458"/>
      <c r="BT295" s="1458"/>
      <c r="BU295" s="1458"/>
      <c r="BV295" s="1458"/>
      <c r="BW295" s="1458"/>
      <c r="BX295" s="1458"/>
      <c r="BY295" s="1458"/>
      <c r="BZ295" s="1458"/>
      <c r="CA295" s="1458"/>
      <c r="CB295" s="398"/>
      <c r="CC295" s="1037"/>
      <c r="CD295" s="1458"/>
      <c r="CE295" s="1458"/>
      <c r="CF295" s="1458"/>
      <c r="CG295" s="1458"/>
      <c r="CH295" s="1458"/>
      <c r="CI295" s="1458"/>
      <c r="CJ295" s="1458"/>
      <c r="CK295" s="1458"/>
      <c r="CL295" s="1458"/>
      <c r="CM295" s="1458"/>
      <c r="CN295" s="1458"/>
      <c r="CO295" s="1458"/>
      <c r="CP295" s="398"/>
      <c r="CQ295" s="1037"/>
      <c r="CR295" s="1458"/>
      <c r="CS295" s="1458"/>
      <c r="CT295" s="1458"/>
      <c r="CU295" s="1458"/>
      <c r="CV295" s="1458"/>
      <c r="CW295" s="1458"/>
      <c r="CX295" s="1458"/>
      <c r="CY295" s="1458"/>
      <c r="CZ295" s="1458"/>
      <c r="DA295" s="1458"/>
      <c r="DB295" s="1458"/>
      <c r="DC295" s="1458"/>
      <c r="DD295" s="398"/>
      <c r="DE295" s="1037"/>
      <c r="DF295" s="1458"/>
      <c r="DG295" s="1458"/>
      <c r="DH295" s="1458"/>
      <c r="DI295" s="3087"/>
      <c r="DJ295" s="3153"/>
      <c r="DL295" s="3180"/>
      <c r="DN295" s="2725" t="s">
        <v>1175</v>
      </c>
      <c r="DO295" s="2726" t="s">
        <v>1175</v>
      </c>
      <c r="DP295" s="2726"/>
      <c r="DQ295" s="2726" t="s">
        <v>1175</v>
      </c>
      <c r="DR295" s="2726" t="str">
        <f t="shared" si="386"/>
        <v/>
      </c>
      <c r="DS295" s="1037"/>
      <c r="DT295" s="1037"/>
    </row>
    <row r="296" spans="2:124" hidden="1" outlineLevel="4">
      <c r="B296" s="711"/>
      <c r="C296" s="182"/>
      <c r="D296" s="2953"/>
      <c r="E296" s="580"/>
      <c r="F296" s="2953"/>
      <c r="G296" s="107"/>
      <c r="H296" s="1547"/>
      <c r="I296" s="533"/>
      <c r="J296" s="103"/>
      <c r="L296" s="364"/>
      <c r="M296" s="364"/>
      <c r="N296" s="365"/>
      <c r="O296" s="365"/>
      <c r="P296" s="365"/>
      <c r="Q296" s="365"/>
      <c r="R296" s="365"/>
      <c r="S296" s="365"/>
      <c r="T296" s="365"/>
      <c r="U296" s="365"/>
      <c r="W296" s="364"/>
      <c r="X296" s="364"/>
      <c r="Y296" s="852"/>
      <c r="Z296" s="364"/>
      <c r="AA296" s="931"/>
      <c r="AB296" s="931"/>
      <c r="AD296" s="711"/>
      <c r="AE296" s="712"/>
      <c r="AF296" s="712"/>
      <c r="AG296" s="179"/>
      <c r="AH296" s="1032"/>
      <c r="AI296" s="1032"/>
      <c r="AJ296" s="1399"/>
      <c r="AL296" s="1032"/>
      <c r="AM296" s="1048"/>
      <c r="AN296" s="1041"/>
      <c r="AP296" s="1032"/>
      <c r="AQ296" s="1032"/>
      <c r="AR296" s="1032"/>
      <c r="AS296" s="1032"/>
      <c r="AT296" s="1032"/>
      <c r="AU296" s="1032"/>
      <c r="AV296" s="1032"/>
      <c r="AW296" s="1032"/>
      <c r="AX296" s="1032"/>
      <c r="AY296" s="1032"/>
      <c r="AZ296" s="2011"/>
      <c r="BB296" s="1032"/>
      <c r="BC296" s="1032"/>
      <c r="BD296" s="1032"/>
      <c r="BE296" s="1032"/>
      <c r="BF296" s="1032"/>
      <c r="BG296" s="1032"/>
      <c r="BH296" s="1032"/>
      <c r="BI296" s="1032"/>
      <c r="BJ296" s="1032"/>
      <c r="BK296" s="1032"/>
      <c r="BL296" s="1032"/>
      <c r="BM296" s="1032"/>
      <c r="BN296" s="2011"/>
      <c r="BP296" s="1032"/>
      <c r="BQ296" s="1032"/>
      <c r="BR296" s="1032"/>
      <c r="BS296" s="1032"/>
      <c r="BT296" s="1032"/>
      <c r="BU296" s="1032"/>
      <c r="BV296" s="1032"/>
      <c r="BW296" s="1032"/>
      <c r="BX296" s="1032"/>
      <c r="BY296" s="1032"/>
      <c r="BZ296" s="1032"/>
      <c r="CA296" s="1032"/>
      <c r="CB296" s="2011"/>
      <c r="CD296" s="1032"/>
      <c r="CE296" s="1032"/>
      <c r="CF296" s="1032"/>
      <c r="CG296" s="1032"/>
      <c r="CH296" s="1032"/>
      <c r="CI296" s="1032"/>
      <c r="CJ296" s="1032"/>
      <c r="CK296" s="1032"/>
      <c r="CL296" s="1032"/>
      <c r="CM296" s="1032"/>
      <c r="CN296" s="1032"/>
      <c r="CO296" s="1032"/>
      <c r="CP296" s="2011"/>
      <c r="CR296" s="1032"/>
      <c r="CS296" s="1032"/>
      <c r="CT296" s="1032"/>
      <c r="CU296" s="1032"/>
      <c r="CV296" s="1032"/>
      <c r="CW296" s="1032"/>
      <c r="CX296" s="1032"/>
      <c r="CY296" s="1032"/>
      <c r="CZ296" s="1032"/>
      <c r="DA296" s="1032"/>
      <c r="DB296" s="1032"/>
      <c r="DC296" s="1032"/>
      <c r="DD296" s="2011"/>
      <c r="DF296" s="1032"/>
      <c r="DG296" s="1032"/>
      <c r="DH296" s="1032"/>
      <c r="DI296" s="2008"/>
      <c r="DJ296" s="3160"/>
      <c r="DL296" s="3180"/>
      <c r="DN296" s="2749" t="s">
        <v>1346</v>
      </c>
      <c r="DO296" s="2747" t="s">
        <v>1347</v>
      </c>
      <c r="DP296" s="2751" t="s">
        <v>1115</v>
      </c>
      <c r="DQ296" s="2744" t="s">
        <v>5</v>
      </c>
      <c r="DR296" s="2744" t="str">
        <f t="shared" si="386"/>
        <v/>
      </c>
      <c r="DS296" s="1037"/>
      <c r="DT296" s="1037"/>
    </row>
    <row r="297" spans="2:124" hidden="1" outlineLevel="4">
      <c r="B297" s="711"/>
      <c r="C297" s="182"/>
      <c r="D297" s="2953"/>
      <c r="E297" s="580"/>
      <c r="F297" s="2953"/>
      <c r="G297" s="107"/>
      <c r="H297" s="1547"/>
      <c r="I297" s="533"/>
      <c r="J297" s="103"/>
      <c r="L297" s="364"/>
      <c r="M297" s="364"/>
      <c r="N297" s="365"/>
      <c r="O297" s="365"/>
      <c r="P297" s="365"/>
      <c r="Q297" s="365"/>
      <c r="R297" s="365"/>
      <c r="S297" s="365"/>
      <c r="T297" s="365"/>
      <c r="U297" s="365"/>
      <c r="W297" s="364"/>
      <c r="X297" s="364"/>
      <c r="Y297" s="852"/>
      <c r="Z297" s="364"/>
      <c r="AA297" s="931"/>
      <c r="AB297" s="931"/>
      <c r="AD297" s="711"/>
      <c r="AE297" s="712"/>
      <c r="AF297" s="712"/>
      <c r="AG297" s="179"/>
      <c r="AH297" s="1032"/>
      <c r="AI297" s="1032"/>
      <c r="AJ297" s="1399"/>
      <c r="AL297" s="1032"/>
      <c r="AM297" s="1048"/>
      <c r="AN297" s="1041"/>
      <c r="AP297" s="1032"/>
      <c r="AQ297" s="1032"/>
      <c r="AR297" s="1032"/>
      <c r="AS297" s="1032"/>
      <c r="AT297" s="1032"/>
      <c r="AU297" s="1032"/>
      <c r="AV297" s="1032"/>
      <c r="AW297" s="1032"/>
      <c r="AX297" s="1032"/>
      <c r="AY297" s="1032"/>
      <c r="AZ297" s="2011"/>
      <c r="BB297" s="1032"/>
      <c r="BC297" s="1032"/>
      <c r="BD297" s="1032"/>
      <c r="BE297" s="1032"/>
      <c r="BF297" s="1032"/>
      <c r="BG297" s="1032"/>
      <c r="BH297" s="1032"/>
      <c r="BI297" s="1032"/>
      <c r="BJ297" s="1032"/>
      <c r="BK297" s="1032"/>
      <c r="BL297" s="1032"/>
      <c r="BM297" s="1032"/>
      <c r="BN297" s="2011"/>
      <c r="BP297" s="1032"/>
      <c r="BQ297" s="1032"/>
      <c r="BR297" s="1032"/>
      <c r="BS297" s="1032"/>
      <c r="BT297" s="1032"/>
      <c r="BU297" s="1032"/>
      <c r="BV297" s="1032"/>
      <c r="BW297" s="1032"/>
      <c r="BX297" s="1032"/>
      <c r="BY297" s="1032"/>
      <c r="BZ297" s="1032"/>
      <c r="CA297" s="1032"/>
      <c r="CB297" s="2011"/>
      <c r="CD297" s="1032"/>
      <c r="CE297" s="1032"/>
      <c r="CF297" s="1032"/>
      <c r="CG297" s="1032"/>
      <c r="CH297" s="1032"/>
      <c r="CI297" s="1032"/>
      <c r="CJ297" s="1032"/>
      <c r="CK297" s="1032"/>
      <c r="CL297" s="1032"/>
      <c r="CM297" s="1032"/>
      <c r="CN297" s="1032"/>
      <c r="CO297" s="1032"/>
      <c r="CP297" s="2011"/>
      <c r="CR297" s="1032"/>
      <c r="CS297" s="1032"/>
      <c r="CT297" s="1032"/>
      <c r="CU297" s="1032"/>
      <c r="CV297" s="1032"/>
      <c r="CW297" s="1032"/>
      <c r="CX297" s="1032"/>
      <c r="CY297" s="1032"/>
      <c r="CZ297" s="1032"/>
      <c r="DA297" s="1032"/>
      <c r="DB297" s="1032"/>
      <c r="DC297" s="1032"/>
      <c r="DD297" s="2011"/>
      <c r="DF297" s="1032"/>
      <c r="DG297" s="1032"/>
      <c r="DH297" s="1032"/>
      <c r="DI297" s="2008"/>
      <c r="DJ297" s="3160"/>
      <c r="DL297" s="3180"/>
      <c r="DN297" s="2749" t="s">
        <v>1346</v>
      </c>
      <c r="DO297" s="2747" t="s">
        <v>1347</v>
      </c>
      <c r="DP297" s="2751" t="s">
        <v>1115</v>
      </c>
      <c r="DQ297" s="2744" t="s">
        <v>5</v>
      </c>
      <c r="DR297" s="2744" t="str">
        <f t="shared" ref="DR297:DR356" si="388">MID(D297,1,1)</f>
        <v/>
      </c>
      <c r="DS297" s="1037"/>
      <c r="DT297" s="1037"/>
    </row>
    <row r="298" spans="2:124" hidden="1" outlineLevel="4">
      <c r="B298" s="711"/>
      <c r="C298" s="182"/>
      <c r="D298" s="2953"/>
      <c r="E298" s="580"/>
      <c r="F298" s="2953"/>
      <c r="G298" s="107"/>
      <c r="H298" s="1547"/>
      <c r="I298" s="533"/>
      <c r="J298" s="103"/>
      <c r="L298" s="364"/>
      <c r="M298" s="364"/>
      <c r="N298" s="365"/>
      <c r="O298" s="365"/>
      <c r="P298" s="365"/>
      <c r="Q298" s="365"/>
      <c r="R298" s="365"/>
      <c r="S298" s="365"/>
      <c r="T298" s="365"/>
      <c r="U298" s="365"/>
      <c r="W298" s="364"/>
      <c r="X298" s="364"/>
      <c r="Y298" s="364"/>
      <c r="Z298" s="364"/>
      <c r="AA298" s="931"/>
      <c r="AB298" s="931"/>
      <c r="AD298" s="711"/>
      <c r="AE298" s="712"/>
      <c r="AF298" s="712"/>
      <c r="AG298" s="179"/>
      <c r="AH298" s="1032"/>
      <c r="AI298" s="1032"/>
      <c r="AJ298" s="1399"/>
      <c r="AL298" s="1032"/>
      <c r="AM298" s="1048"/>
      <c r="AN298" s="1041"/>
      <c r="AP298" s="1032"/>
      <c r="AQ298" s="1032"/>
      <c r="AR298" s="1032"/>
      <c r="AS298" s="1032"/>
      <c r="AT298" s="1032"/>
      <c r="AU298" s="1032"/>
      <c r="AV298" s="1032"/>
      <c r="AW298" s="1032"/>
      <c r="AX298" s="1032"/>
      <c r="AY298" s="1032"/>
      <c r="AZ298" s="2011"/>
      <c r="BB298" s="1032"/>
      <c r="BC298" s="1032"/>
      <c r="BD298" s="1032"/>
      <c r="BE298" s="1032"/>
      <c r="BF298" s="1032"/>
      <c r="BG298" s="1032"/>
      <c r="BH298" s="1032"/>
      <c r="BI298" s="1032"/>
      <c r="BJ298" s="1032"/>
      <c r="BK298" s="1032"/>
      <c r="BL298" s="1032"/>
      <c r="BM298" s="1032"/>
      <c r="BN298" s="2011"/>
      <c r="BP298" s="1032"/>
      <c r="BQ298" s="1032"/>
      <c r="BR298" s="1032"/>
      <c r="BS298" s="1032"/>
      <c r="BT298" s="1032"/>
      <c r="BU298" s="1032"/>
      <c r="BV298" s="1032"/>
      <c r="BW298" s="1032"/>
      <c r="BX298" s="1032"/>
      <c r="BY298" s="1032"/>
      <c r="BZ298" s="1032"/>
      <c r="CA298" s="1032"/>
      <c r="CB298" s="2011"/>
      <c r="CD298" s="1032"/>
      <c r="CE298" s="1032"/>
      <c r="CF298" s="1032"/>
      <c r="CG298" s="1032"/>
      <c r="CH298" s="1032"/>
      <c r="CI298" s="1032"/>
      <c r="CJ298" s="1032"/>
      <c r="CK298" s="1032"/>
      <c r="CL298" s="1032"/>
      <c r="CM298" s="1032"/>
      <c r="CN298" s="1032"/>
      <c r="CO298" s="1032"/>
      <c r="CP298" s="2011"/>
      <c r="CR298" s="1032"/>
      <c r="CS298" s="1032"/>
      <c r="CT298" s="1032"/>
      <c r="CU298" s="1032"/>
      <c r="CV298" s="1032"/>
      <c r="CW298" s="1032"/>
      <c r="CX298" s="1032"/>
      <c r="CY298" s="1032"/>
      <c r="CZ298" s="1032"/>
      <c r="DA298" s="1032"/>
      <c r="DB298" s="1032"/>
      <c r="DC298" s="1032"/>
      <c r="DD298" s="2011"/>
      <c r="DF298" s="1032"/>
      <c r="DG298" s="1032"/>
      <c r="DH298" s="1032"/>
      <c r="DI298" s="2008"/>
      <c r="DJ298" s="3160"/>
      <c r="DL298" s="3180"/>
      <c r="DN298" s="2749" t="s">
        <v>1346</v>
      </c>
      <c r="DO298" s="2747" t="s">
        <v>1347</v>
      </c>
      <c r="DP298" s="2751" t="s">
        <v>1115</v>
      </c>
      <c r="DQ298" s="2744" t="s">
        <v>5</v>
      </c>
      <c r="DR298" s="2744" t="str">
        <f t="shared" si="388"/>
        <v/>
      </c>
      <c r="DS298" s="1037"/>
      <c r="DT298" s="1037"/>
    </row>
    <row r="299" spans="2:124" s="153" customFormat="1" ht="15" hidden="1" outlineLevel="3">
      <c r="B299" s="2840"/>
      <c r="C299" s="397"/>
      <c r="D299" s="2949"/>
      <c r="E299" s="704"/>
      <c r="F299" s="2949"/>
      <c r="G299" s="395"/>
      <c r="H299" s="1249"/>
      <c r="I299" s="536"/>
      <c r="J299" s="399"/>
      <c r="K299" s="1037"/>
      <c r="L299" s="851"/>
      <c r="M299" s="851"/>
      <c r="N299" s="402"/>
      <c r="O299" s="402"/>
      <c r="P299" s="402"/>
      <c r="Q299" s="402"/>
      <c r="R299" s="402"/>
      <c r="S299" s="402"/>
      <c r="T299" s="402"/>
      <c r="U299" s="402"/>
      <c r="V299" s="1037"/>
      <c r="W299" s="837"/>
      <c r="X299" s="851"/>
      <c r="Y299" s="851"/>
      <c r="Z299" s="851"/>
      <c r="AA299" s="851"/>
      <c r="AB299" s="399"/>
      <c r="AC299" s="1037"/>
      <c r="AD299" s="2840"/>
      <c r="AE299" s="397"/>
      <c r="AF299" s="397"/>
      <c r="AG299" s="397"/>
      <c r="AH299" s="398"/>
      <c r="AI299" s="1458"/>
      <c r="AJ299" s="680"/>
      <c r="AK299" s="1037"/>
      <c r="AL299" s="1458"/>
      <c r="AM299" s="1458"/>
      <c r="AN299" s="398"/>
      <c r="AO299" s="1037"/>
      <c r="AP299" s="1458"/>
      <c r="AQ299" s="1458"/>
      <c r="AR299" s="1458"/>
      <c r="AS299" s="1458"/>
      <c r="AT299" s="1458"/>
      <c r="AU299" s="1458"/>
      <c r="AV299" s="1458"/>
      <c r="AW299" s="1458"/>
      <c r="AX299" s="1458"/>
      <c r="AY299" s="1458"/>
      <c r="AZ299" s="398"/>
      <c r="BA299" s="1037"/>
      <c r="BB299" s="1458"/>
      <c r="BC299" s="1458"/>
      <c r="BD299" s="1458"/>
      <c r="BE299" s="1458"/>
      <c r="BF299" s="1458"/>
      <c r="BG299" s="1458"/>
      <c r="BH299" s="1458"/>
      <c r="BI299" s="1458"/>
      <c r="BJ299" s="1458"/>
      <c r="BK299" s="1458"/>
      <c r="BL299" s="1458"/>
      <c r="BM299" s="1458"/>
      <c r="BN299" s="398"/>
      <c r="BO299" s="1037"/>
      <c r="BP299" s="1458"/>
      <c r="BQ299" s="1458"/>
      <c r="BR299" s="1458"/>
      <c r="BS299" s="1458"/>
      <c r="BT299" s="1458"/>
      <c r="BU299" s="1458"/>
      <c r="BV299" s="1458"/>
      <c r="BW299" s="1458"/>
      <c r="BX299" s="1458"/>
      <c r="BY299" s="1458"/>
      <c r="BZ299" s="1458"/>
      <c r="CA299" s="1458"/>
      <c r="CB299" s="398"/>
      <c r="CC299" s="1037"/>
      <c r="CD299" s="1458"/>
      <c r="CE299" s="1458"/>
      <c r="CF299" s="1458"/>
      <c r="CG299" s="1458"/>
      <c r="CH299" s="1458"/>
      <c r="CI299" s="1458"/>
      <c r="CJ299" s="1458"/>
      <c r="CK299" s="1458"/>
      <c r="CL299" s="1458"/>
      <c r="CM299" s="1458"/>
      <c r="CN299" s="1458"/>
      <c r="CO299" s="1458"/>
      <c r="CP299" s="398"/>
      <c r="CQ299" s="1037"/>
      <c r="CR299" s="1458"/>
      <c r="CS299" s="1458"/>
      <c r="CT299" s="1458"/>
      <c r="CU299" s="1458"/>
      <c r="CV299" s="1458"/>
      <c r="CW299" s="1458"/>
      <c r="CX299" s="1458"/>
      <c r="CY299" s="1458"/>
      <c r="CZ299" s="1458"/>
      <c r="DA299" s="1458"/>
      <c r="DB299" s="1458"/>
      <c r="DC299" s="1458"/>
      <c r="DD299" s="398"/>
      <c r="DE299" s="1037"/>
      <c r="DF299" s="1458"/>
      <c r="DG299" s="1458"/>
      <c r="DH299" s="1458"/>
      <c r="DI299" s="3087"/>
      <c r="DJ299" s="3153"/>
      <c r="DL299" s="3180"/>
      <c r="DN299" s="2725" t="s">
        <v>1175</v>
      </c>
      <c r="DO299" s="2726" t="s">
        <v>1175</v>
      </c>
      <c r="DP299" s="2726"/>
      <c r="DQ299" s="2726" t="s">
        <v>1175</v>
      </c>
      <c r="DR299" s="2726" t="str">
        <f t="shared" si="388"/>
        <v/>
      </c>
      <c r="DS299" s="1037"/>
      <c r="DT299" s="1037"/>
    </row>
    <row r="300" spans="2:124" hidden="1" outlineLevel="4">
      <c r="B300" s="711"/>
      <c r="C300" s="182"/>
      <c r="D300" s="2953"/>
      <c r="E300" s="580"/>
      <c r="F300" s="2953"/>
      <c r="G300" s="107"/>
      <c r="H300" s="1547"/>
      <c r="I300" s="533"/>
      <c r="J300" s="103"/>
      <c r="L300" s="364"/>
      <c r="M300" s="364"/>
      <c r="N300" s="365"/>
      <c r="O300" s="365"/>
      <c r="P300" s="365"/>
      <c r="Q300" s="365"/>
      <c r="R300" s="365"/>
      <c r="S300" s="365"/>
      <c r="T300" s="365"/>
      <c r="U300" s="365"/>
      <c r="W300" s="364"/>
      <c r="X300" s="364"/>
      <c r="Y300" s="364"/>
      <c r="Z300" s="364"/>
      <c r="AA300" s="364"/>
      <c r="AB300" s="364"/>
      <c r="AD300" s="711"/>
      <c r="AE300" s="712"/>
      <c r="AF300" s="712"/>
      <c r="AG300" s="179"/>
      <c r="AH300" s="1032"/>
      <c r="AI300" s="1032"/>
      <c r="AJ300" s="1399"/>
      <c r="AL300" s="1032"/>
      <c r="AM300" s="1048"/>
      <c r="AN300" s="1041"/>
      <c r="AP300" s="1032"/>
      <c r="AQ300" s="1032"/>
      <c r="AR300" s="1032"/>
      <c r="AS300" s="1032"/>
      <c r="AT300" s="1032"/>
      <c r="AU300" s="1032"/>
      <c r="AV300" s="1032"/>
      <c r="AW300" s="1032"/>
      <c r="AX300" s="1032"/>
      <c r="AY300" s="1032"/>
      <c r="AZ300" s="2011"/>
      <c r="BB300" s="1032"/>
      <c r="BC300" s="1032"/>
      <c r="BD300" s="1032"/>
      <c r="BE300" s="1032"/>
      <c r="BF300" s="1032"/>
      <c r="BG300" s="1032"/>
      <c r="BH300" s="1032"/>
      <c r="BI300" s="1032"/>
      <c r="BJ300" s="1032"/>
      <c r="BK300" s="1032"/>
      <c r="BL300" s="1032"/>
      <c r="BM300" s="1032"/>
      <c r="BN300" s="2011"/>
      <c r="BP300" s="1032"/>
      <c r="BQ300" s="1032"/>
      <c r="BR300" s="1032"/>
      <c r="BS300" s="1032"/>
      <c r="BT300" s="1032"/>
      <c r="BU300" s="1032"/>
      <c r="BV300" s="1032"/>
      <c r="BW300" s="1032"/>
      <c r="BX300" s="1032"/>
      <c r="BY300" s="1032"/>
      <c r="BZ300" s="1032"/>
      <c r="CA300" s="1032"/>
      <c r="CB300" s="2011"/>
      <c r="CD300" s="1032"/>
      <c r="CE300" s="1032"/>
      <c r="CF300" s="1032"/>
      <c r="CG300" s="1032"/>
      <c r="CH300" s="1032"/>
      <c r="CI300" s="1032"/>
      <c r="CJ300" s="1032"/>
      <c r="CK300" s="1032"/>
      <c r="CL300" s="1032"/>
      <c r="CM300" s="1032"/>
      <c r="CN300" s="1032"/>
      <c r="CO300" s="1032"/>
      <c r="CP300" s="2011"/>
      <c r="CR300" s="1032"/>
      <c r="CS300" s="1032"/>
      <c r="CT300" s="1032"/>
      <c r="CU300" s="1032"/>
      <c r="CV300" s="1032"/>
      <c r="CW300" s="1032"/>
      <c r="CX300" s="1032"/>
      <c r="CY300" s="1032"/>
      <c r="CZ300" s="1032"/>
      <c r="DA300" s="1032"/>
      <c r="DB300" s="1032"/>
      <c r="DC300" s="1032"/>
      <c r="DD300" s="2011"/>
      <c r="DF300" s="1032"/>
      <c r="DG300" s="1032"/>
      <c r="DH300" s="1032"/>
      <c r="DI300" s="2008"/>
      <c r="DJ300" s="3160"/>
      <c r="DL300" s="3180"/>
      <c r="DN300" s="2749" t="s">
        <v>1346</v>
      </c>
      <c r="DO300" s="2747" t="s">
        <v>1347</v>
      </c>
      <c r="DP300" s="2751" t="s">
        <v>1115</v>
      </c>
      <c r="DQ300" s="2744" t="s">
        <v>5</v>
      </c>
      <c r="DR300" s="2744" t="str">
        <f t="shared" si="388"/>
        <v/>
      </c>
      <c r="DS300" s="1037"/>
      <c r="DT300" s="1037"/>
    </row>
    <row r="301" spans="2:124" hidden="1" outlineLevel="4">
      <c r="B301" s="711"/>
      <c r="C301" s="182"/>
      <c r="D301" s="2953"/>
      <c r="E301" s="580"/>
      <c r="F301" s="2953"/>
      <c r="G301" s="107"/>
      <c r="H301" s="1547"/>
      <c r="I301" s="533"/>
      <c r="J301" s="103"/>
      <c r="L301" s="364"/>
      <c r="M301" s="364"/>
      <c r="N301" s="365"/>
      <c r="O301" s="365"/>
      <c r="P301" s="365"/>
      <c r="Q301" s="365"/>
      <c r="R301" s="365"/>
      <c r="S301" s="365"/>
      <c r="T301" s="365"/>
      <c r="U301" s="365"/>
      <c r="W301" s="364"/>
      <c r="X301" s="364"/>
      <c r="Y301" s="364"/>
      <c r="Z301" s="364"/>
      <c r="AA301" s="364"/>
      <c r="AB301" s="364"/>
      <c r="AD301" s="711"/>
      <c r="AE301" s="712"/>
      <c r="AF301" s="712"/>
      <c r="AG301" s="179"/>
      <c r="AH301" s="1032"/>
      <c r="AI301" s="1032"/>
      <c r="AJ301" s="1399"/>
      <c r="AL301" s="1032"/>
      <c r="AM301" s="1048"/>
      <c r="AN301" s="1041"/>
      <c r="AP301" s="1032"/>
      <c r="AQ301" s="1032"/>
      <c r="AR301" s="1032"/>
      <c r="AS301" s="1032"/>
      <c r="AT301" s="1032"/>
      <c r="AU301" s="1032"/>
      <c r="AV301" s="1032"/>
      <c r="AW301" s="1032"/>
      <c r="AX301" s="1032"/>
      <c r="AY301" s="1032"/>
      <c r="AZ301" s="2011"/>
      <c r="BB301" s="1032"/>
      <c r="BC301" s="1032"/>
      <c r="BD301" s="1032"/>
      <c r="BE301" s="1032"/>
      <c r="BF301" s="1032"/>
      <c r="BG301" s="1032"/>
      <c r="BH301" s="1032"/>
      <c r="BI301" s="1032"/>
      <c r="BJ301" s="1032"/>
      <c r="BK301" s="1032"/>
      <c r="BL301" s="1032"/>
      <c r="BM301" s="1032"/>
      <c r="BN301" s="2011"/>
      <c r="BP301" s="1032"/>
      <c r="BQ301" s="1032"/>
      <c r="BR301" s="1032"/>
      <c r="BS301" s="1032"/>
      <c r="BT301" s="1032"/>
      <c r="BU301" s="1032"/>
      <c r="BV301" s="1032"/>
      <c r="BW301" s="1032"/>
      <c r="BX301" s="1032"/>
      <c r="BY301" s="1032"/>
      <c r="BZ301" s="1032"/>
      <c r="CA301" s="1032"/>
      <c r="CB301" s="2011"/>
      <c r="CD301" s="1032"/>
      <c r="CE301" s="1032"/>
      <c r="CF301" s="1032"/>
      <c r="CG301" s="1032"/>
      <c r="CH301" s="1032"/>
      <c r="CI301" s="1032"/>
      <c r="CJ301" s="1032"/>
      <c r="CK301" s="1032"/>
      <c r="CL301" s="1032"/>
      <c r="CM301" s="1032"/>
      <c r="CN301" s="1032"/>
      <c r="CO301" s="1032"/>
      <c r="CP301" s="2011"/>
      <c r="CR301" s="1032"/>
      <c r="CS301" s="1032"/>
      <c r="CT301" s="1032"/>
      <c r="CU301" s="1032"/>
      <c r="CV301" s="1032"/>
      <c r="CW301" s="1032"/>
      <c r="CX301" s="1032"/>
      <c r="CY301" s="1032"/>
      <c r="CZ301" s="1032"/>
      <c r="DA301" s="1032"/>
      <c r="DB301" s="1032"/>
      <c r="DC301" s="1032"/>
      <c r="DD301" s="2011"/>
      <c r="DF301" s="1032"/>
      <c r="DG301" s="1032"/>
      <c r="DH301" s="1032"/>
      <c r="DI301" s="2008"/>
      <c r="DJ301" s="3160"/>
      <c r="DL301" s="3180"/>
      <c r="DN301" s="2749" t="s">
        <v>1346</v>
      </c>
      <c r="DO301" s="2747" t="s">
        <v>1347</v>
      </c>
      <c r="DP301" s="2751" t="s">
        <v>1115</v>
      </c>
      <c r="DQ301" s="2744" t="s">
        <v>5</v>
      </c>
      <c r="DR301" s="2744" t="str">
        <f t="shared" si="388"/>
        <v/>
      </c>
      <c r="DS301" s="1037"/>
      <c r="DT301" s="1037"/>
    </row>
    <row r="302" spans="2:124" hidden="1" outlineLevel="4">
      <c r="B302" s="711"/>
      <c r="C302" s="182"/>
      <c r="D302" s="2953"/>
      <c r="E302" s="580"/>
      <c r="F302" s="2953"/>
      <c r="G302" s="107"/>
      <c r="H302" s="1547"/>
      <c r="I302" s="533"/>
      <c r="J302" s="103"/>
      <c r="L302" s="364"/>
      <c r="M302" s="364"/>
      <c r="N302" s="365"/>
      <c r="O302" s="365"/>
      <c r="P302" s="365"/>
      <c r="Q302" s="365"/>
      <c r="R302" s="365"/>
      <c r="S302" s="365"/>
      <c r="T302" s="365"/>
      <c r="U302" s="365"/>
      <c r="W302" s="364"/>
      <c r="X302" s="364"/>
      <c r="Y302" s="364"/>
      <c r="Z302" s="364"/>
      <c r="AA302" s="364"/>
      <c r="AB302" s="364"/>
      <c r="AD302" s="711"/>
      <c r="AE302" s="712"/>
      <c r="AF302" s="712"/>
      <c r="AG302" s="179"/>
      <c r="AH302" s="1032"/>
      <c r="AI302" s="1032"/>
      <c r="AJ302" s="1399"/>
      <c r="AL302" s="1032"/>
      <c r="AM302" s="1048"/>
      <c r="AN302" s="1041"/>
      <c r="AP302" s="1032"/>
      <c r="AQ302" s="1032"/>
      <c r="AR302" s="1032"/>
      <c r="AS302" s="1032"/>
      <c r="AT302" s="1032"/>
      <c r="AU302" s="1032"/>
      <c r="AV302" s="1032"/>
      <c r="AW302" s="1032"/>
      <c r="AX302" s="1032"/>
      <c r="AY302" s="1032"/>
      <c r="AZ302" s="2011"/>
      <c r="BB302" s="1032"/>
      <c r="BC302" s="1032"/>
      <c r="BD302" s="1032"/>
      <c r="BE302" s="1032"/>
      <c r="BF302" s="1032"/>
      <c r="BG302" s="1032"/>
      <c r="BH302" s="1032"/>
      <c r="BI302" s="1032"/>
      <c r="BJ302" s="1032"/>
      <c r="BK302" s="1032"/>
      <c r="BL302" s="1032"/>
      <c r="BM302" s="1032"/>
      <c r="BN302" s="2011"/>
      <c r="BP302" s="1032"/>
      <c r="BQ302" s="1032"/>
      <c r="BR302" s="1032"/>
      <c r="BS302" s="1032"/>
      <c r="BT302" s="1032"/>
      <c r="BU302" s="1032"/>
      <c r="BV302" s="1032"/>
      <c r="BW302" s="1032"/>
      <c r="BX302" s="1032"/>
      <c r="BY302" s="1032"/>
      <c r="BZ302" s="1032"/>
      <c r="CA302" s="1032"/>
      <c r="CB302" s="2011"/>
      <c r="CD302" s="1032"/>
      <c r="CE302" s="1032"/>
      <c r="CF302" s="1032"/>
      <c r="CG302" s="1032"/>
      <c r="CH302" s="1032"/>
      <c r="CI302" s="1032"/>
      <c r="CJ302" s="1032"/>
      <c r="CK302" s="1032"/>
      <c r="CL302" s="1032"/>
      <c r="CM302" s="1032"/>
      <c r="CN302" s="1032"/>
      <c r="CO302" s="1032"/>
      <c r="CP302" s="2011"/>
      <c r="CR302" s="1032"/>
      <c r="CS302" s="1032"/>
      <c r="CT302" s="1032"/>
      <c r="CU302" s="1032"/>
      <c r="CV302" s="1032"/>
      <c r="CW302" s="1032"/>
      <c r="CX302" s="1032"/>
      <c r="CY302" s="1032"/>
      <c r="CZ302" s="1032"/>
      <c r="DA302" s="1032"/>
      <c r="DB302" s="1032"/>
      <c r="DC302" s="1032"/>
      <c r="DD302" s="2011"/>
      <c r="DF302" s="1032"/>
      <c r="DG302" s="1032"/>
      <c r="DH302" s="1032"/>
      <c r="DI302" s="2008"/>
      <c r="DJ302" s="3160"/>
      <c r="DL302" s="3180"/>
      <c r="DN302" s="2749" t="s">
        <v>1346</v>
      </c>
      <c r="DO302" s="2747" t="s">
        <v>1347</v>
      </c>
      <c r="DP302" s="2751" t="s">
        <v>1115</v>
      </c>
      <c r="DQ302" s="2744" t="s">
        <v>5</v>
      </c>
      <c r="DR302" s="2744" t="str">
        <f t="shared" si="388"/>
        <v/>
      </c>
      <c r="DS302" s="1037"/>
      <c r="DT302" s="1037"/>
    </row>
    <row r="303" spans="2:124" s="148" customFormat="1" hidden="1" outlineLevel="3">
      <c r="B303" s="711"/>
      <c r="C303" s="182"/>
      <c r="D303" s="2953"/>
      <c r="E303" s="580"/>
      <c r="F303" s="2953"/>
      <c r="G303" s="107"/>
      <c r="H303" s="1547"/>
      <c r="I303" s="533"/>
      <c r="J303" s="103"/>
      <c r="K303" s="1037"/>
      <c r="L303" s="364"/>
      <c r="M303" s="364"/>
      <c r="N303" s="367"/>
      <c r="O303" s="367"/>
      <c r="P303" s="367"/>
      <c r="Q303" s="367"/>
      <c r="R303" s="367"/>
      <c r="S303" s="367"/>
      <c r="T303" s="367"/>
      <c r="U303" s="367"/>
      <c r="V303" s="1037"/>
      <c r="W303" s="364"/>
      <c r="X303" s="364"/>
      <c r="Y303" s="364"/>
      <c r="Z303" s="364"/>
      <c r="AA303" s="364"/>
      <c r="AB303" s="177"/>
      <c r="AC303" s="1037"/>
      <c r="AD303" s="711"/>
      <c r="AE303" s="712"/>
      <c r="AF303" s="179"/>
      <c r="AG303" s="179"/>
      <c r="AH303" s="1053"/>
      <c r="AI303" s="1032"/>
      <c r="AJ303" s="1762"/>
      <c r="AK303" s="1037"/>
      <c r="AL303" s="1032"/>
      <c r="AM303" s="1048"/>
      <c r="AN303" s="1041"/>
      <c r="AO303" s="1037"/>
      <c r="AP303" s="1032"/>
      <c r="AQ303" s="1032"/>
      <c r="AR303" s="1032"/>
      <c r="AS303" s="1032"/>
      <c r="AT303" s="1032"/>
      <c r="AU303" s="1032"/>
      <c r="AV303" s="1032"/>
      <c r="AW303" s="1032"/>
      <c r="AX303" s="1032"/>
      <c r="AY303" s="1032"/>
      <c r="AZ303" s="2011"/>
      <c r="BA303" s="1037"/>
      <c r="BB303" s="1032"/>
      <c r="BC303" s="1032"/>
      <c r="BD303" s="1032"/>
      <c r="BE303" s="1032"/>
      <c r="BF303" s="1032"/>
      <c r="BG303" s="1032"/>
      <c r="BH303" s="1032"/>
      <c r="BI303" s="1032"/>
      <c r="BJ303" s="1032"/>
      <c r="BK303" s="1032"/>
      <c r="BL303" s="1032"/>
      <c r="BM303" s="1032"/>
      <c r="BN303" s="2011"/>
      <c r="BO303" s="1037"/>
      <c r="BP303" s="1032"/>
      <c r="BQ303" s="1032"/>
      <c r="BR303" s="1032"/>
      <c r="BS303" s="1032"/>
      <c r="BT303" s="1032"/>
      <c r="BU303" s="1032"/>
      <c r="BV303" s="1032"/>
      <c r="BW303" s="1032"/>
      <c r="BX303" s="1032"/>
      <c r="BY303" s="1032"/>
      <c r="BZ303" s="1032"/>
      <c r="CA303" s="1032"/>
      <c r="CB303" s="2011"/>
      <c r="CC303" s="1037"/>
      <c r="CD303" s="1032"/>
      <c r="CE303" s="1032"/>
      <c r="CF303" s="1032"/>
      <c r="CG303" s="1032"/>
      <c r="CH303" s="1032"/>
      <c r="CI303" s="1032"/>
      <c r="CJ303" s="1032"/>
      <c r="CK303" s="1032"/>
      <c r="CL303" s="1032"/>
      <c r="CM303" s="1032"/>
      <c r="CN303" s="1032"/>
      <c r="CO303" s="1032"/>
      <c r="CP303" s="2011"/>
      <c r="CQ303" s="1037"/>
      <c r="CR303" s="1032"/>
      <c r="CS303" s="1032"/>
      <c r="CT303" s="1032"/>
      <c r="CU303" s="1032"/>
      <c r="CV303" s="1032"/>
      <c r="CW303" s="1032"/>
      <c r="CX303" s="1032"/>
      <c r="CY303" s="1032"/>
      <c r="CZ303" s="1032"/>
      <c r="DA303" s="1032"/>
      <c r="DB303" s="1032"/>
      <c r="DC303" s="1032"/>
      <c r="DD303" s="2022"/>
      <c r="DE303" s="1037"/>
      <c r="DF303" s="1032"/>
      <c r="DG303" s="1032"/>
      <c r="DH303" s="1032"/>
      <c r="DI303" s="2017"/>
      <c r="DJ303" s="3161"/>
      <c r="DL303" s="3180"/>
      <c r="DN303" s="2749" t="s">
        <v>1346</v>
      </c>
      <c r="DO303" s="2747" t="s">
        <v>1347</v>
      </c>
      <c r="DP303" s="2751" t="s">
        <v>1115</v>
      </c>
      <c r="DQ303" s="2747" t="s">
        <v>5</v>
      </c>
      <c r="DR303" s="2747" t="str">
        <f t="shared" si="388"/>
        <v/>
      </c>
      <c r="DS303" s="1037"/>
      <c r="DT303" s="1037"/>
    </row>
    <row r="304" spans="2:124" s="153" customFormat="1" ht="15" hidden="1" outlineLevel="3">
      <c r="B304" s="2840"/>
      <c r="C304" s="397"/>
      <c r="D304" s="2949"/>
      <c r="E304" s="704"/>
      <c r="F304" s="2949"/>
      <c r="G304" s="395"/>
      <c r="H304" s="1249"/>
      <c r="I304" s="536"/>
      <c r="J304" s="399"/>
      <c r="K304" s="1037"/>
      <c r="L304" s="851"/>
      <c r="M304" s="851"/>
      <c r="N304" s="402"/>
      <c r="O304" s="402"/>
      <c r="P304" s="402"/>
      <c r="Q304" s="402"/>
      <c r="R304" s="402"/>
      <c r="S304" s="402"/>
      <c r="T304" s="402"/>
      <c r="U304" s="402"/>
      <c r="V304" s="1037"/>
      <c r="W304" s="837"/>
      <c r="X304" s="851"/>
      <c r="Y304" s="851"/>
      <c r="Z304" s="851"/>
      <c r="AA304" s="851"/>
      <c r="AB304" s="399"/>
      <c r="AC304" s="1037"/>
      <c r="AD304" s="2840"/>
      <c r="AE304" s="397"/>
      <c r="AF304" s="397"/>
      <c r="AG304" s="397"/>
      <c r="AH304" s="398"/>
      <c r="AI304" s="1458"/>
      <c r="AJ304" s="680"/>
      <c r="AK304" s="1037"/>
      <c r="AL304" s="1458"/>
      <c r="AM304" s="1458"/>
      <c r="AN304" s="398"/>
      <c r="AO304" s="1037"/>
      <c r="AP304" s="1458"/>
      <c r="AQ304" s="1458"/>
      <c r="AR304" s="1458"/>
      <c r="AS304" s="1458"/>
      <c r="AT304" s="1458"/>
      <c r="AU304" s="1458"/>
      <c r="AV304" s="1458"/>
      <c r="AW304" s="1458"/>
      <c r="AX304" s="1458"/>
      <c r="AY304" s="1458"/>
      <c r="AZ304" s="398"/>
      <c r="BA304" s="1037"/>
      <c r="BB304" s="1458"/>
      <c r="BC304" s="1458"/>
      <c r="BD304" s="1458"/>
      <c r="BE304" s="1458"/>
      <c r="BF304" s="1458"/>
      <c r="BG304" s="1458"/>
      <c r="BH304" s="1458"/>
      <c r="BI304" s="1458"/>
      <c r="BJ304" s="1458"/>
      <c r="BK304" s="1458"/>
      <c r="BL304" s="1458"/>
      <c r="BM304" s="1458"/>
      <c r="BN304" s="398"/>
      <c r="BO304" s="1037"/>
      <c r="BP304" s="1458"/>
      <c r="BQ304" s="1458"/>
      <c r="BR304" s="1458"/>
      <c r="BS304" s="1458"/>
      <c r="BT304" s="1458"/>
      <c r="BU304" s="1458"/>
      <c r="BV304" s="1458"/>
      <c r="BW304" s="1458"/>
      <c r="BX304" s="1458"/>
      <c r="BY304" s="1458"/>
      <c r="BZ304" s="1458"/>
      <c r="CA304" s="1458"/>
      <c r="CB304" s="398"/>
      <c r="CC304" s="1037"/>
      <c r="CD304" s="1458"/>
      <c r="CE304" s="1458"/>
      <c r="CF304" s="1458"/>
      <c r="CG304" s="1458"/>
      <c r="CH304" s="1458"/>
      <c r="CI304" s="1458"/>
      <c r="CJ304" s="1458"/>
      <c r="CK304" s="1458"/>
      <c r="CL304" s="1458"/>
      <c r="CM304" s="1458"/>
      <c r="CN304" s="1458"/>
      <c r="CO304" s="1458"/>
      <c r="CP304" s="398"/>
      <c r="CQ304" s="1037"/>
      <c r="CR304" s="1458"/>
      <c r="CS304" s="1458"/>
      <c r="CT304" s="1458"/>
      <c r="CU304" s="1458"/>
      <c r="CV304" s="1458"/>
      <c r="CW304" s="1458"/>
      <c r="CX304" s="1458"/>
      <c r="CY304" s="1458"/>
      <c r="CZ304" s="1458"/>
      <c r="DA304" s="1458"/>
      <c r="DB304" s="1458"/>
      <c r="DC304" s="1458"/>
      <c r="DD304" s="398"/>
      <c r="DE304" s="1037"/>
      <c r="DF304" s="1458"/>
      <c r="DG304" s="1458"/>
      <c r="DH304" s="1458"/>
      <c r="DI304" s="3087"/>
      <c r="DJ304" s="3153"/>
      <c r="DL304" s="3180"/>
      <c r="DN304" s="2725" t="s">
        <v>1175</v>
      </c>
      <c r="DO304" s="2726" t="s">
        <v>1175</v>
      </c>
      <c r="DP304" s="2726"/>
      <c r="DQ304" s="2726" t="s">
        <v>1175</v>
      </c>
      <c r="DR304" s="2726" t="str">
        <f t="shared" si="388"/>
        <v/>
      </c>
      <c r="DS304" s="1037"/>
      <c r="DT304" s="1037"/>
    </row>
    <row r="305" spans="2:124" hidden="1" outlineLevel="4">
      <c r="B305" s="711"/>
      <c r="C305" s="182"/>
      <c r="D305" s="2953"/>
      <c r="E305" s="580"/>
      <c r="F305" s="2953"/>
      <c r="G305" s="107"/>
      <c r="H305" s="1547"/>
      <c r="I305" s="533"/>
      <c r="J305" s="103"/>
      <c r="L305" s="364"/>
      <c r="M305" s="364"/>
      <c r="N305" s="365"/>
      <c r="O305" s="365"/>
      <c r="P305" s="365"/>
      <c r="Q305" s="365"/>
      <c r="R305" s="365"/>
      <c r="S305" s="365"/>
      <c r="T305" s="365"/>
      <c r="U305" s="365"/>
      <c r="W305" s="364"/>
      <c r="X305" s="364"/>
      <c r="Y305" s="852"/>
      <c r="Z305" s="364"/>
      <c r="AA305" s="364"/>
      <c r="AB305" s="177"/>
      <c r="AD305" s="711"/>
      <c r="AE305" s="712"/>
      <c r="AF305" s="712"/>
      <c r="AG305" s="179"/>
      <c r="AH305" s="1048"/>
      <c r="AI305" s="1032"/>
      <c r="AJ305" s="1399"/>
      <c r="AL305" s="1032"/>
      <c r="AM305" s="1048"/>
      <c r="AN305" s="1041"/>
      <c r="AP305" s="986"/>
      <c r="AQ305" s="986"/>
      <c r="AR305" s="986"/>
      <c r="AS305" s="986"/>
      <c r="AT305" s="986"/>
      <c r="AU305" s="986"/>
      <c r="AV305" s="986"/>
      <c r="AW305" s="986"/>
      <c r="AX305" s="986"/>
      <c r="AY305" s="986"/>
      <c r="AZ305" s="2011"/>
      <c r="BB305" s="986"/>
      <c r="BC305" s="986"/>
      <c r="BD305" s="1032"/>
      <c r="BE305" s="1032"/>
      <c r="BF305" s="1032"/>
      <c r="BG305" s="1032"/>
      <c r="BH305" s="1032"/>
      <c r="BI305" s="1032"/>
      <c r="BJ305" s="1032"/>
      <c r="BK305" s="1032"/>
      <c r="BL305" s="1032"/>
      <c r="BM305" s="986"/>
      <c r="BN305" s="2011"/>
      <c r="BP305" s="986"/>
      <c r="BQ305" s="986"/>
      <c r="BR305" s="986"/>
      <c r="BS305" s="986"/>
      <c r="BT305" s="986"/>
      <c r="BU305" s="986"/>
      <c r="BV305" s="986"/>
      <c r="BW305" s="986"/>
      <c r="BX305" s="986"/>
      <c r="BY305" s="986"/>
      <c r="BZ305" s="986"/>
      <c r="CA305" s="986"/>
      <c r="CB305" s="2011"/>
      <c r="CD305" s="986"/>
      <c r="CE305" s="986"/>
      <c r="CF305" s="986"/>
      <c r="CG305" s="986"/>
      <c r="CH305" s="986"/>
      <c r="CI305" s="986"/>
      <c r="CJ305" s="986"/>
      <c r="CK305" s="986"/>
      <c r="CL305" s="986"/>
      <c r="CM305" s="986"/>
      <c r="CN305" s="986"/>
      <c r="CO305" s="986"/>
      <c r="CP305" s="2011"/>
      <c r="CR305" s="986"/>
      <c r="CS305" s="986"/>
      <c r="CT305" s="986"/>
      <c r="CU305" s="986"/>
      <c r="CV305" s="986"/>
      <c r="CW305" s="986"/>
      <c r="CX305" s="986"/>
      <c r="CY305" s="986"/>
      <c r="CZ305" s="986"/>
      <c r="DA305" s="986"/>
      <c r="DB305" s="986"/>
      <c r="DC305" s="986"/>
      <c r="DD305" s="2011"/>
      <c r="DF305" s="986"/>
      <c r="DG305" s="986"/>
      <c r="DH305" s="986"/>
      <c r="DI305" s="2008"/>
      <c r="DJ305" s="3160"/>
      <c r="DL305" s="3180"/>
      <c r="DN305" s="2749" t="s">
        <v>1346</v>
      </c>
      <c r="DO305" s="2747" t="s">
        <v>1347</v>
      </c>
      <c r="DP305" s="2751" t="s">
        <v>1115</v>
      </c>
      <c r="DQ305" s="2744" t="s">
        <v>5</v>
      </c>
      <c r="DR305" s="2744" t="str">
        <f t="shared" si="388"/>
        <v/>
      </c>
      <c r="DS305" s="1037"/>
      <c r="DT305" s="1037"/>
    </row>
    <row r="306" spans="2:124" hidden="1" outlineLevel="4">
      <c r="B306" s="711"/>
      <c r="C306" s="182"/>
      <c r="D306" s="2953"/>
      <c r="E306" s="580"/>
      <c r="F306" s="2953"/>
      <c r="G306" s="107"/>
      <c r="H306" s="1547"/>
      <c r="I306" s="533"/>
      <c r="J306" s="103"/>
      <c r="L306" s="364"/>
      <c r="M306" s="364"/>
      <c r="N306" s="365"/>
      <c r="O306" s="365"/>
      <c r="P306" s="365"/>
      <c r="Q306" s="365"/>
      <c r="R306" s="365"/>
      <c r="S306" s="365"/>
      <c r="T306" s="365"/>
      <c r="U306" s="365"/>
      <c r="W306" s="364"/>
      <c r="X306" s="364"/>
      <c r="Y306" s="852"/>
      <c r="Z306" s="364"/>
      <c r="AA306" s="364"/>
      <c r="AB306" s="177"/>
      <c r="AD306" s="711"/>
      <c r="AE306" s="712"/>
      <c r="AF306" s="712"/>
      <c r="AG306" s="179"/>
      <c r="AH306" s="1048"/>
      <c r="AI306" s="1032"/>
      <c r="AJ306" s="1399"/>
      <c r="AL306" s="1032"/>
      <c r="AM306" s="1048"/>
      <c r="AN306" s="1041"/>
      <c r="AP306" s="986"/>
      <c r="AQ306" s="986"/>
      <c r="AR306" s="986"/>
      <c r="AS306" s="986"/>
      <c r="AT306" s="986"/>
      <c r="AU306" s="986"/>
      <c r="AV306" s="986"/>
      <c r="AW306" s="986"/>
      <c r="AX306" s="986"/>
      <c r="AY306" s="986"/>
      <c r="AZ306" s="2011"/>
      <c r="BB306" s="986"/>
      <c r="BC306" s="986"/>
      <c r="BD306" s="1032"/>
      <c r="BE306" s="1032"/>
      <c r="BF306" s="1032"/>
      <c r="BG306" s="1032"/>
      <c r="BH306" s="1032"/>
      <c r="BI306" s="1032"/>
      <c r="BJ306" s="1032"/>
      <c r="BK306" s="1032"/>
      <c r="BL306" s="1032"/>
      <c r="BM306" s="986"/>
      <c r="BN306" s="2011"/>
      <c r="BP306" s="986"/>
      <c r="BQ306" s="986"/>
      <c r="BR306" s="986"/>
      <c r="BS306" s="986"/>
      <c r="BT306" s="986"/>
      <c r="BU306" s="986"/>
      <c r="BV306" s="986"/>
      <c r="BW306" s="986"/>
      <c r="BX306" s="986"/>
      <c r="BY306" s="986"/>
      <c r="BZ306" s="986"/>
      <c r="CA306" s="986"/>
      <c r="CB306" s="2011"/>
      <c r="CD306" s="986"/>
      <c r="CE306" s="986"/>
      <c r="CF306" s="986"/>
      <c r="CG306" s="986"/>
      <c r="CH306" s="986"/>
      <c r="CI306" s="986"/>
      <c r="CJ306" s="986"/>
      <c r="CK306" s="986"/>
      <c r="CL306" s="986"/>
      <c r="CM306" s="986"/>
      <c r="CN306" s="986"/>
      <c r="CO306" s="986"/>
      <c r="CP306" s="2011"/>
      <c r="CR306" s="986"/>
      <c r="CS306" s="986"/>
      <c r="CT306" s="986"/>
      <c r="CU306" s="986"/>
      <c r="CV306" s="986"/>
      <c r="CW306" s="986"/>
      <c r="CX306" s="986"/>
      <c r="CY306" s="986"/>
      <c r="CZ306" s="986"/>
      <c r="DA306" s="986"/>
      <c r="DB306" s="986"/>
      <c r="DC306" s="986"/>
      <c r="DD306" s="2011"/>
      <c r="DF306" s="986"/>
      <c r="DG306" s="986"/>
      <c r="DH306" s="986"/>
      <c r="DI306" s="2008"/>
      <c r="DJ306" s="3160"/>
      <c r="DL306" s="3180"/>
      <c r="DN306" s="2749" t="s">
        <v>1346</v>
      </c>
      <c r="DO306" s="2747" t="s">
        <v>1347</v>
      </c>
      <c r="DP306" s="2751" t="s">
        <v>1115</v>
      </c>
      <c r="DQ306" s="2744" t="s">
        <v>5</v>
      </c>
      <c r="DR306" s="2744" t="str">
        <f t="shared" si="388"/>
        <v/>
      </c>
      <c r="DS306" s="1037"/>
      <c r="DT306" s="1037"/>
    </row>
    <row r="307" spans="2:124" hidden="1" outlineLevel="4">
      <c r="B307" s="711"/>
      <c r="C307" s="182"/>
      <c r="D307" s="2953"/>
      <c r="E307" s="580"/>
      <c r="F307" s="2953"/>
      <c r="G307" s="107"/>
      <c r="H307" s="1547"/>
      <c r="I307" s="533"/>
      <c r="J307" s="103"/>
      <c r="L307" s="364"/>
      <c r="M307" s="364"/>
      <c r="N307" s="365"/>
      <c r="O307" s="365"/>
      <c r="P307" s="365"/>
      <c r="Q307" s="365"/>
      <c r="R307" s="365"/>
      <c r="S307" s="365"/>
      <c r="T307" s="365"/>
      <c r="U307" s="365"/>
      <c r="W307" s="364"/>
      <c r="X307" s="364"/>
      <c r="Y307" s="364"/>
      <c r="Z307" s="364"/>
      <c r="AA307" s="364"/>
      <c r="AB307" s="177"/>
      <c r="AD307" s="711"/>
      <c r="AE307" s="712"/>
      <c r="AF307" s="712"/>
      <c r="AG307" s="179"/>
      <c r="AH307" s="1048"/>
      <c r="AI307" s="1032"/>
      <c r="AJ307" s="1399"/>
      <c r="AL307" s="1032"/>
      <c r="AM307" s="1048"/>
      <c r="AN307" s="1041"/>
      <c r="AP307" s="986"/>
      <c r="AQ307" s="986"/>
      <c r="AR307" s="986"/>
      <c r="AS307" s="986"/>
      <c r="AT307" s="986"/>
      <c r="AU307" s="986"/>
      <c r="AV307" s="986"/>
      <c r="AW307" s="986"/>
      <c r="AX307" s="986"/>
      <c r="AY307" s="986"/>
      <c r="AZ307" s="2011"/>
      <c r="BB307" s="986"/>
      <c r="BC307" s="986"/>
      <c r="BD307" s="986"/>
      <c r="BE307" s="986"/>
      <c r="BF307" s="986"/>
      <c r="BG307" s="986"/>
      <c r="BH307" s="986"/>
      <c r="BI307" s="986"/>
      <c r="BJ307" s="986"/>
      <c r="BK307" s="986"/>
      <c r="BL307" s="986"/>
      <c r="BM307" s="986"/>
      <c r="BN307" s="2011"/>
      <c r="BP307" s="986"/>
      <c r="BQ307" s="986"/>
      <c r="BR307" s="986"/>
      <c r="BS307" s="986"/>
      <c r="BT307" s="986"/>
      <c r="BU307" s="986"/>
      <c r="BV307" s="986"/>
      <c r="BW307" s="986"/>
      <c r="BX307" s="986"/>
      <c r="BY307" s="986"/>
      <c r="BZ307" s="986"/>
      <c r="CA307" s="986"/>
      <c r="CB307" s="2011"/>
      <c r="CD307" s="986"/>
      <c r="CE307" s="986"/>
      <c r="CF307" s="986"/>
      <c r="CG307" s="986"/>
      <c r="CH307" s="986"/>
      <c r="CI307" s="986"/>
      <c r="CJ307" s="986"/>
      <c r="CK307" s="986"/>
      <c r="CL307" s="986"/>
      <c r="CM307" s="986"/>
      <c r="CN307" s="986"/>
      <c r="CO307" s="986"/>
      <c r="CP307" s="2011"/>
      <c r="CR307" s="986"/>
      <c r="CS307" s="986"/>
      <c r="CT307" s="986"/>
      <c r="CU307" s="986"/>
      <c r="CV307" s="986"/>
      <c r="CW307" s="986"/>
      <c r="CX307" s="986"/>
      <c r="CY307" s="986"/>
      <c r="CZ307" s="986"/>
      <c r="DA307" s="986"/>
      <c r="DB307" s="986"/>
      <c r="DC307" s="986"/>
      <c r="DD307" s="2011"/>
      <c r="DF307" s="986"/>
      <c r="DG307" s="986"/>
      <c r="DH307" s="986"/>
      <c r="DI307" s="2008"/>
      <c r="DJ307" s="3160"/>
      <c r="DL307" s="3180"/>
      <c r="DN307" s="2749" t="s">
        <v>1346</v>
      </c>
      <c r="DO307" s="2747" t="s">
        <v>1347</v>
      </c>
      <c r="DP307" s="2751" t="s">
        <v>1115</v>
      </c>
      <c r="DQ307" s="2744" t="s">
        <v>5</v>
      </c>
      <c r="DR307" s="2744" t="str">
        <f t="shared" si="388"/>
        <v/>
      </c>
      <c r="DS307" s="1037"/>
      <c r="DT307" s="1037"/>
    </row>
    <row r="308" spans="2:124" hidden="1" outlineLevel="3">
      <c r="B308" s="711"/>
      <c r="C308" s="182"/>
      <c r="D308" s="2953"/>
      <c r="E308" s="580"/>
      <c r="F308" s="2953"/>
      <c r="G308" s="107"/>
      <c r="H308" s="1547"/>
      <c r="I308" s="533"/>
      <c r="J308" s="103"/>
      <c r="L308" s="364"/>
      <c r="M308" s="364"/>
      <c r="N308" s="365"/>
      <c r="O308" s="365"/>
      <c r="P308" s="365"/>
      <c r="Q308" s="365"/>
      <c r="R308" s="365"/>
      <c r="S308" s="365"/>
      <c r="T308" s="365"/>
      <c r="U308" s="365"/>
      <c r="W308" s="364"/>
      <c r="X308" s="364"/>
      <c r="Y308" s="364"/>
      <c r="Z308" s="364"/>
      <c r="AA308" s="364"/>
      <c r="AB308" s="177"/>
      <c r="AD308" s="711"/>
      <c r="AE308" s="712"/>
      <c r="AF308" s="712"/>
      <c r="AG308" s="179"/>
      <c r="AH308" s="1048"/>
      <c r="AI308" s="1032"/>
      <c r="AJ308" s="1399"/>
      <c r="AL308" s="1032"/>
      <c r="AM308" s="1048"/>
      <c r="AN308" s="1041"/>
      <c r="AP308" s="986"/>
      <c r="AQ308" s="986"/>
      <c r="AR308" s="986"/>
      <c r="AS308" s="986"/>
      <c r="AT308" s="986"/>
      <c r="AU308" s="986"/>
      <c r="AV308" s="986"/>
      <c r="AW308" s="986"/>
      <c r="AX308" s="986"/>
      <c r="AY308" s="986"/>
      <c r="AZ308" s="2011"/>
      <c r="BB308" s="986"/>
      <c r="BC308" s="986"/>
      <c r="BD308" s="986"/>
      <c r="BE308" s="986"/>
      <c r="BF308" s="986"/>
      <c r="BG308" s="986"/>
      <c r="BH308" s="986"/>
      <c r="BI308" s="986"/>
      <c r="BJ308" s="986"/>
      <c r="BK308" s="986"/>
      <c r="BL308" s="986"/>
      <c r="BM308" s="986"/>
      <c r="BN308" s="2011"/>
      <c r="BP308" s="986"/>
      <c r="BQ308" s="986"/>
      <c r="BR308" s="986"/>
      <c r="BS308" s="986"/>
      <c r="BT308" s="986"/>
      <c r="BU308" s="986"/>
      <c r="BV308" s="986"/>
      <c r="BW308" s="986"/>
      <c r="BX308" s="986"/>
      <c r="BY308" s="986"/>
      <c r="BZ308" s="986"/>
      <c r="CA308" s="986"/>
      <c r="CB308" s="2011"/>
      <c r="CD308" s="986"/>
      <c r="CE308" s="986"/>
      <c r="CF308" s="986"/>
      <c r="CG308" s="986"/>
      <c r="CH308" s="986"/>
      <c r="CI308" s="986"/>
      <c r="CJ308" s="986"/>
      <c r="CK308" s="986"/>
      <c r="CL308" s="986"/>
      <c r="CM308" s="986"/>
      <c r="CN308" s="986"/>
      <c r="CO308" s="986"/>
      <c r="CP308" s="2011"/>
      <c r="CR308" s="986"/>
      <c r="CS308" s="986"/>
      <c r="CT308" s="986"/>
      <c r="CU308" s="986"/>
      <c r="CV308" s="986"/>
      <c r="CW308" s="986"/>
      <c r="CX308" s="986"/>
      <c r="CY308" s="986"/>
      <c r="CZ308" s="986"/>
      <c r="DA308" s="986"/>
      <c r="DB308" s="986"/>
      <c r="DC308" s="986"/>
      <c r="DD308" s="2011"/>
      <c r="DF308" s="986"/>
      <c r="DG308" s="986"/>
      <c r="DH308" s="986"/>
      <c r="DI308" s="2008"/>
      <c r="DJ308" s="3160"/>
      <c r="DL308" s="3180"/>
      <c r="DN308" s="2749"/>
      <c r="DO308" s="2747"/>
      <c r="DP308" s="2744"/>
      <c r="DQ308" s="2744" t="s">
        <v>1175</v>
      </c>
      <c r="DR308" s="2744" t="str">
        <f t="shared" si="388"/>
        <v/>
      </c>
      <c r="DS308" s="1037"/>
      <c r="DT308" s="1037"/>
    </row>
    <row r="309" spans="2:124" s="153" customFormat="1" ht="15" hidden="1" outlineLevel="2">
      <c r="B309" s="106"/>
      <c r="C309" s="172"/>
      <c r="D309" s="2945"/>
      <c r="E309" s="704"/>
      <c r="F309" s="2945"/>
      <c r="G309" s="171"/>
      <c r="H309" s="538"/>
      <c r="I309" s="538"/>
      <c r="J309" s="1176"/>
      <c r="K309" s="1037"/>
      <c r="L309" s="358"/>
      <c r="M309" s="358"/>
      <c r="N309" s="358"/>
      <c r="O309" s="358"/>
      <c r="P309" s="358"/>
      <c r="Q309" s="358"/>
      <c r="R309" s="358"/>
      <c r="S309" s="358"/>
      <c r="T309" s="358"/>
      <c r="U309" s="358"/>
      <c r="V309" s="1037"/>
      <c r="W309" s="854"/>
      <c r="X309" s="358"/>
      <c r="Y309" s="358"/>
      <c r="Z309" s="358"/>
      <c r="AA309" s="358"/>
      <c r="AB309" s="106"/>
      <c r="AC309" s="1037"/>
      <c r="AD309" s="106"/>
      <c r="AE309" s="172"/>
      <c r="AF309" s="172"/>
      <c r="AG309" s="172"/>
      <c r="AH309" s="176"/>
      <c r="AI309" s="176"/>
      <c r="AJ309" s="692"/>
      <c r="AK309" s="1037"/>
      <c r="AL309" s="176"/>
      <c r="AM309" s="176"/>
      <c r="AN309" s="176"/>
      <c r="AO309" s="1037"/>
      <c r="AP309" s="176"/>
      <c r="AQ309" s="176"/>
      <c r="AR309" s="176"/>
      <c r="AS309" s="176"/>
      <c r="AT309" s="176"/>
      <c r="AU309" s="176"/>
      <c r="AV309" s="176"/>
      <c r="AW309" s="176"/>
      <c r="AX309" s="176"/>
      <c r="AY309" s="176"/>
      <c r="AZ309" s="980"/>
      <c r="BA309" s="1037"/>
      <c r="BB309" s="176"/>
      <c r="BC309" s="176"/>
      <c r="BD309" s="176"/>
      <c r="BE309" s="176"/>
      <c r="BF309" s="176"/>
      <c r="BG309" s="176"/>
      <c r="BH309" s="176"/>
      <c r="BI309" s="176"/>
      <c r="BJ309" s="176"/>
      <c r="BK309" s="176"/>
      <c r="BL309" s="176"/>
      <c r="BM309" s="176"/>
      <c r="BN309" s="980"/>
      <c r="BO309" s="1037"/>
      <c r="BP309" s="176"/>
      <c r="BQ309" s="176"/>
      <c r="BR309" s="176"/>
      <c r="BS309" s="176"/>
      <c r="BT309" s="176"/>
      <c r="BU309" s="176"/>
      <c r="BV309" s="176"/>
      <c r="BW309" s="176"/>
      <c r="BX309" s="176"/>
      <c r="BY309" s="176"/>
      <c r="BZ309" s="176"/>
      <c r="CA309" s="176"/>
      <c r="CB309" s="980"/>
      <c r="CC309" s="1037"/>
      <c r="CD309" s="176"/>
      <c r="CE309" s="176"/>
      <c r="CF309" s="176"/>
      <c r="CG309" s="176"/>
      <c r="CH309" s="176"/>
      <c r="CI309" s="176"/>
      <c r="CJ309" s="176"/>
      <c r="CK309" s="176"/>
      <c r="CL309" s="176"/>
      <c r="CM309" s="176"/>
      <c r="CN309" s="176"/>
      <c r="CO309" s="176"/>
      <c r="CP309" s="981"/>
      <c r="CQ309" s="1037"/>
      <c r="CR309" s="176"/>
      <c r="CS309" s="176"/>
      <c r="CT309" s="176"/>
      <c r="CU309" s="176"/>
      <c r="CV309" s="176"/>
      <c r="CW309" s="176"/>
      <c r="CX309" s="176"/>
      <c r="CY309" s="176"/>
      <c r="CZ309" s="176"/>
      <c r="DA309" s="176"/>
      <c r="DB309" s="176"/>
      <c r="DC309" s="176"/>
      <c r="DD309" s="979"/>
      <c r="DE309" s="1037"/>
      <c r="DF309" s="176"/>
      <c r="DG309" s="176"/>
      <c r="DH309" s="176"/>
      <c r="DI309" s="3091"/>
      <c r="DJ309" s="3135"/>
      <c r="DL309" s="3180"/>
      <c r="DN309" s="2723" t="s">
        <v>1175</v>
      </c>
      <c r="DO309" s="2724" t="s">
        <v>1175</v>
      </c>
      <c r="DP309" s="2724"/>
      <c r="DQ309" s="2724" t="s">
        <v>1175</v>
      </c>
      <c r="DR309" s="2724" t="str">
        <f t="shared" si="388"/>
        <v/>
      </c>
      <c r="DS309" s="1037"/>
      <c r="DT309" s="1037"/>
    </row>
    <row r="310" spans="2:124" ht="15" hidden="1" outlineLevel="3">
      <c r="B310" s="177"/>
      <c r="C310" s="159"/>
      <c r="D310" s="2953"/>
      <c r="E310" s="580"/>
      <c r="F310" s="2953"/>
      <c r="G310" s="702"/>
      <c r="H310" s="1547"/>
      <c r="I310" s="703"/>
      <c r="J310" s="177"/>
      <c r="L310" s="364"/>
      <c r="M310" s="364"/>
      <c r="N310" s="364"/>
      <c r="O310" s="364"/>
      <c r="P310" s="364"/>
      <c r="Q310" s="364"/>
      <c r="R310" s="364"/>
      <c r="S310" s="364"/>
      <c r="T310" s="364"/>
      <c r="U310" s="364"/>
      <c r="W310" s="364"/>
      <c r="X310" s="364"/>
      <c r="Y310" s="364"/>
      <c r="Z310" s="364"/>
      <c r="AA310" s="364"/>
      <c r="AB310" s="177"/>
      <c r="AD310" s="177"/>
      <c r="AE310" s="159"/>
      <c r="AF310" s="159"/>
      <c r="AG310" s="159"/>
      <c r="AH310" s="355"/>
      <c r="AI310" s="1048"/>
      <c r="AJ310" s="693"/>
      <c r="AL310" s="355"/>
      <c r="AM310" s="355"/>
      <c r="AN310" s="355"/>
      <c r="AP310" s="1033"/>
      <c r="AQ310" s="1033"/>
      <c r="AR310" s="1033"/>
      <c r="AS310" s="1033"/>
      <c r="AT310" s="1033"/>
      <c r="AU310" s="1033"/>
      <c r="AV310" s="1033"/>
      <c r="AW310" s="1033"/>
      <c r="AX310" s="1033"/>
      <c r="AY310" s="1033"/>
      <c r="AZ310" s="1294"/>
      <c r="BB310" s="1033"/>
      <c r="BC310" s="1033"/>
      <c r="BD310" s="1033"/>
      <c r="BE310" s="1033"/>
      <c r="BF310" s="1033"/>
      <c r="BG310" s="1033"/>
      <c r="BH310" s="1033"/>
      <c r="BI310" s="1033"/>
      <c r="BJ310" s="1033"/>
      <c r="BK310" s="1033"/>
      <c r="BL310" s="1033"/>
      <c r="BM310" s="1033"/>
      <c r="BN310" s="1294"/>
      <c r="BP310" s="1033"/>
      <c r="BQ310" s="1033"/>
      <c r="BR310" s="1033"/>
      <c r="BS310" s="1033"/>
      <c r="BT310" s="1033"/>
      <c r="BU310" s="1033"/>
      <c r="BV310" s="1033"/>
      <c r="BW310" s="1033"/>
      <c r="BX310" s="1033"/>
      <c r="BY310" s="1033"/>
      <c r="BZ310" s="1033"/>
      <c r="CA310" s="1033"/>
      <c r="CB310" s="1294"/>
      <c r="CD310" s="1033"/>
      <c r="CE310" s="1033"/>
      <c r="CF310" s="1033"/>
      <c r="CG310" s="1033"/>
      <c r="CH310" s="1033"/>
      <c r="CI310" s="1033"/>
      <c r="CJ310" s="1033"/>
      <c r="CK310" s="1033"/>
      <c r="CL310" s="1033"/>
      <c r="CM310" s="1033"/>
      <c r="CN310" s="1033"/>
      <c r="CO310" s="1033"/>
      <c r="CP310" s="1744"/>
      <c r="CR310" s="1033"/>
      <c r="CS310" s="1033"/>
      <c r="CT310" s="1033"/>
      <c r="CU310" s="1033"/>
      <c r="CV310" s="1033"/>
      <c r="CW310" s="1033"/>
      <c r="CX310" s="1033"/>
      <c r="CY310" s="1033"/>
      <c r="CZ310" s="1033"/>
      <c r="DA310" s="1033"/>
      <c r="DB310" s="1033"/>
      <c r="DC310" s="1033"/>
      <c r="DD310" s="1468"/>
      <c r="DF310" s="1033"/>
      <c r="DG310" s="1033"/>
      <c r="DH310" s="1033"/>
      <c r="DI310" s="3086"/>
      <c r="DJ310" s="3141"/>
      <c r="DL310" s="3180"/>
      <c r="DN310" s="2749" t="s">
        <v>1283</v>
      </c>
      <c r="DO310" s="2747" t="s">
        <v>1284</v>
      </c>
      <c r="DP310" s="2740" t="s">
        <v>1117</v>
      </c>
      <c r="DQ310" s="2740" t="s">
        <v>5</v>
      </c>
      <c r="DR310" s="2740" t="str">
        <f t="shared" si="388"/>
        <v/>
      </c>
      <c r="DS310" s="1037"/>
      <c r="DT310" s="1037"/>
    </row>
    <row r="311" spans="2:124" s="148" customFormat="1" hidden="1" outlineLevel="3">
      <c r="B311" s="711"/>
      <c r="C311" s="182"/>
      <c r="D311" s="2953"/>
      <c r="E311" s="580"/>
      <c r="F311" s="2953"/>
      <c r="G311" s="107"/>
      <c r="H311" s="2693"/>
      <c r="I311" s="533"/>
      <c r="J311" s="103"/>
      <c r="K311" s="1037"/>
      <c r="L311" s="364"/>
      <c r="M311" s="364"/>
      <c r="N311" s="367"/>
      <c r="O311" s="367"/>
      <c r="P311" s="367"/>
      <c r="Q311" s="367"/>
      <c r="R311" s="367"/>
      <c r="S311" s="367"/>
      <c r="T311" s="367"/>
      <c r="U311" s="367"/>
      <c r="V311" s="1037"/>
      <c r="W311" s="364"/>
      <c r="X311" s="364"/>
      <c r="Y311" s="3987"/>
      <c r="Z311" s="364"/>
      <c r="AA311" s="364"/>
      <c r="AB311" s="177"/>
      <c r="AC311" s="1037"/>
      <c r="AD311" s="711"/>
      <c r="AE311" s="2490"/>
      <c r="AF311" s="179"/>
      <c r="AG311" s="179"/>
      <c r="AH311" s="1053"/>
      <c r="AI311" s="1048"/>
      <c r="AJ311" s="1762"/>
      <c r="AK311" s="1037"/>
      <c r="AL311" s="1048"/>
      <c r="AM311" s="1048"/>
      <c r="AN311" s="1053"/>
      <c r="AO311" s="1037"/>
      <c r="AP311" s="1048"/>
      <c r="AQ311" s="1048"/>
      <c r="AR311" s="1048"/>
      <c r="AS311" s="1048"/>
      <c r="AT311" s="1048"/>
      <c r="AU311" s="1048"/>
      <c r="AV311" s="1048"/>
      <c r="AW311" s="1048"/>
      <c r="AX311" s="1048"/>
      <c r="AY311" s="1048"/>
      <c r="AZ311" s="2046"/>
      <c r="BA311" s="1037"/>
      <c r="BB311" s="1048"/>
      <c r="BC311" s="1048"/>
      <c r="BD311" s="1048"/>
      <c r="BE311" s="1048"/>
      <c r="BF311" s="1048"/>
      <c r="BG311" s="1048"/>
      <c r="BH311" s="1048"/>
      <c r="BI311" s="1048"/>
      <c r="BJ311" s="1048"/>
      <c r="BK311" s="1048"/>
      <c r="BL311" s="1048"/>
      <c r="BM311" s="1048"/>
      <c r="BN311" s="2046"/>
      <c r="BO311" s="1037"/>
      <c r="BP311" s="1048"/>
      <c r="BQ311" s="1048"/>
      <c r="BR311" s="1048"/>
      <c r="BS311" s="1048"/>
      <c r="BT311" s="1048"/>
      <c r="BU311" s="1048"/>
      <c r="BV311" s="1048"/>
      <c r="BW311" s="1048"/>
      <c r="BX311" s="1048"/>
      <c r="BY311" s="1048"/>
      <c r="BZ311" s="1048"/>
      <c r="CA311" s="1048"/>
      <c r="CB311" s="2011"/>
      <c r="CC311" s="1037"/>
      <c r="CD311" s="1048"/>
      <c r="CE311" s="1048"/>
      <c r="CF311" s="1048"/>
      <c r="CG311" s="1048"/>
      <c r="CH311" s="1048"/>
      <c r="CI311" s="1048"/>
      <c r="CJ311" s="1048"/>
      <c r="CK311" s="1048"/>
      <c r="CL311" s="1048"/>
      <c r="CM311" s="1048"/>
      <c r="CN311" s="1048"/>
      <c r="CO311" s="1048"/>
      <c r="CP311" s="2011"/>
      <c r="CQ311" s="1037"/>
      <c r="CR311" s="1048"/>
      <c r="CS311" s="1048"/>
      <c r="CT311" s="1048"/>
      <c r="CU311" s="1048"/>
      <c r="CV311" s="1048"/>
      <c r="CW311" s="1048"/>
      <c r="CX311" s="1048"/>
      <c r="CY311" s="1048"/>
      <c r="CZ311" s="1048"/>
      <c r="DA311" s="1048"/>
      <c r="DB311" s="1048"/>
      <c r="DC311" s="1048"/>
      <c r="DD311" s="2022"/>
      <c r="DE311" s="1037"/>
      <c r="DF311" s="1048"/>
      <c r="DG311" s="1048"/>
      <c r="DH311" s="1048"/>
      <c r="DI311" s="2017"/>
      <c r="DJ311" s="3161"/>
      <c r="DL311" s="3180"/>
      <c r="DN311" s="2749"/>
      <c r="DO311" s="2747"/>
      <c r="DP311" s="2747"/>
      <c r="DQ311" s="2747" t="s">
        <v>5</v>
      </c>
      <c r="DR311" s="2747" t="str">
        <f t="shared" si="388"/>
        <v/>
      </c>
      <c r="DS311" s="1037"/>
      <c r="DT311" s="1037"/>
    </row>
    <row r="312" spans="2:124" s="148" customFormat="1" hidden="1" outlineLevel="4">
      <c r="B312" s="711"/>
      <c r="C312" s="182"/>
      <c r="D312" s="2953"/>
      <c r="E312" s="580"/>
      <c r="F312" s="2953"/>
      <c r="G312" s="107"/>
      <c r="H312" s="2699"/>
      <c r="I312" s="533"/>
      <c r="J312" s="103"/>
      <c r="K312" s="1037"/>
      <c r="L312" s="364"/>
      <c r="M312" s="364"/>
      <c r="N312" s="367"/>
      <c r="O312" s="367"/>
      <c r="P312" s="367"/>
      <c r="Q312" s="367"/>
      <c r="R312" s="367"/>
      <c r="S312" s="367"/>
      <c r="T312" s="367"/>
      <c r="U312" s="367"/>
      <c r="V312" s="1037"/>
      <c r="W312" s="364"/>
      <c r="X312" s="364"/>
      <c r="Y312" s="3988"/>
      <c r="Z312" s="364"/>
      <c r="AA312" s="364"/>
      <c r="AB312" s="177"/>
      <c r="AC312" s="1037"/>
      <c r="AD312" s="711"/>
      <c r="AE312" s="2490"/>
      <c r="AF312" s="179"/>
      <c r="AG312" s="179"/>
      <c r="AH312" s="1053"/>
      <c r="AI312" s="1048"/>
      <c r="AJ312" s="1762"/>
      <c r="AK312" s="1037"/>
      <c r="AL312" s="1041"/>
      <c r="AM312" s="1048"/>
      <c r="AN312" s="1053"/>
      <c r="AO312" s="1037"/>
      <c r="AP312" s="1007"/>
      <c r="AQ312" s="1007"/>
      <c r="AR312" s="1007"/>
      <c r="AS312" s="1007"/>
      <c r="AT312" s="1007"/>
      <c r="AU312" s="1007"/>
      <c r="AV312" s="1007"/>
      <c r="AW312" s="1007"/>
      <c r="AX312" s="1007"/>
      <c r="AY312" s="1007"/>
      <c r="AZ312" s="2046"/>
      <c r="BA312" s="1037"/>
      <c r="BB312" s="1007"/>
      <c r="BC312" s="1007"/>
      <c r="BD312" s="1033"/>
      <c r="BE312" s="1033"/>
      <c r="BF312" s="1033"/>
      <c r="BG312" s="1033"/>
      <c r="BH312" s="1033"/>
      <c r="BI312" s="1033"/>
      <c r="BJ312" s="1033"/>
      <c r="BK312" s="1033"/>
      <c r="BL312" s="1033"/>
      <c r="BM312" s="1033"/>
      <c r="BN312" s="2046"/>
      <c r="BO312" s="1037"/>
      <c r="BP312" s="1033"/>
      <c r="BQ312" s="1033"/>
      <c r="BR312" s="1033"/>
      <c r="BS312" s="1033"/>
      <c r="BT312" s="1007"/>
      <c r="BU312" s="1007"/>
      <c r="BV312" s="1007"/>
      <c r="BW312" s="1007"/>
      <c r="BX312" s="1007"/>
      <c r="BY312" s="1007"/>
      <c r="BZ312" s="1007"/>
      <c r="CA312" s="1007"/>
      <c r="CB312" s="2011"/>
      <c r="CC312" s="1037"/>
      <c r="CD312" s="1007"/>
      <c r="CE312" s="1007"/>
      <c r="CF312" s="1007"/>
      <c r="CG312" s="1007"/>
      <c r="CH312" s="1007"/>
      <c r="CI312" s="1007"/>
      <c r="CJ312" s="1007"/>
      <c r="CK312" s="1007"/>
      <c r="CL312" s="1007"/>
      <c r="CM312" s="1007"/>
      <c r="CN312" s="1007"/>
      <c r="CO312" s="1007"/>
      <c r="CP312" s="2011"/>
      <c r="CQ312" s="1037"/>
      <c r="CR312" s="1007"/>
      <c r="CS312" s="1007"/>
      <c r="CT312" s="1007"/>
      <c r="CU312" s="1007"/>
      <c r="CV312" s="1007"/>
      <c r="CW312" s="1007"/>
      <c r="CX312" s="1007"/>
      <c r="CY312" s="1007"/>
      <c r="CZ312" s="1007"/>
      <c r="DA312" s="1007"/>
      <c r="DB312" s="1007"/>
      <c r="DC312" s="1007"/>
      <c r="DD312" s="2022"/>
      <c r="DE312" s="1037"/>
      <c r="DF312" s="1007"/>
      <c r="DG312" s="1007"/>
      <c r="DH312" s="1007"/>
      <c r="DI312" s="2017"/>
      <c r="DJ312" s="3161"/>
      <c r="DL312" s="3180"/>
      <c r="DN312" s="2749" t="s">
        <v>1283</v>
      </c>
      <c r="DO312" s="2747" t="s">
        <v>1284</v>
      </c>
      <c r="DP312" s="2747" t="s">
        <v>1117</v>
      </c>
      <c r="DQ312" s="2747" t="s">
        <v>5</v>
      </c>
      <c r="DR312" s="2747" t="str">
        <f t="shared" si="388"/>
        <v/>
      </c>
      <c r="DS312" s="1037"/>
      <c r="DT312" s="1037"/>
    </row>
    <row r="313" spans="2:124" s="148" customFormat="1" hidden="1" outlineLevel="4">
      <c r="B313" s="711"/>
      <c r="C313" s="182"/>
      <c r="D313" s="2953"/>
      <c r="E313" s="580"/>
      <c r="F313" s="2953"/>
      <c r="G313" s="107"/>
      <c r="H313" s="2699"/>
      <c r="I313" s="533"/>
      <c r="J313" s="103"/>
      <c r="K313" s="1037"/>
      <c r="L313" s="364"/>
      <c r="M313" s="364"/>
      <c r="N313" s="367"/>
      <c r="O313" s="367"/>
      <c r="P313" s="367"/>
      <c r="Q313" s="367"/>
      <c r="R313" s="367"/>
      <c r="S313" s="367"/>
      <c r="T313" s="367"/>
      <c r="U313" s="367"/>
      <c r="V313" s="1037"/>
      <c r="W313" s="364"/>
      <c r="X313" s="364"/>
      <c r="Y313" s="3988"/>
      <c r="Z313" s="364"/>
      <c r="AA313" s="364"/>
      <c r="AB313" s="177"/>
      <c r="AC313" s="1037"/>
      <c r="AD313" s="711"/>
      <c r="AE313" s="2490"/>
      <c r="AF313" s="179"/>
      <c r="AG313" s="179"/>
      <c r="AH313" s="1053"/>
      <c r="AI313" s="1048"/>
      <c r="AJ313" s="1762"/>
      <c r="AK313" s="1037"/>
      <c r="AL313" s="1041"/>
      <c r="AM313" s="1048"/>
      <c r="AN313" s="1053"/>
      <c r="AO313" s="1037"/>
      <c r="AP313" s="1007"/>
      <c r="AQ313" s="1007"/>
      <c r="AR313" s="1007"/>
      <c r="AS313" s="1007"/>
      <c r="AT313" s="1007"/>
      <c r="AU313" s="1007"/>
      <c r="AV313" s="1007"/>
      <c r="AW313" s="1007"/>
      <c r="AX313" s="1007"/>
      <c r="AY313" s="1007"/>
      <c r="AZ313" s="2046"/>
      <c r="BA313" s="1037"/>
      <c r="BB313" s="1007"/>
      <c r="BC313" s="1007"/>
      <c r="BD313" s="1007"/>
      <c r="BE313" s="1007"/>
      <c r="BF313" s="1007"/>
      <c r="BG313" s="1007"/>
      <c r="BH313" s="1007"/>
      <c r="BI313" s="1007"/>
      <c r="BJ313" s="1007"/>
      <c r="BK313" s="1007"/>
      <c r="BL313" s="1007"/>
      <c r="BM313" s="1007"/>
      <c r="BN313" s="2046"/>
      <c r="BO313" s="1037"/>
      <c r="BP313" s="1033"/>
      <c r="BQ313" s="1033"/>
      <c r="BR313" s="1033"/>
      <c r="BS313" s="1033"/>
      <c r="BT313" s="1033"/>
      <c r="BU313" s="1033"/>
      <c r="BV313" s="1007"/>
      <c r="BW313" s="1007"/>
      <c r="BX313" s="1007"/>
      <c r="BY313" s="1007"/>
      <c r="BZ313" s="1007"/>
      <c r="CA313" s="1007"/>
      <c r="CB313" s="2011"/>
      <c r="CC313" s="1037"/>
      <c r="CD313" s="1007"/>
      <c r="CE313" s="1007"/>
      <c r="CF313" s="1007"/>
      <c r="CG313" s="1007"/>
      <c r="CH313" s="1007"/>
      <c r="CI313" s="1007"/>
      <c r="CJ313" s="1007"/>
      <c r="CK313" s="1007"/>
      <c r="CL313" s="1007"/>
      <c r="CM313" s="1007"/>
      <c r="CN313" s="1007"/>
      <c r="CO313" s="1007"/>
      <c r="CP313" s="2011"/>
      <c r="CQ313" s="1037"/>
      <c r="CR313" s="1007"/>
      <c r="CS313" s="1007"/>
      <c r="CT313" s="1007"/>
      <c r="CU313" s="1007"/>
      <c r="CV313" s="1007"/>
      <c r="CW313" s="1007"/>
      <c r="CX313" s="1007"/>
      <c r="CY313" s="1007"/>
      <c r="CZ313" s="1007"/>
      <c r="DA313" s="1007"/>
      <c r="DB313" s="1007"/>
      <c r="DC313" s="1007"/>
      <c r="DD313" s="2022"/>
      <c r="DE313" s="1037"/>
      <c r="DF313" s="1007"/>
      <c r="DG313" s="1007"/>
      <c r="DH313" s="1007"/>
      <c r="DI313" s="2017"/>
      <c r="DJ313" s="3161"/>
      <c r="DL313" s="3180"/>
      <c r="DN313" s="2749" t="s">
        <v>1283</v>
      </c>
      <c r="DO313" s="2747" t="s">
        <v>1284</v>
      </c>
      <c r="DP313" s="2747" t="s">
        <v>1117</v>
      </c>
      <c r="DQ313" s="2747" t="s">
        <v>5</v>
      </c>
      <c r="DR313" s="2747" t="str">
        <f t="shared" si="388"/>
        <v/>
      </c>
      <c r="DS313" s="1037"/>
      <c r="DT313" s="1037"/>
    </row>
    <row r="314" spans="2:124" s="148" customFormat="1" hidden="1" outlineLevel="4">
      <c r="B314" s="711"/>
      <c r="C314" s="182"/>
      <c r="D314" s="2953"/>
      <c r="E314" s="580"/>
      <c r="F314" s="2953"/>
      <c r="G314" s="107"/>
      <c r="H314" s="2699"/>
      <c r="I314" s="533"/>
      <c r="J314" s="103"/>
      <c r="K314" s="1037"/>
      <c r="L314" s="364"/>
      <c r="M314" s="364"/>
      <c r="N314" s="367"/>
      <c r="O314" s="367"/>
      <c r="P314" s="367"/>
      <c r="Q314" s="367"/>
      <c r="R314" s="367"/>
      <c r="S314" s="367"/>
      <c r="T314" s="367"/>
      <c r="U314" s="367"/>
      <c r="V314" s="1037"/>
      <c r="W314" s="364"/>
      <c r="X314" s="364"/>
      <c r="Y314" s="3988"/>
      <c r="Z314" s="364"/>
      <c r="AA314" s="364"/>
      <c r="AB314" s="177"/>
      <c r="AC314" s="1037"/>
      <c r="AD314" s="711"/>
      <c r="AE314" s="2490"/>
      <c r="AF314" s="179"/>
      <c r="AG314" s="179"/>
      <c r="AH314" s="1053"/>
      <c r="AI314" s="1048"/>
      <c r="AJ314" s="1762"/>
      <c r="AK314" s="1037"/>
      <c r="AL314" s="1041"/>
      <c r="AM314" s="1048"/>
      <c r="AN314" s="1053"/>
      <c r="AO314" s="1037"/>
      <c r="AP314" s="1007"/>
      <c r="AQ314" s="1007"/>
      <c r="AR314" s="1007"/>
      <c r="AS314" s="1007"/>
      <c r="AT314" s="1007"/>
      <c r="AU314" s="1007"/>
      <c r="AV314" s="1007"/>
      <c r="AW314" s="1007"/>
      <c r="AX314" s="1007"/>
      <c r="AY314" s="1007"/>
      <c r="AZ314" s="2046"/>
      <c r="BA314" s="1037"/>
      <c r="BB314" s="1007"/>
      <c r="BC314" s="1007"/>
      <c r="BD314" s="1007"/>
      <c r="BE314" s="1007"/>
      <c r="BF314" s="1007"/>
      <c r="BG314" s="1007"/>
      <c r="BH314" s="1007"/>
      <c r="BI314" s="1007"/>
      <c r="BJ314" s="1007"/>
      <c r="BK314" s="1007"/>
      <c r="BL314" s="1007"/>
      <c r="BM314" s="1007"/>
      <c r="BN314" s="2046"/>
      <c r="BO314" s="1037"/>
      <c r="BP314" s="1007"/>
      <c r="BQ314" s="1033"/>
      <c r="BR314" s="1033"/>
      <c r="BS314" s="1033"/>
      <c r="BT314" s="1033"/>
      <c r="BU314" s="1033"/>
      <c r="BV314" s="1007"/>
      <c r="BW314" s="1007"/>
      <c r="BX314" s="1007"/>
      <c r="BY314" s="1007"/>
      <c r="BZ314" s="1007"/>
      <c r="CA314" s="1007"/>
      <c r="CB314" s="2011"/>
      <c r="CC314" s="1037"/>
      <c r="CD314" s="1007"/>
      <c r="CE314" s="1007"/>
      <c r="CF314" s="1007"/>
      <c r="CG314" s="1007"/>
      <c r="CH314" s="1007"/>
      <c r="CI314" s="1007"/>
      <c r="CJ314" s="1007"/>
      <c r="CK314" s="1007"/>
      <c r="CL314" s="1007"/>
      <c r="CM314" s="1007"/>
      <c r="CN314" s="1007"/>
      <c r="CO314" s="1007"/>
      <c r="CP314" s="2011"/>
      <c r="CQ314" s="1037"/>
      <c r="CR314" s="1007"/>
      <c r="CS314" s="1007"/>
      <c r="CT314" s="1007"/>
      <c r="CU314" s="1007"/>
      <c r="CV314" s="1007"/>
      <c r="CW314" s="1007"/>
      <c r="CX314" s="1007"/>
      <c r="CY314" s="1007"/>
      <c r="CZ314" s="1007"/>
      <c r="DA314" s="1007"/>
      <c r="DB314" s="1007"/>
      <c r="DC314" s="1007"/>
      <c r="DD314" s="2022"/>
      <c r="DE314" s="1037"/>
      <c r="DF314" s="1007"/>
      <c r="DG314" s="1007"/>
      <c r="DH314" s="1007"/>
      <c r="DI314" s="2017"/>
      <c r="DJ314" s="3161"/>
      <c r="DL314" s="3180"/>
      <c r="DN314" s="2749" t="s">
        <v>1283</v>
      </c>
      <c r="DO314" s="2747" t="s">
        <v>1284</v>
      </c>
      <c r="DP314" s="2747" t="s">
        <v>1117</v>
      </c>
      <c r="DQ314" s="2747" t="s">
        <v>5</v>
      </c>
      <c r="DR314" s="2747" t="str">
        <f t="shared" si="388"/>
        <v/>
      </c>
      <c r="DS314" s="1037"/>
      <c r="DT314" s="1037"/>
    </row>
    <row r="315" spans="2:124" s="148" customFormat="1" hidden="1" outlineLevel="3">
      <c r="B315" s="711"/>
      <c r="C315" s="182"/>
      <c r="D315" s="2953"/>
      <c r="E315" s="580"/>
      <c r="F315" s="2953"/>
      <c r="G315" s="107"/>
      <c r="H315" s="2693"/>
      <c r="I315" s="533"/>
      <c r="J315" s="103"/>
      <c r="K315" s="1037"/>
      <c r="L315" s="364"/>
      <c r="M315" s="364"/>
      <c r="N315" s="367"/>
      <c r="O315" s="367"/>
      <c r="P315" s="367"/>
      <c r="Q315" s="367"/>
      <c r="R315" s="367"/>
      <c r="S315" s="367"/>
      <c r="T315" s="367"/>
      <c r="U315" s="367"/>
      <c r="V315" s="1037"/>
      <c r="W315" s="364"/>
      <c r="X315" s="364"/>
      <c r="Y315" s="3989"/>
      <c r="Z315" s="364"/>
      <c r="AA315" s="364"/>
      <c r="AB315" s="177"/>
      <c r="AC315" s="1037"/>
      <c r="AD315" s="711"/>
      <c r="AE315" s="2490"/>
      <c r="AF315" s="179"/>
      <c r="AG315" s="179"/>
      <c r="AH315" s="1053"/>
      <c r="AI315" s="1048"/>
      <c r="AJ315" s="1762"/>
      <c r="AK315" s="1037"/>
      <c r="AL315" s="1041"/>
      <c r="AM315" s="1048"/>
      <c r="AN315" s="1053"/>
      <c r="AO315" s="1037"/>
      <c r="AP315" s="1007"/>
      <c r="AQ315" s="1007"/>
      <c r="AR315" s="1007"/>
      <c r="AS315" s="1007"/>
      <c r="AT315" s="1007"/>
      <c r="AU315" s="1007"/>
      <c r="AV315" s="1007"/>
      <c r="AW315" s="1007"/>
      <c r="AX315" s="1007"/>
      <c r="AY315" s="1007"/>
      <c r="AZ315" s="2046"/>
      <c r="BA315" s="1037"/>
      <c r="BB315" s="1007"/>
      <c r="BC315" s="1007"/>
      <c r="BD315" s="1007"/>
      <c r="BE315" s="1007"/>
      <c r="BF315" s="1007"/>
      <c r="BG315" s="1007"/>
      <c r="BH315" s="1007"/>
      <c r="BI315" s="1007"/>
      <c r="BJ315" s="1007"/>
      <c r="BK315" s="1007"/>
      <c r="BL315" s="1007"/>
      <c r="BM315" s="1007"/>
      <c r="BN315" s="2046"/>
      <c r="BO315" s="1037"/>
      <c r="BP315" s="1007"/>
      <c r="BQ315" s="1007"/>
      <c r="BR315" s="1007"/>
      <c r="BS315" s="1007"/>
      <c r="BT315" s="1007"/>
      <c r="BU315" s="1007"/>
      <c r="BV315" s="1007"/>
      <c r="BW315" s="1007"/>
      <c r="BX315" s="1007"/>
      <c r="BY315" s="1007"/>
      <c r="BZ315" s="1007"/>
      <c r="CA315" s="1007"/>
      <c r="CB315" s="2011"/>
      <c r="CC315" s="1037"/>
      <c r="CD315" s="1007"/>
      <c r="CE315" s="1007"/>
      <c r="CF315" s="1007"/>
      <c r="CG315" s="1007"/>
      <c r="CH315" s="1007"/>
      <c r="CI315" s="1007"/>
      <c r="CJ315" s="1007"/>
      <c r="CK315" s="1007"/>
      <c r="CL315" s="1007"/>
      <c r="CM315" s="1007"/>
      <c r="CN315" s="1007"/>
      <c r="CO315" s="1007"/>
      <c r="CP315" s="2011"/>
      <c r="CQ315" s="1037"/>
      <c r="CR315" s="1007"/>
      <c r="CS315" s="1007"/>
      <c r="CT315" s="1007"/>
      <c r="CU315" s="1007"/>
      <c r="CV315" s="1007"/>
      <c r="CW315" s="1007"/>
      <c r="CX315" s="1007"/>
      <c r="CY315" s="1007"/>
      <c r="CZ315" s="1007"/>
      <c r="DA315" s="1007"/>
      <c r="DB315" s="1007"/>
      <c r="DC315" s="1007"/>
      <c r="DD315" s="2022"/>
      <c r="DE315" s="1037"/>
      <c r="DF315" s="1007"/>
      <c r="DG315" s="1007"/>
      <c r="DH315" s="1007"/>
      <c r="DI315" s="2017"/>
      <c r="DJ315" s="3161"/>
      <c r="DL315" s="3180"/>
      <c r="DN315" s="2749" t="s">
        <v>1346</v>
      </c>
      <c r="DO315" s="2747" t="s">
        <v>1347</v>
      </c>
      <c r="DP315" s="2751" t="s">
        <v>1115</v>
      </c>
      <c r="DQ315" s="2747" t="s">
        <v>5</v>
      </c>
      <c r="DR315" s="2747" t="str">
        <f t="shared" si="388"/>
        <v/>
      </c>
      <c r="DS315" s="1037"/>
      <c r="DT315" s="1037"/>
    </row>
    <row r="316" spans="2:124" s="153" customFormat="1" ht="15" hidden="1" outlineLevel="3">
      <c r="B316" s="2840"/>
      <c r="C316" s="397"/>
      <c r="D316" s="2949"/>
      <c r="E316" s="704"/>
      <c r="F316" s="2949"/>
      <c r="G316" s="395"/>
      <c r="H316" s="1249"/>
      <c r="I316" s="536"/>
      <c r="J316" s="399"/>
      <c r="K316" s="1037"/>
      <c r="L316" s="851"/>
      <c r="M316" s="851"/>
      <c r="N316" s="402"/>
      <c r="O316" s="402"/>
      <c r="P316" s="402"/>
      <c r="Q316" s="402"/>
      <c r="R316" s="402"/>
      <c r="S316" s="402"/>
      <c r="T316" s="402"/>
      <c r="U316" s="402"/>
      <c r="V316" s="1037"/>
      <c r="W316" s="837"/>
      <c r="X316" s="851"/>
      <c r="Y316" s="851"/>
      <c r="Z316" s="851"/>
      <c r="AA316" s="851"/>
      <c r="AB316" s="399"/>
      <c r="AC316" s="1037"/>
      <c r="AD316" s="2840"/>
      <c r="AE316" s="397"/>
      <c r="AF316" s="397"/>
      <c r="AG316" s="397"/>
      <c r="AH316" s="398"/>
      <c r="AI316" s="1458"/>
      <c r="AJ316" s="680"/>
      <c r="AK316" s="1037"/>
      <c r="AL316" s="1458"/>
      <c r="AM316" s="1458"/>
      <c r="AN316" s="398"/>
      <c r="AO316" s="1037"/>
      <c r="AP316" s="1458"/>
      <c r="AQ316" s="1458"/>
      <c r="AR316" s="1458"/>
      <c r="AS316" s="1458"/>
      <c r="AT316" s="1458"/>
      <c r="AU316" s="1458"/>
      <c r="AV316" s="1458"/>
      <c r="AW316" s="1458"/>
      <c r="AX316" s="1458"/>
      <c r="AY316" s="1458"/>
      <c r="AZ316" s="398"/>
      <c r="BA316" s="1037"/>
      <c r="BB316" s="1458"/>
      <c r="BC316" s="1458"/>
      <c r="BD316" s="1458"/>
      <c r="BE316" s="1458"/>
      <c r="BF316" s="1458"/>
      <c r="BG316" s="1458"/>
      <c r="BH316" s="1458"/>
      <c r="BI316" s="1458"/>
      <c r="BJ316" s="1458"/>
      <c r="BK316" s="1458"/>
      <c r="BL316" s="1458"/>
      <c r="BM316" s="1458"/>
      <c r="BN316" s="398"/>
      <c r="BO316" s="1037"/>
      <c r="BP316" s="1458"/>
      <c r="BQ316" s="1458"/>
      <c r="BR316" s="1458"/>
      <c r="BS316" s="1458"/>
      <c r="BT316" s="1458"/>
      <c r="BU316" s="1458"/>
      <c r="BV316" s="1458"/>
      <c r="BW316" s="1458"/>
      <c r="BX316" s="1458"/>
      <c r="BY316" s="1458"/>
      <c r="BZ316" s="1458"/>
      <c r="CA316" s="1458"/>
      <c r="CB316" s="398"/>
      <c r="CC316" s="1037"/>
      <c r="CD316" s="1458"/>
      <c r="CE316" s="1458"/>
      <c r="CF316" s="1458"/>
      <c r="CG316" s="1458"/>
      <c r="CH316" s="1458"/>
      <c r="CI316" s="1458"/>
      <c r="CJ316" s="1458"/>
      <c r="CK316" s="1458"/>
      <c r="CL316" s="1458"/>
      <c r="CM316" s="1458"/>
      <c r="CN316" s="1458"/>
      <c r="CO316" s="1458"/>
      <c r="CP316" s="398"/>
      <c r="CQ316" s="1037"/>
      <c r="CR316" s="1458"/>
      <c r="CS316" s="1458"/>
      <c r="CT316" s="1458"/>
      <c r="CU316" s="1458"/>
      <c r="CV316" s="1458"/>
      <c r="CW316" s="1458"/>
      <c r="CX316" s="1458"/>
      <c r="CY316" s="1458"/>
      <c r="CZ316" s="1458"/>
      <c r="DA316" s="1458"/>
      <c r="DB316" s="1458"/>
      <c r="DC316" s="1458"/>
      <c r="DD316" s="398"/>
      <c r="DE316" s="1037"/>
      <c r="DF316" s="1458"/>
      <c r="DG316" s="1458"/>
      <c r="DH316" s="1458"/>
      <c r="DI316" s="3087"/>
      <c r="DJ316" s="3153"/>
      <c r="DL316" s="3180"/>
      <c r="DN316" s="2725" t="s">
        <v>1175</v>
      </c>
      <c r="DO316" s="2726" t="s">
        <v>1175</v>
      </c>
      <c r="DP316" s="2726"/>
      <c r="DQ316" s="2726" t="s">
        <v>1175</v>
      </c>
      <c r="DR316" s="2726" t="str">
        <f t="shared" si="388"/>
        <v/>
      </c>
      <c r="DS316" s="1037"/>
      <c r="DT316" s="1037"/>
    </row>
    <row r="317" spans="2:124" s="148" customFormat="1" hidden="1" outlineLevel="4">
      <c r="B317" s="3903"/>
      <c r="C317" s="2711"/>
      <c r="D317" s="2953"/>
      <c r="E317" s="580"/>
      <c r="F317" s="2953"/>
      <c r="G317" s="107"/>
      <c r="H317" s="2430"/>
      <c r="I317" s="533"/>
      <c r="J317" s="103"/>
      <c r="K317" s="1037"/>
      <c r="L317" s="364"/>
      <c r="M317" s="364"/>
      <c r="N317" s="367"/>
      <c r="O317" s="367"/>
      <c r="P317" s="367"/>
      <c r="Q317" s="367"/>
      <c r="R317" s="367"/>
      <c r="S317" s="367"/>
      <c r="T317" s="367"/>
      <c r="U317" s="367"/>
      <c r="V317" s="1037"/>
      <c r="W317" s="3897"/>
      <c r="X317" s="3897"/>
      <c r="Y317" s="3996"/>
      <c r="Z317" s="3897"/>
      <c r="AA317" s="3897"/>
      <c r="AB317" s="3897"/>
      <c r="AC317" s="1037"/>
      <c r="AD317" s="3903"/>
      <c r="AE317" s="3879"/>
      <c r="AF317" s="3915"/>
      <c r="AG317" s="3915"/>
      <c r="AH317" s="3793"/>
      <c r="AI317" s="3793"/>
      <c r="AJ317" s="3921"/>
      <c r="AK317" s="1037"/>
      <c r="AL317" s="3787"/>
      <c r="AM317" s="3793"/>
      <c r="AN317" s="3793"/>
      <c r="AO317" s="1037"/>
      <c r="AP317" s="3787"/>
      <c r="AQ317" s="3787"/>
      <c r="AR317" s="3787"/>
      <c r="AS317" s="3787"/>
      <c r="AT317" s="3787"/>
      <c r="AU317" s="3787"/>
      <c r="AV317" s="3787"/>
      <c r="AW317" s="3787"/>
      <c r="AX317" s="3787"/>
      <c r="AY317" s="3787"/>
      <c r="AZ317" s="3811"/>
      <c r="BA317" s="1037"/>
      <c r="BB317" s="3787"/>
      <c r="BC317" s="3787"/>
      <c r="BD317" s="3787"/>
      <c r="BE317" s="3787"/>
      <c r="BF317" s="3787"/>
      <c r="BG317" s="3787"/>
      <c r="BH317" s="3787"/>
      <c r="BI317" s="3787"/>
      <c r="BJ317" s="3787"/>
      <c r="BK317" s="3787"/>
      <c r="BL317" s="3787"/>
      <c r="BM317" s="3787"/>
      <c r="BN317" s="3811"/>
      <c r="BO317" s="1037"/>
      <c r="BP317" s="3787"/>
      <c r="BQ317" s="3787"/>
      <c r="BR317" s="3787"/>
      <c r="BS317" s="3787"/>
      <c r="BT317" s="3787"/>
      <c r="BU317" s="3787"/>
      <c r="BV317" s="3787"/>
      <c r="BW317" s="3787"/>
      <c r="BX317" s="3787"/>
      <c r="BY317" s="3787"/>
      <c r="BZ317" s="3787"/>
      <c r="CA317" s="3787"/>
      <c r="CB317" s="3811"/>
      <c r="CC317" s="1037"/>
      <c r="CD317" s="3787"/>
      <c r="CE317" s="3787"/>
      <c r="CF317" s="3787"/>
      <c r="CG317" s="3787"/>
      <c r="CH317" s="3787"/>
      <c r="CI317" s="3787"/>
      <c r="CJ317" s="3787"/>
      <c r="CK317" s="3787"/>
      <c r="CL317" s="3787"/>
      <c r="CM317" s="3787"/>
      <c r="CN317" s="3787"/>
      <c r="CO317" s="3787"/>
      <c r="CP317" s="3811"/>
      <c r="CQ317" s="1037"/>
      <c r="CR317" s="3787"/>
      <c r="CS317" s="3787"/>
      <c r="CT317" s="3787"/>
      <c r="CU317" s="3787"/>
      <c r="CV317" s="3787"/>
      <c r="CW317" s="3787"/>
      <c r="CX317" s="3787"/>
      <c r="CY317" s="3787"/>
      <c r="CZ317" s="3787"/>
      <c r="DA317" s="3787"/>
      <c r="DB317" s="3787"/>
      <c r="DC317" s="3787"/>
      <c r="DD317" s="3811"/>
      <c r="DE317" s="1037"/>
      <c r="DF317" s="3787"/>
      <c r="DG317" s="3787"/>
      <c r="DH317" s="3787"/>
      <c r="DI317" s="4051"/>
      <c r="DJ317" s="3824"/>
      <c r="DL317" s="3180"/>
      <c r="DN317" s="4071" t="s">
        <v>1283</v>
      </c>
      <c r="DO317" s="2747" t="s">
        <v>1284</v>
      </c>
      <c r="DP317" s="3892" t="s">
        <v>1117</v>
      </c>
      <c r="DQ317" s="3892" t="s">
        <v>5</v>
      </c>
      <c r="DR317" s="3892" t="str">
        <f t="shared" si="388"/>
        <v/>
      </c>
      <c r="DS317" s="1037"/>
      <c r="DT317" s="1037"/>
    </row>
    <row r="318" spans="2:124" s="148" customFormat="1" hidden="1" outlineLevel="4">
      <c r="B318" s="3904"/>
      <c r="C318" s="2900"/>
      <c r="D318" s="2953"/>
      <c r="E318" s="580"/>
      <c r="F318" s="2953"/>
      <c r="G318" s="107"/>
      <c r="H318" s="2430"/>
      <c r="I318" s="533"/>
      <c r="J318" s="103"/>
      <c r="K318" s="1037"/>
      <c r="L318" s="364"/>
      <c r="M318" s="364"/>
      <c r="N318" s="367"/>
      <c r="O318" s="367"/>
      <c r="P318" s="367"/>
      <c r="Q318" s="367"/>
      <c r="R318" s="367"/>
      <c r="S318" s="367"/>
      <c r="T318" s="367"/>
      <c r="U318" s="367"/>
      <c r="V318" s="1037"/>
      <c r="W318" s="3898"/>
      <c r="X318" s="3898"/>
      <c r="Y318" s="3997"/>
      <c r="Z318" s="3898"/>
      <c r="AA318" s="3898"/>
      <c r="AB318" s="3898"/>
      <c r="AC318" s="1037"/>
      <c r="AD318" s="3904"/>
      <c r="AE318" s="3994"/>
      <c r="AF318" s="3916"/>
      <c r="AG318" s="3916"/>
      <c r="AH318" s="3794"/>
      <c r="AI318" s="3794"/>
      <c r="AJ318" s="3922"/>
      <c r="AK318" s="1037"/>
      <c r="AL318" s="3788"/>
      <c r="AM318" s="3794"/>
      <c r="AN318" s="3794"/>
      <c r="AO318" s="1037"/>
      <c r="AP318" s="3788"/>
      <c r="AQ318" s="3788"/>
      <c r="AR318" s="3788"/>
      <c r="AS318" s="3788"/>
      <c r="AT318" s="3788"/>
      <c r="AU318" s="3788"/>
      <c r="AV318" s="3788"/>
      <c r="AW318" s="3788"/>
      <c r="AX318" s="3788"/>
      <c r="AY318" s="3788"/>
      <c r="AZ318" s="3812"/>
      <c r="BA318" s="1037"/>
      <c r="BB318" s="3788"/>
      <c r="BC318" s="3788"/>
      <c r="BD318" s="3788"/>
      <c r="BE318" s="3788"/>
      <c r="BF318" s="3788"/>
      <c r="BG318" s="3788"/>
      <c r="BH318" s="3788"/>
      <c r="BI318" s="3788"/>
      <c r="BJ318" s="3788"/>
      <c r="BK318" s="3788"/>
      <c r="BL318" s="3788"/>
      <c r="BM318" s="3788"/>
      <c r="BN318" s="3812"/>
      <c r="BO318" s="1037"/>
      <c r="BP318" s="3788"/>
      <c r="BQ318" s="3788"/>
      <c r="BR318" s="3788"/>
      <c r="BS318" s="3788"/>
      <c r="BT318" s="3788"/>
      <c r="BU318" s="3788"/>
      <c r="BV318" s="3788"/>
      <c r="BW318" s="3788"/>
      <c r="BX318" s="3788"/>
      <c r="BY318" s="3788"/>
      <c r="BZ318" s="3788"/>
      <c r="CA318" s="3788"/>
      <c r="CB318" s="3812"/>
      <c r="CC318" s="1037"/>
      <c r="CD318" s="3788"/>
      <c r="CE318" s="3788"/>
      <c r="CF318" s="3788"/>
      <c r="CG318" s="3788"/>
      <c r="CH318" s="3788"/>
      <c r="CI318" s="3788"/>
      <c r="CJ318" s="3788"/>
      <c r="CK318" s="3788"/>
      <c r="CL318" s="3788"/>
      <c r="CM318" s="3788"/>
      <c r="CN318" s="3788"/>
      <c r="CO318" s="3788"/>
      <c r="CP318" s="3812"/>
      <c r="CQ318" s="1037"/>
      <c r="CR318" s="3788"/>
      <c r="CS318" s="3788"/>
      <c r="CT318" s="3788"/>
      <c r="CU318" s="3788"/>
      <c r="CV318" s="3788"/>
      <c r="CW318" s="3788"/>
      <c r="CX318" s="3788"/>
      <c r="CY318" s="3788"/>
      <c r="CZ318" s="3788"/>
      <c r="DA318" s="3788"/>
      <c r="DB318" s="3788"/>
      <c r="DC318" s="3788"/>
      <c r="DD318" s="3812"/>
      <c r="DE318" s="1037"/>
      <c r="DF318" s="3788"/>
      <c r="DG318" s="3788"/>
      <c r="DH318" s="3788"/>
      <c r="DI318" s="4053"/>
      <c r="DJ318" s="3825"/>
      <c r="DL318" s="3180"/>
      <c r="DN318" s="3892"/>
      <c r="DO318" s="2747" t="s">
        <v>1284</v>
      </c>
      <c r="DP318" s="3892"/>
      <c r="DQ318" s="3892"/>
      <c r="DR318" s="3892" t="str">
        <f t="shared" si="388"/>
        <v/>
      </c>
      <c r="DS318" s="1037"/>
      <c r="DT318" s="1037"/>
    </row>
    <row r="319" spans="2:124" s="148" customFormat="1" hidden="1" outlineLevel="4">
      <c r="B319" s="3904"/>
      <c r="C319" s="2900"/>
      <c r="D319" s="2953"/>
      <c r="E319" s="580"/>
      <c r="F319" s="2953"/>
      <c r="G319" s="107"/>
      <c r="H319" s="2430"/>
      <c r="I319" s="533"/>
      <c r="J319" s="103"/>
      <c r="K319" s="1037"/>
      <c r="L319" s="364"/>
      <c r="M319" s="364"/>
      <c r="N319" s="367"/>
      <c r="O319" s="367"/>
      <c r="P319" s="367"/>
      <c r="Q319" s="367"/>
      <c r="R319" s="367"/>
      <c r="S319" s="367"/>
      <c r="T319" s="367"/>
      <c r="U319" s="367"/>
      <c r="V319" s="1037"/>
      <c r="W319" s="3898"/>
      <c r="X319" s="3898"/>
      <c r="Y319" s="3997"/>
      <c r="Z319" s="3898"/>
      <c r="AA319" s="3898"/>
      <c r="AB319" s="3898"/>
      <c r="AC319" s="1037"/>
      <c r="AD319" s="3904"/>
      <c r="AE319" s="3994"/>
      <c r="AF319" s="3916"/>
      <c r="AG319" s="3916"/>
      <c r="AH319" s="3794"/>
      <c r="AI319" s="3794"/>
      <c r="AJ319" s="3922"/>
      <c r="AK319" s="1037"/>
      <c r="AL319" s="3788"/>
      <c r="AM319" s="3794"/>
      <c r="AN319" s="3794"/>
      <c r="AO319" s="1037"/>
      <c r="AP319" s="3788"/>
      <c r="AQ319" s="3788"/>
      <c r="AR319" s="3788"/>
      <c r="AS319" s="3788"/>
      <c r="AT319" s="3788"/>
      <c r="AU319" s="3788"/>
      <c r="AV319" s="3788"/>
      <c r="AW319" s="3788"/>
      <c r="AX319" s="3788"/>
      <c r="AY319" s="3788"/>
      <c r="AZ319" s="3812"/>
      <c r="BA319" s="1037"/>
      <c r="BB319" s="3788"/>
      <c r="BC319" s="3788"/>
      <c r="BD319" s="3788"/>
      <c r="BE319" s="3788"/>
      <c r="BF319" s="3788"/>
      <c r="BG319" s="3788"/>
      <c r="BH319" s="3788"/>
      <c r="BI319" s="3788"/>
      <c r="BJ319" s="3788"/>
      <c r="BK319" s="3788"/>
      <c r="BL319" s="3788"/>
      <c r="BM319" s="3788"/>
      <c r="BN319" s="3812"/>
      <c r="BO319" s="1037"/>
      <c r="BP319" s="3788"/>
      <c r="BQ319" s="3788"/>
      <c r="BR319" s="3788"/>
      <c r="BS319" s="3788"/>
      <c r="BT319" s="3788"/>
      <c r="BU319" s="3788"/>
      <c r="BV319" s="3788"/>
      <c r="BW319" s="3788"/>
      <c r="BX319" s="3788"/>
      <c r="BY319" s="3788"/>
      <c r="BZ319" s="3788"/>
      <c r="CA319" s="3788"/>
      <c r="CB319" s="3812"/>
      <c r="CC319" s="1037"/>
      <c r="CD319" s="3788"/>
      <c r="CE319" s="3788"/>
      <c r="CF319" s="3788"/>
      <c r="CG319" s="3788"/>
      <c r="CH319" s="3788"/>
      <c r="CI319" s="3788"/>
      <c r="CJ319" s="3788"/>
      <c r="CK319" s="3788"/>
      <c r="CL319" s="3788"/>
      <c r="CM319" s="3788"/>
      <c r="CN319" s="3788"/>
      <c r="CO319" s="3788"/>
      <c r="CP319" s="3812"/>
      <c r="CQ319" s="1037"/>
      <c r="CR319" s="3788"/>
      <c r="CS319" s="3788"/>
      <c r="CT319" s="3788"/>
      <c r="CU319" s="3788"/>
      <c r="CV319" s="3788"/>
      <c r="CW319" s="3788"/>
      <c r="CX319" s="3788"/>
      <c r="CY319" s="3788"/>
      <c r="CZ319" s="3788"/>
      <c r="DA319" s="3788"/>
      <c r="DB319" s="3788"/>
      <c r="DC319" s="3788"/>
      <c r="DD319" s="3812"/>
      <c r="DE319" s="1037"/>
      <c r="DF319" s="3788"/>
      <c r="DG319" s="3788"/>
      <c r="DH319" s="3788"/>
      <c r="DI319" s="4053"/>
      <c r="DJ319" s="3825"/>
      <c r="DL319" s="3180"/>
      <c r="DN319" s="3892"/>
      <c r="DO319" s="2747" t="s">
        <v>1284</v>
      </c>
      <c r="DP319" s="3892"/>
      <c r="DQ319" s="3892"/>
      <c r="DR319" s="3892" t="str">
        <f t="shared" si="388"/>
        <v/>
      </c>
      <c r="DS319" s="1037"/>
      <c r="DT319" s="1037"/>
    </row>
    <row r="320" spans="2:124" s="148" customFormat="1" hidden="1" outlineLevel="4">
      <c r="B320" s="3905"/>
      <c r="C320" s="2888"/>
      <c r="D320" s="2953"/>
      <c r="E320" s="580"/>
      <c r="F320" s="2953"/>
      <c r="G320" s="107"/>
      <c r="H320" s="2703"/>
      <c r="I320" s="533"/>
      <c r="J320" s="103"/>
      <c r="K320" s="1037"/>
      <c r="L320" s="364"/>
      <c r="M320" s="364"/>
      <c r="N320" s="367"/>
      <c r="O320" s="367"/>
      <c r="P320" s="367"/>
      <c r="Q320" s="367"/>
      <c r="R320" s="367"/>
      <c r="S320" s="367"/>
      <c r="T320" s="367"/>
      <c r="U320" s="367"/>
      <c r="V320" s="1037"/>
      <c r="W320" s="3899"/>
      <c r="X320" s="3899"/>
      <c r="Y320" s="3998"/>
      <c r="Z320" s="3899"/>
      <c r="AA320" s="3899"/>
      <c r="AB320" s="3899"/>
      <c r="AC320" s="1037"/>
      <c r="AD320" s="3905"/>
      <c r="AE320" s="3995"/>
      <c r="AF320" s="3917"/>
      <c r="AG320" s="3917"/>
      <c r="AH320" s="3795"/>
      <c r="AI320" s="3795"/>
      <c r="AJ320" s="3923"/>
      <c r="AK320" s="1037"/>
      <c r="AL320" s="3789"/>
      <c r="AM320" s="3795"/>
      <c r="AN320" s="3795"/>
      <c r="AO320" s="1037"/>
      <c r="AP320" s="3789"/>
      <c r="AQ320" s="3789"/>
      <c r="AR320" s="3789"/>
      <c r="AS320" s="3789"/>
      <c r="AT320" s="3789"/>
      <c r="AU320" s="3789"/>
      <c r="AV320" s="3789"/>
      <c r="AW320" s="3789"/>
      <c r="AX320" s="3789"/>
      <c r="AY320" s="3789"/>
      <c r="AZ320" s="3813"/>
      <c r="BA320" s="1037"/>
      <c r="BB320" s="3789"/>
      <c r="BC320" s="3789"/>
      <c r="BD320" s="3789"/>
      <c r="BE320" s="3789"/>
      <c r="BF320" s="3789"/>
      <c r="BG320" s="3789"/>
      <c r="BH320" s="3789"/>
      <c r="BI320" s="3789"/>
      <c r="BJ320" s="3789"/>
      <c r="BK320" s="3789"/>
      <c r="BL320" s="3789"/>
      <c r="BM320" s="3789"/>
      <c r="BN320" s="3813"/>
      <c r="BO320" s="1037"/>
      <c r="BP320" s="3789"/>
      <c r="BQ320" s="3789"/>
      <c r="BR320" s="3789"/>
      <c r="BS320" s="3789"/>
      <c r="BT320" s="3789"/>
      <c r="BU320" s="3789"/>
      <c r="BV320" s="3789"/>
      <c r="BW320" s="3789"/>
      <c r="BX320" s="3789"/>
      <c r="BY320" s="3789"/>
      <c r="BZ320" s="3789"/>
      <c r="CA320" s="3789"/>
      <c r="CB320" s="3813"/>
      <c r="CC320" s="1037"/>
      <c r="CD320" s="3789"/>
      <c r="CE320" s="3789"/>
      <c r="CF320" s="3789"/>
      <c r="CG320" s="3789"/>
      <c r="CH320" s="3789"/>
      <c r="CI320" s="3789"/>
      <c r="CJ320" s="3789"/>
      <c r="CK320" s="3789"/>
      <c r="CL320" s="3789"/>
      <c r="CM320" s="3789"/>
      <c r="CN320" s="3789"/>
      <c r="CO320" s="3789"/>
      <c r="CP320" s="3813"/>
      <c r="CQ320" s="1037"/>
      <c r="CR320" s="3789"/>
      <c r="CS320" s="3789"/>
      <c r="CT320" s="3789"/>
      <c r="CU320" s="3789"/>
      <c r="CV320" s="3789"/>
      <c r="CW320" s="3789"/>
      <c r="CX320" s="3789"/>
      <c r="CY320" s="3789"/>
      <c r="CZ320" s="3789"/>
      <c r="DA320" s="3789"/>
      <c r="DB320" s="3789"/>
      <c r="DC320" s="3789"/>
      <c r="DD320" s="3813"/>
      <c r="DE320" s="1037"/>
      <c r="DF320" s="3789"/>
      <c r="DG320" s="3789"/>
      <c r="DH320" s="3789"/>
      <c r="DI320" s="4052"/>
      <c r="DJ320" s="3826"/>
      <c r="DL320" s="3180"/>
      <c r="DN320" s="4072"/>
      <c r="DO320" s="2747" t="s">
        <v>1284</v>
      </c>
      <c r="DP320" s="3893"/>
      <c r="DQ320" s="3893"/>
      <c r="DR320" s="3893" t="str">
        <f t="shared" si="388"/>
        <v/>
      </c>
      <c r="DS320" s="1037"/>
      <c r="DT320" s="1037"/>
    </row>
    <row r="321" spans="2:124" s="148" customFormat="1" hidden="1" outlineLevel="3">
      <c r="B321" s="2889"/>
      <c r="C321" s="2888"/>
      <c r="D321" s="2953"/>
      <c r="E321" s="580"/>
      <c r="F321" s="2953"/>
      <c r="G321" s="107"/>
      <c r="H321" s="2430"/>
      <c r="I321" s="533"/>
      <c r="J321" s="103"/>
      <c r="K321" s="1037"/>
      <c r="L321" s="364"/>
      <c r="M321" s="364"/>
      <c r="N321" s="367"/>
      <c r="O321" s="367"/>
      <c r="P321" s="367"/>
      <c r="Q321" s="367"/>
      <c r="R321" s="367"/>
      <c r="S321" s="367"/>
      <c r="T321" s="367"/>
      <c r="U321" s="367"/>
      <c r="V321" s="1037"/>
      <c r="W321" s="951"/>
      <c r="X321" s="951"/>
      <c r="Y321" s="951"/>
      <c r="Z321" s="951"/>
      <c r="AA321" s="951"/>
      <c r="AB321" s="951"/>
      <c r="AC321" s="1037"/>
      <c r="AD321" s="2889"/>
      <c r="AE321" s="2888"/>
      <c r="AF321" s="1482"/>
      <c r="AG321" s="1482"/>
      <c r="AH321" s="1926"/>
      <c r="AI321" s="1926"/>
      <c r="AJ321" s="2887"/>
      <c r="AK321" s="1037"/>
      <c r="AL321" s="1407"/>
      <c r="AM321" s="1926"/>
      <c r="AN321" s="1926"/>
      <c r="AO321" s="1037"/>
      <c r="AP321" s="1407"/>
      <c r="AQ321" s="1407"/>
      <c r="AR321" s="1407"/>
      <c r="AS321" s="1407"/>
      <c r="AT321" s="1407"/>
      <c r="AU321" s="1407"/>
      <c r="AV321" s="1407"/>
      <c r="AW321" s="1407"/>
      <c r="AX321" s="1407"/>
      <c r="AY321" s="1407"/>
      <c r="AZ321" s="1931"/>
      <c r="BA321" s="1037"/>
      <c r="BB321" s="1407"/>
      <c r="BC321" s="1407"/>
      <c r="BD321" s="1407"/>
      <c r="BE321" s="1407"/>
      <c r="BF321" s="1407"/>
      <c r="BG321" s="1407"/>
      <c r="BH321" s="1407"/>
      <c r="BI321" s="1407"/>
      <c r="BJ321" s="1407"/>
      <c r="BK321" s="1407"/>
      <c r="BL321" s="1407"/>
      <c r="BM321" s="1407"/>
      <c r="BN321" s="1931"/>
      <c r="BO321" s="1037"/>
      <c r="BP321" s="1407"/>
      <c r="BQ321" s="1407"/>
      <c r="BR321" s="1407"/>
      <c r="BS321" s="1407"/>
      <c r="BT321" s="1407"/>
      <c r="BU321" s="1407"/>
      <c r="BV321" s="1407"/>
      <c r="BW321" s="1407"/>
      <c r="BX321" s="1407"/>
      <c r="BY321" s="1407"/>
      <c r="BZ321" s="1407"/>
      <c r="CA321" s="1407"/>
      <c r="CB321" s="1931"/>
      <c r="CC321" s="1037"/>
      <c r="CD321" s="1407"/>
      <c r="CE321" s="1407"/>
      <c r="CF321" s="1407"/>
      <c r="CG321" s="1407"/>
      <c r="CH321" s="1407"/>
      <c r="CI321" s="1407"/>
      <c r="CJ321" s="1407"/>
      <c r="CK321" s="1407"/>
      <c r="CL321" s="1407"/>
      <c r="CM321" s="1407"/>
      <c r="CN321" s="1407"/>
      <c r="CO321" s="1407"/>
      <c r="CP321" s="1931"/>
      <c r="CQ321" s="1037"/>
      <c r="CR321" s="1407"/>
      <c r="CS321" s="1407"/>
      <c r="CT321" s="1407"/>
      <c r="CU321" s="1407"/>
      <c r="CV321" s="1407"/>
      <c r="CW321" s="1407"/>
      <c r="CX321" s="1407"/>
      <c r="CY321" s="1407"/>
      <c r="CZ321" s="1407"/>
      <c r="DA321" s="1407"/>
      <c r="DB321" s="1407"/>
      <c r="DC321" s="1407"/>
      <c r="DD321" s="1931"/>
      <c r="DE321" s="1037"/>
      <c r="DF321" s="1407"/>
      <c r="DG321" s="1407"/>
      <c r="DH321" s="1407"/>
      <c r="DI321" s="3084"/>
      <c r="DJ321" s="3139"/>
      <c r="DL321" s="3180"/>
      <c r="DN321" s="2749"/>
      <c r="DO321" s="2747"/>
      <c r="DP321" s="2736"/>
      <c r="DQ321" s="2736"/>
      <c r="DR321" s="2736"/>
      <c r="DS321" s="1037"/>
      <c r="DT321" s="1037"/>
    </row>
    <row r="322" spans="2:124" s="148" customFormat="1" hidden="1" outlineLevel="2">
      <c r="B322" s="182"/>
      <c r="C322" s="182"/>
      <c r="D322" s="2953"/>
      <c r="E322" s="580"/>
      <c r="F322" s="2953"/>
      <c r="G322" s="107"/>
      <c r="H322" s="2430"/>
      <c r="I322" s="533"/>
      <c r="J322" s="103"/>
      <c r="K322" s="1037"/>
      <c r="L322" s="364"/>
      <c r="M322" s="364"/>
      <c r="N322" s="367"/>
      <c r="O322" s="367"/>
      <c r="P322" s="367"/>
      <c r="Q322" s="367"/>
      <c r="R322" s="367"/>
      <c r="S322" s="367"/>
      <c r="T322" s="367"/>
      <c r="U322" s="367"/>
      <c r="V322" s="1037"/>
      <c r="W322" s="364"/>
      <c r="X322" s="364"/>
      <c r="Y322" s="364"/>
      <c r="Z322" s="364"/>
      <c r="AA322" s="364"/>
      <c r="AB322" s="177"/>
      <c r="AC322" s="1037"/>
      <c r="AD322" s="182"/>
      <c r="AE322" s="2490"/>
      <c r="AF322" s="179"/>
      <c r="AG322" s="179"/>
      <c r="AH322" s="1053"/>
      <c r="AI322" s="1032"/>
      <c r="AJ322" s="1762"/>
      <c r="AK322" s="1037"/>
      <c r="AL322" s="1041"/>
      <c r="AM322" s="1048"/>
      <c r="AN322" s="1053"/>
      <c r="AO322" s="1037"/>
      <c r="AP322" s="1007"/>
      <c r="AQ322" s="1007"/>
      <c r="AR322" s="1007"/>
      <c r="AS322" s="1007"/>
      <c r="AT322" s="1007"/>
      <c r="AU322" s="1007"/>
      <c r="AV322" s="1007"/>
      <c r="AW322" s="1007"/>
      <c r="AX322" s="1007"/>
      <c r="AY322" s="1007"/>
      <c r="AZ322" s="2046"/>
      <c r="BA322" s="1037"/>
      <c r="BB322" s="1007"/>
      <c r="BC322" s="1007"/>
      <c r="BD322" s="1007"/>
      <c r="BE322" s="1007"/>
      <c r="BF322" s="1007"/>
      <c r="BG322" s="1007"/>
      <c r="BH322" s="1007"/>
      <c r="BI322" s="1007"/>
      <c r="BJ322" s="1007"/>
      <c r="BK322" s="1007"/>
      <c r="BL322" s="1007"/>
      <c r="BM322" s="1007"/>
      <c r="BN322" s="2046"/>
      <c r="BO322" s="1037"/>
      <c r="BP322" s="1007"/>
      <c r="BQ322" s="1007"/>
      <c r="BR322" s="1007"/>
      <c r="BS322" s="1007"/>
      <c r="BT322" s="1007"/>
      <c r="BU322" s="1007"/>
      <c r="BV322" s="1007"/>
      <c r="BW322" s="1007"/>
      <c r="BX322" s="1007"/>
      <c r="BY322" s="1007"/>
      <c r="BZ322" s="1007"/>
      <c r="CA322" s="1007"/>
      <c r="CB322" s="2011"/>
      <c r="CC322" s="1037"/>
      <c r="CD322" s="1007"/>
      <c r="CE322" s="1007"/>
      <c r="CF322" s="1007"/>
      <c r="CG322" s="1007"/>
      <c r="CH322" s="1007"/>
      <c r="CI322" s="1007"/>
      <c r="CJ322" s="1007"/>
      <c r="CK322" s="1007"/>
      <c r="CL322" s="1007"/>
      <c r="CM322" s="1007"/>
      <c r="CN322" s="1007"/>
      <c r="CO322" s="1007"/>
      <c r="CP322" s="2011"/>
      <c r="CQ322" s="1037"/>
      <c r="CR322" s="1007"/>
      <c r="CS322" s="1007"/>
      <c r="CT322" s="1007"/>
      <c r="CU322" s="1007"/>
      <c r="CV322" s="1007"/>
      <c r="CW322" s="1007"/>
      <c r="CX322" s="1007"/>
      <c r="CY322" s="1007"/>
      <c r="CZ322" s="1007"/>
      <c r="DA322" s="1007"/>
      <c r="DB322" s="1007"/>
      <c r="DC322" s="1007"/>
      <c r="DD322" s="2022"/>
      <c r="DE322" s="1037"/>
      <c r="DF322" s="1007"/>
      <c r="DG322" s="1007"/>
      <c r="DH322" s="1007"/>
      <c r="DI322" s="2017"/>
      <c r="DJ322" s="3161"/>
      <c r="DL322" s="3180"/>
      <c r="DN322" s="2749" t="s">
        <v>1175</v>
      </c>
      <c r="DO322" s="2747" t="s">
        <v>1175</v>
      </c>
      <c r="DP322" s="2747"/>
      <c r="DQ322" s="2747" t="s">
        <v>1175</v>
      </c>
      <c r="DR322" s="2747" t="str">
        <f t="shared" si="388"/>
        <v/>
      </c>
      <c r="DS322" s="1037"/>
      <c r="DT322" s="1037"/>
    </row>
    <row r="323" spans="2:124" s="153" customFormat="1" ht="15" hidden="1" outlineLevel="1">
      <c r="B323" s="426"/>
      <c r="C323" s="425"/>
      <c r="D323" s="2944"/>
      <c r="E323" s="582"/>
      <c r="F323" s="2944"/>
      <c r="G323" s="428"/>
      <c r="H323" s="539"/>
      <c r="I323" s="539"/>
      <c r="J323" s="427"/>
      <c r="K323" s="1037"/>
      <c r="L323" s="425"/>
      <c r="M323" s="425"/>
      <c r="N323" s="430"/>
      <c r="O323" s="430"/>
      <c r="P323" s="430"/>
      <c r="Q323" s="430"/>
      <c r="R323" s="430"/>
      <c r="S323" s="430"/>
      <c r="T323" s="430"/>
      <c r="U323" s="430"/>
      <c r="V323" s="1037"/>
      <c r="W323" s="850"/>
      <c r="X323" s="850"/>
      <c r="Y323" s="850"/>
      <c r="Z323" s="850"/>
      <c r="AA323" s="850"/>
      <c r="AB323" s="431"/>
      <c r="AC323" s="1037"/>
      <c r="AD323" s="426"/>
      <c r="AE323" s="425"/>
      <c r="AF323" s="425"/>
      <c r="AG323" s="425"/>
      <c r="AH323" s="433"/>
      <c r="AI323" s="433"/>
      <c r="AJ323" s="685"/>
      <c r="AK323" s="1037"/>
      <c r="AL323" s="433"/>
      <c r="AM323" s="433"/>
      <c r="AN323" s="433"/>
      <c r="AO323" s="1037"/>
      <c r="AP323" s="433"/>
      <c r="AQ323" s="433"/>
      <c r="AR323" s="433"/>
      <c r="AS323" s="433"/>
      <c r="AT323" s="433"/>
      <c r="AU323" s="433"/>
      <c r="AV323" s="433"/>
      <c r="AW323" s="433"/>
      <c r="AX323" s="433"/>
      <c r="AY323" s="433"/>
      <c r="AZ323" s="433"/>
      <c r="BA323" s="1037"/>
      <c r="BB323" s="433"/>
      <c r="BC323" s="433"/>
      <c r="BD323" s="433"/>
      <c r="BE323" s="433"/>
      <c r="BF323" s="433"/>
      <c r="BG323" s="433"/>
      <c r="BH323" s="433"/>
      <c r="BI323" s="433"/>
      <c r="BJ323" s="433"/>
      <c r="BK323" s="433"/>
      <c r="BL323" s="433"/>
      <c r="BM323" s="433"/>
      <c r="BN323" s="433"/>
      <c r="BO323" s="1037"/>
      <c r="BP323" s="433"/>
      <c r="BQ323" s="433"/>
      <c r="BR323" s="433"/>
      <c r="BS323" s="433"/>
      <c r="BT323" s="433"/>
      <c r="BU323" s="433"/>
      <c r="BV323" s="433"/>
      <c r="BW323" s="433"/>
      <c r="BX323" s="433"/>
      <c r="BY323" s="433"/>
      <c r="BZ323" s="433"/>
      <c r="CA323" s="433"/>
      <c r="CB323" s="433"/>
      <c r="CC323" s="1037"/>
      <c r="CD323" s="433"/>
      <c r="CE323" s="433"/>
      <c r="CF323" s="433"/>
      <c r="CG323" s="433"/>
      <c r="CH323" s="433"/>
      <c r="CI323" s="433"/>
      <c r="CJ323" s="433"/>
      <c r="CK323" s="433"/>
      <c r="CL323" s="433"/>
      <c r="CM323" s="433"/>
      <c r="CN323" s="433"/>
      <c r="CO323" s="433"/>
      <c r="CP323" s="433"/>
      <c r="CQ323" s="1037"/>
      <c r="CR323" s="433"/>
      <c r="CS323" s="433"/>
      <c r="CT323" s="433"/>
      <c r="CU323" s="433"/>
      <c r="CV323" s="433"/>
      <c r="CW323" s="433"/>
      <c r="CX323" s="433"/>
      <c r="CY323" s="433"/>
      <c r="CZ323" s="433"/>
      <c r="DA323" s="433"/>
      <c r="DB323" s="433"/>
      <c r="DC323" s="433"/>
      <c r="DD323" s="433"/>
      <c r="DE323" s="1037"/>
      <c r="DF323" s="433"/>
      <c r="DG323" s="433"/>
      <c r="DH323" s="433"/>
      <c r="DI323" s="3081"/>
      <c r="DJ323" s="3162"/>
      <c r="DL323" s="3180"/>
      <c r="DN323" s="2721" t="s">
        <v>1175</v>
      </c>
      <c r="DO323" s="2722" t="s">
        <v>1175</v>
      </c>
      <c r="DP323" s="2722"/>
      <c r="DQ323" s="2722" t="s">
        <v>1175</v>
      </c>
      <c r="DR323" s="2722" t="str">
        <f t="shared" si="388"/>
        <v/>
      </c>
      <c r="DS323" s="1037"/>
      <c r="DT323" s="1037"/>
    </row>
    <row r="324" spans="2:124" s="153" customFormat="1" hidden="1" outlineLevel="2">
      <c r="B324" s="106"/>
      <c r="C324" s="172"/>
      <c r="D324" s="2955"/>
      <c r="E324" s="2901"/>
      <c r="F324" s="2955"/>
      <c r="G324" s="171"/>
      <c r="H324" s="2363"/>
      <c r="I324" s="538"/>
      <c r="J324" s="106"/>
      <c r="K324" s="1037"/>
      <c r="L324" s="358"/>
      <c r="M324" s="358"/>
      <c r="N324" s="358"/>
      <c r="O324" s="358"/>
      <c r="P324" s="358"/>
      <c r="Q324" s="358"/>
      <c r="R324" s="358"/>
      <c r="S324" s="358"/>
      <c r="T324" s="358"/>
      <c r="U324" s="358"/>
      <c r="V324" s="1037"/>
      <c r="W324" s="854"/>
      <c r="X324" s="358"/>
      <c r="Y324" s="358"/>
      <c r="Z324" s="358"/>
      <c r="AA324" s="358"/>
      <c r="AB324" s="106"/>
      <c r="AC324" s="1037"/>
      <c r="AD324" s="106"/>
      <c r="AE324" s="172"/>
      <c r="AF324" s="172"/>
      <c r="AG324" s="172"/>
      <c r="AH324" s="176"/>
      <c r="AI324" s="176"/>
      <c r="AJ324" s="692"/>
      <c r="AK324" s="1037"/>
      <c r="AL324" s="176"/>
      <c r="AM324" s="176"/>
      <c r="AN324" s="176"/>
      <c r="AO324" s="1037"/>
      <c r="AP324" s="176"/>
      <c r="AQ324" s="176"/>
      <c r="AR324" s="176"/>
      <c r="AS324" s="176"/>
      <c r="AT324" s="176"/>
      <c r="AU324" s="176"/>
      <c r="AV324" s="176"/>
      <c r="AW324" s="176"/>
      <c r="AX324" s="176"/>
      <c r="AY324" s="176"/>
      <c r="AZ324" s="176"/>
      <c r="BA324" s="1037"/>
      <c r="BB324" s="176"/>
      <c r="BC324" s="176"/>
      <c r="BD324" s="176"/>
      <c r="BE324" s="176"/>
      <c r="BF324" s="176"/>
      <c r="BG324" s="176"/>
      <c r="BH324" s="176"/>
      <c r="BI324" s="176"/>
      <c r="BJ324" s="176"/>
      <c r="BK324" s="176"/>
      <c r="BL324" s="176"/>
      <c r="BM324" s="176"/>
      <c r="BN324" s="176"/>
      <c r="BO324" s="1037"/>
      <c r="BP324" s="176"/>
      <c r="BQ324" s="176"/>
      <c r="BR324" s="176"/>
      <c r="BS324" s="176"/>
      <c r="BT324" s="176"/>
      <c r="BU324" s="176"/>
      <c r="BV324" s="176"/>
      <c r="BW324" s="176"/>
      <c r="BX324" s="176"/>
      <c r="BY324" s="176"/>
      <c r="BZ324" s="176"/>
      <c r="CA324" s="176"/>
      <c r="CB324" s="176"/>
      <c r="CC324" s="1037"/>
      <c r="CD324" s="176"/>
      <c r="CE324" s="176"/>
      <c r="CF324" s="176"/>
      <c r="CG324" s="176"/>
      <c r="CH324" s="176"/>
      <c r="CI324" s="176"/>
      <c r="CJ324" s="176"/>
      <c r="CK324" s="176"/>
      <c r="CL324" s="176"/>
      <c r="CM324" s="176"/>
      <c r="CN324" s="176"/>
      <c r="CO324" s="176"/>
      <c r="CP324" s="176"/>
      <c r="CQ324" s="1037"/>
      <c r="CR324" s="176"/>
      <c r="CS324" s="176"/>
      <c r="CT324" s="176"/>
      <c r="CU324" s="176"/>
      <c r="CV324" s="176"/>
      <c r="CW324" s="176"/>
      <c r="CX324" s="176"/>
      <c r="CY324" s="176"/>
      <c r="CZ324" s="176"/>
      <c r="DA324" s="176"/>
      <c r="DB324" s="176"/>
      <c r="DC324" s="176"/>
      <c r="DD324" s="176"/>
      <c r="DE324" s="1037"/>
      <c r="DF324" s="176"/>
      <c r="DG324" s="176"/>
      <c r="DH324" s="176"/>
      <c r="DI324" s="3082"/>
      <c r="DJ324" s="3154"/>
      <c r="DL324" s="3180"/>
      <c r="DN324" s="2723"/>
      <c r="DO324" s="2724"/>
      <c r="DP324" s="2724"/>
      <c r="DQ324" s="2724"/>
      <c r="DR324" s="2724"/>
      <c r="DS324" s="1037"/>
      <c r="DT324" s="1037"/>
    </row>
    <row r="325" spans="2:124" s="153" customFormat="1" ht="409.6" hidden="1" outlineLevel="3">
      <c r="B325" s="173"/>
      <c r="C325" s="704"/>
      <c r="D325" s="435" t="s">
        <v>1438</v>
      </c>
      <c r="E325" s="704"/>
      <c r="F325" s="435"/>
      <c r="G325" s="354"/>
      <c r="H325" s="2994" t="s">
        <v>1439</v>
      </c>
      <c r="I325" s="1547" t="s">
        <v>5</v>
      </c>
      <c r="J325" s="173" t="s">
        <v>1440</v>
      </c>
      <c r="K325" s="2783"/>
      <c r="L325" s="853" t="e">
        <f>'1_MdR'!#REF!</f>
        <v>#REF!</v>
      </c>
      <c r="M325" s="853" t="e">
        <f>'1_MdR'!#REF!</f>
        <v>#REF!</v>
      </c>
      <c r="N325" s="853" t="e">
        <f>'1_MdR'!#REF!</f>
        <v>#REF!</v>
      </c>
      <c r="O325" s="853" t="e">
        <f>'1_MdR'!#REF!</f>
        <v>#REF!</v>
      </c>
      <c r="P325" s="853" t="e">
        <f>'1_MdR'!#REF!</f>
        <v>#REF!</v>
      </c>
      <c r="Q325" s="853" t="e">
        <f>'1_MdR'!#REF!</f>
        <v>#REF!</v>
      </c>
      <c r="R325" s="853" t="e">
        <f>'1_MdR'!#REF!</f>
        <v>#REF!</v>
      </c>
      <c r="S325" s="853" t="e">
        <f>'1_MdR'!#REF!</f>
        <v>#REF!</v>
      </c>
      <c r="T325" s="853" t="e">
        <f>'1_MdR'!#REF!</f>
        <v>#REF!</v>
      </c>
      <c r="U325" s="853" t="e">
        <f>'1_MdR'!#REF!</f>
        <v>#REF!</v>
      </c>
      <c r="V325" s="2783"/>
      <c r="W325" s="364"/>
      <c r="X325" s="853"/>
      <c r="Y325" s="853"/>
      <c r="Z325" s="853"/>
      <c r="AA325" s="853"/>
      <c r="AB325" s="173" t="s">
        <v>1441</v>
      </c>
      <c r="AC325" s="2783"/>
      <c r="AD325" s="173"/>
      <c r="AE325" s="704"/>
      <c r="AF325" s="704"/>
      <c r="AG325" s="704"/>
      <c r="AH325" s="485"/>
      <c r="AI325" s="485">
        <f>SUM(AI326:AI328)+AI339+AI340+AI349</f>
        <v>4883000</v>
      </c>
      <c r="AJ325" s="2314"/>
      <c r="AK325" s="2783"/>
      <c r="AL325" s="485">
        <f>SUM(AL326:AL328)+AL339+AL340+AL349+AL356</f>
        <v>5183000</v>
      </c>
      <c r="AM325" s="485">
        <f>SUM(AM326:AM328)+AM339+AM340+AM349+AM356</f>
        <v>0</v>
      </c>
      <c r="AN325" s="485">
        <f t="shared" ref="AN325:AN392" si="389">+AL325+AM325</f>
        <v>5183000</v>
      </c>
      <c r="AO325" s="2783"/>
      <c r="AP325" s="485">
        <f t="shared" ref="AP325:CZ325" si="390">SUM(AP326:AP328)+AP339+AP340+AP349+AP356</f>
        <v>0</v>
      </c>
      <c r="AQ325" s="485">
        <f t="shared" si="390"/>
        <v>0</v>
      </c>
      <c r="AR325" s="485">
        <f t="shared" si="390"/>
        <v>0</v>
      </c>
      <c r="AS325" s="485">
        <f t="shared" si="390"/>
        <v>0</v>
      </c>
      <c r="AT325" s="485">
        <f t="shared" si="390"/>
        <v>0</v>
      </c>
      <c r="AU325" s="485">
        <f t="shared" si="390"/>
        <v>0</v>
      </c>
      <c r="AV325" s="485">
        <f t="shared" si="390"/>
        <v>0</v>
      </c>
      <c r="AW325" s="485">
        <f t="shared" si="390"/>
        <v>0</v>
      </c>
      <c r="AX325" s="485">
        <f t="shared" si="390"/>
        <v>0</v>
      </c>
      <c r="AY325" s="485">
        <f t="shared" si="390"/>
        <v>0</v>
      </c>
      <c r="AZ325" s="485">
        <f t="shared" si="390"/>
        <v>0</v>
      </c>
      <c r="BA325" s="2783">
        <f t="shared" si="390"/>
        <v>0</v>
      </c>
      <c r="BB325" s="485">
        <f t="shared" si="390"/>
        <v>0</v>
      </c>
      <c r="BC325" s="485">
        <f t="shared" si="390"/>
        <v>4000</v>
      </c>
      <c r="BD325" s="485">
        <f t="shared" si="390"/>
        <v>4000</v>
      </c>
      <c r="BE325" s="485">
        <f t="shared" si="390"/>
        <v>4000</v>
      </c>
      <c r="BF325" s="485">
        <f t="shared" si="390"/>
        <v>9000</v>
      </c>
      <c r="BG325" s="485">
        <f t="shared" si="390"/>
        <v>109000</v>
      </c>
      <c r="BH325" s="485">
        <f t="shared" si="390"/>
        <v>9000</v>
      </c>
      <c r="BI325" s="485">
        <f t="shared" si="390"/>
        <v>9000</v>
      </c>
      <c r="BJ325" s="485">
        <f t="shared" si="390"/>
        <v>9000</v>
      </c>
      <c r="BK325" s="485">
        <f t="shared" si="390"/>
        <v>84000</v>
      </c>
      <c r="BL325" s="485">
        <f t="shared" si="390"/>
        <v>4000</v>
      </c>
      <c r="BM325" s="485">
        <f t="shared" si="390"/>
        <v>79000</v>
      </c>
      <c r="BN325" s="485">
        <f t="shared" si="390"/>
        <v>324000</v>
      </c>
      <c r="BO325" s="2783">
        <f t="shared" si="390"/>
        <v>0</v>
      </c>
      <c r="BP325" s="485">
        <f t="shared" si="390"/>
        <v>4000</v>
      </c>
      <c r="BQ325" s="485">
        <f t="shared" si="390"/>
        <v>75000</v>
      </c>
      <c r="BR325" s="485">
        <f t="shared" si="390"/>
        <v>300500</v>
      </c>
      <c r="BS325" s="485">
        <f t="shared" si="390"/>
        <v>0</v>
      </c>
      <c r="BT325" s="485">
        <f t="shared" si="390"/>
        <v>0</v>
      </c>
      <c r="BU325" s="485">
        <f t="shared" si="390"/>
        <v>75000</v>
      </c>
      <c r="BV325" s="485">
        <f t="shared" si="390"/>
        <v>240400</v>
      </c>
      <c r="BW325" s="485">
        <f t="shared" si="390"/>
        <v>0</v>
      </c>
      <c r="BX325" s="485">
        <f t="shared" si="390"/>
        <v>0</v>
      </c>
      <c r="BY325" s="485">
        <f t="shared" si="390"/>
        <v>75000</v>
      </c>
      <c r="BZ325" s="485">
        <f t="shared" si="390"/>
        <v>400400</v>
      </c>
      <c r="CA325" s="485">
        <f t="shared" si="390"/>
        <v>75000</v>
      </c>
      <c r="CB325" s="485">
        <f t="shared" si="390"/>
        <v>1245300</v>
      </c>
      <c r="CC325" s="2783">
        <f t="shared" si="390"/>
        <v>0</v>
      </c>
      <c r="CD325" s="485">
        <f t="shared" si="390"/>
        <v>0</v>
      </c>
      <c r="CE325" s="485">
        <f t="shared" si="390"/>
        <v>235000</v>
      </c>
      <c r="CF325" s="485">
        <f t="shared" si="390"/>
        <v>240400</v>
      </c>
      <c r="CG325" s="485">
        <f t="shared" si="390"/>
        <v>0</v>
      </c>
      <c r="CH325" s="485">
        <f t="shared" si="390"/>
        <v>0</v>
      </c>
      <c r="CI325" s="485">
        <f t="shared" si="390"/>
        <v>425300</v>
      </c>
      <c r="CJ325" s="485">
        <f t="shared" si="390"/>
        <v>360600</v>
      </c>
      <c r="CK325" s="485">
        <f t="shared" si="390"/>
        <v>0</v>
      </c>
      <c r="CL325" s="485">
        <f t="shared" si="390"/>
        <v>0</v>
      </c>
      <c r="CM325" s="485">
        <f t="shared" si="390"/>
        <v>195000</v>
      </c>
      <c r="CN325" s="485">
        <f t="shared" si="390"/>
        <v>360600</v>
      </c>
      <c r="CO325" s="485">
        <f t="shared" si="390"/>
        <v>75000</v>
      </c>
      <c r="CP325" s="485">
        <f t="shared" si="390"/>
        <v>1891900</v>
      </c>
      <c r="CQ325" s="2783">
        <f t="shared" si="390"/>
        <v>0</v>
      </c>
      <c r="CR325" s="485">
        <f t="shared" si="390"/>
        <v>0</v>
      </c>
      <c r="CS325" s="485">
        <f t="shared" si="390"/>
        <v>75000</v>
      </c>
      <c r="CT325" s="485">
        <f t="shared" si="390"/>
        <v>480600</v>
      </c>
      <c r="CU325" s="485">
        <f t="shared" si="390"/>
        <v>0</v>
      </c>
      <c r="CV325" s="485">
        <f t="shared" si="390"/>
        <v>0</v>
      </c>
      <c r="CW325" s="485">
        <f t="shared" si="390"/>
        <v>75000</v>
      </c>
      <c r="CX325" s="485">
        <f t="shared" si="390"/>
        <v>480600</v>
      </c>
      <c r="CY325" s="485">
        <f t="shared" si="390"/>
        <v>0</v>
      </c>
      <c r="CZ325" s="485">
        <f t="shared" si="390"/>
        <v>0</v>
      </c>
      <c r="DA325" s="485">
        <f t="shared" ref="DA325:DI325" si="391">SUM(DA326:DA328)+DA339+DA340+DA349+DA356</f>
        <v>75000</v>
      </c>
      <c r="DB325" s="485">
        <f t="shared" si="391"/>
        <v>360600</v>
      </c>
      <c r="DC325" s="485">
        <f t="shared" si="391"/>
        <v>75000</v>
      </c>
      <c r="DD325" s="485">
        <f t="shared" si="391"/>
        <v>1621800</v>
      </c>
      <c r="DE325" s="2783">
        <f t="shared" si="391"/>
        <v>0</v>
      </c>
      <c r="DF325" s="485">
        <f t="shared" si="391"/>
        <v>0</v>
      </c>
      <c r="DG325" s="485">
        <f t="shared" si="391"/>
        <v>100000</v>
      </c>
      <c r="DH325" s="485">
        <f t="shared" si="391"/>
        <v>0</v>
      </c>
      <c r="DI325" s="3101">
        <f t="shared" si="391"/>
        <v>100000</v>
      </c>
      <c r="DJ325" s="3163">
        <f t="shared" ref="DJ325:DJ397" si="392">+AZ325+BN325+CB325+CP325+DD325+DI325</f>
        <v>5183000</v>
      </c>
      <c r="DL325" s="3180">
        <f t="shared" ref="DL325:DL394" si="393">+AN325-DJ325</f>
        <v>0</v>
      </c>
      <c r="DN325" s="2716" t="s">
        <v>1175</v>
      </c>
      <c r="DO325" s="2740" t="s">
        <v>1175</v>
      </c>
      <c r="DP325" s="2740"/>
      <c r="DQ325" s="2740" t="s">
        <v>1175</v>
      </c>
      <c r="DR325" s="2740" t="str">
        <f t="shared" si="388"/>
        <v>2</v>
      </c>
      <c r="DS325" s="2783"/>
      <c r="DT325" s="2783"/>
    </row>
    <row r="326" spans="2:124" ht="60" hidden="1" outlineLevel="4">
      <c r="B326" s="711"/>
      <c r="C326" s="182"/>
      <c r="D326" s="2953" t="s">
        <v>1442</v>
      </c>
      <c r="E326" s="580"/>
      <c r="F326" s="2953"/>
      <c r="G326" s="107" t="s">
        <v>1279</v>
      </c>
      <c r="H326" s="2995" t="s">
        <v>1443</v>
      </c>
      <c r="I326" s="703"/>
      <c r="J326" s="103"/>
      <c r="K326" s="2783"/>
      <c r="L326" s="364"/>
      <c r="M326" s="364"/>
      <c r="N326" s="367"/>
      <c r="O326" s="367"/>
      <c r="P326" s="367"/>
      <c r="Q326" s="367"/>
      <c r="R326" s="367"/>
      <c r="S326" s="367"/>
      <c r="T326" s="367"/>
      <c r="U326" s="367"/>
      <c r="V326" s="2783"/>
      <c r="W326" s="364" t="s">
        <v>1444</v>
      </c>
      <c r="X326" s="364" t="s">
        <v>1075</v>
      </c>
      <c r="Y326" s="364" t="s">
        <v>1413</v>
      </c>
      <c r="Z326" s="364">
        <f>+'10.2_PA_SC - CGR'!A59</f>
        <v>32</v>
      </c>
      <c r="AA326" s="364" t="s">
        <v>1266</v>
      </c>
      <c r="AB326" s="181" t="s">
        <v>1445</v>
      </c>
      <c r="AC326" s="2783"/>
      <c r="AD326" s="711" t="s">
        <v>1446</v>
      </c>
      <c r="AE326" s="712">
        <v>6</v>
      </c>
      <c r="AF326" s="179"/>
      <c r="AG326" s="179"/>
      <c r="AH326" s="1746">
        <v>5000</v>
      </c>
      <c r="AI326" s="1746">
        <f>AE326*AH326</f>
        <v>30000</v>
      </c>
      <c r="AJ326" s="2690"/>
      <c r="AK326" s="2783"/>
      <c r="AL326" s="1746">
        <f>+AI326</f>
        <v>30000</v>
      </c>
      <c r="AM326" s="1746">
        <v>0</v>
      </c>
      <c r="AN326" s="1747">
        <f t="shared" si="389"/>
        <v>30000</v>
      </c>
      <c r="AO326" s="2783"/>
      <c r="AP326" s="1015"/>
      <c r="AQ326" s="1015"/>
      <c r="AR326" s="1015"/>
      <c r="AS326" s="1015"/>
      <c r="AT326" s="1015"/>
      <c r="AU326" s="1015"/>
      <c r="AV326" s="1015"/>
      <c r="AW326" s="1015"/>
      <c r="AX326" s="1015"/>
      <c r="AY326" s="1015"/>
      <c r="AZ326" s="2026">
        <f t="shared" ref="AZ326:AZ355" si="394">SUM(AP326:AY326)</f>
        <v>0</v>
      </c>
      <c r="BA326" s="2783"/>
      <c r="BB326" s="1015"/>
      <c r="BC326" s="1015"/>
      <c r="BD326" s="1015"/>
      <c r="BE326" s="1015"/>
      <c r="BF326" s="1015">
        <f t="shared" ref="BF326:BK326" si="395">+$AH$326</f>
        <v>5000</v>
      </c>
      <c r="BG326" s="1015">
        <f t="shared" si="395"/>
        <v>5000</v>
      </c>
      <c r="BH326" s="1015">
        <f t="shared" si="395"/>
        <v>5000</v>
      </c>
      <c r="BI326" s="1015">
        <f t="shared" si="395"/>
        <v>5000</v>
      </c>
      <c r="BJ326" s="1015">
        <f t="shared" si="395"/>
        <v>5000</v>
      </c>
      <c r="BK326" s="1015">
        <f t="shared" si="395"/>
        <v>5000</v>
      </c>
      <c r="BL326" s="1015"/>
      <c r="BM326" s="1015"/>
      <c r="BN326" s="2026">
        <f t="shared" ref="BN326:BN355" si="396">SUM(BB326:BM326)</f>
        <v>30000</v>
      </c>
      <c r="BO326" s="2783"/>
      <c r="BP326" s="1015"/>
      <c r="BQ326" s="1015"/>
      <c r="BR326" s="1015"/>
      <c r="BS326" s="1015"/>
      <c r="BT326" s="1015"/>
      <c r="BU326" s="1015"/>
      <c r="BV326" s="1015"/>
      <c r="BW326" s="1015"/>
      <c r="BX326" s="1015"/>
      <c r="BY326" s="1015"/>
      <c r="BZ326" s="1015"/>
      <c r="CA326" s="1015"/>
      <c r="CB326" s="2026">
        <f t="shared" ref="CB326:CB355" si="397">SUM(BP326:CA326)</f>
        <v>0</v>
      </c>
      <c r="CC326" s="2783"/>
      <c r="CD326" s="1015"/>
      <c r="CE326" s="1015"/>
      <c r="CF326" s="1015"/>
      <c r="CG326" s="1015"/>
      <c r="CH326" s="1015"/>
      <c r="CI326" s="1015"/>
      <c r="CJ326" s="1015"/>
      <c r="CK326" s="1015"/>
      <c r="CL326" s="1015"/>
      <c r="CM326" s="1015"/>
      <c r="CN326" s="1015"/>
      <c r="CO326" s="1015"/>
      <c r="CP326" s="2035">
        <f t="shared" ref="CP326:CP355" si="398">SUM(CD326:CO326)</f>
        <v>0</v>
      </c>
      <c r="CQ326" s="2783"/>
      <c r="CR326" s="1015"/>
      <c r="CS326" s="1015"/>
      <c r="CT326" s="1015"/>
      <c r="CU326" s="1015"/>
      <c r="CV326" s="1015"/>
      <c r="CW326" s="1015"/>
      <c r="CX326" s="1015"/>
      <c r="CY326" s="1015"/>
      <c r="CZ326" s="1015"/>
      <c r="DA326" s="1015"/>
      <c r="DB326" s="1015"/>
      <c r="DC326" s="1015"/>
      <c r="DD326" s="2046">
        <f t="shared" ref="DD326:DD355" si="399">SUM(CR326:DC326)</f>
        <v>0</v>
      </c>
      <c r="DE326" s="2783"/>
      <c r="DF326" s="1015"/>
      <c r="DG326" s="1015"/>
      <c r="DH326" s="1015"/>
      <c r="DI326" s="2046">
        <f t="shared" ref="DI326:DI355" si="400">SUM(DF326:DH326)</f>
        <v>0</v>
      </c>
      <c r="DJ326" s="3164">
        <f t="shared" si="392"/>
        <v>30000</v>
      </c>
      <c r="DK326" s="153"/>
      <c r="DL326" s="3180">
        <f t="shared" si="393"/>
        <v>0</v>
      </c>
      <c r="DN326" s="2743" t="s">
        <v>1283</v>
      </c>
      <c r="DO326" s="2744" t="s">
        <v>1284</v>
      </c>
      <c r="DP326" s="2744" t="s">
        <v>1117</v>
      </c>
      <c r="DQ326" s="2744" t="s">
        <v>5</v>
      </c>
      <c r="DR326" s="2744" t="str">
        <f t="shared" si="388"/>
        <v>2</v>
      </c>
      <c r="DS326" s="2783"/>
      <c r="DT326" s="2783"/>
    </row>
    <row r="327" spans="2:124" ht="90" hidden="1" outlineLevel="4">
      <c r="B327" s="711"/>
      <c r="C327" s="182"/>
      <c r="D327" s="2953" t="s">
        <v>1447</v>
      </c>
      <c r="E327" s="580"/>
      <c r="F327" s="2953"/>
      <c r="G327" s="107" t="s">
        <v>1279</v>
      </c>
      <c r="H327" s="2995" t="s">
        <v>1448</v>
      </c>
      <c r="I327" s="703"/>
      <c r="J327" s="103"/>
      <c r="K327" s="2783"/>
      <c r="L327" s="364"/>
      <c r="M327" s="364"/>
      <c r="N327" s="367"/>
      <c r="O327" s="367"/>
      <c r="P327" s="367"/>
      <c r="Q327" s="367"/>
      <c r="R327" s="367"/>
      <c r="S327" s="367"/>
      <c r="T327" s="367"/>
      <c r="U327" s="367"/>
      <c r="V327" s="2783"/>
      <c r="W327" s="852"/>
      <c r="X327" s="852"/>
      <c r="Y327" s="852"/>
      <c r="Z327" s="852"/>
      <c r="AA327" s="852"/>
      <c r="AB327" s="181" t="s">
        <v>1449</v>
      </c>
      <c r="AC327" s="2783"/>
      <c r="AD327" s="711"/>
      <c r="AE327" s="712"/>
      <c r="AF327" s="179"/>
      <c r="AG327" s="179"/>
      <c r="AH327" s="1746">
        <v>100000</v>
      </c>
      <c r="AI327" s="1746"/>
      <c r="AJ327" s="2869"/>
      <c r="AK327" s="2783"/>
      <c r="AL327" s="1933"/>
      <c r="AM327" s="1933"/>
      <c r="AN327" s="2996">
        <f t="shared" si="389"/>
        <v>0</v>
      </c>
      <c r="AO327" s="2783"/>
      <c r="AP327" s="1194"/>
      <c r="AQ327" s="1194"/>
      <c r="AR327" s="1194"/>
      <c r="AS327" s="1194"/>
      <c r="AT327" s="1194"/>
      <c r="AU327" s="1194"/>
      <c r="AV327" s="1194"/>
      <c r="AW327" s="1194"/>
      <c r="AX327" s="1194"/>
      <c r="AY327" s="1194"/>
      <c r="AZ327" s="2027">
        <f t="shared" si="394"/>
        <v>0</v>
      </c>
      <c r="BA327" s="2783"/>
      <c r="BB327" s="1194"/>
      <c r="BC327" s="1194"/>
      <c r="BD327" s="1194"/>
      <c r="BE327" s="1194"/>
      <c r="BF327" s="1194"/>
      <c r="BG327" s="1194"/>
      <c r="BH327" s="1194"/>
      <c r="BI327" s="1194"/>
      <c r="BJ327" s="1194"/>
      <c r="BK327" s="1194"/>
      <c r="BL327" s="1194"/>
      <c r="BM327" s="1194"/>
      <c r="BN327" s="2027">
        <f t="shared" si="396"/>
        <v>0</v>
      </c>
      <c r="BO327" s="2783"/>
      <c r="BP327" s="1194"/>
      <c r="BQ327" s="1194"/>
      <c r="BR327" s="1194"/>
      <c r="BS327" s="1194"/>
      <c r="BT327" s="1194"/>
      <c r="BU327" s="1194"/>
      <c r="BV327" s="1194"/>
      <c r="BW327" s="1194"/>
      <c r="BX327" s="1194"/>
      <c r="BY327" s="1194"/>
      <c r="BZ327" s="1194"/>
      <c r="CA327" s="1194"/>
      <c r="CB327" s="2027">
        <f t="shared" si="397"/>
        <v>0</v>
      </c>
      <c r="CC327" s="2783"/>
      <c r="CD327" s="1194"/>
      <c r="CE327" s="1194"/>
      <c r="CF327" s="1194"/>
      <c r="CG327" s="1194"/>
      <c r="CH327" s="1194"/>
      <c r="CI327" s="1194"/>
      <c r="CJ327" s="1194"/>
      <c r="CK327" s="1194"/>
      <c r="CL327" s="1194"/>
      <c r="CM327" s="1194"/>
      <c r="CN327" s="1194"/>
      <c r="CO327" s="1194"/>
      <c r="CP327" s="2033">
        <f t="shared" si="398"/>
        <v>0</v>
      </c>
      <c r="CQ327" s="2783"/>
      <c r="CR327" s="1194"/>
      <c r="CS327" s="1194"/>
      <c r="CT327" s="1194"/>
      <c r="CU327" s="1194"/>
      <c r="CV327" s="1194"/>
      <c r="CW327" s="1194"/>
      <c r="CX327" s="1194"/>
      <c r="CY327" s="1194"/>
      <c r="CZ327" s="1194"/>
      <c r="DA327" s="1194"/>
      <c r="DB327" s="1194"/>
      <c r="DC327" s="1194"/>
      <c r="DD327" s="2073">
        <f t="shared" si="399"/>
        <v>0</v>
      </c>
      <c r="DE327" s="2783"/>
      <c r="DF327" s="1194"/>
      <c r="DG327" s="1194"/>
      <c r="DH327" s="1194"/>
      <c r="DI327" s="2073">
        <f t="shared" si="400"/>
        <v>0</v>
      </c>
      <c r="DJ327" s="3165">
        <f t="shared" si="392"/>
        <v>0</v>
      </c>
      <c r="DK327" s="153"/>
      <c r="DL327" s="3180">
        <f t="shared" si="393"/>
        <v>0</v>
      </c>
      <c r="DN327" s="2743"/>
      <c r="DO327" s="2744"/>
      <c r="DP327" s="2751"/>
      <c r="DQ327" s="2751" t="s">
        <v>5</v>
      </c>
      <c r="DR327" s="2751" t="str">
        <f t="shared" si="388"/>
        <v>2</v>
      </c>
      <c r="DS327" s="2783"/>
      <c r="DT327" s="2783"/>
    </row>
    <row r="328" spans="2:124" s="153" customFormat="1" ht="30" hidden="1" outlineLevel="4">
      <c r="B328" s="2844"/>
      <c r="C328" s="704"/>
      <c r="D328" s="435" t="s">
        <v>1450</v>
      </c>
      <c r="E328" s="704"/>
      <c r="F328" s="435"/>
      <c r="G328" s="354" t="s">
        <v>1279</v>
      </c>
      <c r="H328" s="2430" t="s">
        <v>1451</v>
      </c>
      <c r="I328" s="703"/>
      <c r="J328" s="177"/>
      <c r="K328" s="2783"/>
      <c r="L328" s="853"/>
      <c r="M328" s="853"/>
      <c r="N328" s="368"/>
      <c r="O328" s="368"/>
      <c r="P328" s="368"/>
      <c r="Q328" s="368"/>
      <c r="R328" s="368"/>
      <c r="S328" s="368"/>
      <c r="T328" s="368"/>
      <c r="U328" s="368"/>
      <c r="V328" s="2783"/>
      <c r="W328" s="3839" t="s">
        <v>1452</v>
      </c>
      <c r="X328" s="853"/>
      <c r="Y328" s="853"/>
      <c r="Z328" s="853"/>
      <c r="AA328" s="853"/>
      <c r="AB328" s="177"/>
      <c r="AC328" s="2783"/>
      <c r="AD328" s="2844"/>
      <c r="AE328" s="704"/>
      <c r="AF328" s="704"/>
      <c r="AG328" s="704"/>
      <c r="AH328" s="485"/>
      <c r="AI328" s="2060">
        <f>+AI329</f>
        <v>500000</v>
      </c>
      <c r="AJ328" s="693"/>
      <c r="AK328" s="2783"/>
      <c r="AL328" s="2060">
        <f>+AL329</f>
        <v>500000</v>
      </c>
      <c r="AM328" s="2060">
        <f>+AM329</f>
        <v>0</v>
      </c>
      <c r="AN328" s="485">
        <f>+AL328+AM328</f>
        <v>500000</v>
      </c>
      <c r="AO328" s="2783"/>
      <c r="AP328" s="2060">
        <f t="shared" ref="AP328:AY328" si="401">+AP329</f>
        <v>0</v>
      </c>
      <c r="AQ328" s="2060">
        <f t="shared" si="401"/>
        <v>0</v>
      </c>
      <c r="AR328" s="2060">
        <f t="shared" si="401"/>
        <v>0</v>
      </c>
      <c r="AS328" s="2060">
        <f t="shared" si="401"/>
        <v>0</v>
      </c>
      <c r="AT328" s="2060">
        <f t="shared" si="401"/>
        <v>0</v>
      </c>
      <c r="AU328" s="2060">
        <f t="shared" si="401"/>
        <v>0</v>
      </c>
      <c r="AV328" s="2060">
        <f t="shared" si="401"/>
        <v>0</v>
      </c>
      <c r="AW328" s="2060">
        <f t="shared" si="401"/>
        <v>0</v>
      </c>
      <c r="AX328" s="2060">
        <f t="shared" si="401"/>
        <v>0</v>
      </c>
      <c r="AY328" s="2060">
        <f t="shared" si="401"/>
        <v>0</v>
      </c>
      <c r="AZ328" s="485">
        <f t="shared" si="394"/>
        <v>0</v>
      </c>
      <c r="BA328" s="2783"/>
      <c r="BB328" s="2060">
        <f t="shared" ref="BB328:BM328" si="402">+BB329</f>
        <v>0</v>
      </c>
      <c r="BC328" s="2060">
        <f t="shared" si="402"/>
        <v>0</v>
      </c>
      <c r="BD328" s="2060">
        <f t="shared" si="402"/>
        <v>0</v>
      </c>
      <c r="BE328" s="2060">
        <f t="shared" si="402"/>
        <v>0</v>
      </c>
      <c r="BF328" s="2060">
        <f t="shared" si="402"/>
        <v>0</v>
      </c>
      <c r="BG328" s="2060">
        <f t="shared" si="402"/>
        <v>100000</v>
      </c>
      <c r="BH328" s="2060">
        <f t="shared" si="402"/>
        <v>0</v>
      </c>
      <c r="BI328" s="2060">
        <f t="shared" si="402"/>
        <v>0</v>
      </c>
      <c r="BJ328" s="2060">
        <f t="shared" si="402"/>
        <v>0</v>
      </c>
      <c r="BK328" s="2060">
        <f t="shared" si="402"/>
        <v>75000</v>
      </c>
      <c r="BL328" s="2060">
        <f t="shared" si="402"/>
        <v>0</v>
      </c>
      <c r="BM328" s="2060">
        <f t="shared" si="402"/>
        <v>0</v>
      </c>
      <c r="BN328" s="485">
        <f t="shared" si="396"/>
        <v>175000</v>
      </c>
      <c r="BO328" s="2783"/>
      <c r="BP328" s="2060">
        <f t="shared" ref="BP328:CA328" si="403">+BP329</f>
        <v>0</v>
      </c>
      <c r="BQ328" s="2060">
        <f t="shared" si="403"/>
        <v>75000</v>
      </c>
      <c r="BR328" s="2060">
        <f t="shared" si="403"/>
        <v>0</v>
      </c>
      <c r="BS328" s="2060">
        <f t="shared" si="403"/>
        <v>0</v>
      </c>
      <c r="BT328" s="2060">
        <f t="shared" si="403"/>
        <v>0</v>
      </c>
      <c r="BU328" s="2060">
        <f t="shared" si="403"/>
        <v>75000</v>
      </c>
      <c r="BV328" s="2060">
        <f t="shared" si="403"/>
        <v>0</v>
      </c>
      <c r="BW328" s="2060">
        <f t="shared" si="403"/>
        <v>0</v>
      </c>
      <c r="BX328" s="2060">
        <f t="shared" si="403"/>
        <v>0</v>
      </c>
      <c r="BY328" s="2060">
        <f t="shared" si="403"/>
        <v>75000</v>
      </c>
      <c r="BZ328" s="2060">
        <f t="shared" si="403"/>
        <v>0</v>
      </c>
      <c r="CA328" s="2060">
        <f t="shared" si="403"/>
        <v>0</v>
      </c>
      <c r="CB328" s="485">
        <f t="shared" si="397"/>
        <v>225000</v>
      </c>
      <c r="CC328" s="2783"/>
      <c r="CD328" s="2060">
        <f t="shared" ref="CD328:CO328" si="404">+CD329</f>
        <v>0</v>
      </c>
      <c r="CE328" s="2060">
        <f t="shared" si="404"/>
        <v>75000</v>
      </c>
      <c r="CF328" s="2060">
        <f t="shared" si="404"/>
        <v>0</v>
      </c>
      <c r="CG328" s="2060">
        <f t="shared" si="404"/>
        <v>0</v>
      </c>
      <c r="CH328" s="2060">
        <f t="shared" si="404"/>
        <v>0</v>
      </c>
      <c r="CI328" s="2060">
        <f t="shared" si="404"/>
        <v>25000</v>
      </c>
      <c r="CJ328" s="2060">
        <f t="shared" si="404"/>
        <v>0</v>
      </c>
      <c r="CK328" s="2060">
        <f t="shared" si="404"/>
        <v>0</v>
      </c>
      <c r="CL328" s="2060">
        <f t="shared" si="404"/>
        <v>0</v>
      </c>
      <c r="CM328" s="2060">
        <f t="shared" si="404"/>
        <v>0</v>
      </c>
      <c r="CN328" s="2060">
        <f t="shared" si="404"/>
        <v>0</v>
      </c>
      <c r="CO328" s="2060">
        <f t="shared" si="404"/>
        <v>0</v>
      </c>
      <c r="CP328" s="485">
        <f t="shared" si="398"/>
        <v>100000</v>
      </c>
      <c r="CQ328" s="2783"/>
      <c r="CR328" s="2060">
        <f t="shared" ref="CR328:DC328" si="405">+CR329</f>
        <v>0</v>
      </c>
      <c r="CS328" s="2060">
        <f t="shared" si="405"/>
        <v>0</v>
      </c>
      <c r="CT328" s="2060">
        <f t="shared" si="405"/>
        <v>0</v>
      </c>
      <c r="CU328" s="2060">
        <f t="shared" si="405"/>
        <v>0</v>
      </c>
      <c r="CV328" s="2060">
        <f t="shared" si="405"/>
        <v>0</v>
      </c>
      <c r="CW328" s="2060">
        <f t="shared" si="405"/>
        <v>0</v>
      </c>
      <c r="CX328" s="2060">
        <f t="shared" si="405"/>
        <v>0</v>
      </c>
      <c r="CY328" s="2060">
        <f t="shared" si="405"/>
        <v>0</v>
      </c>
      <c r="CZ328" s="2060">
        <f t="shared" si="405"/>
        <v>0</v>
      </c>
      <c r="DA328" s="2060">
        <f t="shared" si="405"/>
        <v>0</v>
      </c>
      <c r="DB328" s="2060">
        <f t="shared" si="405"/>
        <v>0</v>
      </c>
      <c r="DC328" s="2060">
        <f t="shared" si="405"/>
        <v>0</v>
      </c>
      <c r="DD328" s="485">
        <f t="shared" si="399"/>
        <v>0</v>
      </c>
      <c r="DE328" s="2783"/>
      <c r="DF328" s="2060">
        <f>+DF329</f>
        <v>0</v>
      </c>
      <c r="DG328" s="2060">
        <f>+DG329</f>
        <v>0</v>
      </c>
      <c r="DH328" s="2060">
        <f>+DH329</f>
        <v>0</v>
      </c>
      <c r="DI328" s="3101">
        <f t="shared" si="400"/>
        <v>0</v>
      </c>
      <c r="DJ328" s="3163">
        <f t="shared" si="392"/>
        <v>500000</v>
      </c>
      <c r="DL328" s="3180">
        <f t="shared" si="393"/>
        <v>0</v>
      </c>
      <c r="DN328" s="2709" t="s">
        <v>1175</v>
      </c>
      <c r="DO328" s="2739" t="s">
        <v>1175</v>
      </c>
      <c r="DP328" s="2739"/>
      <c r="DQ328" s="2739" t="s">
        <v>1175</v>
      </c>
      <c r="DR328" s="2739" t="str">
        <f t="shared" si="388"/>
        <v>2</v>
      </c>
      <c r="DS328" s="2783"/>
      <c r="DT328" s="2783"/>
    </row>
    <row r="329" spans="2:124" ht="15" hidden="1" outlineLevel="5">
      <c r="B329" s="3879"/>
      <c r="C329" s="1582"/>
      <c r="D329" s="2953" t="s">
        <v>1453</v>
      </c>
      <c r="E329" s="580"/>
      <c r="F329" s="2953"/>
      <c r="G329" s="107"/>
      <c r="H329" s="2997" t="s">
        <v>865</v>
      </c>
      <c r="I329" s="703"/>
      <c r="J329" s="103"/>
      <c r="K329" s="2783"/>
      <c r="L329" s="364"/>
      <c r="M329" s="364"/>
      <c r="N329" s="367"/>
      <c r="O329" s="367"/>
      <c r="P329" s="367"/>
      <c r="Q329" s="367"/>
      <c r="R329" s="367"/>
      <c r="S329" s="367"/>
      <c r="T329" s="367"/>
      <c r="U329" s="367"/>
      <c r="V329" s="2783"/>
      <c r="W329" s="3839"/>
      <c r="X329" s="3838" t="s">
        <v>1075</v>
      </c>
      <c r="Y329" s="3838" t="s">
        <v>1198</v>
      </c>
      <c r="Z329" s="3897">
        <f>+'10.2_PA_SC - CGR'!A8</f>
        <v>3</v>
      </c>
      <c r="AA329" s="3838"/>
      <c r="AB329" s="3838"/>
      <c r="AC329" s="2783"/>
      <c r="AD329" s="3879" t="s">
        <v>1179</v>
      </c>
      <c r="AE329" s="3879">
        <v>1</v>
      </c>
      <c r="AF329" s="3879"/>
      <c r="AG329" s="3879"/>
      <c r="AH329" s="3879">
        <v>500000</v>
      </c>
      <c r="AI329" s="3879">
        <f>+AE329*AH329</f>
        <v>500000</v>
      </c>
      <c r="AJ329" s="3879"/>
      <c r="AK329" s="2783"/>
      <c r="AL329" s="3879">
        <f>+AI329</f>
        <v>500000</v>
      </c>
      <c r="AM329" s="3879"/>
      <c r="AN329" s="3879">
        <f>+AL329+AM329</f>
        <v>500000</v>
      </c>
      <c r="AO329" s="2783"/>
      <c r="AP329" s="3879"/>
      <c r="AQ329" s="3879"/>
      <c r="AR329" s="3879"/>
      <c r="AS329" s="3879"/>
      <c r="AT329" s="3879"/>
      <c r="AU329" s="3879"/>
      <c r="AV329" s="3879"/>
      <c r="AW329" s="3879"/>
      <c r="AX329" s="3879"/>
      <c r="AY329" s="3879"/>
      <c r="AZ329" s="3879">
        <f t="shared" si="394"/>
        <v>0</v>
      </c>
      <c r="BA329" s="2783"/>
      <c r="BB329" s="3879"/>
      <c r="BC329" s="3879"/>
      <c r="BD329" s="3879"/>
      <c r="BE329" s="3879"/>
      <c r="BF329" s="3879"/>
      <c r="BG329" s="3879">
        <f>+$AI$329*20%</f>
        <v>100000</v>
      </c>
      <c r="BH329" s="3879"/>
      <c r="BI329" s="3879"/>
      <c r="BJ329" s="3879"/>
      <c r="BK329" s="3879">
        <f>+$AI$329*15%</f>
        <v>75000</v>
      </c>
      <c r="BL329" s="3879"/>
      <c r="BM329" s="3879"/>
      <c r="BN329" s="3879">
        <f t="shared" si="396"/>
        <v>175000</v>
      </c>
      <c r="BO329" s="3879"/>
      <c r="BP329" s="3879"/>
      <c r="BQ329" s="3879">
        <f>+$AI$329*15%</f>
        <v>75000</v>
      </c>
      <c r="BR329" s="3879"/>
      <c r="BS329" s="3879"/>
      <c r="BT329" s="3879"/>
      <c r="BU329" s="3879">
        <f>+$AI$329*15%</f>
        <v>75000</v>
      </c>
      <c r="BV329" s="3879"/>
      <c r="BW329" s="3879"/>
      <c r="BX329" s="3879"/>
      <c r="BY329" s="3879">
        <f>+$AI$329*15%</f>
        <v>75000</v>
      </c>
      <c r="BZ329" s="3879"/>
      <c r="CA329" s="3879"/>
      <c r="CB329" s="3879">
        <f t="shared" si="397"/>
        <v>225000</v>
      </c>
      <c r="CC329" s="3879"/>
      <c r="CD329" s="3879"/>
      <c r="CE329" s="3879">
        <f>+$AI$329*15%</f>
        <v>75000</v>
      </c>
      <c r="CF329" s="3879"/>
      <c r="CG329" s="3879"/>
      <c r="CH329" s="3879"/>
      <c r="CI329" s="3879">
        <f>+$AI$329*5%</f>
        <v>25000</v>
      </c>
      <c r="CJ329" s="3879"/>
      <c r="CK329" s="3879"/>
      <c r="CL329" s="3879"/>
      <c r="CM329" s="3879"/>
      <c r="CN329" s="3879"/>
      <c r="CO329" s="3879"/>
      <c r="CP329" s="3879">
        <f t="shared" si="398"/>
        <v>100000</v>
      </c>
      <c r="CQ329" s="3879"/>
      <c r="CR329" s="3879"/>
      <c r="CS329" s="3879"/>
      <c r="CT329" s="3879"/>
      <c r="CU329" s="3879"/>
      <c r="CV329" s="3879"/>
      <c r="CW329" s="3879"/>
      <c r="CX329" s="3879"/>
      <c r="CY329" s="3879"/>
      <c r="CZ329" s="3879"/>
      <c r="DA329" s="3879"/>
      <c r="DB329" s="3879"/>
      <c r="DC329" s="3879"/>
      <c r="DD329" s="3879">
        <f t="shared" si="399"/>
        <v>0</v>
      </c>
      <c r="DE329" s="3879"/>
      <c r="DF329" s="3879"/>
      <c r="DG329" s="3879"/>
      <c r="DH329" s="3879"/>
      <c r="DI329" s="4036">
        <f t="shared" si="400"/>
        <v>0</v>
      </c>
      <c r="DJ329" s="4068">
        <f t="shared" si="392"/>
        <v>500000</v>
      </c>
      <c r="DK329" s="153"/>
      <c r="DL329" s="3180">
        <f t="shared" si="393"/>
        <v>0</v>
      </c>
      <c r="DN329" s="2743" t="s">
        <v>1283</v>
      </c>
      <c r="DO329" s="2744" t="s">
        <v>1284</v>
      </c>
      <c r="DP329" s="4032" t="s">
        <v>1117</v>
      </c>
      <c r="DQ329" s="4032" t="s">
        <v>5</v>
      </c>
      <c r="DR329" s="4032" t="str">
        <f t="shared" si="388"/>
        <v>2</v>
      </c>
      <c r="DS329" s="2783"/>
      <c r="DT329" s="2783"/>
    </row>
    <row r="330" spans="2:124" ht="15" hidden="1" outlineLevel="5">
      <c r="B330" s="3880"/>
      <c r="C330" s="2998"/>
      <c r="D330" s="2953" t="s">
        <v>1454</v>
      </c>
      <c r="E330" s="580"/>
      <c r="F330" s="2953"/>
      <c r="G330" s="107"/>
      <c r="H330" s="2997" t="s">
        <v>1455</v>
      </c>
      <c r="I330" s="703"/>
      <c r="J330" s="103"/>
      <c r="K330" s="2783"/>
      <c r="L330" s="364"/>
      <c r="M330" s="364"/>
      <c r="N330" s="367"/>
      <c r="O330" s="367"/>
      <c r="P330" s="367"/>
      <c r="Q330" s="367"/>
      <c r="R330" s="367"/>
      <c r="S330" s="367"/>
      <c r="T330" s="367"/>
      <c r="U330" s="367"/>
      <c r="V330" s="2783"/>
      <c r="W330" s="3839"/>
      <c r="X330" s="3839"/>
      <c r="Y330" s="3839"/>
      <c r="Z330" s="3898"/>
      <c r="AA330" s="3839"/>
      <c r="AB330" s="3839"/>
      <c r="AC330" s="2783"/>
      <c r="AD330" s="3880"/>
      <c r="AE330" s="3880"/>
      <c r="AF330" s="3880"/>
      <c r="AG330" s="3880"/>
      <c r="AH330" s="3880"/>
      <c r="AI330" s="3880"/>
      <c r="AJ330" s="3880"/>
      <c r="AK330" s="2783"/>
      <c r="AL330" s="3880"/>
      <c r="AM330" s="3880"/>
      <c r="AN330" s="3880">
        <f t="shared" si="389"/>
        <v>0</v>
      </c>
      <c r="AO330" s="2783"/>
      <c r="AP330" s="3880"/>
      <c r="AQ330" s="3880"/>
      <c r="AR330" s="3880"/>
      <c r="AS330" s="3880"/>
      <c r="AT330" s="3880"/>
      <c r="AU330" s="3880"/>
      <c r="AV330" s="3880"/>
      <c r="AW330" s="3880"/>
      <c r="AX330" s="3880"/>
      <c r="AY330" s="3880"/>
      <c r="AZ330" s="3880">
        <f t="shared" si="394"/>
        <v>0</v>
      </c>
      <c r="BA330" s="2783"/>
      <c r="BB330" s="3880"/>
      <c r="BC330" s="3880"/>
      <c r="BD330" s="3880"/>
      <c r="BE330" s="3880"/>
      <c r="BF330" s="3880"/>
      <c r="BG330" s="3880"/>
      <c r="BH330" s="3880"/>
      <c r="BI330" s="3880"/>
      <c r="BJ330" s="3880"/>
      <c r="BK330" s="3880"/>
      <c r="BL330" s="3880"/>
      <c r="BM330" s="3880"/>
      <c r="BN330" s="3880">
        <f t="shared" si="396"/>
        <v>0</v>
      </c>
      <c r="BO330" s="3880"/>
      <c r="BP330" s="3880"/>
      <c r="BQ330" s="3880"/>
      <c r="BR330" s="3880"/>
      <c r="BS330" s="3880"/>
      <c r="BT330" s="3880"/>
      <c r="BU330" s="3880"/>
      <c r="BV330" s="3880"/>
      <c r="BW330" s="3880"/>
      <c r="BX330" s="3880"/>
      <c r="BY330" s="3880"/>
      <c r="BZ330" s="3880"/>
      <c r="CA330" s="3880"/>
      <c r="CB330" s="3880">
        <f t="shared" si="397"/>
        <v>0</v>
      </c>
      <c r="CC330" s="3880"/>
      <c r="CD330" s="3880"/>
      <c r="CE330" s="3880"/>
      <c r="CF330" s="3880"/>
      <c r="CG330" s="3880"/>
      <c r="CH330" s="3880"/>
      <c r="CI330" s="3880"/>
      <c r="CJ330" s="3880"/>
      <c r="CK330" s="3880"/>
      <c r="CL330" s="3880"/>
      <c r="CM330" s="3880"/>
      <c r="CN330" s="3880"/>
      <c r="CO330" s="3880"/>
      <c r="CP330" s="3880">
        <f t="shared" si="398"/>
        <v>0</v>
      </c>
      <c r="CQ330" s="3880"/>
      <c r="CR330" s="3880"/>
      <c r="CS330" s="3880"/>
      <c r="CT330" s="3880"/>
      <c r="CU330" s="3880"/>
      <c r="CV330" s="3880"/>
      <c r="CW330" s="3880"/>
      <c r="CX330" s="3880"/>
      <c r="CY330" s="3880"/>
      <c r="CZ330" s="3880"/>
      <c r="DA330" s="3880"/>
      <c r="DB330" s="3880"/>
      <c r="DC330" s="3880"/>
      <c r="DD330" s="3880">
        <f t="shared" si="399"/>
        <v>0</v>
      </c>
      <c r="DE330" s="3880"/>
      <c r="DF330" s="3880"/>
      <c r="DG330" s="3880"/>
      <c r="DH330" s="3880"/>
      <c r="DI330" s="4037">
        <f t="shared" si="400"/>
        <v>0</v>
      </c>
      <c r="DJ330" s="4069">
        <f t="shared" si="392"/>
        <v>0</v>
      </c>
      <c r="DK330" s="153"/>
      <c r="DL330" s="3180">
        <f t="shared" si="393"/>
        <v>0</v>
      </c>
      <c r="DN330" s="2743" t="s">
        <v>1283</v>
      </c>
      <c r="DO330" s="2744" t="s">
        <v>1284</v>
      </c>
      <c r="DP330" s="4032"/>
      <c r="DQ330" s="4032"/>
      <c r="DR330" s="4032" t="str">
        <f t="shared" si="388"/>
        <v>2</v>
      </c>
      <c r="DS330" s="2783"/>
      <c r="DT330" s="2783"/>
    </row>
    <row r="331" spans="2:124" ht="15" hidden="1" outlineLevel="5">
      <c r="B331" s="3880"/>
      <c r="C331" s="2998"/>
      <c r="D331" s="2953" t="s">
        <v>1456</v>
      </c>
      <c r="E331" s="580"/>
      <c r="F331" s="2953"/>
      <c r="G331" s="107"/>
      <c r="H331" s="2997" t="s">
        <v>1457</v>
      </c>
      <c r="I331" s="703"/>
      <c r="J331" s="103"/>
      <c r="K331" s="2783"/>
      <c r="L331" s="364"/>
      <c r="M331" s="364"/>
      <c r="N331" s="367"/>
      <c r="O331" s="367"/>
      <c r="P331" s="367"/>
      <c r="Q331" s="367"/>
      <c r="R331" s="367"/>
      <c r="S331" s="367"/>
      <c r="T331" s="367"/>
      <c r="U331" s="367"/>
      <c r="V331" s="2783"/>
      <c r="W331" s="3839"/>
      <c r="X331" s="3839"/>
      <c r="Y331" s="3839"/>
      <c r="Z331" s="3898"/>
      <c r="AA331" s="3839"/>
      <c r="AB331" s="3839"/>
      <c r="AC331" s="2783"/>
      <c r="AD331" s="3880"/>
      <c r="AE331" s="3880"/>
      <c r="AF331" s="3880"/>
      <c r="AG331" s="3880"/>
      <c r="AH331" s="3880"/>
      <c r="AI331" s="3880"/>
      <c r="AJ331" s="3880"/>
      <c r="AK331" s="2783"/>
      <c r="AL331" s="3880"/>
      <c r="AM331" s="3880"/>
      <c r="AN331" s="3880">
        <f t="shared" si="389"/>
        <v>0</v>
      </c>
      <c r="AO331" s="2783"/>
      <c r="AP331" s="3880"/>
      <c r="AQ331" s="3880"/>
      <c r="AR331" s="3880"/>
      <c r="AS331" s="3880"/>
      <c r="AT331" s="3880"/>
      <c r="AU331" s="3880"/>
      <c r="AV331" s="3880"/>
      <c r="AW331" s="3880"/>
      <c r="AX331" s="3880"/>
      <c r="AY331" s="3880"/>
      <c r="AZ331" s="3880">
        <f t="shared" si="394"/>
        <v>0</v>
      </c>
      <c r="BA331" s="2783"/>
      <c r="BB331" s="3880"/>
      <c r="BC331" s="3880"/>
      <c r="BD331" s="3880"/>
      <c r="BE331" s="3880"/>
      <c r="BF331" s="3880"/>
      <c r="BG331" s="3880"/>
      <c r="BH331" s="3880"/>
      <c r="BI331" s="3880"/>
      <c r="BJ331" s="3880"/>
      <c r="BK331" s="3880"/>
      <c r="BL331" s="3880"/>
      <c r="BM331" s="3880"/>
      <c r="BN331" s="3880">
        <f t="shared" si="396"/>
        <v>0</v>
      </c>
      <c r="BO331" s="3880"/>
      <c r="BP331" s="3880"/>
      <c r="BQ331" s="3880"/>
      <c r="BR331" s="3880"/>
      <c r="BS331" s="3880"/>
      <c r="BT331" s="3880"/>
      <c r="BU331" s="3880"/>
      <c r="BV331" s="3880"/>
      <c r="BW331" s="3880"/>
      <c r="BX331" s="3880"/>
      <c r="BY331" s="3880"/>
      <c r="BZ331" s="3880"/>
      <c r="CA331" s="3880"/>
      <c r="CB331" s="3880">
        <f t="shared" si="397"/>
        <v>0</v>
      </c>
      <c r="CC331" s="3880"/>
      <c r="CD331" s="3880"/>
      <c r="CE331" s="3880"/>
      <c r="CF331" s="3880"/>
      <c r="CG331" s="3880"/>
      <c r="CH331" s="3880"/>
      <c r="CI331" s="3880"/>
      <c r="CJ331" s="3880"/>
      <c r="CK331" s="3880"/>
      <c r="CL331" s="3880"/>
      <c r="CM331" s="3880"/>
      <c r="CN331" s="3880"/>
      <c r="CO331" s="3880"/>
      <c r="CP331" s="3880">
        <f t="shared" si="398"/>
        <v>0</v>
      </c>
      <c r="CQ331" s="3880"/>
      <c r="CR331" s="3880"/>
      <c r="CS331" s="3880"/>
      <c r="CT331" s="3880"/>
      <c r="CU331" s="3880"/>
      <c r="CV331" s="3880"/>
      <c r="CW331" s="3880"/>
      <c r="CX331" s="3880"/>
      <c r="CY331" s="3880"/>
      <c r="CZ331" s="3880"/>
      <c r="DA331" s="3880"/>
      <c r="DB331" s="3880"/>
      <c r="DC331" s="3880"/>
      <c r="DD331" s="3880">
        <f t="shared" si="399"/>
        <v>0</v>
      </c>
      <c r="DE331" s="3880"/>
      <c r="DF331" s="3880"/>
      <c r="DG331" s="3880"/>
      <c r="DH331" s="3880"/>
      <c r="DI331" s="4037">
        <f t="shared" si="400"/>
        <v>0</v>
      </c>
      <c r="DJ331" s="4069">
        <f t="shared" si="392"/>
        <v>0</v>
      </c>
      <c r="DK331" s="153"/>
      <c r="DL331" s="3180">
        <f t="shared" si="393"/>
        <v>0</v>
      </c>
      <c r="DN331" s="2743" t="s">
        <v>1283</v>
      </c>
      <c r="DO331" s="2744" t="s">
        <v>1284</v>
      </c>
      <c r="DP331" s="4032"/>
      <c r="DQ331" s="4032"/>
      <c r="DR331" s="4032" t="str">
        <f t="shared" si="388"/>
        <v>2</v>
      </c>
      <c r="DS331" s="2783"/>
      <c r="DT331" s="2783"/>
    </row>
    <row r="332" spans="2:124" ht="15" hidden="1" outlineLevel="5">
      <c r="B332" s="3880"/>
      <c r="C332" s="2998"/>
      <c r="D332" s="2953" t="s">
        <v>1458</v>
      </c>
      <c r="E332" s="580"/>
      <c r="F332" s="2953"/>
      <c r="G332" s="107"/>
      <c r="H332" s="2997" t="s">
        <v>1459</v>
      </c>
      <c r="I332" s="703"/>
      <c r="J332" s="103"/>
      <c r="K332" s="2783"/>
      <c r="L332" s="364"/>
      <c r="M332" s="364"/>
      <c r="N332" s="367"/>
      <c r="O332" s="367"/>
      <c r="P332" s="367"/>
      <c r="Q332" s="367"/>
      <c r="R332" s="367"/>
      <c r="S332" s="367"/>
      <c r="T332" s="367"/>
      <c r="U332" s="367"/>
      <c r="V332" s="2783"/>
      <c r="W332" s="3839"/>
      <c r="X332" s="3839"/>
      <c r="Y332" s="3839"/>
      <c r="Z332" s="3898"/>
      <c r="AA332" s="3839"/>
      <c r="AB332" s="3839"/>
      <c r="AC332" s="2783"/>
      <c r="AD332" s="3880"/>
      <c r="AE332" s="3880"/>
      <c r="AF332" s="3880"/>
      <c r="AG332" s="3880"/>
      <c r="AH332" s="3880"/>
      <c r="AI332" s="3880"/>
      <c r="AJ332" s="3880"/>
      <c r="AK332" s="2783"/>
      <c r="AL332" s="3880"/>
      <c r="AM332" s="3880"/>
      <c r="AN332" s="3880">
        <f t="shared" si="389"/>
        <v>0</v>
      </c>
      <c r="AO332" s="2783"/>
      <c r="AP332" s="3880"/>
      <c r="AQ332" s="3880"/>
      <c r="AR332" s="3880"/>
      <c r="AS332" s="3880"/>
      <c r="AT332" s="3880"/>
      <c r="AU332" s="3880"/>
      <c r="AV332" s="3880"/>
      <c r="AW332" s="3880"/>
      <c r="AX332" s="3880"/>
      <c r="AY332" s="3880"/>
      <c r="AZ332" s="3880">
        <f t="shared" si="394"/>
        <v>0</v>
      </c>
      <c r="BA332" s="2783"/>
      <c r="BB332" s="3880"/>
      <c r="BC332" s="3880"/>
      <c r="BD332" s="3880"/>
      <c r="BE332" s="3880"/>
      <c r="BF332" s="3880"/>
      <c r="BG332" s="3880"/>
      <c r="BH332" s="3880"/>
      <c r="BI332" s="3880"/>
      <c r="BJ332" s="3880"/>
      <c r="BK332" s="3880"/>
      <c r="BL332" s="3880"/>
      <c r="BM332" s="3880"/>
      <c r="BN332" s="3880">
        <f t="shared" si="396"/>
        <v>0</v>
      </c>
      <c r="BO332" s="3880"/>
      <c r="BP332" s="3880"/>
      <c r="BQ332" s="3880"/>
      <c r="BR332" s="3880"/>
      <c r="BS332" s="3880"/>
      <c r="BT332" s="3880"/>
      <c r="BU332" s="3880"/>
      <c r="BV332" s="3880"/>
      <c r="BW332" s="3880"/>
      <c r="BX332" s="3880"/>
      <c r="BY332" s="3880"/>
      <c r="BZ332" s="3880"/>
      <c r="CA332" s="3880"/>
      <c r="CB332" s="3880">
        <f t="shared" si="397"/>
        <v>0</v>
      </c>
      <c r="CC332" s="3880"/>
      <c r="CD332" s="3880"/>
      <c r="CE332" s="3880"/>
      <c r="CF332" s="3880"/>
      <c r="CG332" s="3880"/>
      <c r="CH332" s="3880"/>
      <c r="CI332" s="3880"/>
      <c r="CJ332" s="3880"/>
      <c r="CK332" s="3880"/>
      <c r="CL332" s="3880"/>
      <c r="CM332" s="3880"/>
      <c r="CN332" s="3880"/>
      <c r="CO332" s="3880"/>
      <c r="CP332" s="3880">
        <f t="shared" si="398"/>
        <v>0</v>
      </c>
      <c r="CQ332" s="3880"/>
      <c r="CR332" s="3880"/>
      <c r="CS332" s="3880"/>
      <c r="CT332" s="3880"/>
      <c r="CU332" s="3880"/>
      <c r="CV332" s="3880"/>
      <c r="CW332" s="3880"/>
      <c r="CX332" s="3880"/>
      <c r="CY332" s="3880"/>
      <c r="CZ332" s="3880"/>
      <c r="DA332" s="3880"/>
      <c r="DB332" s="3880"/>
      <c r="DC332" s="3880"/>
      <c r="DD332" s="3880">
        <f t="shared" si="399"/>
        <v>0</v>
      </c>
      <c r="DE332" s="3880"/>
      <c r="DF332" s="3880"/>
      <c r="DG332" s="3880"/>
      <c r="DH332" s="3880"/>
      <c r="DI332" s="4037">
        <f t="shared" si="400"/>
        <v>0</v>
      </c>
      <c r="DJ332" s="4069">
        <f t="shared" si="392"/>
        <v>0</v>
      </c>
      <c r="DK332" s="153"/>
      <c r="DL332" s="3180">
        <f t="shared" si="393"/>
        <v>0</v>
      </c>
      <c r="DN332" s="2743" t="s">
        <v>1283</v>
      </c>
      <c r="DO332" s="2744" t="s">
        <v>1284</v>
      </c>
      <c r="DP332" s="4032"/>
      <c r="DQ332" s="4032"/>
      <c r="DR332" s="4032" t="str">
        <f t="shared" si="388"/>
        <v>2</v>
      </c>
      <c r="DS332" s="2783"/>
      <c r="DT332" s="2783"/>
    </row>
    <row r="333" spans="2:124" ht="15" hidden="1" outlineLevel="5">
      <c r="B333" s="3880"/>
      <c r="C333" s="2998"/>
      <c r="D333" s="2953" t="s">
        <v>1460</v>
      </c>
      <c r="E333" s="580"/>
      <c r="F333" s="2953"/>
      <c r="G333" s="107"/>
      <c r="H333" s="2997" t="s">
        <v>1461</v>
      </c>
      <c r="I333" s="703"/>
      <c r="J333" s="103"/>
      <c r="K333" s="2783"/>
      <c r="L333" s="364"/>
      <c r="M333" s="364"/>
      <c r="N333" s="367"/>
      <c r="O333" s="367"/>
      <c r="P333" s="367"/>
      <c r="Q333" s="367"/>
      <c r="R333" s="367"/>
      <c r="S333" s="367"/>
      <c r="T333" s="367"/>
      <c r="U333" s="367"/>
      <c r="V333" s="2783"/>
      <c r="W333" s="3839"/>
      <c r="X333" s="3839"/>
      <c r="Y333" s="3839"/>
      <c r="Z333" s="3898"/>
      <c r="AA333" s="3839"/>
      <c r="AB333" s="3839"/>
      <c r="AC333" s="2783"/>
      <c r="AD333" s="3880"/>
      <c r="AE333" s="3880"/>
      <c r="AF333" s="3880"/>
      <c r="AG333" s="3880"/>
      <c r="AH333" s="3880"/>
      <c r="AI333" s="3880"/>
      <c r="AJ333" s="3880"/>
      <c r="AK333" s="2783"/>
      <c r="AL333" s="3880"/>
      <c r="AM333" s="3880"/>
      <c r="AN333" s="3880">
        <f t="shared" si="389"/>
        <v>0</v>
      </c>
      <c r="AO333" s="2783"/>
      <c r="AP333" s="3880"/>
      <c r="AQ333" s="3880"/>
      <c r="AR333" s="3880"/>
      <c r="AS333" s="3880"/>
      <c r="AT333" s="3880"/>
      <c r="AU333" s="3880"/>
      <c r="AV333" s="3880"/>
      <c r="AW333" s="3880"/>
      <c r="AX333" s="3880"/>
      <c r="AY333" s="3880"/>
      <c r="AZ333" s="3880">
        <f t="shared" si="394"/>
        <v>0</v>
      </c>
      <c r="BA333" s="2783"/>
      <c r="BB333" s="3880"/>
      <c r="BC333" s="3880"/>
      <c r="BD333" s="3880"/>
      <c r="BE333" s="3880"/>
      <c r="BF333" s="3880"/>
      <c r="BG333" s="3880"/>
      <c r="BH333" s="3880"/>
      <c r="BI333" s="3880"/>
      <c r="BJ333" s="3880"/>
      <c r="BK333" s="3880"/>
      <c r="BL333" s="3880"/>
      <c r="BM333" s="3880"/>
      <c r="BN333" s="3880">
        <f t="shared" si="396"/>
        <v>0</v>
      </c>
      <c r="BO333" s="3880"/>
      <c r="BP333" s="3880"/>
      <c r="BQ333" s="3880"/>
      <c r="BR333" s="3880"/>
      <c r="BS333" s="3880"/>
      <c r="BT333" s="3880"/>
      <c r="BU333" s="3880"/>
      <c r="BV333" s="3880"/>
      <c r="BW333" s="3880"/>
      <c r="BX333" s="3880"/>
      <c r="BY333" s="3880"/>
      <c r="BZ333" s="3880"/>
      <c r="CA333" s="3880"/>
      <c r="CB333" s="3880">
        <f t="shared" si="397"/>
        <v>0</v>
      </c>
      <c r="CC333" s="3880"/>
      <c r="CD333" s="3880"/>
      <c r="CE333" s="3880"/>
      <c r="CF333" s="3880"/>
      <c r="CG333" s="3880"/>
      <c r="CH333" s="3880"/>
      <c r="CI333" s="3880"/>
      <c r="CJ333" s="3880"/>
      <c r="CK333" s="3880"/>
      <c r="CL333" s="3880"/>
      <c r="CM333" s="3880"/>
      <c r="CN333" s="3880"/>
      <c r="CO333" s="3880"/>
      <c r="CP333" s="3880">
        <f t="shared" si="398"/>
        <v>0</v>
      </c>
      <c r="CQ333" s="3880"/>
      <c r="CR333" s="3880"/>
      <c r="CS333" s="3880"/>
      <c r="CT333" s="3880"/>
      <c r="CU333" s="3880"/>
      <c r="CV333" s="3880"/>
      <c r="CW333" s="3880"/>
      <c r="CX333" s="3880"/>
      <c r="CY333" s="3880"/>
      <c r="CZ333" s="3880"/>
      <c r="DA333" s="3880"/>
      <c r="DB333" s="3880"/>
      <c r="DC333" s="3880"/>
      <c r="DD333" s="3880">
        <f t="shared" si="399"/>
        <v>0</v>
      </c>
      <c r="DE333" s="3880"/>
      <c r="DF333" s="3880"/>
      <c r="DG333" s="3880"/>
      <c r="DH333" s="3880"/>
      <c r="DI333" s="4037">
        <f t="shared" si="400"/>
        <v>0</v>
      </c>
      <c r="DJ333" s="4069">
        <f t="shared" si="392"/>
        <v>0</v>
      </c>
      <c r="DK333" s="153"/>
      <c r="DL333" s="3180">
        <f t="shared" si="393"/>
        <v>0</v>
      </c>
      <c r="DN333" s="2743" t="s">
        <v>1283</v>
      </c>
      <c r="DO333" s="2744" t="s">
        <v>1284</v>
      </c>
      <c r="DP333" s="4032"/>
      <c r="DQ333" s="4032"/>
      <c r="DR333" s="4032" t="str">
        <f t="shared" si="388"/>
        <v>2</v>
      </c>
      <c r="DS333" s="2783"/>
      <c r="DT333" s="2783"/>
    </row>
    <row r="334" spans="2:124" ht="15" hidden="1" outlineLevel="5">
      <c r="B334" s="3880"/>
      <c r="C334" s="2998"/>
      <c r="D334" s="2953" t="s">
        <v>1462</v>
      </c>
      <c r="E334" s="580"/>
      <c r="F334" s="2953"/>
      <c r="G334" s="107"/>
      <c r="H334" s="2997" t="s">
        <v>1463</v>
      </c>
      <c r="I334" s="703"/>
      <c r="J334" s="103"/>
      <c r="K334" s="2783"/>
      <c r="L334" s="364"/>
      <c r="M334" s="364"/>
      <c r="N334" s="367"/>
      <c r="O334" s="367"/>
      <c r="P334" s="367"/>
      <c r="Q334" s="367"/>
      <c r="R334" s="367"/>
      <c r="S334" s="367"/>
      <c r="T334" s="367"/>
      <c r="U334" s="367"/>
      <c r="V334" s="2783"/>
      <c r="W334" s="3839"/>
      <c r="X334" s="3839"/>
      <c r="Y334" s="3839"/>
      <c r="Z334" s="3898"/>
      <c r="AA334" s="3839"/>
      <c r="AB334" s="3839"/>
      <c r="AC334" s="2783"/>
      <c r="AD334" s="3880"/>
      <c r="AE334" s="3880"/>
      <c r="AF334" s="3880"/>
      <c r="AG334" s="3880"/>
      <c r="AH334" s="3880"/>
      <c r="AI334" s="3880"/>
      <c r="AJ334" s="3880"/>
      <c r="AK334" s="2783"/>
      <c r="AL334" s="3880"/>
      <c r="AM334" s="3880"/>
      <c r="AN334" s="3880">
        <f t="shared" si="389"/>
        <v>0</v>
      </c>
      <c r="AO334" s="2783"/>
      <c r="AP334" s="3880"/>
      <c r="AQ334" s="3880"/>
      <c r="AR334" s="3880"/>
      <c r="AS334" s="3880"/>
      <c r="AT334" s="3880"/>
      <c r="AU334" s="3880"/>
      <c r="AV334" s="3880"/>
      <c r="AW334" s="3880"/>
      <c r="AX334" s="3880"/>
      <c r="AY334" s="3880"/>
      <c r="AZ334" s="3880">
        <f t="shared" si="394"/>
        <v>0</v>
      </c>
      <c r="BA334" s="2783"/>
      <c r="BB334" s="3880"/>
      <c r="BC334" s="3880"/>
      <c r="BD334" s="3880"/>
      <c r="BE334" s="3880"/>
      <c r="BF334" s="3880"/>
      <c r="BG334" s="3880"/>
      <c r="BH334" s="3880"/>
      <c r="BI334" s="3880"/>
      <c r="BJ334" s="3880"/>
      <c r="BK334" s="3880"/>
      <c r="BL334" s="3880"/>
      <c r="BM334" s="3880"/>
      <c r="BN334" s="3880">
        <f t="shared" si="396"/>
        <v>0</v>
      </c>
      <c r="BO334" s="3880"/>
      <c r="BP334" s="3880"/>
      <c r="BQ334" s="3880"/>
      <c r="BR334" s="3880"/>
      <c r="BS334" s="3880"/>
      <c r="BT334" s="3880"/>
      <c r="BU334" s="3880"/>
      <c r="BV334" s="3880"/>
      <c r="BW334" s="3880"/>
      <c r="BX334" s="3880"/>
      <c r="BY334" s="3880"/>
      <c r="BZ334" s="3880"/>
      <c r="CA334" s="3880"/>
      <c r="CB334" s="3880">
        <f t="shared" si="397"/>
        <v>0</v>
      </c>
      <c r="CC334" s="3880"/>
      <c r="CD334" s="3880"/>
      <c r="CE334" s="3880"/>
      <c r="CF334" s="3880"/>
      <c r="CG334" s="3880"/>
      <c r="CH334" s="3880"/>
      <c r="CI334" s="3880"/>
      <c r="CJ334" s="3880"/>
      <c r="CK334" s="3880"/>
      <c r="CL334" s="3880"/>
      <c r="CM334" s="3880"/>
      <c r="CN334" s="3880"/>
      <c r="CO334" s="3880"/>
      <c r="CP334" s="3880">
        <f t="shared" si="398"/>
        <v>0</v>
      </c>
      <c r="CQ334" s="3880"/>
      <c r="CR334" s="3880"/>
      <c r="CS334" s="3880"/>
      <c r="CT334" s="3880"/>
      <c r="CU334" s="3880"/>
      <c r="CV334" s="3880"/>
      <c r="CW334" s="3880"/>
      <c r="CX334" s="3880"/>
      <c r="CY334" s="3880"/>
      <c r="CZ334" s="3880"/>
      <c r="DA334" s="3880"/>
      <c r="DB334" s="3880"/>
      <c r="DC334" s="3880"/>
      <c r="DD334" s="3880">
        <f t="shared" si="399"/>
        <v>0</v>
      </c>
      <c r="DE334" s="3880"/>
      <c r="DF334" s="3880"/>
      <c r="DG334" s="3880"/>
      <c r="DH334" s="3880"/>
      <c r="DI334" s="4037">
        <f t="shared" si="400"/>
        <v>0</v>
      </c>
      <c r="DJ334" s="4069">
        <f t="shared" si="392"/>
        <v>0</v>
      </c>
      <c r="DK334" s="153"/>
      <c r="DL334" s="3180">
        <f t="shared" si="393"/>
        <v>0</v>
      </c>
      <c r="DN334" s="2743" t="s">
        <v>1283</v>
      </c>
      <c r="DO334" s="2744" t="s">
        <v>1284</v>
      </c>
      <c r="DP334" s="4032"/>
      <c r="DQ334" s="4032"/>
      <c r="DR334" s="4032" t="str">
        <f t="shared" si="388"/>
        <v>2</v>
      </c>
      <c r="DS334" s="2783"/>
      <c r="DT334" s="2783"/>
    </row>
    <row r="335" spans="2:124" ht="15" hidden="1" outlineLevel="5">
      <c r="B335" s="3880"/>
      <c r="C335" s="2998"/>
      <c r="D335" s="2953" t="s">
        <v>1464</v>
      </c>
      <c r="E335" s="580"/>
      <c r="F335" s="2953"/>
      <c r="G335" s="107"/>
      <c r="H335" s="2997" t="s">
        <v>1465</v>
      </c>
      <c r="I335" s="703"/>
      <c r="J335" s="103"/>
      <c r="K335" s="2783"/>
      <c r="L335" s="364"/>
      <c r="M335" s="364"/>
      <c r="N335" s="367"/>
      <c r="O335" s="367"/>
      <c r="P335" s="367"/>
      <c r="Q335" s="367"/>
      <c r="R335" s="367"/>
      <c r="S335" s="367"/>
      <c r="T335" s="367"/>
      <c r="U335" s="367"/>
      <c r="V335" s="2783"/>
      <c r="W335" s="3839"/>
      <c r="X335" s="3839"/>
      <c r="Y335" s="3839"/>
      <c r="Z335" s="3898"/>
      <c r="AA335" s="3839"/>
      <c r="AB335" s="3839"/>
      <c r="AC335" s="2783"/>
      <c r="AD335" s="3880"/>
      <c r="AE335" s="3880"/>
      <c r="AF335" s="3880"/>
      <c r="AG335" s="3880"/>
      <c r="AH335" s="3880"/>
      <c r="AI335" s="3880"/>
      <c r="AJ335" s="3880"/>
      <c r="AK335" s="2783"/>
      <c r="AL335" s="3880"/>
      <c r="AM335" s="3880"/>
      <c r="AN335" s="3880">
        <f t="shared" si="389"/>
        <v>0</v>
      </c>
      <c r="AO335" s="2783"/>
      <c r="AP335" s="3880"/>
      <c r="AQ335" s="3880"/>
      <c r="AR335" s="3880"/>
      <c r="AS335" s="3880"/>
      <c r="AT335" s="3880"/>
      <c r="AU335" s="3880"/>
      <c r="AV335" s="3880"/>
      <c r="AW335" s="3880"/>
      <c r="AX335" s="3880"/>
      <c r="AY335" s="3880"/>
      <c r="AZ335" s="3880">
        <f t="shared" si="394"/>
        <v>0</v>
      </c>
      <c r="BA335" s="2783"/>
      <c r="BB335" s="3880"/>
      <c r="BC335" s="3880"/>
      <c r="BD335" s="3880"/>
      <c r="BE335" s="3880"/>
      <c r="BF335" s="3880"/>
      <c r="BG335" s="3880"/>
      <c r="BH335" s="3880"/>
      <c r="BI335" s="3880"/>
      <c r="BJ335" s="3880"/>
      <c r="BK335" s="3880"/>
      <c r="BL335" s="3880"/>
      <c r="BM335" s="3880"/>
      <c r="BN335" s="3880">
        <f t="shared" si="396"/>
        <v>0</v>
      </c>
      <c r="BO335" s="3880"/>
      <c r="BP335" s="3880"/>
      <c r="BQ335" s="3880"/>
      <c r="BR335" s="3880"/>
      <c r="BS335" s="3880"/>
      <c r="BT335" s="3880"/>
      <c r="BU335" s="3880"/>
      <c r="BV335" s="3880"/>
      <c r="BW335" s="3880"/>
      <c r="BX335" s="3880"/>
      <c r="BY335" s="3880"/>
      <c r="BZ335" s="3880"/>
      <c r="CA335" s="3880"/>
      <c r="CB335" s="3880">
        <f t="shared" si="397"/>
        <v>0</v>
      </c>
      <c r="CC335" s="3880"/>
      <c r="CD335" s="3880"/>
      <c r="CE335" s="3880"/>
      <c r="CF335" s="3880"/>
      <c r="CG335" s="3880"/>
      <c r="CH335" s="3880"/>
      <c r="CI335" s="3880"/>
      <c r="CJ335" s="3880"/>
      <c r="CK335" s="3880"/>
      <c r="CL335" s="3880"/>
      <c r="CM335" s="3880"/>
      <c r="CN335" s="3880"/>
      <c r="CO335" s="3880"/>
      <c r="CP335" s="3880">
        <f t="shared" si="398"/>
        <v>0</v>
      </c>
      <c r="CQ335" s="3880"/>
      <c r="CR335" s="3880"/>
      <c r="CS335" s="3880"/>
      <c r="CT335" s="3880"/>
      <c r="CU335" s="3880"/>
      <c r="CV335" s="3880"/>
      <c r="CW335" s="3880"/>
      <c r="CX335" s="3880"/>
      <c r="CY335" s="3880"/>
      <c r="CZ335" s="3880"/>
      <c r="DA335" s="3880"/>
      <c r="DB335" s="3880"/>
      <c r="DC335" s="3880"/>
      <c r="DD335" s="3880">
        <f t="shared" si="399"/>
        <v>0</v>
      </c>
      <c r="DE335" s="3880"/>
      <c r="DF335" s="3880"/>
      <c r="DG335" s="3880"/>
      <c r="DH335" s="3880"/>
      <c r="DI335" s="4037">
        <f t="shared" si="400"/>
        <v>0</v>
      </c>
      <c r="DJ335" s="4069">
        <f t="shared" si="392"/>
        <v>0</v>
      </c>
      <c r="DK335" s="153"/>
      <c r="DL335" s="3180">
        <f t="shared" si="393"/>
        <v>0</v>
      </c>
      <c r="DN335" s="2743" t="s">
        <v>1283</v>
      </c>
      <c r="DO335" s="2744" t="s">
        <v>1284</v>
      </c>
      <c r="DP335" s="4032"/>
      <c r="DQ335" s="4032"/>
      <c r="DR335" s="4032" t="str">
        <f t="shared" si="388"/>
        <v>2</v>
      </c>
      <c r="DS335" s="2783"/>
      <c r="DT335" s="2783"/>
    </row>
    <row r="336" spans="2:124" ht="15" hidden="1" outlineLevel="5">
      <c r="B336" s="3880"/>
      <c r="C336" s="2998"/>
      <c r="D336" s="2953" t="s">
        <v>1466</v>
      </c>
      <c r="E336" s="580"/>
      <c r="F336" s="2953"/>
      <c r="G336" s="107"/>
      <c r="H336" s="2997" t="s">
        <v>1467</v>
      </c>
      <c r="I336" s="703"/>
      <c r="J336" s="103"/>
      <c r="K336" s="2783"/>
      <c r="L336" s="364"/>
      <c r="M336" s="364"/>
      <c r="N336" s="367"/>
      <c r="O336" s="367"/>
      <c r="P336" s="367"/>
      <c r="Q336" s="367"/>
      <c r="R336" s="367"/>
      <c r="S336" s="367"/>
      <c r="T336" s="367"/>
      <c r="U336" s="367"/>
      <c r="V336" s="2783"/>
      <c r="W336" s="3839"/>
      <c r="X336" s="3839"/>
      <c r="Y336" s="3839"/>
      <c r="Z336" s="3898"/>
      <c r="AA336" s="3839"/>
      <c r="AB336" s="3839"/>
      <c r="AC336" s="2783"/>
      <c r="AD336" s="3880"/>
      <c r="AE336" s="3880"/>
      <c r="AF336" s="3880"/>
      <c r="AG336" s="3880"/>
      <c r="AH336" s="3880"/>
      <c r="AI336" s="3880"/>
      <c r="AJ336" s="3880"/>
      <c r="AK336" s="2783"/>
      <c r="AL336" s="3880"/>
      <c r="AM336" s="3880"/>
      <c r="AN336" s="3880">
        <f t="shared" si="389"/>
        <v>0</v>
      </c>
      <c r="AO336" s="2783"/>
      <c r="AP336" s="3880"/>
      <c r="AQ336" s="3880"/>
      <c r="AR336" s="3880"/>
      <c r="AS336" s="3880"/>
      <c r="AT336" s="3880"/>
      <c r="AU336" s="3880"/>
      <c r="AV336" s="3880"/>
      <c r="AW336" s="3880"/>
      <c r="AX336" s="3880"/>
      <c r="AY336" s="3880"/>
      <c r="AZ336" s="3880">
        <f t="shared" si="394"/>
        <v>0</v>
      </c>
      <c r="BA336" s="2783"/>
      <c r="BB336" s="3880"/>
      <c r="BC336" s="3880"/>
      <c r="BD336" s="3880"/>
      <c r="BE336" s="3880"/>
      <c r="BF336" s="3880"/>
      <c r="BG336" s="3880"/>
      <c r="BH336" s="3880"/>
      <c r="BI336" s="3880"/>
      <c r="BJ336" s="3880"/>
      <c r="BK336" s="3880"/>
      <c r="BL336" s="3880"/>
      <c r="BM336" s="3880"/>
      <c r="BN336" s="3880">
        <f t="shared" si="396"/>
        <v>0</v>
      </c>
      <c r="BO336" s="3880"/>
      <c r="BP336" s="3880"/>
      <c r="BQ336" s="3880"/>
      <c r="BR336" s="3880"/>
      <c r="BS336" s="3880"/>
      <c r="BT336" s="3880"/>
      <c r="BU336" s="3880"/>
      <c r="BV336" s="3880"/>
      <c r="BW336" s="3880"/>
      <c r="BX336" s="3880"/>
      <c r="BY336" s="3880"/>
      <c r="BZ336" s="3880"/>
      <c r="CA336" s="3880"/>
      <c r="CB336" s="3880">
        <f t="shared" si="397"/>
        <v>0</v>
      </c>
      <c r="CC336" s="3880"/>
      <c r="CD336" s="3880"/>
      <c r="CE336" s="3880"/>
      <c r="CF336" s="3880"/>
      <c r="CG336" s="3880"/>
      <c r="CH336" s="3880"/>
      <c r="CI336" s="3880"/>
      <c r="CJ336" s="3880"/>
      <c r="CK336" s="3880"/>
      <c r="CL336" s="3880"/>
      <c r="CM336" s="3880"/>
      <c r="CN336" s="3880"/>
      <c r="CO336" s="3880"/>
      <c r="CP336" s="3880">
        <f t="shared" si="398"/>
        <v>0</v>
      </c>
      <c r="CQ336" s="3880"/>
      <c r="CR336" s="3880"/>
      <c r="CS336" s="3880"/>
      <c r="CT336" s="3880"/>
      <c r="CU336" s="3880"/>
      <c r="CV336" s="3880"/>
      <c r="CW336" s="3880"/>
      <c r="CX336" s="3880"/>
      <c r="CY336" s="3880"/>
      <c r="CZ336" s="3880"/>
      <c r="DA336" s="3880"/>
      <c r="DB336" s="3880"/>
      <c r="DC336" s="3880"/>
      <c r="DD336" s="3880">
        <f t="shared" si="399"/>
        <v>0</v>
      </c>
      <c r="DE336" s="3880"/>
      <c r="DF336" s="3880"/>
      <c r="DG336" s="3880"/>
      <c r="DH336" s="3880"/>
      <c r="DI336" s="4037">
        <f t="shared" si="400"/>
        <v>0</v>
      </c>
      <c r="DJ336" s="4069">
        <f t="shared" si="392"/>
        <v>0</v>
      </c>
      <c r="DK336" s="153"/>
      <c r="DL336" s="3180">
        <f t="shared" si="393"/>
        <v>0</v>
      </c>
      <c r="DN336" s="2743" t="s">
        <v>1283</v>
      </c>
      <c r="DO336" s="2744" t="s">
        <v>1284</v>
      </c>
      <c r="DP336" s="4032"/>
      <c r="DQ336" s="4032"/>
      <c r="DR336" s="4032" t="str">
        <f t="shared" si="388"/>
        <v>2</v>
      </c>
      <c r="DS336" s="2783"/>
      <c r="DT336" s="2783"/>
    </row>
    <row r="337" spans="2:124" ht="15" hidden="1" outlineLevel="5">
      <c r="B337" s="3880"/>
      <c r="C337" s="2998"/>
      <c r="D337" s="2953" t="s">
        <v>1468</v>
      </c>
      <c r="E337" s="580"/>
      <c r="F337" s="2953"/>
      <c r="G337" s="107"/>
      <c r="H337" s="2997" t="s">
        <v>1469</v>
      </c>
      <c r="I337" s="703"/>
      <c r="J337" s="103"/>
      <c r="K337" s="2783"/>
      <c r="L337" s="364"/>
      <c r="M337" s="364"/>
      <c r="N337" s="367"/>
      <c r="O337" s="367"/>
      <c r="P337" s="367"/>
      <c r="Q337" s="367"/>
      <c r="R337" s="367"/>
      <c r="S337" s="367"/>
      <c r="T337" s="367"/>
      <c r="U337" s="367"/>
      <c r="V337" s="2783"/>
      <c r="W337" s="3839"/>
      <c r="X337" s="3839"/>
      <c r="Y337" s="3839"/>
      <c r="Z337" s="3898"/>
      <c r="AA337" s="3839"/>
      <c r="AB337" s="3839"/>
      <c r="AC337" s="2783"/>
      <c r="AD337" s="3880"/>
      <c r="AE337" s="3880"/>
      <c r="AF337" s="3880"/>
      <c r="AG337" s="3880"/>
      <c r="AH337" s="3880"/>
      <c r="AI337" s="3880"/>
      <c r="AJ337" s="3880"/>
      <c r="AK337" s="2783"/>
      <c r="AL337" s="3880"/>
      <c r="AM337" s="3880"/>
      <c r="AN337" s="3880">
        <f t="shared" si="389"/>
        <v>0</v>
      </c>
      <c r="AO337" s="2783"/>
      <c r="AP337" s="3880"/>
      <c r="AQ337" s="3880"/>
      <c r="AR337" s="3880"/>
      <c r="AS337" s="3880"/>
      <c r="AT337" s="3880"/>
      <c r="AU337" s="3880"/>
      <c r="AV337" s="3880"/>
      <c r="AW337" s="3880"/>
      <c r="AX337" s="3880"/>
      <c r="AY337" s="3880"/>
      <c r="AZ337" s="3880">
        <f t="shared" si="394"/>
        <v>0</v>
      </c>
      <c r="BA337" s="2783"/>
      <c r="BB337" s="3880"/>
      <c r="BC337" s="3880"/>
      <c r="BD337" s="3880"/>
      <c r="BE337" s="3880"/>
      <c r="BF337" s="3880"/>
      <c r="BG337" s="3880"/>
      <c r="BH337" s="3880"/>
      <c r="BI337" s="3880"/>
      <c r="BJ337" s="3880"/>
      <c r="BK337" s="3880"/>
      <c r="BL337" s="3880"/>
      <c r="BM337" s="3880"/>
      <c r="BN337" s="3880">
        <f t="shared" si="396"/>
        <v>0</v>
      </c>
      <c r="BO337" s="3880"/>
      <c r="BP337" s="3880"/>
      <c r="BQ337" s="3880"/>
      <c r="BR337" s="3880"/>
      <c r="BS337" s="3880"/>
      <c r="BT337" s="3880"/>
      <c r="BU337" s="3880"/>
      <c r="BV337" s="3880"/>
      <c r="BW337" s="3880"/>
      <c r="BX337" s="3880"/>
      <c r="BY337" s="3880"/>
      <c r="BZ337" s="3880"/>
      <c r="CA337" s="3880"/>
      <c r="CB337" s="3880">
        <f t="shared" si="397"/>
        <v>0</v>
      </c>
      <c r="CC337" s="3880"/>
      <c r="CD337" s="3880"/>
      <c r="CE337" s="3880"/>
      <c r="CF337" s="3880"/>
      <c r="CG337" s="3880"/>
      <c r="CH337" s="3880"/>
      <c r="CI337" s="3880"/>
      <c r="CJ337" s="3880"/>
      <c r="CK337" s="3880"/>
      <c r="CL337" s="3880"/>
      <c r="CM337" s="3880"/>
      <c r="CN337" s="3880"/>
      <c r="CO337" s="3880"/>
      <c r="CP337" s="3880">
        <f t="shared" si="398"/>
        <v>0</v>
      </c>
      <c r="CQ337" s="3880"/>
      <c r="CR337" s="3880"/>
      <c r="CS337" s="3880"/>
      <c r="CT337" s="3880"/>
      <c r="CU337" s="3880"/>
      <c r="CV337" s="3880"/>
      <c r="CW337" s="3880"/>
      <c r="CX337" s="3880"/>
      <c r="CY337" s="3880"/>
      <c r="CZ337" s="3880"/>
      <c r="DA337" s="3880"/>
      <c r="DB337" s="3880"/>
      <c r="DC337" s="3880"/>
      <c r="DD337" s="3880">
        <f t="shared" si="399"/>
        <v>0</v>
      </c>
      <c r="DE337" s="3880"/>
      <c r="DF337" s="3880"/>
      <c r="DG337" s="3880"/>
      <c r="DH337" s="3880"/>
      <c r="DI337" s="4037">
        <f t="shared" si="400"/>
        <v>0</v>
      </c>
      <c r="DJ337" s="4069">
        <f t="shared" si="392"/>
        <v>0</v>
      </c>
      <c r="DK337" s="153"/>
      <c r="DL337" s="3180">
        <f t="shared" si="393"/>
        <v>0</v>
      </c>
      <c r="DN337" s="2743" t="s">
        <v>1283</v>
      </c>
      <c r="DO337" s="2744" t="s">
        <v>1284</v>
      </c>
      <c r="DP337" s="4032"/>
      <c r="DQ337" s="4032"/>
      <c r="DR337" s="4032" t="str">
        <f t="shared" si="388"/>
        <v>2</v>
      </c>
      <c r="DS337" s="2783"/>
      <c r="DT337" s="2783"/>
    </row>
    <row r="338" spans="2:124" ht="15" hidden="1" outlineLevel="5">
      <c r="B338" s="3881"/>
      <c r="C338" s="2999"/>
      <c r="D338" s="2953" t="s">
        <v>1470</v>
      </c>
      <c r="E338" s="580"/>
      <c r="F338" s="2953"/>
      <c r="G338" s="107"/>
      <c r="H338" s="2997" t="s">
        <v>1471</v>
      </c>
      <c r="I338" s="703"/>
      <c r="J338" s="103"/>
      <c r="K338" s="2783"/>
      <c r="L338" s="364"/>
      <c r="M338" s="364"/>
      <c r="N338" s="367"/>
      <c r="O338" s="367"/>
      <c r="P338" s="367"/>
      <c r="Q338" s="367"/>
      <c r="R338" s="367"/>
      <c r="S338" s="367"/>
      <c r="T338" s="367"/>
      <c r="U338" s="367"/>
      <c r="V338" s="2783"/>
      <c r="W338" s="3839"/>
      <c r="X338" s="3840"/>
      <c r="Y338" s="3840"/>
      <c r="Z338" s="3899"/>
      <c r="AA338" s="3840"/>
      <c r="AB338" s="3840"/>
      <c r="AC338" s="2783"/>
      <c r="AD338" s="3881"/>
      <c r="AE338" s="3881"/>
      <c r="AF338" s="3881"/>
      <c r="AG338" s="3881"/>
      <c r="AH338" s="3881"/>
      <c r="AI338" s="3881"/>
      <c r="AJ338" s="3881"/>
      <c r="AK338" s="2783"/>
      <c r="AL338" s="3881"/>
      <c r="AM338" s="3881"/>
      <c r="AN338" s="3881">
        <f t="shared" si="389"/>
        <v>0</v>
      </c>
      <c r="AO338" s="2783"/>
      <c r="AP338" s="3881"/>
      <c r="AQ338" s="3881"/>
      <c r="AR338" s="3881"/>
      <c r="AS338" s="3881"/>
      <c r="AT338" s="3881"/>
      <c r="AU338" s="3881"/>
      <c r="AV338" s="3881"/>
      <c r="AW338" s="3881"/>
      <c r="AX338" s="3881"/>
      <c r="AY338" s="3881"/>
      <c r="AZ338" s="3881">
        <f t="shared" si="394"/>
        <v>0</v>
      </c>
      <c r="BA338" s="2783"/>
      <c r="BB338" s="3881"/>
      <c r="BC338" s="3881"/>
      <c r="BD338" s="3881"/>
      <c r="BE338" s="3881"/>
      <c r="BF338" s="3881"/>
      <c r="BG338" s="3881"/>
      <c r="BH338" s="3881"/>
      <c r="BI338" s="3881"/>
      <c r="BJ338" s="3881"/>
      <c r="BK338" s="3881"/>
      <c r="BL338" s="3881"/>
      <c r="BM338" s="3881"/>
      <c r="BN338" s="3881">
        <f t="shared" si="396"/>
        <v>0</v>
      </c>
      <c r="BO338" s="3881"/>
      <c r="BP338" s="3881"/>
      <c r="BQ338" s="3881"/>
      <c r="BR338" s="3881"/>
      <c r="BS338" s="3881"/>
      <c r="BT338" s="3881"/>
      <c r="BU338" s="3881"/>
      <c r="BV338" s="3881"/>
      <c r="BW338" s="3881"/>
      <c r="BX338" s="3881"/>
      <c r="BY338" s="3881"/>
      <c r="BZ338" s="3881"/>
      <c r="CA338" s="3881"/>
      <c r="CB338" s="3881">
        <f t="shared" si="397"/>
        <v>0</v>
      </c>
      <c r="CC338" s="3881"/>
      <c r="CD338" s="3881"/>
      <c r="CE338" s="3881"/>
      <c r="CF338" s="3881"/>
      <c r="CG338" s="3881"/>
      <c r="CH338" s="3881"/>
      <c r="CI338" s="3881"/>
      <c r="CJ338" s="3881"/>
      <c r="CK338" s="3881"/>
      <c r="CL338" s="3881"/>
      <c r="CM338" s="3881"/>
      <c r="CN338" s="3881"/>
      <c r="CO338" s="3881"/>
      <c r="CP338" s="3881">
        <f t="shared" si="398"/>
        <v>0</v>
      </c>
      <c r="CQ338" s="3881"/>
      <c r="CR338" s="3881"/>
      <c r="CS338" s="3881"/>
      <c r="CT338" s="3881"/>
      <c r="CU338" s="3881"/>
      <c r="CV338" s="3881"/>
      <c r="CW338" s="3881"/>
      <c r="CX338" s="3881"/>
      <c r="CY338" s="3881"/>
      <c r="CZ338" s="3881"/>
      <c r="DA338" s="3881"/>
      <c r="DB338" s="3881"/>
      <c r="DC338" s="3881"/>
      <c r="DD338" s="3881">
        <f t="shared" si="399"/>
        <v>0</v>
      </c>
      <c r="DE338" s="3881"/>
      <c r="DF338" s="3881"/>
      <c r="DG338" s="3881"/>
      <c r="DH338" s="3881"/>
      <c r="DI338" s="4038">
        <f t="shared" si="400"/>
        <v>0</v>
      </c>
      <c r="DJ338" s="4070">
        <f t="shared" si="392"/>
        <v>0</v>
      </c>
      <c r="DK338" s="153"/>
      <c r="DL338" s="3180">
        <f t="shared" si="393"/>
        <v>0</v>
      </c>
      <c r="DN338" s="2743" t="s">
        <v>1283</v>
      </c>
      <c r="DO338" s="2744" t="s">
        <v>1284</v>
      </c>
      <c r="DP338" s="4033"/>
      <c r="DQ338" s="4033"/>
      <c r="DR338" s="4033" t="str">
        <f t="shared" si="388"/>
        <v>2</v>
      </c>
      <c r="DS338" s="2783"/>
      <c r="DT338" s="2783"/>
    </row>
    <row r="339" spans="2:124" ht="30" hidden="1" outlineLevel="4">
      <c r="B339" s="765"/>
      <c r="C339" s="765"/>
      <c r="D339" s="2953" t="s">
        <v>1472</v>
      </c>
      <c r="E339" s="580"/>
      <c r="F339" s="2953"/>
      <c r="G339" s="107" t="s">
        <v>1473</v>
      </c>
      <c r="H339" s="2995" t="s">
        <v>1474</v>
      </c>
      <c r="I339" s="703"/>
      <c r="J339" s="103"/>
      <c r="K339" s="2783"/>
      <c r="L339" s="364"/>
      <c r="M339" s="364"/>
      <c r="N339" s="367"/>
      <c r="O339" s="367"/>
      <c r="P339" s="367"/>
      <c r="Q339" s="367"/>
      <c r="R339" s="367"/>
      <c r="S339" s="367"/>
      <c r="T339" s="367"/>
      <c r="U339" s="367"/>
      <c r="V339" s="2783"/>
      <c r="W339" s="3840"/>
      <c r="X339" s="765"/>
      <c r="Y339" s="765"/>
      <c r="Z339" s="951"/>
      <c r="AA339" s="765"/>
      <c r="AB339" s="765"/>
      <c r="AC339" s="2783"/>
      <c r="AD339" s="765" t="s">
        <v>1179</v>
      </c>
      <c r="AE339" s="764">
        <v>1</v>
      </c>
      <c r="AF339" s="1482"/>
      <c r="AG339" s="1482"/>
      <c r="AH339" s="3000">
        <v>500000</v>
      </c>
      <c r="AI339" s="3000">
        <f>+AE339*AH339</f>
        <v>500000</v>
      </c>
      <c r="AJ339" s="765"/>
      <c r="AK339" s="2783"/>
      <c r="AL339" s="3000">
        <f>+AI339</f>
        <v>500000</v>
      </c>
      <c r="AM339" s="3000"/>
      <c r="AN339" s="3000">
        <f t="shared" si="389"/>
        <v>500000</v>
      </c>
      <c r="AO339" s="2783"/>
      <c r="AP339" s="3000"/>
      <c r="AQ339" s="3000"/>
      <c r="AR339" s="3000"/>
      <c r="AS339" s="3000"/>
      <c r="AT339" s="3000"/>
      <c r="AU339" s="3000"/>
      <c r="AV339" s="3000"/>
      <c r="AW339" s="3000"/>
      <c r="AX339" s="3000"/>
      <c r="AY339" s="3000"/>
      <c r="AZ339" s="3001">
        <f t="shared" si="394"/>
        <v>0</v>
      </c>
      <c r="BA339" s="2783"/>
      <c r="BB339" s="3000"/>
      <c r="BC339" s="3000"/>
      <c r="BD339" s="3000"/>
      <c r="BE339" s="3000"/>
      <c r="BF339" s="3000"/>
      <c r="BG339" s="3000"/>
      <c r="BH339" s="3000"/>
      <c r="BI339" s="3000"/>
      <c r="BJ339" s="3000"/>
      <c r="BK339" s="3000"/>
      <c r="BL339" s="3000"/>
      <c r="BM339" s="3000"/>
      <c r="BN339" s="3001">
        <f t="shared" si="396"/>
        <v>0</v>
      </c>
      <c r="BO339" s="2783"/>
      <c r="BP339" s="3000"/>
      <c r="BQ339" s="3000"/>
      <c r="BR339" s="3000"/>
      <c r="BS339" s="3000"/>
      <c r="BT339" s="3000"/>
      <c r="BU339" s="3000"/>
      <c r="BV339" s="3000"/>
      <c r="BW339" s="3000"/>
      <c r="BX339" s="3000"/>
      <c r="BY339" s="3000"/>
      <c r="BZ339" s="3000"/>
      <c r="CA339" s="3000"/>
      <c r="CB339" s="3001">
        <f t="shared" si="397"/>
        <v>0</v>
      </c>
      <c r="CC339" s="2783"/>
      <c r="CD339" s="3000"/>
      <c r="CE339" s="3000"/>
      <c r="CF339" s="3000"/>
      <c r="CG339" s="3000"/>
      <c r="CH339" s="3000"/>
      <c r="CI339" s="3000">
        <f>+$AL339*20%</f>
        <v>100000</v>
      </c>
      <c r="CJ339" s="3000"/>
      <c r="CK339" s="3000"/>
      <c r="CL339" s="3000"/>
      <c r="CM339" s="3000">
        <f>+$AL339*15%</f>
        <v>75000</v>
      </c>
      <c r="CN339" s="3000"/>
      <c r="CO339" s="3000"/>
      <c r="CP339" s="3001">
        <f t="shared" si="398"/>
        <v>175000</v>
      </c>
      <c r="CQ339" s="2783"/>
      <c r="CR339" s="3000"/>
      <c r="CS339" s="3000">
        <f>+$AL339*15%</f>
        <v>75000</v>
      </c>
      <c r="CT339" s="3000"/>
      <c r="CU339" s="3000"/>
      <c r="CV339" s="3000"/>
      <c r="CW339" s="3000">
        <f>+$AL339*15%</f>
        <v>75000</v>
      </c>
      <c r="CX339" s="3000"/>
      <c r="CY339" s="3000"/>
      <c r="CZ339" s="3000"/>
      <c r="DA339" s="3000">
        <f>+$AL339*15%</f>
        <v>75000</v>
      </c>
      <c r="DB339" s="3000"/>
      <c r="DC339" s="3000"/>
      <c r="DD339" s="3001">
        <f t="shared" si="399"/>
        <v>225000</v>
      </c>
      <c r="DE339" s="2783"/>
      <c r="DF339" s="3000"/>
      <c r="DG339" s="3000">
        <f>+$AL339*20%</f>
        <v>100000</v>
      </c>
      <c r="DH339" s="3000"/>
      <c r="DI339" s="3102">
        <f t="shared" si="400"/>
        <v>100000</v>
      </c>
      <c r="DJ339" s="3166">
        <f t="shared" si="392"/>
        <v>500000</v>
      </c>
      <c r="DK339" s="153"/>
      <c r="DL339" s="3180">
        <f t="shared" si="393"/>
        <v>0</v>
      </c>
      <c r="DN339" s="2743" t="s">
        <v>1283</v>
      </c>
      <c r="DO339" s="2744" t="s">
        <v>1284</v>
      </c>
      <c r="DP339" s="2744" t="s">
        <v>1117</v>
      </c>
      <c r="DQ339" s="2744" t="s">
        <v>5</v>
      </c>
      <c r="DR339" s="2744" t="str">
        <f t="shared" si="388"/>
        <v>2</v>
      </c>
      <c r="DS339" s="2783"/>
      <c r="DT339" s="2783"/>
    </row>
    <row r="340" spans="2:124" s="153" customFormat="1" ht="86.5" hidden="1" customHeight="1" outlineLevel="4">
      <c r="B340" s="2844"/>
      <c r="C340" s="704"/>
      <c r="D340" s="435" t="s">
        <v>1475</v>
      </c>
      <c r="E340" s="704"/>
      <c r="F340" s="435"/>
      <c r="G340" s="354"/>
      <c r="H340" s="2430" t="s">
        <v>1476</v>
      </c>
      <c r="I340" s="703" t="s">
        <v>5</v>
      </c>
      <c r="J340" s="177" t="s">
        <v>1477</v>
      </c>
      <c r="K340" s="2783"/>
      <c r="L340" s="853" t="e">
        <f>'1_MdR'!#REF!</f>
        <v>#REF!</v>
      </c>
      <c r="M340" s="853" t="e">
        <f>'1_MdR'!#REF!</f>
        <v>#REF!</v>
      </c>
      <c r="N340" s="368" t="e">
        <f>'1_MdR'!#REF!</f>
        <v>#REF!</v>
      </c>
      <c r="O340" s="368" t="e">
        <f>'1_MdR'!#REF!</f>
        <v>#REF!</v>
      </c>
      <c r="P340" s="368" t="e">
        <f>'1_MdR'!#REF!</f>
        <v>#REF!</v>
      </c>
      <c r="Q340" s="368" t="e">
        <f>'1_MdR'!#REF!</f>
        <v>#REF!</v>
      </c>
      <c r="R340" s="368" t="e">
        <f>'1_MdR'!#REF!</f>
        <v>#REF!</v>
      </c>
      <c r="S340" s="368" t="e">
        <f>'1_MdR'!#REF!</f>
        <v>#REF!</v>
      </c>
      <c r="T340" s="368" t="e">
        <f>'1_MdR'!#REF!</f>
        <v>#REF!</v>
      </c>
      <c r="U340" s="368" t="e">
        <f>'1_MdR'!#REF!</f>
        <v>#REF!</v>
      </c>
      <c r="V340" s="2783"/>
      <c r="W340" s="364"/>
      <c r="X340" s="853"/>
      <c r="Y340" s="853"/>
      <c r="Z340" s="853"/>
      <c r="AA340" s="853"/>
      <c r="AB340" s="177"/>
      <c r="AC340" s="2783"/>
      <c r="AD340" s="2844"/>
      <c r="AE340" s="704"/>
      <c r="AF340" s="704"/>
      <c r="AG340" s="704"/>
      <c r="AH340" s="485"/>
      <c r="AI340" s="2060">
        <f>+AI341+AI342+AI348</f>
        <v>3053000</v>
      </c>
      <c r="AJ340" s="693"/>
      <c r="AK340" s="2783"/>
      <c r="AL340" s="2060">
        <f>+AL341+AL342+AL348</f>
        <v>3053000</v>
      </c>
      <c r="AM340" s="2060">
        <f>+AM341+AM342+AM348</f>
        <v>0</v>
      </c>
      <c r="AN340" s="485">
        <f t="shared" si="389"/>
        <v>3053000</v>
      </c>
      <c r="AO340" s="2783"/>
      <c r="AP340" s="2060">
        <f t="shared" ref="AP340:AY340" si="406">+AP341+AP342+AP348</f>
        <v>0</v>
      </c>
      <c r="AQ340" s="2060">
        <f t="shared" si="406"/>
        <v>0</v>
      </c>
      <c r="AR340" s="2060">
        <f t="shared" si="406"/>
        <v>0</v>
      </c>
      <c r="AS340" s="2060">
        <f t="shared" si="406"/>
        <v>0</v>
      </c>
      <c r="AT340" s="2060">
        <f t="shared" si="406"/>
        <v>0</v>
      </c>
      <c r="AU340" s="2060">
        <f t="shared" si="406"/>
        <v>0</v>
      </c>
      <c r="AV340" s="2060">
        <f t="shared" si="406"/>
        <v>0</v>
      </c>
      <c r="AW340" s="2060">
        <f t="shared" si="406"/>
        <v>0</v>
      </c>
      <c r="AX340" s="2060">
        <f t="shared" si="406"/>
        <v>0</v>
      </c>
      <c r="AY340" s="2060">
        <f t="shared" si="406"/>
        <v>0</v>
      </c>
      <c r="AZ340" s="485">
        <f t="shared" si="394"/>
        <v>0</v>
      </c>
      <c r="BA340" s="2783"/>
      <c r="BB340" s="2060">
        <f t="shared" ref="BB340:BM340" si="407">+BB341+BB342+BB348</f>
        <v>0</v>
      </c>
      <c r="BC340" s="2060">
        <f t="shared" si="407"/>
        <v>4000</v>
      </c>
      <c r="BD340" s="2060">
        <f t="shared" si="407"/>
        <v>4000</v>
      </c>
      <c r="BE340" s="2060">
        <f t="shared" si="407"/>
        <v>4000</v>
      </c>
      <c r="BF340" s="2060">
        <f t="shared" si="407"/>
        <v>4000</v>
      </c>
      <c r="BG340" s="2060">
        <f t="shared" si="407"/>
        <v>4000</v>
      </c>
      <c r="BH340" s="2060">
        <f t="shared" si="407"/>
        <v>4000</v>
      </c>
      <c r="BI340" s="2060">
        <f t="shared" si="407"/>
        <v>4000</v>
      </c>
      <c r="BJ340" s="2060">
        <f t="shared" si="407"/>
        <v>4000</v>
      </c>
      <c r="BK340" s="2060">
        <f t="shared" si="407"/>
        <v>4000</v>
      </c>
      <c r="BL340" s="2060">
        <f t="shared" si="407"/>
        <v>4000</v>
      </c>
      <c r="BM340" s="2060">
        <f t="shared" si="407"/>
        <v>4000</v>
      </c>
      <c r="BN340" s="485">
        <f t="shared" si="396"/>
        <v>44000</v>
      </c>
      <c r="BO340" s="2783"/>
      <c r="BP340" s="2060">
        <f t="shared" ref="BP340:CA340" si="408">+BP341+BP342+BP348</f>
        <v>4000</v>
      </c>
      <c r="BQ340" s="2060">
        <f t="shared" si="408"/>
        <v>0</v>
      </c>
      <c r="BR340" s="2060">
        <f t="shared" si="408"/>
        <v>300500</v>
      </c>
      <c r="BS340" s="2060">
        <f t="shared" si="408"/>
        <v>0</v>
      </c>
      <c r="BT340" s="2060">
        <f t="shared" si="408"/>
        <v>0</v>
      </c>
      <c r="BU340" s="2060">
        <f t="shared" si="408"/>
        <v>0</v>
      </c>
      <c r="BV340" s="2060">
        <f t="shared" si="408"/>
        <v>240400</v>
      </c>
      <c r="BW340" s="2060">
        <f t="shared" si="408"/>
        <v>0</v>
      </c>
      <c r="BX340" s="2060">
        <f t="shared" si="408"/>
        <v>0</v>
      </c>
      <c r="BY340" s="2060">
        <f t="shared" si="408"/>
        <v>0</v>
      </c>
      <c r="BZ340" s="2060">
        <f t="shared" si="408"/>
        <v>240400</v>
      </c>
      <c r="CA340" s="2060">
        <f t="shared" si="408"/>
        <v>0</v>
      </c>
      <c r="CB340" s="485">
        <f t="shared" si="397"/>
        <v>785300</v>
      </c>
      <c r="CC340" s="2783"/>
      <c r="CD340" s="2060">
        <f t="shared" ref="CD340:CO340" si="409">+CD341+CD342+CD348</f>
        <v>0</v>
      </c>
      <c r="CE340" s="2060">
        <f t="shared" si="409"/>
        <v>0</v>
      </c>
      <c r="CF340" s="2060">
        <f t="shared" si="409"/>
        <v>240400</v>
      </c>
      <c r="CG340" s="2060">
        <f t="shared" si="409"/>
        <v>0</v>
      </c>
      <c r="CH340" s="2060">
        <f t="shared" si="409"/>
        <v>0</v>
      </c>
      <c r="CI340" s="2060">
        <f t="shared" si="409"/>
        <v>180300</v>
      </c>
      <c r="CJ340" s="2060">
        <f t="shared" si="409"/>
        <v>360600</v>
      </c>
      <c r="CK340" s="2060">
        <f t="shared" si="409"/>
        <v>0</v>
      </c>
      <c r="CL340" s="2060">
        <f t="shared" si="409"/>
        <v>0</v>
      </c>
      <c r="CM340" s="2060">
        <f t="shared" si="409"/>
        <v>0</v>
      </c>
      <c r="CN340" s="2060">
        <f t="shared" si="409"/>
        <v>360600</v>
      </c>
      <c r="CO340" s="2060">
        <f t="shared" si="409"/>
        <v>0</v>
      </c>
      <c r="CP340" s="485">
        <f t="shared" si="398"/>
        <v>1141900</v>
      </c>
      <c r="CQ340" s="2783"/>
      <c r="CR340" s="2060">
        <f t="shared" ref="CR340:DC340" si="410">+CR341+CR342+CR348</f>
        <v>0</v>
      </c>
      <c r="CS340" s="2060">
        <f t="shared" si="410"/>
        <v>0</v>
      </c>
      <c r="CT340" s="2060">
        <f t="shared" si="410"/>
        <v>360600</v>
      </c>
      <c r="CU340" s="2060">
        <f t="shared" si="410"/>
        <v>0</v>
      </c>
      <c r="CV340" s="2060">
        <f t="shared" si="410"/>
        <v>0</v>
      </c>
      <c r="CW340" s="2060">
        <f t="shared" si="410"/>
        <v>0</v>
      </c>
      <c r="CX340" s="2060">
        <f t="shared" si="410"/>
        <v>360600</v>
      </c>
      <c r="CY340" s="2060">
        <f t="shared" si="410"/>
        <v>0</v>
      </c>
      <c r="CZ340" s="2060">
        <f t="shared" si="410"/>
        <v>0</v>
      </c>
      <c r="DA340" s="2060">
        <f t="shared" si="410"/>
        <v>0</v>
      </c>
      <c r="DB340" s="2060">
        <f t="shared" si="410"/>
        <v>360600</v>
      </c>
      <c r="DC340" s="2060">
        <f t="shared" si="410"/>
        <v>0</v>
      </c>
      <c r="DD340" s="485">
        <f t="shared" si="399"/>
        <v>1081800</v>
      </c>
      <c r="DE340" s="2783"/>
      <c r="DF340" s="2060">
        <f>+DF341+DF342+DF348</f>
        <v>0</v>
      </c>
      <c r="DG340" s="2060">
        <f>+DG341+DG342+DG348</f>
        <v>0</v>
      </c>
      <c r="DH340" s="2060">
        <f>+DH341+DH342+DH348</f>
        <v>0</v>
      </c>
      <c r="DI340" s="3101">
        <f t="shared" si="400"/>
        <v>0</v>
      </c>
      <c r="DJ340" s="3163">
        <f t="shared" si="392"/>
        <v>3053000</v>
      </c>
      <c r="DL340" s="3180">
        <f t="shared" si="393"/>
        <v>0</v>
      </c>
      <c r="DN340" s="2716" t="s">
        <v>1175</v>
      </c>
      <c r="DO340" s="2740" t="s">
        <v>1175</v>
      </c>
      <c r="DP340" s="2740"/>
      <c r="DQ340" s="2740" t="s">
        <v>1175</v>
      </c>
      <c r="DR340" s="2740" t="str">
        <f t="shared" si="388"/>
        <v>2</v>
      </c>
      <c r="DS340" s="2783"/>
      <c r="DT340" s="2783"/>
    </row>
    <row r="341" spans="2:124" ht="120" hidden="1" outlineLevel="5">
      <c r="B341" s="177"/>
      <c r="C341" s="159"/>
      <c r="D341" s="2946" t="s">
        <v>1478</v>
      </c>
      <c r="E341" s="159"/>
      <c r="F341" s="2946"/>
      <c r="G341" s="702" t="s">
        <v>1279</v>
      </c>
      <c r="H341" s="2687" t="s">
        <v>1479</v>
      </c>
      <c r="I341" s="703"/>
      <c r="J341" s="177"/>
      <c r="K341" s="2783"/>
      <c r="L341" s="364"/>
      <c r="M341" s="364"/>
      <c r="N341" s="364"/>
      <c r="O341" s="364"/>
      <c r="P341" s="364"/>
      <c r="Q341" s="364"/>
      <c r="R341" s="364"/>
      <c r="S341" s="364"/>
      <c r="T341" s="364"/>
      <c r="U341" s="364"/>
      <c r="V341" s="2783"/>
      <c r="W341" s="852" t="s">
        <v>763</v>
      </c>
      <c r="X341" s="364" t="s">
        <v>1075</v>
      </c>
      <c r="Y341" s="852" t="s">
        <v>1430</v>
      </c>
      <c r="Z341" s="364">
        <f>+'10.2_PA_SC - CGR'!A60</f>
        <v>33</v>
      </c>
      <c r="AA341" s="852"/>
      <c r="AB341" s="1444" t="s">
        <v>1480</v>
      </c>
      <c r="AC341" s="2783"/>
      <c r="AD341" s="177" t="s">
        <v>1280</v>
      </c>
      <c r="AE341" s="182">
        <v>1</v>
      </c>
      <c r="AF341" s="182">
        <v>12</v>
      </c>
      <c r="AG341" s="159"/>
      <c r="AH341" s="355">
        <v>4000</v>
      </c>
      <c r="AI341" s="355">
        <f>+AE341*AF341*AH341</f>
        <v>48000</v>
      </c>
      <c r="AJ341" s="693"/>
      <c r="AK341" s="2783"/>
      <c r="AL341" s="355">
        <f>+AI341</f>
        <v>48000</v>
      </c>
      <c r="AM341" s="355"/>
      <c r="AN341" s="355">
        <f t="shared" si="389"/>
        <v>48000</v>
      </c>
      <c r="AO341" s="2783"/>
      <c r="AP341" s="355"/>
      <c r="AQ341" s="355"/>
      <c r="AR341" s="355"/>
      <c r="AS341" s="355"/>
      <c r="AT341" s="355"/>
      <c r="AU341" s="355"/>
      <c r="AV341" s="355"/>
      <c r="AW341" s="355"/>
      <c r="AX341" s="355"/>
      <c r="AY341" s="355"/>
      <c r="AZ341" s="485">
        <f t="shared" si="394"/>
        <v>0</v>
      </c>
      <c r="BA341" s="2783"/>
      <c r="BB341" s="355"/>
      <c r="BC341" s="355">
        <f>+$AH$341</f>
        <v>4000</v>
      </c>
      <c r="BD341" s="355">
        <f t="shared" ref="BD341:BM341" si="411">+$AH$341</f>
        <v>4000</v>
      </c>
      <c r="BE341" s="355">
        <f t="shared" si="411"/>
        <v>4000</v>
      </c>
      <c r="BF341" s="355">
        <f t="shared" si="411"/>
        <v>4000</v>
      </c>
      <c r="BG341" s="355">
        <f t="shared" si="411"/>
        <v>4000</v>
      </c>
      <c r="BH341" s="355">
        <f t="shared" si="411"/>
        <v>4000</v>
      </c>
      <c r="BI341" s="355">
        <f t="shared" si="411"/>
        <v>4000</v>
      </c>
      <c r="BJ341" s="355">
        <f t="shared" si="411"/>
        <v>4000</v>
      </c>
      <c r="BK341" s="355">
        <f t="shared" si="411"/>
        <v>4000</v>
      </c>
      <c r="BL341" s="355">
        <f t="shared" si="411"/>
        <v>4000</v>
      </c>
      <c r="BM341" s="355">
        <f t="shared" si="411"/>
        <v>4000</v>
      </c>
      <c r="BN341" s="485">
        <f t="shared" si="396"/>
        <v>44000</v>
      </c>
      <c r="BO341" s="2783"/>
      <c r="BP341" s="355">
        <f>+$AH$341</f>
        <v>4000</v>
      </c>
      <c r="BQ341" s="355"/>
      <c r="BR341" s="355"/>
      <c r="BS341" s="355"/>
      <c r="BT341" s="355"/>
      <c r="BU341" s="355"/>
      <c r="BV341" s="355"/>
      <c r="BW341" s="355"/>
      <c r="BX341" s="355"/>
      <c r="BY341" s="355"/>
      <c r="BZ341" s="355"/>
      <c r="CA341" s="355"/>
      <c r="CB341" s="485">
        <f t="shared" si="397"/>
        <v>4000</v>
      </c>
      <c r="CC341" s="2783"/>
      <c r="CD341" s="355"/>
      <c r="CE341" s="355"/>
      <c r="CF341" s="355"/>
      <c r="CG341" s="355"/>
      <c r="CH341" s="355"/>
      <c r="CI341" s="355"/>
      <c r="CJ341" s="355"/>
      <c r="CK341" s="355"/>
      <c r="CL341" s="355"/>
      <c r="CM341" s="355"/>
      <c r="CN341" s="355"/>
      <c r="CO341" s="355"/>
      <c r="CP341" s="485">
        <f t="shared" si="398"/>
        <v>0</v>
      </c>
      <c r="CQ341" s="2783"/>
      <c r="CR341" s="355"/>
      <c r="CS341" s="355"/>
      <c r="CT341" s="355"/>
      <c r="CU341" s="355"/>
      <c r="CV341" s="355"/>
      <c r="CW341" s="355"/>
      <c r="CX341" s="355"/>
      <c r="CY341" s="355"/>
      <c r="CZ341" s="355"/>
      <c r="DA341" s="355"/>
      <c r="DB341" s="355"/>
      <c r="DC341" s="355"/>
      <c r="DD341" s="485">
        <f t="shared" si="399"/>
        <v>0</v>
      </c>
      <c r="DE341" s="2783"/>
      <c r="DF341" s="355"/>
      <c r="DG341" s="355"/>
      <c r="DH341" s="355"/>
      <c r="DI341" s="3101">
        <f t="shared" si="400"/>
        <v>0</v>
      </c>
      <c r="DJ341" s="3163">
        <f t="shared" si="392"/>
        <v>48000</v>
      </c>
      <c r="DL341" s="3180">
        <f t="shared" si="393"/>
        <v>0</v>
      </c>
      <c r="DN341" s="2743" t="s">
        <v>1283</v>
      </c>
      <c r="DO341" s="2744" t="s">
        <v>1284</v>
      </c>
      <c r="DP341" s="2740" t="s">
        <v>1117</v>
      </c>
      <c r="DQ341" s="2740" t="s">
        <v>5</v>
      </c>
      <c r="DR341" s="2740" t="str">
        <f t="shared" si="388"/>
        <v>2</v>
      </c>
      <c r="DS341" s="2783"/>
      <c r="DT341" s="2783"/>
    </row>
    <row r="342" spans="2:124" s="153" customFormat="1" ht="45" hidden="1" outlineLevel="5">
      <c r="B342" s="2844"/>
      <c r="C342" s="704"/>
      <c r="D342" s="435" t="s">
        <v>1481</v>
      </c>
      <c r="E342" s="704"/>
      <c r="F342" s="435"/>
      <c r="G342" s="354" t="s">
        <v>1279</v>
      </c>
      <c r="H342" s="2687" t="s">
        <v>1482</v>
      </c>
      <c r="I342" s="703"/>
      <c r="J342" s="177"/>
      <c r="K342" s="2783"/>
      <c r="L342" s="853"/>
      <c r="M342" s="853"/>
      <c r="N342" s="368"/>
      <c r="O342" s="368"/>
      <c r="P342" s="368"/>
      <c r="Q342" s="368"/>
      <c r="R342" s="368"/>
      <c r="S342" s="368"/>
      <c r="T342" s="368"/>
      <c r="U342" s="368"/>
      <c r="V342" s="2783"/>
      <c r="W342" s="364"/>
      <c r="X342" s="853"/>
      <c r="Y342" s="853"/>
      <c r="Z342" s="853"/>
      <c r="AA342" s="853"/>
      <c r="AB342" s="177"/>
      <c r="AC342" s="2783"/>
      <c r="AD342" s="2844"/>
      <c r="AE342" s="704"/>
      <c r="AF342" s="704"/>
      <c r="AG342" s="704"/>
      <c r="AH342" s="485"/>
      <c r="AI342" s="2060">
        <f>SUM(AI343:AI347)</f>
        <v>1202000</v>
      </c>
      <c r="AJ342" s="355">
        <f>+AI342+AI348+AI349</f>
        <v>3805000</v>
      </c>
      <c r="AK342" s="2783"/>
      <c r="AL342" s="2060">
        <f>SUM(AL343:AL347)</f>
        <v>1202000</v>
      </c>
      <c r="AM342" s="2060">
        <f>SUM(AM343:AM347)</f>
        <v>0</v>
      </c>
      <c r="AN342" s="485">
        <f>+AL342+AM342</f>
        <v>1202000</v>
      </c>
      <c r="AO342" s="2783"/>
      <c r="AP342" s="2060">
        <f t="shared" ref="AP342:AY342" si="412">SUM(AP343:AP347)</f>
        <v>0</v>
      </c>
      <c r="AQ342" s="2060">
        <f t="shared" si="412"/>
        <v>0</v>
      </c>
      <c r="AR342" s="2060">
        <f t="shared" si="412"/>
        <v>0</v>
      </c>
      <c r="AS342" s="2060">
        <f t="shared" si="412"/>
        <v>0</v>
      </c>
      <c r="AT342" s="2060">
        <f t="shared" si="412"/>
        <v>0</v>
      </c>
      <c r="AU342" s="2060">
        <f t="shared" si="412"/>
        <v>0</v>
      </c>
      <c r="AV342" s="2060">
        <f t="shared" si="412"/>
        <v>0</v>
      </c>
      <c r="AW342" s="2060">
        <f t="shared" si="412"/>
        <v>0</v>
      </c>
      <c r="AX342" s="2060">
        <f t="shared" si="412"/>
        <v>0</v>
      </c>
      <c r="AY342" s="2060">
        <f t="shared" si="412"/>
        <v>0</v>
      </c>
      <c r="AZ342" s="485">
        <f>SUM(AP342:AY342)</f>
        <v>0</v>
      </c>
      <c r="BA342" s="2783"/>
      <c r="BB342" s="2060">
        <f t="shared" ref="BB342:BM342" si="413">SUM(BB343:BB347)</f>
        <v>0</v>
      </c>
      <c r="BC342" s="2060">
        <f t="shared" si="413"/>
        <v>0</v>
      </c>
      <c r="BD342" s="2060">
        <f t="shared" si="413"/>
        <v>0</v>
      </c>
      <c r="BE342" s="2060">
        <f t="shared" si="413"/>
        <v>0</v>
      </c>
      <c r="BF342" s="2060">
        <f t="shared" si="413"/>
        <v>0</v>
      </c>
      <c r="BG342" s="2060">
        <f t="shared" si="413"/>
        <v>0</v>
      </c>
      <c r="BH342" s="2060">
        <f t="shared" si="413"/>
        <v>0</v>
      </c>
      <c r="BI342" s="2060">
        <f t="shared" si="413"/>
        <v>0</v>
      </c>
      <c r="BJ342" s="2060">
        <f t="shared" si="413"/>
        <v>0</v>
      </c>
      <c r="BK342" s="2060">
        <f t="shared" si="413"/>
        <v>0</v>
      </c>
      <c r="BL342" s="2060">
        <f t="shared" si="413"/>
        <v>0</v>
      </c>
      <c r="BM342" s="2060">
        <f t="shared" si="413"/>
        <v>0</v>
      </c>
      <c r="BN342" s="485">
        <f>SUM(BB342:BM342)</f>
        <v>0</v>
      </c>
      <c r="BO342" s="2783"/>
      <c r="BP342" s="2060">
        <f t="shared" ref="BP342:CA342" si="414">SUM(BP343:BP347)</f>
        <v>0</v>
      </c>
      <c r="BQ342" s="2060">
        <f t="shared" si="414"/>
        <v>0</v>
      </c>
      <c r="BR342" s="2060">
        <f t="shared" si="414"/>
        <v>300500</v>
      </c>
      <c r="BS342" s="2060">
        <f t="shared" si="414"/>
        <v>0</v>
      </c>
      <c r="BT342" s="2060">
        <f t="shared" si="414"/>
        <v>0</v>
      </c>
      <c r="BU342" s="2060">
        <f t="shared" si="414"/>
        <v>0</v>
      </c>
      <c r="BV342" s="2060">
        <f t="shared" si="414"/>
        <v>240400</v>
      </c>
      <c r="BW342" s="2060">
        <f t="shared" si="414"/>
        <v>0</v>
      </c>
      <c r="BX342" s="2060">
        <f t="shared" si="414"/>
        <v>0</v>
      </c>
      <c r="BY342" s="2060">
        <f t="shared" si="414"/>
        <v>0</v>
      </c>
      <c r="BZ342" s="2060">
        <f t="shared" si="414"/>
        <v>240400</v>
      </c>
      <c r="CA342" s="2060">
        <f t="shared" si="414"/>
        <v>0</v>
      </c>
      <c r="CB342" s="485">
        <f>SUM(BP342:CA342)</f>
        <v>781300</v>
      </c>
      <c r="CC342" s="2783"/>
      <c r="CD342" s="2060">
        <f t="shared" ref="CD342:CO342" si="415">SUM(CD343:CD347)</f>
        <v>0</v>
      </c>
      <c r="CE342" s="2060">
        <f t="shared" si="415"/>
        <v>0</v>
      </c>
      <c r="CF342" s="2060">
        <f t="shared" si="415"/>
        <v>240400</v>
      </c>
      <c r="CG342" s="2060">
        <f t="shared" si="415"/>
        <v>0</v>
      </c>
      <c r="CH342" s="2060">
        <f t="shared" si="415"/>
        <v>0</v>
      </c>
      <c r="CI342" s="2060">
        <f t="shared" si="415"/>
        <v>180300</v>
      </c>
      <c r="CJ342" s="2060">
        <f t="shared" si="415"/>
        <v>0</v>
      </c>
      <c r="CK342" s="2060">
        <f t="shared" si="415"/>
        <v>0</v>
      </c>
      <c r="CL342" s="2060">
        <f t="shared" si="415"/>
        <v>0</v>
      </c>
      <c r="CM342" s="2060">
        <f t="shared" si="415"/>
        <v>0</v>
      </c>
      <c r="CN342" s="2060">
        <f t="shared" si="415"/>
        <v>0</v>
      </c>
      <c r="CO342" s="2060">
        <f t="shared" si="415"/>
        <v>0</v>
      </c>
      <c r="CP342" s="485">
        <f>SUM(CD342:CO342)</f>
        <v>420700</v>
      </c>
      <c r="CQ342" s="2783"/>
      <c r="CR342" s="2060">
        <f t="shared" ref="CR342:DC342" si="416">SUM(CR343:CR347)</f>
        <v>0</v>
      </c>
      <c r="CS342" s="2060">
        <f t="shared" si="416"/>
        <v>0</v>
      </c>
      <c r="CT342" s="2060">
        <f t="shared" si="416"/>
        <v>0</v>
      </c>
      <c r="CU342" s="2060">
        <f t="shared" si="416"/>
        <v>0</v>
      </c>
      <c r="CV342" s="2060">
        <f t="shared" si="416"/>
        <v>0</v>
      </c>
      <c r="CW342" s="2060">
        <f t="shared" si="416"/>
        <v>0</v>
      </c>
      <c r="CX342" s="2060">
        <f t="shared" si="416"/>
        <v>0</v>
      </c>
      <c r="CY342" s="2060">
        <f t="shared" si="416"/>
        <v>0</v>
      </c>
      <c r="CZ342" s="2060">
        <f t="shared" si="416"/>
        <v>0</v>
      </c>
      <c r="DA342" s="2060">
        <f t="shared" si="416"/>
        <v>0</v>
      </c>
      <c r="DB342" s="2060">
        <f t="shared" si="416"/>
        <v>0</v>
      </c>
      <c r="DC342" s="2060">
        <f t="shared" si="416"/>
        <v>0</v>
      </c>
      <c r="DD342" s="485">
        <f>SUM(CR342:DC342)</f>
        <v>0</v>
      </c>
      <c r="DE342" s="2783"/>
      <c r="DF342" s="2060">
        <f>SUM(DF343:DF347)</f>
        <v>0</v>
      </c>
      <c r="DG342" s="2060">
        <f>SUM(DG343:DG347)</f>
        <v>0</v>
      </c>
      <c r="DH342" s="2060">
        <f>SUM(DH343:DH347)</f>
        <v>0</v>
      </c>
      <c r="DI342" s="3101">
        <f>SUM(DF342:DH342)</f>
        <v>0</v>
      </c>
      <c r="DJ342" s="3163">
        <f t="shared" si="392"/>
        <v>1202000</v>
      </c>
      <c r="DL342" s="3180">
        <f t="shared" si="393"/>
        <v>0</v>
      </c>
      <c r="DN342" s="2716" t="s">
        <v>1175</v>
      </c>
      <c r="DO342" s="2740" t="s">
        <v>1175</v>
      </c>
      <c r="DP342" s="2740"/>
      <c r="DQ342" s="2740" t="s">
        <v>1175</v>
      </c>
      <c r="DR342" s="2740" t="str">
        <f t="shared" si="388"/>
        <v>2</v>
      </c>
      <c r="DS342" s="2783"/>
      <c r="DT342" s="2783"/>
    </row>
    <row r="343" spans="2:124" s="153" customFormat="1" ht="15" hidden="1" outlineLevel="5">
      <c r="B343" s="711"/>
      <c r="C343" s="182"/>
      <c r="D343" s="2946" t="s">
        <v>1483</v>
      </c>
      <c r="E343" s="159"/>
      <c r="F343" s="2946"/>
      <c r="G343" s="107" t="s">
        <v>1279</v>
      </c>
      <c r="H343" s="3002" t="s">
        <v>1484</v>
      </c>
      <c r="I343" s="703"/>
      <c r="J343" s="177"/>
      <c r="K343" s="2783"/>
      <c r="L343" s="853"/>
      <c r="M343" s="853"/>
      <c r="N343" s="368"/>
      <c r="O343" s="368"/>
      <c r="P343" s="368"/>
      <c r="Q343" s="368"/>
      <c r="R343" s="368"/>
      <c r="S343" s="368"/>
      <c r="T343" s="368"/>
      <c r="U343" s="368"/>
      <c r="V343" s="2783"/>
      <c r="W343" s="3897" t="s">
        <v>853</v>
      </c>
      <c r="X343" s="3897" t="s">
        <v>1075</v>
      </c>
      <c r="Y343" s="3799" t="s">
        <v>1485</v>
      </c>
      <c r="Z343" s="3799">
        <f>+'10.2_PA_SC - CGR'!A9</f>
        <v>4</v>
      </c>
      <c r="AA343" s="3799"/>
      <c r="AB343" s="3918" t="s">
        <v>1486</v>
      </c>
      <c r="AC343" s="2783"/>
      <c r="AD343" s="711" t="s">
        <v>1179</v>
      </c>
      <c r="AE343" s="712">
        <v>1</v>
      </c>
      <c r="AF343" s="704"/>
      <c r="AG343" s="704"/>
      <c r="AH343" s="355">
        <f>500000-AI341</f>
        <v>452000</v>
      </c>
      <c r="AI343" s="355">
        <f>+AE343*AH343</f>
        <v>452000</v>
      </c>
      <c r="AJ343" s="693"/>
      <c r="AK343" s="2783"/>
      <c r="AL343" s="1746">
        <f t="shared" ref="AL343:AL348" si="417">+AI343</f>
        <v>452000</v>
      </c>
      <c r="AM343" s="485"/>
      <c r="AN343" s="1747">
        <f t="shared" si="389"/>
        <v>452000</v>
      </c>
      <c r="AO343" s="2783"/>
      <c r="AP343" s="485"/>
      <c r="AQ343" s="485"/>
      <c r="AR343" s="485"/>
      <c r="AS343" s="485"/>
      <c r="AT343" s="485"/>
      <c r="AU343" s="485"/>
      <c r="AV343" s="485"/>
      <c r="AW343" s="485"/>
      <c r="AX343" s="485"/>
      <c r="AY343" s="485"/>
      <c r="AZ343" s="485">
        <f t="shared" si="394"/>
        <v>0</v>
      </c>
      <c r="BA343" s="2783"/>
      <c r="BB343" s="485"/>
      <c r="BC343" s="485"/>
      <c r="BD343" s="485"/>
      <c r="BE343" s="485"/>
      <c r="BF343" s="485"/>
      <c r="BG343" s="485"/>
      <c r="BH343" s="485"/>
      <c r="BI343" s="485"/>
      <c r="BJ343" s="485"/>
      <c r="BK343" s="485"/>
      <c r="BL343" s="485"/>
      <c r="BM343" s="485"/>
      <c r="BN343" s="485">
        <f t="shared" si="396"/>
        <v>0</v>
      </c>
      <c r="BO343" s="2783"/>
      <c r="BP343" s="485"/>
      <c r="BQ343" s="485"/>
      <c r="BR343" s="485">
        <f>+$AN343*25%</f>
        <v>113000</v>
      </c>
      <c r="BS343" s="485"/>
      <c r="BT343" s="485"/>
      <c r="BU343" s="485"/>
      <c r="BV343" s="485">
        <f>+$AN343*20%</f>
        <v>90400</v>
      </c>
      <c r="BW343" s="485"/>
      <c r="BX343" s="485"/>
      <c r="BY343" s="485"/>
      <c r="BZ343" s="485">
        <f>+$AN343*20%</f>
        <v>90400</v>
      </c>
      <c r="CA343" s="485"/>
      <c r="CB343" s="485">
        <f t="shared" si="397"/>
        <v>293800</v>
      </c>
      <c r="CC343" s="2783"/>
      <c r="CD343" s="485"/>
      <c r="CE343" s="485"/>
      <c r="CF343" s="485">
        <f>+$AN343*20%</f>
        <v>90400</v>
      </c>
      <c r="CG343" s="485"/>
      <c r="CH343" s="485"/>
      <c r="CI343" s="485">
        <f>+$AN343*15%</f>
        <v>67800</v>
      </c>
      <c r="CJ343" s="485"/>
      <c r="CK343" s="485"/>
      <c r="CL343" s="485"/>
      <c r="CM343" s="485"/>
      <c r="CN343" s="485"/>
      <c r="CO343" s="485"/>
      <c r="CP343" s="485">
        <f t="shared" si="398"/>
        <v>158200</v>
      </c>
      <c r="CQ343" s="2783"/>
      <c r="CR343" s="485"/>
      <c r="CS343" s="485"/>
      <c r="CT343" s="485"/>
      <c r="CU343" s="485"/>
      <c r="CV343" s="485"/>
      <c r="CW343" s="485"/>
      <c r="CX343" s="485"/>
      <c r="CY343" s="485"/>
      <c r="CZ343" s="485"/>
      <c r="DA343" s="485"/>
      <c r="DB343" s="485"/>
      <c r="DC343" s="485"/>
      <c r="DD343" s="485">
        <f t="shared" si="399"/>
        <v>0</v>
      </c>
      <c r="DE343" s="2783"/>
      <c r="DF343" s="485"/>
      <c r="DG343" s="485"/>
      <c r="DH343" s="485"/>
      <c r="DI343" s="3101">
        <f t="shared" si="400"/>
        <v>0</v>
      </c>
      <c r="DJ343" s="3163">
        <f t="shared" si="392"/>
        <v>452000</v>
      </c>
      <c r="DL343" s="3180">
        <f t="shared" si="393"/>
        <v>0</v>
      </c>
      <c r="DN343" s="2743" t="s">
        <v>1283</v>
      </c>
      <c r="DO343" s="2744" t="s">
        <v>1284</v>
      </c>
      <c r="DP343" s="2740" t="s">
        <v>1117</v>
      </c>
      <c r="DQ343" s="2740" t="s">
        <v>5</v>
      </c>
      <c r="DR343" s="2740" t="str">
        <f t="shared" si="388"/>
        <v>2</v>
      </c>
      <c r="DS343" s="2783"/>
      <c r="DT343" s="2783"/>
    </row>
    <row r="344" spans="2:124" ht="15" hidden="1" outlineLevel="5">
      <c r="B344" s="711"/>
      <c r="C344" s="182"/>
      <c r="D344" s="2946" t="s">
        <v>1487</v>
      </c>
      <c r="E344" s="159"/>
      <c r="F344" s="2946"/>
      <c r="G344" s="107" t="s">
        <v>1279</v>
      </c>
      <c r="H344" s="3002" t="s">
        <v>1488</v>
      </c>
      <c r="I344" s="703"/>
      <c r="J344" s="103"/>
      <c r="K344" s="2783"/>
      <c r="L344" s="364"/>
      <c r="M344" s="364"/>
      <c r="N344" s="367"/>
      <c r="O344" s="367"/>
      <c r="P344" s="367"/>
      <c r="Q344" s="367"/>
      <c r="R344" s="367"/>
      <c r="S344" s="367"/>
      <c r="T344" s="367"/>
      <c r="U344" s="367"/>
      <c r="V344" s="2783"/>
      <c r="W344" s="3898"/>
      <c r="X344" s="3898"/>
      <c r="Y344" s="3800"/>
      <c r="Z344" s="3800"/>
      <c r="AA344" s="3800"/>
      <c r="AB344" s="3919"/>
      <c r="AC344" s="2783"/>
      <c r="AD344" s="711" t="s">
        <v>1179</v>
      </c>
      <c r="AE344" s="712">
        <v>1</v>
      </c>
      <c r="AF344" s="179"/>
      <c r="AG344" s="179"/>
      <c r="AH344" s="1746">
        <v>100000</v>
      </c>
      <c r="AI344" s="355">
        <f>+AE344*AH344</f>
        <v>100000</v>
      </c>
      <c r="AJ344" s="2690"/>
      <c r="AK344" s="2783"/>
      <c r="AL344" s="1746">
        <f t="shared" si="417"/>
        <v>100000</v>
      </c>
      <c r="AM344" s="1746"/>
      <c r="AN344" s="1747">
        <f t="shared" si="389"/>
        <v>100000</v>
      </c>
      <c r="AO344" s="2783"/>
      <c r="AP344" s="1746"/>
      <c r="AQ344" s="1746"/>
      <c r="AR344" s="1746"/>
      <c r="AS344" s="1746"/>
      <c r="AT344" s="1746"/>
      <c r="AU344" s="1746"/>
      <c r="AV344" s="1746"/>
      <c r="AW344" s="1746"/>
      <c r="AX344" s="1746"/>
      <c r="AY344" s="1746"/>
      <c r="AZ344" s="3003">
        <f t="shared" si="394"/>
        <v>0</v>
      </c>
      <c r="BA344" s="2783"/>
      <c r="BB344" s="1746"/>
      <c r="BC344" s="1746"/>
      <c r="BD344" s="1746"/>
      <c r="BE344" s="1746"/>
      <c r="BF344" s="1746"/>
      <c r="BG344" s="1746"/>
      <c r="BH344" s="1746"/>
      <c r="BI344" s="1746"/>
      <c r="BJ344" s="1746"/>
      <c r="BK344" s="1746"/>
      <c r="BL344" s="1746"/>
      <c r="BM344" s="1746"/>
      <c r="BN344" s="3003">
        <f t="shared" si="396"/>
        <v>0</v>
      </c>
      <c r="BO344" s="2783"/>
      <c r="BP344" s="1746"/>
      <c r="BQ344" s="1746"/>
      <c r="BR344" s="485">
        <f>+$AN344*25%</f>
        <v>25000</v>
      </c>
      <c r="BS344" s="485"/>
      <c r="BT344" s="485"/>
      <c r="BU344" s="485"/>
      <c r="BV344" s="485">
        <f>+$AN344*20%</f>
        <v>20000</v>
      </c>
      <c r="BW344" s="485"/>
      <c r="BX344" s="485"/>
      <c r="BY344" s="485"/>
      <c r="BZ344" s="485">
        <f>+$AN344*20%</f>
        <v>20000</v>
      </c>
      <c r="CA344" s="485"/>
      <c r="CB344" s="485">
        <f>SUM(BP344:CA344)</f>
        <v>65000</v>
      </c>
      <c r="CC344" s="2783"/>
      <c r="CD344" s="485"/>
      <c r="CE344" s="485"/>
      <c r="CF344" s="485">
        <f>+$AN344*20%</f>
        <v>20000</v>
      </c>
      <c r="CG344" s="485"/>
      <c r="CH344" s="485"/>
      <c r="CI344" s="485">
        <f>+$AN344*15%</f>
        <v>15000</v>
      </c>
      <c r="CJ344" s="1746"/>
      <c r="CK344" s="1746"/>
      <c r="CL344" s="1746"/>
      <c r="CM344" s="1746"/>
      <c r="CN344" s="1746"/>
      <c r="CO344" s="1746"/>
      <c r="CP344" s="3003">
        <f t="shared" si="398"/>
        <v>35000</v>
      </c>
      <c r="CQ344" s="2783"/>
      <c r="CR344" s="1746"/>
      <c r="CS344" s="1746"/>
      <c r="CT344" s="1746"/>
      <c r="CU344" s="1746"/>
      <c r="CV344" s="1746"/>
      <c r="CW344" s="1746"/>
      <c r="CX344" s="1746"/>
      <c r="CY344" s="1746"/>
      <c r="CZ344" s="1746"/>
      <c r="DA344" s="1746"/>
      <c r="DB344" s="1746"/>
      <c r="DC344" s="1746"/>
      <c r="DD344" s="3003">
        <f t="shared" si="399"/>
        <v>0</v>
      </c>
      <c r="DE344" s="2783"/>
      <c r="DF344" s="1746"/>
      <c r="DG344" s="1746"/>
      <c r="DH344" s="1746"/>
      <c r="DI344" s="3003">
        <f t="shared" si="400"/>
        <v>0</v>
      </c>
      <c r="DJ344" s="3167">
        <f t="shared" si="392"/>
        <v>100000</v>
      </c>
      <c r="DL344" s="3180">
        <f t="shared" si="393"/>
        <v>0</v>
      </c>
      <c r="DN344" s="2743" t="s">
        <v>1283</v>
      </c>
      <c r="DO344" s="2744" t="s">
        <v>1284</v>
      </c>
      <c r="DP344" s="2744" t="s">
        <v>1117</v>
      </c>
      <c r="DQ344" s="2744" t="s">
        <v>5</v>
      </c>
      <c r="DR344" s="2744" t="str">
        <f t="shared" si="388"/>
        <v>2</v>
      </c>
      <c r="DS344" s="2783"/>
      <c r="DT344" s="2783"/>
    </row>
    <row r="345" spans="2:124" ht="30" hidden="1" outlineLevel="5">
      <c r="B345" s="711"/>
      <c r="C345" s="182"/>
      <c r="D345" s="2946" t="s">
        <v>1489</v>
      </c>
      <c r="E345" s="159"/>
      <c r="F345" s="2946"/>
      <c r="G345" s="107" t="s">
        <v>1279</v>
      </c>
      <c r="H345" s="3002" t="s">
        <v>1490</v>
      </c>
      <c r="I345" s="703"/>
      <c r="J345" s="103"/>
      <c r="K345" s="2783"/>
      <c r="L345" s="364"/>
      <c r="M345" s="364"/>
      <c r="N345" s="367"/>
      <c r="O345" s="367"/>
      <c r="P345" s="367"/>
      <c r="Q345" s="367"/>
      <c r="R345" s="367"/>
      <c r="S345" s="367"/>
      <c r="T345" s="367"/>
      <c r="U345" s="367"/>
      <c r="V345" s="2783"/>
      <c r="W345" s="3898"/>
      <c r="X345" s="3898"/>
      <c r="Y345" s="3800"/>
      <c r="Z345" s="3800"/>
      <c r="AA345" s="3800"/>
      <c r="AB345" s="3919"/>
      <c r="AC345" s="2783"/>
      <c r="AD345" s="711" t="s">
        <v>1179</v>
      </c>
      <c r="AE345" s="712">
        <v>1</v>
      </c>
      <c r="AF345" s="179"/>
      <c r="AG345" s="179"/>
      <c r="AH345" s="1746">
        <v>500000</v>
      </c>
      <c r="AI345" s="355">
        <f>+AE345*AH345</f>
        <v>500000</v>
      </c>
      <c r="AJ345" s="2690"/>
      <c r="AK345" s="2783"/>
      <c r="AL345" s="1746">
        <f t="shared" si="417"/>
        <v>500000</v>
      </c>
      <c r="AM345" s="1746"/>
      <c r="AN345" s="1747">
        <f t="shared" si="389"/>
        <v>500000</v>
      </c>
      <c r="AO345" s="2783"/>
      <c r="AP345" s="1746"/>
      <c r="AQ345" s="1746"/>
      <c r="AR345" s="1746"/>
      <c r="AS345" s="1746"/>
      <c r="AT345" s="1746"/>
      <c r="AU345" s="1746"/>
      <c r="AV345" s="1746"/>
      <c r="AW345" s="1746"/>
      <c r="AX345" s="1746"/>
      <c r="AY345" s="1746"/>
      <c r="AZ345" s="3003">
        <f t="shared" si="394"/>
        <v>0</v>
      </c>
      <c r="BA345" s="2783"/>
      <c r="BB345" s="1746"/>
      <c r="BC345" s="1746"/>
      <c r="BD345" s="1746"/>
      <c r="BE345" s="1746"/>
      <c r="BF345" s="1746"/>
      <c r="BG345" s="1746"/>
      <c r="BH345" s="1746"/>
      <c r="BI345" s="1746"/>
      <c r="BJ345" s="1746"/>
      <c r="BK345" s="1746"/>
      <c r="BL345" s="1746"/>
      <c r="BM345" s="1746"/>
      <c r="BN345" s="3003">
        <f t="shared" si="396"/>
        <v>0</v>
      </c>
      <c r="BO345" s="2783"/>
      <c r="BP345" s="1746"/>
      <c r="BQ345" s="1746"/>
      <c r="BR345" s="485">
        <f>+$AN345*25%</f>
        <v>125000</v>
      </c>
      <c r="BS345" s="485"/>
      <c r="BT345" s="485"/>
      <c r="BU345" s="485"/>
      <c r="BV345" s="485">
        <f>+$AN345*20%</f>
        <v>100000</v>
      </c>
      <c r="BW345" s="485"/>
      <c r="BX345" s="485"/>
      <c r="BY345" s="485"/>
      <c r="BZ345" s="485">
        <f>+$AN345*20%</f>
        <v>100000</v>
      </c>
      <c r="CA345" s="485"/>
      <c r="CB345" s="485">
        <f>SUM(BP345:CA345)</f>
        <v>325000</v>
      </c>
      <c r="CC345" s="2783"/>
      <c r="CD345" s="485"/>
      <c r="CE345" s="485"/>
      <c r="CF345" s="485">
        <f>+$AN345*20%</f>
        <v>100000</v>
      </c>
      <c r="CG345" s="485"/>
      <c r="CH345" s="485"/>
      <c r="CI345" s="485">
        <f>+$AN345*15%</f>
        <v>75000</v>
      </c>
      <c r="CJ345" s="1746"/>
      <c r="CK345" s="1746"/>
      <c r="CL345" s="1746"/>
      <c r="CM345" s="1746"/>
      <c r="CN345" s="1746"/>
      <c r="CO345" s="1746"/>
      <c r="CP345" s="3003">
        <f t="shared" si="398"/>
        <v>175000</v>
      </c>
      <c r="CQ345" s="2783"/>
      <c r="CR345" s="1746"/>
      <c r="CS345" s="1746"/>
      <c r="CT345" s="1746"/>
      <c r="CU345" s="1746"/>
      <c r="CV345" s="1746"/>
      <c r="CW345" s="1746"/>
      <c r="CX345" s="1746"/>
      <c r="CY345" s="1746"/>
      <c r="CZ345" s="1746"/>
      <c r="DA345" s="1746"/>
      <c r="DB345" s="1746"/>
      <c r="DC345" s="1746"/>
      <c r="DD345" s="3003">
        <f t="shared" si="399"/>
        <v>0</v>
      </c>
      <c r="DE345" s="2783"/>
      <c r="DF345" s="1746"/>
      <c r="DG345" s="1746"/>
      <c r="DH345" s="1746"/>
      <c r="DI345" s="3003">
        <f t="shared" si="400"/>
        <v>0</v>
      </c>
      <c r="DJ345" s="3167">
        <f t="shared" si="392"/>
        <v>500000</v>
      </c>
      <c r="DL345" s="3180">
        <f t="shared" si="393"/>
        <v>0</v>
      </c>
      <c r="DN345" s="2743" t="s">
        <v>1283</v>
      </c>
      <c r="DO345" s="2744" t="s">
        <v>1284</v>
      </c>
      <c r="DP345" s="2744" t="s">
        <v>1117</v>
      </c>
      <c r="DQ345" s="2744" t="s">
        <v>5</v>
      </c>
      <c r="DR345" s="2744" t="str">
        <f t="shared" si="388"/>
        <v>2</v>
      </c>
      <c r="DS345" s="2783"/>
      <c r="DT345" s="2783"/>
    </row>
    <row r="346" spans="2:124" ht="30" hidden="1" outlineLevel="5">
      <c r="B346" s="711"/>
      <c r="C346" s="182"/>
      <c r="D346" s="2946" t="s">
        <v>1491</v>
      </c>
      <c r="E346" s="159"/>
      <c r="F346" s="2946"/>
      <c r="G346" s="107" t="s">
        <v>1279</v>
      </c>
      <c r="H346" s="3002" t="s">
        <v>1492</v>
      </c>
      <c r="I346" s="703"/>
      <c r="J346" s="103"/>
      <c r="K346" s="2783"/>
      <c r="L346" s="364"/>
      <c r="M346" s="364"/>
      <c r="N346" s="367"/>
      <c r="O346" s="367"/>
      <c r="P346" s="367"/>
      <c r="Q346" s="367"/>
      <c r="R346" s="367"/>
      <c r="S346" s="367"/>
      <c r="T346" s="367"/>
      <c r="U346" s="367"/>
      <c r="V346" s="2783"/>
      <c r="W346" s="3898"/>
      <c r="X346" s="3898"/>
      <c r="Y346" s="3800"/>
      <c r="Z346" s="3800"/>
      <c r="AA346" s="3800"/>
      <c r="AB346" s="3919"/>
      <c r="AC346" s="2783"/>
      <c r="AD346" s="711" t="s">
        <v>1179</v>
      </c>
      <c r="AE346" s="712">
        <v>1</v>
      </c>
      <c r="AF346" s="179"/>
      <c r="AG346" s="179"/>
      <c r="AH346" s="1746">
        <v>100000</v>
      </c>
      <c r="AI346" s="355">
        <f>+AE346*AH346</f>
        <v>100000</v>
      </c>
      <c r="AJ346" s="1577"/>
      <c r="AK346" s="2783"/>
      <c r="AL346" s="1746">
        <f t="shared" si="417"/>
        <v>100000</v>
      </c>
      <c r="AM346" s="1746"/>
      <c r="AN346" s="1747">
        <f t="shared" si="389"/>
        <v>100000</v>
      </c>
      <c r="AO346" s="2783"/>
      <c r="AP346" s="1746"/>
      <c r="AQ346" s="1746"/>
      <c r="AR346" s="1746"/>
      <c r="AS346" s="1746"/>
      <c r="AT346" s="1746"/>
      <c r="AU346" s="1746"/>
      <c r="AV346" s="1746"/>
      <c r="AW346" s="1746"/>
      <c r="AX346" s="1746"/>
      <c r="AY346" s="1746"/>
      <c r="AZ346" s="3003">
        <f t="shared" si="394"/>
        <v>0</v>
      </c>
      <c r="BA346" s="2783"/>
      <c r="BB346" s="1746"/>
      <c r="BC346" s="1746"/>
      <c r="BD346" s="1746"/>
      <c r="BE346" s="1746"/>
      <c r="BF346" s="1746"/>
      <c r="BG346" s="1746"/>
      <c r="BH346" s="1746"/>
      <c r="BI346" s="1746"/>
      <c r="BJ346" s="1746"/>
      <c r="BK346" s="1746"/>
      <c r="BL346" s="1746"/>
      <c r="BM346" s="1746"/>
      <c r="BN346" s="3003">
        <f t="shared" si="396"/>
        <v>0</v>
      </c>
      <c r="BO346" s="2783"/>
      <c r="BP346" s="1746"/>
      <c r="BQ346" s="1746"/>
      <c r="BR346" s="485">
        <f>+$AN346*25%</f>
        <v>25000</v>
      </c>
      <c r="BS346" s="485"/>
      <c r="BT346" s="485"/>
      <c r="BU346" s="485"/>
      <c r="BV346" s="485">
        <f>+$AN346*20%</f>
        <v>20000</v>
      </c>
      <c r="BW346" s="485"/>
      <c r="BX346" s="485"/>
      <c r="BY346" s="485"/>
      <c r="BZ346" s="485">
        <f>+$AN346*20%</f>
        <v>20000</v>
      </c>
      <c r="CA346" s="485"/>
      <c r="CB346" s="485">
        <f>SUM(BP346:CA346)</f>
        <v>65000</v>
      </c>
      <c r="CC346" s="2783"/>
      <c r="CD346" s="485"/>
      <c r="CE346" s="485"/>
      <c r="CF346" s="485">
        <f>+$AN346*20%</f>
        <v>20000</v>
      </c>
      <c r="CG346" s="485"/>
      <c r="CH346" s="485"/>
      <c r="CI346" s="485">
        <f>+$AN346*15%</f>
        <v>15000</v>
      </c>
      <c r="CJ346" s="1746"/>
      <c r="CK346" s="1746"/>
      <c r="CL346" s="1746"/>
      <c r="CM346" s="1746"/>
      <c r="CN346" s="1746"/>
      <c r="CO346" s="1746"/>
      <c r="CP346" s="3003">
        <f t="shared" si="398"/>
        <v>35000</v>
      </c>
      <c r="CQ346" s="2783"/>
      <c r="CR346" s="1746"/>
      <c r="CS346" s="1746"/>
      <c r="CT346" s="1746"/>
      <c r="CU346" s="1746"/>
      <c r="CV346" s="1746"/>
      <c r="CW346" s="1746"/>
      <c r="CX346" s="1746"/>
      <c r="CY346" s="1746"/>
      <c r="CZ346" s="1746"/>
      <c r="DA346" s="1746"/>
      <c r="DB346" s="1746"/>
      <c r="DC346" s="1746"/>
      <c r="DD346" s="3003">
        <f t="shared" si="399"/>
        <v>0</v>
      </c>
      <c r="DE346" s="2783"/>
      <c r="DF346" s="1746"/>
      <c r="DG346" s="1746"/>
      <c r="DH346" s="1746"/>
      <c r="DI346" s="3003">
        <f t="shared" si="400"/>
        <v>0</v>
      </c>
      <c r="DJ346" s="3167">
        <f t="shared" si="392"/>
        <v>100000</v>
      </c>
      <c r="DL346" s="3180">
        <f t="shared" si="393"/>
        <v>0</v>
      </c>
      <c r="DN346" s="2743" t="s">
        <v>1283</v>
      </c>
      <c r="DO346" s="2744" t="s">
        <v>1284</v>
      </c>
      <c r="DP346" s="2744" t="s">
        <v>1117</v>
      </c>
      <c r="DQ346" s="2744" t="s">
        <v>5</v>
      </c>
      <c r="DR346" s="2744" t="str">
        <f t="shared" si="388"/>
        <v>2</v>
      </c>
      <c r="DS346" s="2783"/>
      <c r="DT346" s="2783"/>
    </row>
    <row r="347" spans="2:124" ht="15" hidden="1" outlineLevel="5">
      <c r="B347" s="711"/>
      <c r="C347" s="182"/>
      <c r="D347" s="2946" t="s">
        <v>1493</v>
      </c>
      <c r="E347" s="159"/>
      <c r="F347" s="2946"/>
      <c r="G347" s="107" t="s">
        <v>1279</v>
      </c>
      <c r="H347" s="3002" t="s">
        <v>1494</v>
      </c>
      <c r="I347" s="703"/>
      <c r="J347" s="103"/>
      <c r="K347" s="2783"/>
      <c r="L347" s="364"/>
      <c r="M347" s="364"/>
      <c r="N347" s="367"/>
      <c r="O347" s="367"/>
      <c r="P347" s="367"/>
      <c r="Q347" s="367"/>
      <c r="R347" s="367"/>
      <c r="S347" s="367"/>
      <c r="T347" s="367"/>
      <c r="U347" s="367"/>
      <c r="V347" s="2783"/>
      <c r="W347" s="3899"/>
      <c r="X347" s="3899"/>
      <c r="Y347" s="3801"/>
      <c r="Z347" s="3801"/>
      <c r="AA347" s="3801"/>
      <c r="AB347" s="3920"/>
      <c r="AC347" s="2783"/>
      <c r="AD347" s="711" t="s">
        <v>1179</v>
      </c>
      <c r="AE347" s="712">
        <v>1</v>
      </c>
      <c r="AF347" s="179"/>
      <c r="AG347" s="179"/>
      <c r="AH347" s="1746">
        <v>50000</v>
      </c>
      <c r="AI347" s="355">
        <f>+AE347*AH347</f>
        <v>50000</v>
      </c>
      <c r="AJ347" s="1577"/>
      <c r="AK347" s="2783"/>
      <c r="AL347" s="1746">
        <f t="shared" si="417"/>
        <v>50000</v>
      </c>
      <c r="AM347" s="1746"/>
      <c r="AN347" s="1747">
        <f t="shared" si="389"/>
        <v>50000</v>
      </c>
      <c r="AO347" s="2783"/>
      <c r="AP347" s="1746"/>
      <c r="AQ347" s="1746"/>
      <c r="AR347" s="1746"/>
      <c r="AS347" s="1746"/>
      <c r="AT347" s="1746"/>
      <c r="AU347" s="1746"/>
      <c r="AV347" s="1746"/>
      <c r="AW347" s="1746"/>
      <c r="AX347" s="1746"/>
      <c r="AY347" s="1746"/>
      <c r="AZ347" s="3003">
        <f t="shared" si="394"/>
        <v>0</v>
      </c>
      <c r="BA347" s="2783"/>
      <c r="BB347" s="1746"/>
      <c r="BC347" s="1746"/>
      <c r="BD347" s="1746"/>
      <c r="BE347" s="1746"/>
      <c r="BF347" s="1746"/>
      <c r="BG347" s="1746"/>
      <c r="BH347" s="1746"/>
      <c r="BI347" s="1746"/>
      <c r="BJ347" s="1746"/>
      <c r="BK347" s="1746"/>
      <c r="BL347" s="1746"/>
      <c r="BM347" s="1746"/>
      <c r="BN347" s="3003">
        <f t="shared" si="396"/>
        <v>0</v>
      </c>
      <c r="BO347" s="2783"/>
      <c r="BP347" s="1746"/>
      <c r="BQ347" s="1746"/>
      <c r="BR347" s="485">
        <f>+$AN347*25%</f>
        <v>12500</v>
      </c>
      <c r="BS347" s="485"/>
      <c r="BT347" s="485"/>
      <c r="BU347" s="485"/>
      <c r="BV347" s="485">
        <f>+$AN347*20%</f>
        <v>10000</v>
      </c>
      <c r="BW347" s="485"/>
      <c r="BX347" s="485"/>
      <c r="BY347" s="485"/>
      <c r="BZ347" s="485">
        <f>+$AN347*20%</f>
        <v>10000</v>
      </c>
      <c r="CA347" s="485"/>
      <c r="CB347" s="485">
        <f>SUM(BP347:CA347)</f>
        <v>32500</v>
      </c>
      <c r="CC347" s="2783"/>
      <c r="CD347" s="485"/>
      <c r="CE347" s="485"/>
      <c r="CF347" s="485">
        <f>+$AN347*20%</f>
        <v>10000</v>
      </c>
      <c r="CG347" s="485"/>
      <c r="CH347" s="485"/>
      <c r="CI347" s="485">
        <f>+$AN347*15%</f>
        <v>7500</v>
      </c>
      <c r="CJ347" s="1746"/>
      <c r="CK347" s="1746"/>
      <c r="CL347" s="1746"/>
      <c r="CM347" s="1746"/>
      <c r="CN347" s="1746"/>
      <c r="CO347" s="1746"/>
      <c r="CP347" s="3003">
        <f t="shared" si="398"/>
        <v>17500</v>
      </c>
      <c r="CQ347" s="2783"/>
      <c r="CR347" s="1746"/>
      <c r="CS347" s="1746"/>
      <c r="CT347" s="1746"/>
      <c r="CU347" s="1746"/>
      <c r="CV347" s="1746"/>
      <c r="CW347" s="1746"/>
      <c r="CX347" s="1746"/>
      <c r="CY347" s="1746"/>
      <c r="CZ347" s="1746"/>
      <c r="DA347" s="1746"/>
      <c r="DB347" s="1746"/>
      <c r="DC347" s="1746"/>
      <c r="DD347" s="3003">
        <f t="shared" si="399"/>
        <v>0</v>
      </c>
      <c r="DE347" s="2783"/>
      <c r="DF347" s="1746"/>
      <c r="DG347" s="1746"/>
      <c r="DH347" s="1746"/>
      <c r="DI347" s="3003">
        <f t="shared" si="400"/>
        <v>0</v>
      </c>
      <c r="DJ347" s="3167">
        <f t="shared" si="392"/>
        <v>50000</v>
      </c>
      <c r="DL347" s="3180">
        <f t="shared" si="393"/>
        <v>0</v>
      </c>
      <c r="DN347" s="2743" t="s">
        <v>1346</v>
      </c>
      <c r="DO347" s="2744" t="s">
        <v>1347</v>
      </c>
      <c r="DP347" s="2751" t="s">
        <v>1115</v>
      </c>
      <c r="DQ347" s="2744" t="s">
        <v>5</v>
      </c>
      <c r="DR347" s="2744" t="str">
        <f t="shared" si="388"/>
        <v>2</v>
      </c>
      <c r="DS347" s="2783"/>
      <c r="DT347" s="2783"/>
    </row>
    <row r="348" spans="2:124" ht="90" hidden="1" outlineLevel="5">
      <c r="B348" s="711"/>
      <c r="C348" s="182"/>
      <c r="D348" s="2946" t="s">
        <v>1495</v>
      </c>
      <c r="E348" s="159"/>
      <c r="F348" s="2946"/>
      <c r="G348" s="107"/>
      <c r="H348" s="2687" t="s">
        <v>1496</v>
      </c>
      <c r="I348" s="703"/>
      <c r="J348" s="103"/>
      <c r="K348" s="2783"/>
      <c r="L348" s="364"/>
      <c r="M348" s="364"/>
      <c r="N348" s="367"/>
      <c r="O348" s="367"/>
      <c r="P348" s="367"/>
      <c r="Q348" s="367"/>
      <c r="R348" s="367"/>
      <c r="S348" s="367"/>
      <c r="T348" s="367"/>
      <c r="U348" s="367"/>
      <c r="V348" s="2783"/>
      <c r="W348" s="951" t="s">
        <v>1202</v>
      </c>
      <c r="X348" s="364" t="s">
        <v>1075</v>
      </c>
      <c r="Y348" s="1481" t="s">
        <v>1485</v>
      </c>
      <c r="Z348" s="364">
        <f>+'10.2_PA_SC - CGR'!A35</f>
        <v>13</v>
      </c>
      <c r="AA348" s="1481"/>
      <c r="AB348" s="1480" t="s">
        <v>1497</v>
      </c>
      <c r="AC348" s="2783"/>
      <c r="AD348" s="711" t="s">
        <v>1179</v>
      </c>
      <c r="AE348" s="712">
        <v>1</v>
      </c>
      <c r="AF348" s="179"/>
      <c r="AG348" s="179"/>
      <c r="AH348" s="1746">
        <v>1959000</v>
      </c>
      <c r="AI348" s="355">
        <f>+AH348*AE348-156000</f>
        <v>1803000</v>
      </c>
      <c r="AJ348" s="1577" t="s">
        <v>1498</v>
      </c>
      <c r="AK348" s="2783"/>
      <c r="AL348" s="1746">
        <f t="shared" si="417"/>
        <v>1803000</v>
      </c>
      <c r="AM348" s="1746"/>
      <c r="AN348" s="1747">
        <f t="shared" si="389"/>
        <v>1803000</v>
      </c>
      <c r="AO348" s="2783"/>
      <c r="AP348" s="1746"/>
      <c r="AQ348" s="1746"/>
      <c r="AR348" s="1746"/>
      <c r="AS348" s="1746"/>
      <c r="AT348" s="1746"/>
      <c r="AU348" s="1746"/>
      <c r="AV348" s="1746"/>
      <c r="AW348" s="1746"/>
      <c r="AX348" s="1746"/>
      <c r="AY348" s="1746"/>
      <c r="AZ348" s="3003">
        <f t="shared" si="394"/>
        <v>0</v>
      </c>
      <c r="BA348" s="2783"/>
      <c r="BB348" s="1746"/>
      <c r="BC348" s="1746"/>
      <c r="BD348" s="1746"/>
      <c r="BE348" s="1746"/>
      <c r="BF348" s="1746"/>
      <c r="BG348" s="1746"/>
      <c r="BH348" s="1746"/>
      <c r="BI348" s="1746"/>
      <c r="BJ348" s="1746"/>
      <c r="BK348" s="1746"/>
      <c r="BL348" s="1746"/>
      <c r="BM348" s="1746"/>
      <c r="BN348" s="3003">
        <f t="shared" si="396"/>
        <v>0</v>
      </c>
      <c r="BO348" s="2783"/>
      <c r="BP348" s="1746"/>
      <c r="BQ348" s="1746"/>
      <c r="BR348" s="1746"/>
      <c r="BS348" s="1746"/>
      <c r="BT348" s="1746"/>
      <c r="BU348" s="1746"/>
      <c r="BV348" s="1746"/>
      <c r="BW348" s="1746"/>
      <c r="BX348" s="1746"/>
      <c r="BY348" s="1746"/>
      <c r="BZ348" s="1746"/>
      <c r="CA348" s="1746"/>
      <c r="CB348" s="3003">
        <f t="shared" si="397"/>
        <v>0</v>
      </c>
      <c r="CC348" s="2783"/>
      <c r="CD348" s="1746"/>
      <c r="CE348" s="1746"/>
      <c r="CF348" s="1746"/>
      <c r="CG348" s="1746"/>
      <c r="CH348" s="1746"/>
      <c r="CI348" s="1746"/>
      <c r="CJ348" s="1746">
        <f>+$AL$348*20%</f>
        <v>360600</v>
      </c>
      <c r="CK348" s="1746"/>
      <c r="CL348" s="1746"/>
      <c r="CM348" s="1746"/>
      <c r="CN348" s="1746">
        <f>+$AL$348*20%</f>
        <v>360600</v>
      </c>
      <c r="CO348" s="1746"/>
      <c r="CP348" s="3003">
        <f t="shared" si="398"/>
        <v>721200</v>
      </c>
      <c r="CQ348" s="2783"/>
      <c r="CR348" s="1746"/>
      <c r="CS348" s="1746"/>
      <c r="CT348" s="1746">
        <f>+$AL$348*20%</f>
        <v>360600</v>
      </c>
      <c r="CU348" s="1746"/>
      <c r="CV348" s="1746"/>
      <c r="CW348" s="1746"/>
      <c r="CX348" s="1746">
        <f>+$AL$348*20%</f>
        <v>360600</v>
      </c>
      <c r="CY348" s="1746"/>
      <c r="CZ348" s="1746"/>
      <c r="DA348" s="1746"/>
      <c r="DB348" s="1746">
        <f>+$AL$348*20%</f>
        <v>360600</v>
      </c>
      <c r="DC348" s="1746"/>
      <c r="DD348" s="3003">
        <f t="shared" si="399"/>
        <v>1081800</v>
      </c>
      <c r="DE348" s="2783"/>
      <c r="DF348" s="1746"/>
      <c r="DG348" s="1746"/>
      <c r="DH348" s="1746"/>
      <c r="DI348" s="3003">
        <f t="shared" si="400"/>
        <v>0</v>
      </c>
      <c r="DJ348" s="3167">
        <f t="shared" si="392"/>
        <v>1803000</v>
      </c>
      <c r="DL348" s="3180">
        <f t="shared" si="393"/>
        <v>0</v>
      </c>
      <c r="DN348" s="2743" t="s">
        <v>1283</v>
      </c>
      <c r="DO348" s="2744" t="s">
        <v>1284</v>
      </c>
      <c r="DP348" s="2744" t="s">
        <v>1117</v>
      </c>
      <c r="DQ348" s="2744" t="s">
        <v>5</v>
      </c>
      <c r="DR348" s="2744" t="str">
        <f t="shared" si="388"/>
        <v>2</v>
      </c>
      <c r="DS348" s="2783"/>
      <c r="DT348" s="2783"/>
    </row>
    <row r="349" spans="2:124" s="153" customFormat="1" ht="328" hidden="1" outlineLevel="4">
      <c r="B349" s="2844"/>
      <c r="C349" s="704"/>
      <c r="D349" s="435" t="s">
        <v>1499</v>
      </c>
      <c r="E349" s="704"/>
      <c r="F349" s="435"/>
      <c r="G349" s="354"/>
      <c r="H349" s="2430" t="s">
        <v>1500</v>
      </c>
      <c r="I349" s="703" t="s">
        <v>5</v>
      </c>
      <c r="J349" s="177" t="s">
        <v>1501</v>
      </c>
      <c r="K349" s="2783"/>
      <c r="L349" s="853" t="e">
        <f>'1_MdR'!#REF!</f>
        <v>#REF!</v>
      </c>
      <c r="M349" s="853" t="e">
        <f>'1_MdR'!#REF!</f>
        <v>#REF!</v>
      </c>
      <c r="N349" s="368" t="e">
        <f>'1_MdR'!#REF!</f>
        <v>#REF!</v>
      </c>
      <c r="O349" s="368" t="e">
        <f>'1_MdR'!#REF!</f>
        <v>#REF!</v>
      </c>
      <c r="P349" s="368" t="e">
        <f>'1_MdR'!#REF!</f>
        <v>#REF!</v>
      </c>
      <c r="Q349" s="368" t="e">
        <f>'1_MdR'!#REF!</f>
        <v>#REF!</v>
      </c>
      <c r="R349" s="368" t="e">
        <f>'1_MdR'!#REF!</f>
        <v>#REF!</v>
      </c>
      <c r="S349" s="368" t="e">
        <f>'1_MdR'!#REF!</f>
        <v>#REF!</v>
      </c>
      <c r="T349" s="368" t="e">
        <f>'1_MdR'!#REF!</f>
        <v>#REF!</v>
      </c>
      <c r="U349" s="368" t="e">
        <f>'1_MdR'!#REF!</f>
        <v>#REF!</v>
      </c>
      <c r="V349" s="2783"/>
      <c r="W349" s="364"/>
      <c r="X349" s="853"/>
      <c r="Y349" s="853"/>
      <c r="Z349" s="853"/>
      <c r="AA349" s="853"/>
      <c r="AB349" s="177"/>
      <c r="AC349" s="2783"/>
      <c r="AD349" s="2844"/>
      <c r="AE349" s="704"/>
      <c r="AF349" s="704"/>
      <c r="AG349" s="704"/>
      <c r="AH349" s="485"/>
      <c r="AI349" s="2060">
        <f>+AI350</f>
        <v>800000</v>
      </c>
      <c r="AJ349" s="693"/>
      <c r="AK349" s="2783"/>
      <c r="AL349" s="2060">
        <f>+AL350</f>
        <v>800000</v>
      </c>
      <c r="AM349" s="2060">
        <f>+AM350</f>
        <v>0</v>
      </c>
      <c r="AN349" s="485">
        <f t="shared" si="389"/>
        <v>800000</v>
      </c>
      <c r="AO349" s="2783"/>
      <c r="AP349" s="2060">
        <f t="shared" ref="AP349:DH349" si="418">+AP350</f>
        <v>0</v>
      </c>
      <c r="AQ349" s="2060">
        <f t="shared" si="418"/>
        <v>0</v>
      </c>
      <c r="AR349" s="2060">
        <f t="shared" si="418"/>
        <v>0</v>
      </c>
      <c r="AS349" s="2060">
        <f t="shared" si="418"/>
        <v>0</v>
      </c>
      <c r="AT349" s="2060">
        <f t="shared" si="418"/>
        <v>0</v>
      </c>
      <c r="AU349" s="2060">
        <f t="shared" si="418"/>
        <v>0</v>
      </c>
      <c r="AV349" s="2060">
        <f t="shared" si="418"/>
        <v>0</v>
      </c>
      <c r="AW349" s="2060">
        <f t="shared" si="418"/>
        <v>0</v>
      </c>
      <c r="AX349" s="2060">
        <f t="shared" si="418"/>
        <v>0</v>
      </c>
      <c r="AY349" s="2060">
        <f t="shared" si="418"/>
        <v>0</v>
      </c>
      <c r="AZ349" s="485">
        <f t="shared" si="394"/>
        <v>0</v>
      </c>
      <c r="BA349" s="2783"/>
      <c r="BB349" s="2060">
        <f t="shared" si="418"/>
        <v>0</v>
      </c>
      <c r="BC349" s="2060">
        <f t="shared" si="418"/>
        <v>0</v>
      </c>
      <c r="BD349" s="2060">
        <f t="shared" si="418"/>
        <v>0</v>
      </c>
      <c r="BE349" s="2060">
        <f t="shared" si="418"/>
        <v>0</v>
      </c>
      <c r="BF349" s="2060">
        <f t="shared" si="418"/>
        <v>0</v>
      </c>
      <c r="BG349" s="2060">
        <f t="shared" si="418"/>
        <v>0</v>
      </c>
      <c r="BH349" s="2060">
        <f t="shared" si="418"/>
        <v>0</v>
      </c>
      <c r="BI349" s="2060">
        <f t="shared" si="418"/>
        <v>0</v>
      </c>
      <c r="BJ349" s="2060">
        <f t="shared" si="418"/>
        <v>0</v>
      </c>
      <c r="BK349" s="2060">
        <f t="shared" si="418"/>
        <v>0</v>
      </c>
      <c r="BL349" s="2060">
        <f t="shared" si="418"/>
        <v>0</v>
      </c>
      <c r="BM349" s="2060">
        <f t="shared" si="418"/>
        <v>0</v>
      </c>
      <c r="BN349" s="485">
        <f t="shared" si="396"/>
        <v>0</v>
      </c>
      <c r="BO349" s="2783"/>
      <c r="BP349" s="2060">
        <f t="shared" si="418"/>
        <v>0</v>
      </c>
      <c r="BQ349" s="2060">
        <f t="shared" si="418"/>
        <v>0</v>
      </c>
      <c r="BR349" s="2060">
        <f t="shared" si="418"/>
        <v>0</v>
      </c>
      <c r="BS349" s="2060">
        <f t="shared" si="418"/>
        <v>0</v>
      </c>
      <c r="BT349" s="2060">
        <f t="shared" si="418"/>
        <v>0</v>
      </c>
      <c r="BU349" s="2060">
        <f t="shared" si="418"/>
        <v>0</v>
      </c>
      <c r="BV349" s="2060">
        <f t="shared" si="418"/>
        <v>0</v>
      </c>
      <c r="BW349" s="2060">
        <f t="shared" si="418"/>
        <v>0</v>
      </c>
      <c r="BX349" s="2060">
        <f t="shared" si="418"/>
        <v>0</v>
      </c>
      <c r="BY349" s="2060">
        <f t="shared" si="418"/>
        <v>0</v>
      </c>
      <c r="BZ349" s="2060">
        <f t="shared" si="418"/>
        <v>160000</v>
      </c>
      <c r="CA349" s="2060">
        <f t="shared" si="418"/>
        <v>0</v>
      </c>
      <c r="CB349" s="485">
        <f t="shared" si="397"/>
        <v>160000</v>
      </c>
      <c r="CC349" s="2783"/>
      <c r="CD349" s="2060">
        <f t="shared" si="418"/>
        <v>0</v>
      </c>
      <c r="CE349" s="2060">
        <f t="shared" si="418"/>
        <v>160000</v>
      </c>
      <c r="CF349" s="2060">
        <f t="shared" si="418"/>
        <v>0</v>
      </c>
      <c r="CG349" s="2060">
        <f t="shared" si="418"/>
        <v>0</v>
      </c>
      <c r="CH349" s="2060">
        <f t="shared" si="418"/>
        <v>0</v>
      </c>
      <c r="CI349" s="2060">
        <f t="shared" si="418"/>
        <v>120000</v>
      </c>
      <c r="CJ349" s="2060">
        <f t="shared" si="418"/>
        <v>0</v>
      </c>
      <c r="CK349" s="2060">
        <f t="shared" si="418"/>
        <v>0</v>
      </c>
      <c r="CL349" s="2060">
        <f t="shared" si="418"/>
        <v>0</v>
      </c>
      <c r="CM349" s="2060">
        <f t="shared" si="418"/>
        <v>120000</v>
      </c>
      <c r="CN349" s="2060">
        <f t="shared" si="418"/>
        <v>0</v>
      </c>
      <c r="CO349" s="2060">
        <f t="shared" si="418"/>
        <v>0</v>
      </c>
      <c r="CP349" s="485">
        <f t="shared" si="398"/>
        <v>400000</v>
      </c>
      <c r="CQ349" s="2783"/>
      <c r="CR349" s="2060">
        <f t="shared" si="418"/>
        <v>0</v>
      </c>
      <c r="CS349" s="2060">
        <f t="shared" si="418"/>
        <v>0</v>
      </c>
      <c r="CT349" s="2060">
        <f t="shared" si="418"/>
        <v>120000</v>
      </c>
      <c r="CU349" s="2060">
        <f t="shared" si="418"/>
        <v>0</v>
      </c>
      <c r="CV349" s="2060">
        <f t="shared" si="418"/>
        <v>0</v>
      </c>
      <c r="CW349" s="2060">
        <f t="shared" si="418"/>
        <v>0</v>
      </c>
      <c r="CX349" s="2060">
        <f t="shared" si="418"/>
        <v>120000</v>
      </c>
      <c r="CY349" s="2060">
        <f t="shared" si="418"/>
        <v>0</v>
      </c>
      <c r="CZ349" s="2060">
        <f t="shared" si="418"/>
        <v>0</v>
      </c>
      <c r="DA349" s="2060">
        <f t="shared" si="418"/>
        <v>0</v>
      </c>
      <c r="DB349" s="2060">
        <f t="shared" si="418"/>
        <v>0</v>
      </c>
      <c r="DC349" s="2060">
        <f t="shared" si="418"/>
        <v>0</v>
      </c>
      <c r="DD349" s="485">
        <f t="shared" si="399"/>
        <v>240000</v>
      </c>
      <c r="DE349" s="2783"/>
      <c r="DF349" s="2060">
        <f t="shared" si="418"/>
        <v>0</v>
      </c>
      <c r="DG349" s="2060">
        <f t="shared" si="418"/>
        <v>0</v>
      </c>
      <c r="DH349" s="2060">
        <f t="shared" si="418"/>
        <v>0</v>
      </c>
      <c r="DI349" s="3101">
        <f t="shared" si="400"/>
        <v>0</v>
      </c>
      <c r="DJ349" s="3163">
        <f t="shared" si="392"/>
        <v>800000</v>
      </c>
      <c r="DL349" s="3180">
        <f t="shared" si="393"/>
        <v>0</v>
      </c>
      <c r="DN349" s="2716" t="s">
        <v>1175</v>
      </c>
      <c r="DO349" s="2740" t="s">
        <v>1175</v>
      </c>
      <c r="DP349" s="2740"/>
      <c r="DQ349" s="2740" t="s">
        <v>1175</v>
      </c>
      <c r="DR349" s="2740" t="str">
        <f t="shared" si="388"/>
        <v>2</v>
      </c>
      <c r="DS349" s="2783"/>
      <c r="DT349" s="2783"/>
    </row>
    <row r="350" spans="2:124" ht="15" hidden="1" outlineLevel="5">
      <c r="B350" s="3838"/>
      <c r="C350" s="2711"/>
      <c r="D350" s="2953" t="s">
        <v>1502</v>
      </c>
      <c r="E350" s="580"/>
      <c r="F350" s="2953"/>
      <c r="G350" s="107"/>
      <c r="H350" s="2430" t="s">
        <v>1503</v>
      </c>
      <c r="I350" s="703"/>
      <c r="J350" s="103"/>
      <c r="K350" s="2783"/>
      <c r="L350" s="364"/>
      <c r="M350" s="364"/>
      <c r="N350" s="367"/>
      <c r="O350" s="367"/>
      <c r="P350" s="367"/>
      <c r="Q350" s="367"/>
      <c r="R350" s="367"/>
      <c r="S350" s="367"/>
      <c r="T350" s="367"/>
      <c r="U350" s="367"/>
      <c r="V350" s="2783"/>
      <c r="W350" s="3897" t="s">
        <v>723</v>
      </c>
      <c r="X350" s="3897"/>
      <c r="Y350" s="3897" t="s">
        <v>1485</v>
      </c>
      <c r="Z350" s="3897"/>
      <c r="AA350" s="3897"/>
      <c r="AB350" s="3918"/>
      <c r="AC350" s="2783"/>
      <c r="AD350" s="3838" t="s">
        <v>1179</v>
      </c>
      <c r="AE350" s="3841" t="s">
        <v>494</v>
      </c>
      <c r="AF350" s="3915"/>
      <c r="AG350" s="3915"/>
      <c r="AH350" s="3909">
        <v>800000</v>
      </c>
      <c r="AI350" s="3909">
        <f>AE350*AH350</f>
        <v>800000</v>
      </c>
      <c r="AJ350" s="3912"/>
      <c r="AK350" s="2783"/>
      <c r="AL350" s="3909">
        <f>+AI350</f>
        <v>800000</v>
      </c>
      <c r="AM350" s="3909">
        <v>0</v>
      </c>
      <c r="AN350" s="3909">
        <f t="shared" si="389"/>
        <v>800000</v>
      </c>
      <c r="AO350" s="2783"/>
      <c r="AP350" s="3909"/>
      <c r="AQ350" s="3909"/>
      <c r="AR350" s="3909"/>
      <c r="AS350" s="3909"/>
      <c r="AT350" s="3909"/>
      <c r="AU350" s="3909"/>
      <c r="AV350" s="3909"/>
      <c r="AW350" s="3909"/>
      <c r="AX350" s="3909"/>
      <c r="AY350" s="3909"/>
      <c r="AZ350" s="3909">
        <f t="shared" si="394"/>
        <v>0</v>
      </c>
      <c r="BA350" s="2783"/>
      <c r="BB350" s="3909"/>
      <c r="BC350" s="3909"/>
      <c r="BD350" s="3909"/>
      <c r="BE350" s="3909"/>
      <c r="BF350" s="3909"/>
      <c r="BG350" s="3909"/>
      <c r="BH350" s="3909"/>
      <c r="BI350" s="3909"/>
      <c r="BJ350" s="3909"/>
      <c r="BK350" s="3909"/>
      <c r="BL350" s="3909"/>
      <c r="BM350" s="3909"/>
      <c r="BN350" s="3909">
        <f t="shared" si="396"/>
        <v>0</v>
      </c>
      <c r="BO350" s="3909"/>
      <c r="BP350" s="3909"/>
      <c r="BQ350" s="3909"/>
      <c r="BR350" s="3909"/>
      <c r="BS350" s="3909"/>
      <c r="BT350" s="3909"/>
      <c r="BU350" s="3909"/>
      <c r="BV350" s="3909"/>
      <c r="BW350" s="3909"/>
      <c r="BX350" s="3909"/>
      <c r="BY350" s="3909"/>
      <c r="BZ350" s="3909">
        <f>+$AL$350*20%</f>
        <v>160000</v>
      </c>
      <c r="CA350" s="3909"/>
      <c r="CB350" s="3909">
        <f t="shared" si="397"/>
        <v>160000</v>
      </c>
      <c r="CC350" s="3909"/>
      <c r="CD350" s="3909"/>
      <c r="CE350" s="3909">
        <f>+$AL$350*20%</f>
        <v>160000</v>
      </c>
      <c r="CF350" s="3909"/>
      <c r="CG350" s="3909"/>
      <c r="CH350" s="3909"/>
      <c r="CI350" s="3909">
        <f>+$AL$350*15%</f>
        <v>120000</v>
      </c>
      <c r="CJ350" s="3909"/>
      <c r="CK350" s="3909"/>
      <c r="CL350" s="3909"/>
      <c r="CM350" s="3909">
        <f>+$AL$350*15%</f>
        <v>120000</v>
      </c>
      <c r="CN350" s="3909"/>
      <c r="CO350" s="3909"/>
      <c r="CP350" s="3909">
        <f t="shared" si="398"/>
        <v>400000</v>
      </c>
      <c r="CQ350" s="3909"/>
      <c r="CR350" s="3909"/>
      <c r="CS350" s="3909"/>
      <c r="CT350" s="3909">
        <f>+$AL$350*15%</f>
        <v>120000</v>
      </c>
      <c r="CU350" s="3909"/>
      <c r="CV350" s="3909"/>
      <c r="CW350" s="3909"/>
      <c r="CX350" s="3909">
        <f>+$AL$350*15%</f>
        <v>120000</v>
      </c>
      <c r="CY350" s="3909"/>
      <c r="CZ350" s="3909"/>
      <c r="DA350" s="3909"/>
      <c r="DB350" s="3909"/>
      <c r="DC350" s="3909"/>
      <c r="DD350" s="3909">
        <f t="shared" si="399"/>
        <v>240000</v>
      </c>
      <c r="DE350" s="3909"/>
      <c r="DF350" s="3909"/>
      <c r="DG350" s="3909"/>
      <c r="DH350" s="3909"/>
      <c r="DI350" s="4062">
        <f t="shared" si="400"/>
        <v>0</v>
      </c>
      <c r="DJ350" s="4065">
        <f t="shared" si="392"/>
        <v>800000</v>
      </c>
      <c r="DL350" s="3180">
        <f t="shared" si="393"/>
        <v>0</v>
      </c>
      <c r="DN350" s="2743" t="s">
        <v>1283</v>
      </c>
      <c r="DO350" s="2744" t="s">
        <v>1284</v>
      </c>
      <c r="DP350" s="4027" t="s">
        <v>1117</v>
      </c>
      <c r="DQ350" s="4027" t="s">
        <v>5</v>
      </c>
      <c r="DR350" s="4027" t="str">
        <f t="shared" si="388"/>
        <v>2</v>
      </c>
      <c r="DS350" s="2783"/>
      <c r="DT350" s="2783"/>
    </row>
    <row r="351" spans="2:124" ht="15" hidden="1" outlineLevel="5">
      <c r="B351" s="3839"/>
      <c r="C351" s="1479"/>
      <c r="D351" s="2953" t="s">
        <v>1504</v>
      </c>
      <c r="E351" s="580"/>
      <c r="F351" s="2953"/>
      <c r="G351" s="107"/>
      <c r="H351" s="2430" t="s">
        <v>1505</v>
      </c>
      <c r="I351" s="703"/>
      <c r="J351" s="103"/>
      <c r="K351" s="2783"/>
      <c r="L351" s="364"/>
      <c r="M351" s="364"/>
      <c r="N351" s="367"/>
      <c r="O351" s="367"/>
      <c r="P351" s="367"/>
      <c r="Q351" s="367"/>
      <c r="R351" s="367"/>
      <c r="S351" s="367"/>
      <c r="T351" s="367"/>
      <c r="U351" s="367"/>
      <c r="V351" s="2783"/>
      <c r="W351" s="3898"/>
      <c r="X351" s="3898"/>
      <c r="Y351" s="3898"/>
      <c r="Z351" s="3898"/>
      <c r="AA351" s="3898"/>
      <c r="AB351" s="3919"/>
      <c r="AC351" s="2783"/>
      <c r="AD351" s="3839"/>
      <c r="AE351" s="3842"/>
      <c r="AF351" s="3916"/>
      <c r="AG351" s="3916"/>
      <c r="AH351" s="3910"/>
      <c r="AI351" s="3910"/>
      <c r="AJ351" s="3913"/>
      <c r="AK351" s="2783"/>
      <c r="AL351" s="3910"/>
      <c r="AM351" s="3910"/>
      <c r="AN351" s="3910">
        <f t="shared" si="389"/>
        <v>0</v>
      </c>
      <c r="AO351" s="2783"/>
      <c r="AP351" s="3910"/>
      <c r="AQ351" s="3910"/>
      <c r="AR351" s="3910"/>
      <c r="AS351" s="3910"/>
      <c r="AT351" s="3910"/>
      <c r="AU351" s="3910"/>
      <c r="AV351" s="3910"/>
      <c r="AW351" s="3910"/>
      <c r="AX351" s="3910"/>
      <c r="AY351" s="3910"/>
      <c r="AZ351" s="3910">
        <f t="shared" si="394"/>
        <v>0</v>
      </c>
      <c r="BA351" s="2783"/>
      <c r="BB351" s="3910"/>
      <c r="BC351" s="3910"/>
      <c r="BD351" s="3910"/>
      <c r="BE351" s="3910"/>
      <c r="BF351" s="3910"/>
      <c r="BG351" s="3910"/>
      <c r="BH351" s="3910"/>
      <c r="BI351" s="3910"/>
      <c r="BJ351" s="3910"/>
      <c r="BK351" s="3910"/>
      <c r="BL351" s="3910"/>
      <c r="BM351" s="3910"/>
      <c r="BN351" s="3910">
        <f t="shared" si="396"/>
        <v>0</v>
      </c>
      <c r="BO351" s="3910"/>
      <c r="BP351" s="3910"/>
      <c r="BQ351" s="3910"/>
      <c r="BR351" s="3910"/>
      <c r="BS351" s="3910"/>
      <c r="BT351" s="3910"/>
      <c r="BU351" s="3910"/>
      <c r="BV351" s="3910"/>
      <c r="BW351" s="3910"/>
      <c r="BX351" s="3910"/>
      <c r="BY351" s="3910"/>
      <c r="BZ351" s="3910"/>
      <c r="CA351" s="3910"/>
      <c r="CB351" s="3910">
        <f t="shared" si="397"/>
        <v>0</v>
      </c>
      <c r="CC351" s="3910"/>
      <c r="CD351" s="3910"/>
      <c r="CE351" s="3910"/>
      <c r="CF351" s="3910"/>
      <c r="CG351" s="3910"/>
      <c r="CH351" s="3910"/>
      <c r="CI351" s="3910"/>
      <c r="CJ351" s="3910"/>
      <c r="CK351" s="3910"/>
      <c r="CL351" s="3910"/>
      <c r="CM351" s="3910"/>
      <c r="CN351" s="3910"/>
      <c r="CO351" s="3910"/>
      <c r="CP351" s="3910">
        <f t="shared" si="398"/>
        <v>0</v>
      </c>
      <c r="CQ351" s="3910"/>
      <c r="CR351" s="3910"/>
      <c r="CS351" s="3910"/>
      <c r="CT351" s="3910"/>
      <c r="CU351" s="3910"/>
      <c r="CV351" s="3910"/>
      <c r="CW351" s="3910"/>
      <c r="CX351" s="3910"/>
      <c r="CY351" s="3910"/>
      <c r="CZ351" s="3910"/>
      <c r="DA351" s="3910"/>
      <c r="DB351" s="3910"/>
      <c r="DC351" s="3910"/>
      <c r="DD351" s="3910">
        <f t="shared" si="399"/>
        <v>0</v>
      </c>
      <c r="DE351" s="3910"/>
      <c r="DF351" s="3910"/>
      <c r="DG351" s="3910"/>
      <c r="DH351" s="3910"/>
      <c r="DI351" s="4063">
        <f t="shared" si="400"/>
        <v>0</v>
      </c>
      <c r="DJ351" s="4066">
        <f t="shared" si="392"/>
        <v>0</v>
      </c>
      <c r="DL351" s="3180">
        <f t="shared" si="393"/>
        <v>0</v>
      </c>
      <c r="DN351" s="2743" t="s">
        <v>1283</v>
      </c>
      <c r="DO351" s="2744" t="s">
        <v>1284</v>
      </c>
      <c r="DP351" s="4027"/>
      <c r="DQ351" s="4027"/>
      <c r="DR351" s="4027" t="str">
        <f t="shared" si="388"/>
        <v>2</v>
      </c>
      <c r="DS351" s="2783"/>
      <c r="DT351" s="2783"/>
    </row>
    <row r="352" spans="2:124" ht="15" hidden="1" outlineLevel="5">
      <c r="B352" s="3839"/>
      <c r="C352" s="1479"/>
      <c r="D352" s="2953" t="s">
        <v>1506</v>
      </c>
      <c r="E352" s="580"/>
      <c r="F352" s="2953"/>
      <c r="G352" s="107"/>
      <c r="H352" s="2430" t="s">
        <v>1507</v>
      </c>
      <c r="I352" s="703"/>
      <c r="J352" s="103"/>
      <c r="K352" s="2783"/>
      <c r="L352" s="364"/>
      <c r="M352" s="364"/>
      <c r="N352" s="367"/>
      <c r="O352" s="367"/>
      <c r="P352" s="367"/>
      <c r="Q352" s="367"/>
      <c r="R352" s="367"/>
      <c r="S352" s="367"/>
      <c r="T352" s="367"/>
      <c r="U352" s="367"/>
      <c r="V352" s="2783"/>
      <c r="W352" s="3898"/>
      <c r="X352" s="3898"/>
      <c r="Y352" s="3898"/>
      <c r="Z352" s="3898"/>
      <c r="AA352" s="3898"/>
      <c r="AB352" s="3919"/>
      <c r="AC352" s="2783"/>
      <c r="AD352" s="3839"/>
      <c r="AE352" s="3842"/>
      <c r="AF352" s="3916"/>
      <c r="AG352" s="3916"/>
      <c r="AH352" s="3910"/>
      <c r="AI352" s="3910"/>
      <c r="AJ352" s="3913"/>
      <c r="AK352" s="2783"/>
      <c r="AL352" s="3910"/>
      <c r="AM352" s="3910"/>
      <c r="AN352" s="3910">
        <f t="shared" si="389"/>
        <v>0</v>
      </c>
      <c r="AO352" s="2783"/>
      <c r="AP352" s="3910"/>
      <c r="AQ352" s="3910"/>
      <c r="AR352" s="3910"/>
      <c r="AS352" s="3910"/>
      <c r="AT352" s="3910"/>
      <c r="AU352" s="3910"/>
      <c r="AV352" s="3910"/>
      <c r="AW352" s="3910"/>
      <c r="AX352" s="3910"/>
      <c r="AY352" s="3910"/>
      <c r="AZ352" s="3910">
        <f t="shared" si="394"/>
        <v>0</v>
      </c>
      <c r="BA352" s="2783"/>
      <c r="BB352" s="3910"/>
      <c r="BC352" s="3910"/>
      <c r="BD352" s="3910"/>
      <c r="BE352" s="3910"/>
      <c r="BF352" s="3910"/>
      <c r="BG352" s="3910"/>
      <c r="BH352" s="3910"/>
      <c r="BI352" s="3910"/>
      <c r="BJ352" s="3910"/>
      <c r="BK352" s="3910"/>
      <c r="BL352" s="3910"/>
      <c r="BM352" s="3910"/>
      <c r="BN352" s="3910">
        <f t="shared" si="396"/>
        <v>0</v>
      </c>
      <c r="BO352" s="3910"/>
      <c r="BP352" s="3910"/>
      <c r="BQ352" s="3910"/>
      <c r="BR352" s="3910"/>
      <c r="BS352" s="3910"/>
      <c r="BT352" s="3910"/>
      <c r="BU352" s="3910"/>
      <c r="BV352" s="3910"/>
      <c r="BW352" s="3910"/>
      <c r="BX352" s="3910"/>
      <c r="BY352" s="3910"/>
      <c r="BZ352" s="3910"/>
      <c r="CA352" s="3910"/>
      <c r="CB352" s="3910">
        <f t="shared" si="397"/>
        <v>0</v>
      </c>
      <c r="CC352" s="3910"/>
      <c r="CD352" s="3910"/>
      <c r="CE352" s="3910"/>
      <c r="CF352" s="3910"/>
      <c r="CG352" s="3910"/>
      <c r="CH352" s="3910"/>
      <c r="CI352" s="3910"/>
      <c r="CJ352" s="3910"/>
      <c r="CK352" s="3910"/>
      <c r="CL352" s="3910"/>
      <c r="CM352" s="3910"/>
      <c r="CN352" s="3910"/>
      <c r="CO352" s="3910"/>
      <c r="CP352" s="3910">
        <f t="shared" si="398"/>
        <v>0</v>
      </c>
      <c r="CQ352" s="3910"/>
      <c r="CR352" s="3910"/>
      <c r="CS352" s="3910"/>
      <c r="CT352" s="3910"/>
      <c r="CU352" s="3910"/>
      <c r="CV352" s="3910"/>
      <c r="CW352" s="3910"/>
      <c r="CX352" s="3910"/>
      <c r="CY352" s="3910"/>
      <c r="CZ352" s="3910"/>
      <c r="DA352" s="3910"/>
      <c r="DB352" s="3910"/>
      <c r="DC352" s="3910"/>
      <c r="DD352" s="3910">
        <f t="shared" si="399"/>
        <v>0</v>
      </c>
      <c r="DE352" s="3910"/>
      <c r="DF352" s="3910"/>
      <c r="DG352" s="3910"/>
      <c r="DH352" s="3910"/>
      <c r="DI352" s="4063">
        <f t="shared" si="400"/>
        <v>0</v>
      </c>
      <c r="DJ352" s="4066">
        <f t="shared" si="392"/>
        <v>0</v>
      </c>
      <c r="DL352" s="3180">
        <f t="shared" si="393"/>
        <v>0</v>
      </c>
      <c r="DN352" s="2743" t="s">
        <v>1283</v>
      </c>
      <c r="DO352" s="2744" t="s">
        <v>1284</v>
      </c>
      <c r="DP352" s="4027"/>
      <c r="DQ352" s="4027"/>
      <c r="DR352" s="4027" t="str">
        <f t="shared" si="388"/>
        <v>2</v>
      </c>
      <c r="DS352" s="2783"/>
      <c r="DT352" s="2783"/>
    </row>
    <row r="353" spans="2:124" ht="15" hidden="1" outlineLevel="5">
      <c r="B353" s="3839"/>
      <c r="C353" s="1479"/>
      <c r="D353" s="2953" t="s">
        <v>1508</v>
      </c>
      <c r="E353" s="580"/>
      <c r="F353" s="2953"/>
      <c r="G353" s="107"/>
      <c r="H353" s="2430" t="s">
        <v>1509</v>
      </c>
      <c r="I353" s="703"/>
      <c r="J353" s="103"/>
      <c r="K353" s="2783"/>
      <c r="L353" s="364"/>
      <c r="M353" s="364"/>
      <c r="N353" s="367"/>
      <c r="O353" s="367"/>
      <c r="P353" s="367"/>
      <c r="Q353" s="367"/>
      <c r="R353" s="367"/>
      <c r="S353" s="367"/>
      <c r="T353" s="367"/>
      <c r="U353" s="367"/>
      <c r="V353" s="2783"/>
      <c r="W353" s="3898"/>
      <c r="X353" s="3898"/>
      <c r="Y353" s="3898"/>
      <c r="Z353" s="3898"/>
      <c r="AA353" s="3898"/>
      <c r="AB353" s="3919"/>
      <c r="AC353" s="2783"/>
      <c r="AD353" s="3839"/>
      <c r="AE353" s="3842"/>
      <c r="AF353" s="3916"/>
      <c r="AG353" s="3916"/>
      <c r="AH353" s="3910"/>
      <c r="AI353" s="3910"/>
      <c r="AJ353" s="3913"/>
      <c r="AK353" s="2783"/>
      <c r="AL353" s="3910"/>
      <c r="AM353" s="3910"/>
      <c r="AN353" s="3910">
        <f t="shared" si="389"/>
        <v>0</v>
      </c>
      <c r="AO353" s="2783"/>
      <c r="AP353" s="3910"/>
      <c r="AQ353" s="3910"/>
      <c r="AR353" s="3910"/>
      <c r="AS353" s="3910"/>
      <c r="AT353" s="3910"/>
      <c r="AU353" s="3910"/>
      <c r="AV353" s="3910"/>
      <c r="AW353" s="3910"/>
      <c r="AX353" s="3910"/>
      <c r="AY353" s="3910"/>
      <c r="AZ353" s="3910">
        <f t="shared" si="394"/>
        <v>0</v>
      </c>
      <c r="BA353" s="2783"/>
      <c r="BB353" s="3910"/>
      <c r="BC353" s="3910"/>
      <c r="BD353" s="3910"/>
      <c r="BE353" s="3910"/>
      <c r="BF353" s="3910"/>
      <c r="BG353" s="3910"/>
      <c r="BH353" s="3910"/>
      <c r="BI353" s="3910"/>
      <c r="BJ353" s="3910"/>
      <c r="BK353" s="3910"/>
      <c r="BL353" s="3910"/>
      <c r="BM353" s="3910"/>
      <c r="BN353" s="3910">
        <f t="shared" si="396"/>
        <v>0</v>
      </c>
      <c r="BO353" s="3910"/>
      <c r="BP353" s="3910"/>
      <c r="BQ353" s="3910"/>
      <c r="BR353" s="3910"/>
      <c r="BS353" s="3910"/>
      <c r="BT353" s="3910"/>
      <c r="BU353" s="3910"/>
      <c r="BV353" s="3910"/>
      <c r="BW353" s="3910"/>
      <c r="BX353" s="3910"/>
      <c r="BY353" s="3910"/>
      <c r="BZ353" s="3910"/>
      <c r="CA353" s="3910"/>
      <c r="CB353" s="3910">
        <f t="shared" si="397"/>
        <v>0</v>
      </c>
      <c r="CC353" s="3910"/>
      <c r="CD353" s="3910"/>
      <c r="CE353" s="3910"/>
      <c r="CF353" s="3910"/>
      <c r="CG353" s="3910"/>
      <c r="CH353" s="3910"/>
      <c r="CI353" s="3910"/>
      <c r="CJ353" s="3910"/>
      <c r="CK353" s="3910"/>
      <c r="CL353" s="3910"/>
      <c r="CM353" s="3910"/>
      <c r="CN353" s="3910"/>
      <c r="CO353" s="3910"/>
      <c r="CP353" s="3910">
        <f t="shared" si="398"/>
        <v>0</v>
      </c>
      <c r="CQ353" s="3910"/>
      <c r="CR353" s="3910"/>
      <c r="CS353" s="3910"/>
      <c r="CT353" s="3910"/>
      <c r="CU353" s="3910"/>
      <c r="CV353" s="3910"/>
      <c r="CW353" s="3910"/>
      <c r="CX353" s="3910"/>
      <c r="CY353" s="3910"/>
      <c r="CZ353" s="3910"/>
      <c r="DA353" s="3910"/>
      <c r="DB353" s="3910"/>
      <c r="DC353" s="3910"/>
      <c r="DD353" s="3910">
        <f t="shared" si="399"/>
        <v>0</v>
      </c>
      <c r="DE353" s="3910"/>
      <c r="DF353" s="3910"/>
      <c r="DG353" s="3910"/>
      <c r="DH353" s="3910"/>
      <c r="DI353" s="4063">
        <f t="shared" si="400"/>
        <v>0</v>
      </c>
      <c r="DJ353" s="4066">
        <f t="shared" si="392"/>
        <v>0</v>
      </c>
      <c r="DL353" s="3180">
        <f t="shared" si="393"/>
        <v>0</v>
      </c>
      <c r="DN353" s="2743" t="s">
        <v>1283</v>
      </c>
      <c r="DO353" s="2744" t="s">
        <v>1284</v>
      </c>
      <c r="DP353" s="4027"/>
      <c r="DQ353" s="4027"/>
      <c r="DR353" s="4027" t="str">
        <f t="shared" si="388"/>
        <v>2</v>
      </c>
      <c r="DS353" s="2783"/>
      <c r="DT353" s="2783"/>
    </row>
    <row r="354" spans="2:124" ht="15" hidden="1" outlineLevel="5">
      <c r="B354" s="3839"/>
      <c r="C354" s="1479"/>
      <c r="D354" s="2953" t="s">
        <v>1510</v>
      </c>
      <c r="E354" s="580"/>
      <c r="F354" s="2953"/>
      <c r="G354" s="107"/>
      <c r="H354" s="2430" t="s">
        <v>1511</v>
      </c>
      <c r="I354" s="703"/>
      <c r="J354" s="103"/>
      <c r="K354" s="2783"/>
      <c r="L354" s="364"/>
      <c r="M354" s="364"/>
      <c r="N354" s="367"/>
      <c r="O354" s="367"/>
      <c r="P354" s="367"/>
      <c r="Q354" s="367"/>
      <c r="R354" s="367"/>
      <c r="S354" s="367"/>
      <c r="T354" s="367"/>
      <c r="U354" s="367"/>
      <c r="V354" s="2783"/>
      <c r="W354" s="3898"/>
      <c r="X354" s="3898"/>
      <c r="Y354" s="3898"/>
      <c r="Z354" s="3898"/>
      <c r="AA354" s="3898"/>
      <c r="AB354" s="3919"/>
      <c r="AC354" s="2783"/>
      <c r="AD354" s="3839"/>
      <c r="AE354" s="3842"/>
      <c r="AF354" s="3916"/>
      <c r="AG354" s="3916"/>
      <c r="AH354" s="3910"/>
      <c r="AI354" s="3910"/>
      <c r="AJ354" s="3913"/>
      <c r="AK354" s="2783"/>
      <c r="AL354" s="3910"/>
      <c r="AM354" s="3910"/>
      <c r="AN354" s="3910">
        <f t="shared" si="389"/>
        <v>0</v>
      </c>
      <c r="AO354" s="2783"/>
      <c r="AP354" s="3910"/>
      <c r="AQ354" s="3910"/>
      <c r="AR354" s="3910"/>
      <c r="AS354" s="3910"/>
      <c r="AT354" s="3910"/>
      <c r="AU354" s="3910"/>
      <c r="AV354" s="3910"/>
      <c r="AW354" s="3910"/>
      <c r="AX354" s="3910"/>
      <c r="AY354" s="3910"/>
      <c r="AZ354" s="3910">
        <f t="shared" si="394"/>
        <v>0</v>
      </c>
      <c r="BA354" s="2783"/>
      <c r="BB354" s="3910"/>
      <c r="BC354" s="3910"/>
      <c r="BD354" s="3910"/>
      <c r="BE354" s="3910"/>
      <c r="BF354" s="3910"/>
      <c r="BG354" s="3910"/>
      <c r="BH354" s="3910"/>
      <c r="BI354" s="3910"/>
      <c r="BJ354" s="3910"/>
      <c r="BK354" s="3910"/>
      <c r="BL354" s="3910"/>
      <c r="BM354" s="3910"/>
      <c r="BN354" s="3910">
        <f t="shared" si="396"/>
        <v>0</v>
      </c>
      <c r="BO354" s="3910"/>
      <c r="BP354" s="3910"/>
      <c r="BQ354" s="3910"/>
      <c r="BR354" s="3910"/>
      <c r="BS354" s="3910"/>
      <c r="BT354" s="3910"/>
      <c r="BU354" s="3910"/>
      <c r="BV354" s="3910"/>
      <c r="BW354" s="3910"/>
      <c r="BX354" s="3910"/>
      <c r="BY354" s="3910"/>
      <c r="BZ354" s="3910"/>
      <c r="CA354" s="3910"/>
      <c r="CB354" s="3910">
        <f t="shared" si="397"/>
        <v>0</v>
      </c>
      <c r="CC354" s="3910"/>
      <c r="CD354" s="3910"/>
      <c r="CE354" s="3910"/>
      <c r="CF354" s="3910"/>
      <c r="CG354" s="3910"/>
      <c r="CH354" s="3910"/>
      <c r="CI354" s="3910"/>
      <c r="CJ354" s="3910"/>
      <c r="CK354" s="3910"/>
      <c r="CL354" s="3910"/>
      <c r="CM354" s="3910"/>
      <c r="CN354" s="3910"/>
      <c r="CO354" s="3910"/>
      <c r="CP354" s="3910">
        <f t="shared" si="398"/>
        <v>0</v>
      </c>
      <c r="CQ354" s="3910"/>
      <c r="CR354" s="3910"/>
      <c r="CS354" s="3910"/>
      <c r="CT354" s="3910"/>
      <c r="CU354" s="3910"/>
      <c r="CV354" s="3910"/>
      <c r="CW354" s="3910"/>
      <c r="CX354" s="3910"/>
      <c r="CY354" s="3910"/>
      <c r="CZ354" s="3910"/>
      <c r="DA354" s="3910"/>
      <c r="DB354" s="3910"/>
      <c r="DC354" s="3910"/>
      <c r="DD354" s="3910">
        <f t="shared" si="399"/>
        <v>0</v>
      </c>
      <c r="DE354" s="3910"/>
      <c r="DF354" s="3910"/>
      <c r="DG354" s="3910"/>
      <c r="DH354" s="3910"/>
      <c r="DI354" s="4063">
        <f t="shared" si="400"/>
        <v>0</v>
      </c>
      <c r="DJ354" s="4066">
        <f t="shared" si="392"/>
        <v>0</v>
      </c>
      <c r="DL354" s="3180">
        <f t="shared" si="393"/>
        <v>0</v>
      </c>
      <c r="DN354" s="2743" t="s">
        <v>1283</v>
      </c>
      <c r="DO354" s="2744" t="s">
        <v>1284</v>
      </c>
      <c r="DP354" s="4027"/>
      <c r="DQ354" s="4027"/>
      <c r="DR354" s="4027" t="str">
        <f t="shared" si="388"/>
        <v>2</v>
      </c>
      <c r="DS354" s="2783"/>
      <c r="DT354" s="2783"/>
    </row>
    <row r="355" spans="2:124" ht="15" hidden="1" outlineLevel="5">
      <c r="B355" s="3840"/>
      <c r="C355" s="765"/>
      <c r="D355" s="2953" t="s">
        <v>1512</v>
      </c>
      <c r="E355" s="580"/>
      <c r="F355" s="2953"/>
      <c r="G355" s="107"/>
      <c r="H355" s="2430" t="s">
        <v>1513</v>
      </c>
      <c r="I355" s="703"/>
      <c r="J355" s="103"/>
      <c r="K355" s="2783"/>
      <c r="L355" s="364"/>
      <c r="M355" s="364"/>
      <c r="N355" s="367"/>
      <c r="O355" s="367"/>
      <c r="P355" s="367"/>
      <c r="Q355" s="367"/>
      <c r="R355" s="367"/>
      <c r="S355" s="367"/>
      <c r="T355" s="367"/>
      <c r="U355" s="367"/>
      <c r="V355" s="2783"/>
      <c r="W355" s="3899"/>
      <c r="X355" s="3899"/>
      <c r="Y355" s="3899"/>
      <c r="Z355" s="3899"/>
      <c r="AA355" s="3899"/>
      <c r="AB355" s="3920"/>
      <c r="AC355" s="2783"/>
      <c r="AD355" s="3840"/>
      <c r="AE355" s="3843"/>
      <c r="AF355" s="3917"/>
      <c r="AG355" s="3917"/>
      <c r="AH355" s="3911"/>
      <c r="AI355" s="3911"/>
      <c r="AJ355" s="3914"/>
      <c r="AK355" s="2783"/>
      <c r="AL355" s="3911"/>
      <c r="AM355" s="3911"/>
      <c r="AN355" s="3911">
        <f t="shared" si="389"/>
        <v>0</v>
      </c>
      <c r="AO355" s="2783"/>
      <c r="AP355" s="3911"/>
      <c r="AQ355" s="3911"/>
      <c r="AR355" s="3911"/>
      <c r="AS355" s="3911"/>
      <c r="AT355" s="3911"/>
      <c r="AU355" s="3911"/>
      <c r="AV355" s="3911"/>
      <c r="AW355" s="3911"/>
      <c r="AX355" s="3911"/>
      <c r="AY355" s="3911"/>
      <c r="AZ355" s="3911">
        <f t="shared" si="394"/>
        <v>0</v>
      </c>
      <c r="BA355" s="2783"/>
      <c r="BB355" s="3911"/>
      <c r="BC355" s="3911"/>
      <c r="BD355" s="3911"/>
      <c r="BE355" s="3911"/>
      <c r="BF355" s="3911"/>
      <c r="BG355" s="3911"/>
      <c r="BH355" s="3911"/>
      <c r="BI355" s="3911"/>
      <c r="BJ355" s="3911"/>
      <c r="BK355" s="3911"/>
      <c r="BL355" s="3911"/>
      <c r="BM355" s="3911"/>
      <c r="BN355" s="3911">
        <f t="shared" si="396"/>
        <v>0</v>
      </c>
      <c r="BO355" s="3911"/>
      <c r="BP355" s="3911"/>
      <c r="BQ355" s="3911"/>
      <c r="BR355" s="3911"/>
      <c r="BS355" s="3911"/>
      <c r="BT355" s="3911"/>
      <c r="BU355" s="3911"/>
      <c r="BV355" s="3911"/>
      <c r="BW355" s="3911"/>
      <c r="BX355" s="3911"/>
      <c r="BY355" s="3911"/>
      <c r="BZ355" s="3911"/>
      <c r="CA355" s="3911"/>
      <c r="CB355" s="3911">
        <f t="shared" si="397"/>
        <v>0</v>
      </c>
      <c r="CC355" s="3911"/>
      <c r="CD355" s="3911"/>
      <c r="CE355" s="3911"/>
      <c r="CF355" s="3911"/>
      <c r="CG355" s="3911"/>
      <c r="CH355" s="3911"/>
      <c r="CI355" s="3911"/>
      <c r="CJ355" s="3911"/>
      <c r="CK355" s="3911"/>
      <c r="CL355" s="3911"/>
      <c r="CM355" s="3911"/>
      <c r="CN355" s="3911"/>
      <c r="CO355" s="3911"/>
      <c r="CP355" s="3911">
        <f t="shared" si="398"/>
        <v>0</v>
      </c>
      <c r="CQ355" s="3911"/>
      <c r="CR355" s="3911"/>
      <c r="CS355" s="3911"/>
      <c r="CT355" s="3911"/>
      <c r="CU355" s="3911"/>
      <c r="CV355" s="3911"/>
      <c r="CW355" s="3911"/>
      <c r="CX355" s="3911"/>
      <c r="CY355" s="3911"/>
      <c r="CZ355" s="3911"/>
      <c r="DA355" s="3911"/>
      <c r="DB355" s="3911"/>
      <c r="DC355" s="3911"/>
      <c r="DD355" s="3911">
        <f t="shared" si="399"/>
        <v>0</v>
      </c>
      <c r="DE355" s="3911"/>
      <c r="DF355" s="3911"/>
      <c r="DG355" s="3911"/>
      <c r="DH355" s="3911"/>
      <c r="DI355" s="4064">
        <f t="shared" si="400"/>
        <v>0</v>
      </c>
      <c r="DJ355" s="4067">
        <f t="shared" si="392"/>
        <v>0</v>
      </c>
      <c r="DL355" s="3180">
        <f t="shared" si="393"/>
        <v>0</v>
      </c>
      <c r="DN355" s="2743" t="s">
        <v>1283</v>
      </c>
      <c r="DO355" s="2744" t="s">
        <v>1284</v>
      </c>
      <c r="DP355" s="4028"/>
      <c r="DQ355" s="4028"/>
      <c r="DR355" s="4028" t="str">
        <f t="shared" si="388"/>
        <v>2</v>
      </c>
      <c r="DS355" s="2783"/>
      <c r="DT355" s="2783"/>
    </row>
    <row r="356" spans="2:124" s="1655" customFormat="1" ht="15" hidden="1" outlineLevel="4">
      <c r="B356" s="3004"/>
      <c r="C356" s="1665"/>
      <c r="D356" s="3005" t="s">
        <v>1514</v>
      </c>
      <c r="E356" s="1665"/>
      <c r="F356" s="3005"/>
      <c r="G356" s="1666"/>
      <c r="H356" s="3006" t="s">
        <v>1515</v>
      </c>
      <c r="I356" s="1658" t="s">
        <v>5</v>
      </c>
      <c r="J356" s="1622"/>
      <c r="K356" s="3007"/>
      <c r="L356" s="3008" t="e">
        <f>'1_MdR'!#REF!</f>
        <v>#REF!</v>
      </c>
      <c r="M356" s="3008" t="e">
        <f>'1_MdR'!#REF!</f>
        <v>#REF!</v>
      </c>
      <c r="N356" s="1661" t="e">
        <f>'1_MdR'!#REF!</f>
        <v>#REF!</v>
      </c>
      <c r="O356" s="1661" t="e">
        <f>'1_MdR'!#REF!</f>
        <v>#REF!</v>
      </c>
      <c r="P356" s="1661" t="e">
        <f>'1_MdR'!#REF!</f>
        <v>#REF!</v>
      </c>
      <c r="Q356" s="1661" t="e">
        <f>'1_MdR'!#REF!</f>
        <v>#REF!</v>
      </c>
      <c r="R356" s="1661" t="e">
        <f>'1_MdR'!#REF!</f>
        <v>#REF!</v>
      </c>
      <c r="S356" s="1661" t="e">
        <f>'1_MdR'!#REF!</f>
        <v>#REF!</v>
      </c>
      <c r="T356" s="1661" t="e">
        <f>'1_MdR'!#REF!</f>
        <v>#REF!</v>
      </c>
      <c r="U356" s="1661" t="e">
        <f>'1_MdR'!#REF!</f>
        <v>#REF!</v>
      </c>
      <c r="V356" s="3007"/>
      <c r="W356" s="1619"/>
      <c r="X356" s="3008"/>
      <c r="Y356" s="3008"/>
      <c r="Z356" s="3008"/>
      <c r="AA356" s="3008"/>
      <c r="AB356" s="1622"/>
      <c r="AC356" s="3007"/>
      <c r="AD356" s="3004"/>
      <c r="AE356" s="1665"/>
      <c r="AF356" s="1665"/>
      <c r="AG356" s="1665"/>
      <c r="AH356" s="3009"/>
      <c r="AI356" s="3010">
        <f>+AI364</f>
        <v>300000</v>
      </c>
      <c r="AJ356" s="3011"/>
      <c r="AK356" s="3007"/>
      <c r="AL356" s="3010">
        <f>+AL364</f>
        <v>300000</v>
      </c>
      <c r="AM356" s="3010">
        <f>+AM364</f>
        <v>0</v>
      </c>
      <c r="AN356" s="3009">
        <f t="shared" si="389"/>
        <v>300000</v>
      </c>
      <c r="AO356" s="3007"/>
      <c r="AP356" s="3010">
        <f t="shared" ref="AP356:AY356" si="419">+AP364</f>
        <v>0</v>
      </c>
      <c r="AQ356" s="3010">
        <f t="shared" si="419"/>
        <v>0</v>
      </c>
      <c r="AR356" s="3010">
        <f t="shared" si="419"/>
        <v>0</v>
      </c>
      <c r="AS356" s="3010">
        <f t="shared" si="419"/>
        <v>0</v>
      </c>
      <c r="AT356" s="3010">
        <f t="shared" si="419"/>
        <v>0</v>
      </c>
      <c r="AU356" s="3010">
        <f t="shared" si="419"/>
        <v>0</v>
      </c>
      <c r="AV356" s="3010">
        <f t="shared" si="419"/>
        <v>0</v>
      </c>
      <c r="AW356" s="3010">
        <f t="shared" si="419"/>
        <v>0</v>
      </c>
      <c r="AX356" s="3010">
        <f t="shared" si="419"/>
        <v>0</v>
      </c>
      <c r="AY356" s="3010">
        <f t="shared" si="419"/>
        <v>0</v>
      </c>
      <c r="AZ356" s="3009">
        <f t="shared" ref="AZ356:AZ440" si="420">SUM(AP356:AY356)</f>
        <v>0</v>
      </c>
      <c r="BA356" s="2783"/>
      <c r="BB356" s="3010">
        <f t="shared" ref="BB356:BM356" si="421">+BB364</f>
        <v>0</v>
      </c>
      <c r="BC356" s="3010">
        <f t="shared" si="421"/>
        <v>0</v>
      </c>
      <c r="BD356" s="3010">
        <f t="shared" si="421"/>
        <v>0</v>
      </c>
      <c r="BE356" s="3010">
        <f t="shared" si="421"/>
        <v>0</v>
      </c>
      <c r="BF356" s="3010">
        <f t="shared" si="421"/>
        <v>0</v>
      </c>
      <c r="BG356" s="3010">
        <f t="shared" si="421"/>
        <v>0</v>
      </c>
      <c r="BH356" s="3010">
        <f t="shared" si="421"/>
        <v>0</v>
      </c>
      <c r="BI356" s="3010">
        <f t="shared" si="421"/>
        <v>0</v>
      </c>
      <c r="BJ356" s="3010">
        <f t="shared" si="421"/>
        <v>0</v>
      </c>
      <c r="BK356" s="3010">
        <f t="shared" si="421"/>
        <v>0</v>
      </c>
      <c r="BL356" s="3010">
        <f t="shared" si="421"/>
        <v>0</v>
      </c>
      <c r="BM356" s="3010">
        <f t="shared" si="421"/>
        <v>75000</v>
      </c>
      <c r="BN356" s="3009">
        <f t="shared" ref="BN356:BN440" si="422">SUM(BB356:BM356)</f>
        <v>75000</v>
      </c>
      <c r="BO356" s="3007"/>
      <c r="BP356" s="3010">
        <f t="shared" ref="BP356:CA356" si="423">+BP364</f>
        <v>0</v>
      </c>
      <c r="BQ356" s="3010">
        <f t="shared" si="423"/>
        <v>0</v>
      </c>
      <c r="BR356" s="3010">
        <f t="shared" si="423"/>
        <v>0</v>
      </c>
      <c r="BS356" s="3010">
        <f t="shared" si="423"/>
        <v>0</v>
      </c>
      <c r="BT356" s="3010">
        <f t="shared" si="423"/>
        <v>0</v>
      </c>
      <c r="BU356" s="3010">
        <f t="shared" si="423"/>
        <v>0</v>
      </c>
      <c r="BV356" s="3010">
        <f t="shared" si="423"/>
        <v>0</v>
      </c>
      <c r="BW356" s="3010">
        <f t="shared" si="423"/>
        <v>0</v>
      </c>
      <c r="BX356" s="3010">
        <f t="shared" si="423"/>
        <v>0</v>
      </c>
      <c r="BY356" s="3010">
        <f t="shared" si="423"/>
        <v>0</v>
      </c>
      <c r="BZ356" s="3010">
        <f t="shared" si="423"/>
        <v>0</v>
      </c>
      <c r="CA356" s="3010">
        <f t="shared" si="423"/>
        <v>75000</v>
      </c>
      <c r="CB356" s="3009">
        <f t="shared" ref="CB356:CB438" si="424">SUM(BP356:CA356)</f>
        <v>75000</v>
      </c>
      <c r="CC356" s="3007"/>
      <c r="CD356" s="3010">
        <f t="shared" ref="CD356:CO356" si="425">+CD364</f>
        <v>0</v>
      </c>
      <c r="CE356" s="3010">
        <f t="shared" si="425"/>
        <v>0</v>
      </c>
      <c r="CF356" s="3010">
        <f t="shared" si="425"/>
        <v>0</v>
      </c>
      <c r="CG356" s="3010">
        <f t="shared" si="425"/>
        <v>0</v>
      </c>
      <c r="CH356" s="3010">
        <f t="shared" si="425"/>
        <v>0</v>
      </c>
      <c r="CI356" s="3010">
        <f t="shared" si="425"/>
        <v>0</v>
      </c>
      <c r="CJ356" s="3010">
        <f t="shared" si="425"/>
        <v>0</v>
      </c>
      <c r="CK356" s="3010">
        <f t="shared" si="425"/>
        <v>0</v>
      </c>
      <c r="CL356" s="3010">
        <f t="shared" si="425"/>
        <v>0</v>
      </c>
      <c r="CM356" s="3010">
        <f t="shared" si="425"/>
        <v>0</v>
      </c>
      <c r="CN356" s="3010">
        <f t="shared" si="425"/>
        <v>0</v>
      </c>
      <c r="CO356" s="3010">
        <f t="shared" si="425"/>
        <v>75000</v>
      </c>
      <c r="CP356" s="3009">
        <f t="shared" ref="CP356:CP438" si="426">SUM(CD356:CO356)</f>
        <v>75000</v>
      </c>
      <c r="CQ356" s="3007"/>
      <c r="CR356" s="3010">
        <f t="shared" ref="CR356:DC356" si="427">+CR364</f>
        <v>0</v>
      </c>
      <c r="CS356" s="3010">
        <f t="shared" si="427"/>
        <v>0</v>
      </c>
      <c r="CT356" s="3010">
        <f t="shared" si="427"/>
        <v>0</v>
      </c>
      <c r="CU356" s="3010">
        <f t="shared" si="427"/>
        <v>0</v>
      </c>
      <c r="CV356" s="3010">
        <f t="shared" si="427"/>
        <v>0</v>
      </c>
      <c r="CW356" s="3010">
        <f t="shared" si="427"/>
        <v>0</v>
      </c>
      <c r="CX356" s="3010">
        <f t="shared" si="427"/>
        <v>0</v>
      </c>
      <c r="CY356" s="3010">
        <f t="shared" si="427"/>
        <v>0</v>
      </c>
      <c r="CZ356" s="3010">
        <f t="shared" si="427"/>
        <v>0</v>
      </c>
      <c r="DA356" s="3010">
        <f t="shared" si="427"/>
        <v>0</v>
      </c>
      <c r="DB356" s="3010">
        <f t="shared" si="427"/>
        <v>0</v>
      </c>
      <c r="DC356" s="3010">
        <f t="shared" si="427"/>
        <v>75000</v>
      </c>
      <c r="DD356" s="3009">
        <f t="shared" ref="DD356:DD438" si="428">SUM(CR356:DC356)</f>
        <v>75000</v>
      </c>
      <c r="DE356" s="3007"/>
      <c r="DF356" s="3010">
        <f>+DF364</f>
        <v>0</v>
      </c>
      <c r="DG356" s="3010">
        <f>+DG364</f>
        <v>0</v>
      </c>
      <c r="DH356" s="3010">
        <f>+DH364</f>
        <v>0</v>
      </c>
      <c r="DI356" s="3103">
        <f t="shared" ref="DI356:DI438" si="429">SUM(DF356:DH356)</f>
        <v>0</v>
      </c>
      <c r="DJ356" s="3168">
        <f t="shared" si="392"/>
        <v>300000</v>
      </c>
      <c r="DL356" s="3183">
        <f t="shared" si="393"/>
        <v>0</v>
      </c>
      <c r="DN356" s="2767" t="s">
        <v>1175</v>
      </c>
      <c r="DO356" s="2768" t="s">
        <v>1175</v>
      </c>
      <c r="DP356" s="2768"/>
      <c r="DQ356" s="2768" t="s">
        <v>1175</v>
      </c>
      <c r="DR356" s="2768" t="str">
        <f t="shared" si="388"/>
        <v>2</v>
      </c>
      <c r="DS356" s="3007"/>
      <c r="DT356" s="3007"/>
    </row>
    <row r="357" spans="2:124" hidden="1" outlineLevel="4">
      <c r="B357" s="711"/>
      <c r="C357" s="182"/>
      <c r="D357" s="2953"/>
      <c r="E357" s="580"/>
      <c r="F357" s="2953"/>
      <c r="G357" s="107"/>
      <c r="H357" s="2430"/>
      <c r="I357" s="703"/>
      <c r="J357" s="103"/>
      <c r="K357" s="2783"/>
      <c r="L357" s="364"/>
      <c r="M357" s="364"/>
      <c r="N357" s="367"/>
      <c r="O357" s="367"/>
      <c r="P357" s="367"/>
      <c r="Q357" s="367"/>
      <c r="R357" s="367"/>
      <c r="S357" s="367"/>
      <c r="T357" s="367"/>
      <c r="U357" s="367"/>
      <c r="V357" s="2783"/>
      <c r="W357" s="852"/>
      <c r="X357" s="852"/>
      <c r="Y357" s="852"/>
      <c r="Z357" s="852"/>
      <c r="AA357" s="852"/>
      <c r="AB357" s="1318"/>
      <c r="AC357" s="2783"/>
      <c r="AD357" s="711"/>
      <c r="AE357" s="712"/>
      <c r="AF357" s="179"/>
      <c r="AG357" s="179"/>
      <c r="AH357" s="1746"/>
      <c r="AI357" s="1746"/>
      <c r="AJ357" s="2690"/>
      <c r="AK357" s="2783"/>
      <c r="AL357" s="1746"/>
      <c r="AM357" s="1746"/>
      <c r="AN357" s="1747"/>
      <c r="AO357" s="2783"/>
      <c r="AP357" s="1015"/>
      <c r="AQ357" s="1015"/>
      <c r="AR357" s="1015"/>
      <c r="AS357" s="1015"/>
      <c r="AT357" s="1015"/>
      <c r="AU357" s="1015"/>
      <c r="AV357" s="1015"/>
      <c r="AW357" s="1015"/>
      <c r="AX357" s="1015"/>
      <c r="AY357" s="1015"/>
      <c r="AZ357" s="2026"/>
      <c r="BA357" s="2783"/>
      <c r="BB357" s="1015"/>
      <c r="BC357" s="1015"/>
      <c r="BD357" s="1015"/>
      <c r="BE357" s="1015"/>
      <c r="BF357" s="1015"/>
      <c r="BG357" s="1015"/>
      <c r="BH357" s="1015"/>
      <c r="BI357" s="1015"/>
      <c r="BJ357" s="1015"/>
      <c r="BK357" s="1015"/>
      <c r="BL357" s="1015"/>
      <c r="BM357" s="1015"/>
      <c r="BN357" s="2026"/>
      <c r="BO357" s="2783"/>
      <c r="BP357" s="1015"/>
      <c r="BQ357" s="1015"/>
      <c r="BR357" s="1015"/>
      <c r="BS357" s="1015"/>
      <c r="BT357" s="1015"/>
      <c r="BU357" s="1015"/>
      <c r="BV357" s="1015"/>
      <c r="BW357" s="1015"/>
      <c r="BX357" s="1015"/>
      <c r="BY357" s="1015"/>
      <c r="BZ357" s="1015"/>
      <c r="CA357" s="1015"/>
      <c r="CB357" s="2026"/>
      <c r="CC357" s="2783"/>
      <c r="CD357" s="1015"/>
      <c r="CE357" s="1015"/>
      <c r="CF357" s="1015"/>
      <c r="CG357" s="1015"/>
      <c r="CH357" s="1015"/>
      <c r="CI357" s="1015"/>
      <c r="CJ357" s="1015"/>
      <c r="CK357" s="1015"/>
      <c r="CL357" s="1015"/>
      <c r="CM357" s="1015"/>
      <c r="CN357" s="1015"/>
      <c r="CO357" s="1015"/>
      <c r="CP357" s="2035"/>
      <c r="CQ357" s="2783"/>
      <c r="CR357" s="1015"/>
      <c r="CS357" s="1015"/>
      <c r="CT357" s="1015"/>
      <c r="CU357" s="1015"/>
      <c r="CV357" s="1015"/>
      <c r="CW357" s="1015"/>
      <c r="CX357" s="1015"/>
      <c r="CY357" s="1015"/>
      <c r="CZ357" s="1015"/>
      <c r="DA357" s="1015"/>
      <c r="DB357" s="1015"/>
      <c r="DC357" s="1015"/>
      <c r="DD357" s="2046"/>
      <c r="DE357" s="2783"/>
      <c r="DF357" s="1015"/>
      <c r="DG357" s="1015"/>
      <c r="DH357" s="1015"/>
      <c r="DI357" s="2046"/>
      <c r="DJ357" s="3164"/>
      <c r="DL357" s="3180"/>
      <c r="DN357" s="3012"/>
      <c r="DO357" s="3013"/>
      <c r="DP357" s="2744"/>
      <c r="DQ357" s="2744"/>
      <c r="DR357" s="2744"/>
      <c r="DS357" s="2783"/>
      <c r="DT357" s="2783"/>
    </row>
    <row r="358" spans="2:124" s="153" customFormat="1" ht="15" hidden="1" outlineLevel="3">
      <c r="B358" s="173"/>
      <c r="C358" s="704"/>
      <c r="D358" s="435" t="s">
        <v>1516</v>
      </c>
      <c r="E358" s="704"/>
      <c r="F358" s="435"/>
      <c r="G358" s="354"/>
      <c r="H358" s="2994" t="s">
        <v>1517</v>
      </c>
      <c r="I358" s="1547" t="s">
        <v>5</v>
      </c>
      <c r="J358" s="173"/>
      <c r="K358" s="2783"/>
      <c r="L358" s="853" t="e">
        <f>'1_MdR'!#REF!</f>
        <v>#REF!</v>
      </c>
      <c r="M358" s="853" t="e">
        <f>'1_MdR'!#REF!</f>
        <v>#REF!</v>
      </c>
      <c r="N358" s="853" t="e">
        <f>'1_MdR'!#REF!</f>
        <v>#REF!</v>
      </c>
      <c r="O358" s="853" t="e">
        <f>'1_MdR'!#REF!</f>
        <v>#REF!</v>
      </c>
      <c r="P358" s="853" t="e">
        <f>'1_MdR'!#REF!</f>
        <v>#REF!</v>
      </c>
      <c r="Q358" s="853" t="e">
        <f>'1_MdR'!#REF!</f>
        <v>#REF!</v>
      </c>
      <c r="R358" s="853" t="e">
        <f>'1_MdR'!#REF!</f>
        <v>#REF!</v>
      </c>
      <c r="S358" s="853" t="e">
        <f>'1_MdR'!#REF!</f>
        <v>#REF!</v>
      </c>
      <c r="T358" s="853" t="e">
        <f>'1_MdR'!#REF!</f>
        <v>#REF!</v>
      </c>
      <c r="U358" s="853" t="e">
        <f>'1_MdR'!#REF!</f>
        <v>#REF!</v>
      </c>
      <c r="V358" s="2783"/>
      <c r="W358" s="364"/>
      <c r="X358" s="853"/>
      <c r="Y358" s="853"/>
      <c r="Z358" s="853"/>
      <c r="AA358" s="853"/>
      <c r="AB358" s="173"/>
      <c r="AC358" s="2783"/>
      <c r="AD358" s="173"/>
      <c r="AE358" s="704"/>
      <c r="AF358" s="704"/>
      <c r="AG358" s="704"/>
      <c r="AH358" s="485"/>
      <c r="AI358" s="485">
        <f>SUM(AI359:AI364)</f>
        <v>1793500</v>
      </c>
      <c r="AJ358" s="2314"/>
      <c r="AK358" s="2783"/>
      <c r="AL358" s="485">
        <f>SUM(AL359:AL363)</f>
        <v>1493500</v>
      </c>
      <c r="AM358" s="485">
        <f>SUM(AM359:AM363)</f>
        <v>0</v>
      </c>
      <c r="AN358" s="485">
        <f t="shared" ref="AN358:AN363" si="430">+AL358+AM358</f>
        <v>1493500</v>
      </c>
      <c r="AO358" s="2783"/>
      <c r="AP358" s="485">
        <f t="shared" ref="AP358:AY358" si="431">SUM(AP359:AP363)</f>
        <v>0</v>
      </c>
      <c r="AQ358" s="485">
        <f t="shared" si="431"/>
        <v>0</v>
      </c>
      <c r="AR358" s="485">
        <f t="shared" si="431"/>
        <v>0</v>
      </c>
      <c r="AS358" s="485">
        <f t="shared" si="431"/>
        <v>0</v>
      </c>
      <c r="AT358" s="485">
        <f t="shared" si="431"/>
        <v>0</v>
      </c>
      <c r="AU358" s="485">
        <f t="shared" si="431"/>
        <v>0</v>
      </c>
      <c r="AV358" s="485">
        <f t="shared" si="431"/>
        <v>0</v>
      </c>
      <c r="AW358" s="485">
        <f t="shared" si="431"/>
        <v>0</v>
      </c>
      <c r="AX358" s="485">
        <f t="shared" si="431"/>
        <v>0</v>
      </c>
      <c r="AY358" s="485">
        <f t="shared" si="431"/>
        <v>0</v>
      </c>
      <c r="AZ358" s="485">
        <f t="shared" ref="AZ358:AZ363" si="432">SUM(AP358:AY358)</f>
        <v>0</v>
      </c>
      <c r="BA358" s="2783"/>
      <c r="BB358" s="485">
        <f t="shared" ref="BB358:BM358" si="433">SUM(BB359:BB363)</f>
        <v>0</v>
      </c>
      <c r="BC358" s="485">
        <f t="shared" si="433"/>
        <v>0</v>
      </c>
      <c r="BD358" s="485">
        <f t="shared" si="433"/>
        <v>0</v>
      </c>
      <c r="BE358" s="485">
        <f t="shared" si="433"/>
        <v>0</v>
      </c>
      <c r="BF358" s="485">
        <f t="shared" si="433"/>
        <v>0</v>
      </c>
      <c r="BG358" s="485">
        <f t="shared" si="433"/>
        <v>0</v>
      </c>
      <c r="BH358" s="485">
        <f t="shared" si="433"/>
        <v>55750</v>
      </c>
      <c r="BI358" s="485">
        <f t="shared" si="433"/>
        <v>0</v>
      </c>
      <c r="BJ358" s="485">
        <f t="shared" si="433"/>
        <v>0</v>
      </c>
      <c r="BK358" s="485">
        <f t="shared" si="433"/>
        <v>0</v>
      </c>
      <c r="BL358" s="485">
        <f t="shared" si="433"/>
        <v>55750</v>
      </c>
      <c r="BM358" s="485">
        <f t="shared" si="433"/>
        <v>0</v>
      </c>
      <c r="BN358" s="485">
        <f t="shared" ref="BN358:BN363" si="434">SUM(BB358:BM358)</f>
        <v>111500</v>
      </c>
      <c r="BO358" s="2783"/>
      <c r="BP358" s="485">
        <f t="shared" ref="BP358:CA358" si="435">SUM(BP359:BP363)</f>
        <v>0</v>
      </c>
      <c r="BQ358" s="485">
        <f t="shared" si="435"/>
        <v>0</v>
      </c>
      <c r="BR358" s="485">
        <f t="shared" si="435"/>
        <v>55750</v>
      </c>
      <c r="BS358" s="485">
        <f t="shared" si="435"/>
        <v>0</v>
      </c>
      <c r="BT358" s="485">
        <f t="shared" si="435"/>
        <v>0</v>
      </c>
      <c r="BU358" s="485">
        <f t="shared" si="435"/>
        <v>55750</v>
      </c>
      <c r="BV358" s="485">
        <f t="shared" si="435"/>
        <v>0</v>
      </c>
      <c r="BW358" s="485">
        <f t="shared" si="435"/>
        <v>0</v>
      </c>
      <c r="BX358" s="485">
        <f t="shared" si="435"/>
        <v>20000</v>
      </c>
      <c r="BY358" s="485">
        <f t="shared" si="435"/>
        <v>0</v>
      </c>
      <c r="BZ358" s="485">
        <f t="shared" si="435"/>
        <v>0</v>
      </c>
      <c r="CA358" s="485">
        <f t="shared" si="435"/>
        <v>255125</v>
      </c>
      <c r="CB358" s="485">
        <f t="shared" ref="CB358:CB363" si="436">SUM(BP358:CA358)</f>
        <v>386625</v>
      </c>
      <c r="CC358" s="2783"/>
      <c r="CD358" s="485">
        <f t="shared" ref="CD358:CO358" si="437">SUM(CD359:CD363)</f>
        <v>20000</v>
      </c>
      <c r="CE358" s="485">
        <f t="shared" si="437"/>
        <v>285125</v>
      </c>
      <c r="CF358" s="485">
        <f t="shared" si="437"/>
        <v>0</v>
      </c>
      <c r="CG358" s="485">
        <f t="shared" si="437"/>
        <v>0</v>
      </c>
      <c r="CH358" s="485">
        <f t="shared" si="437"/>
        <v>20000</v>
      </c>
      <c r="CI358" s="485">
        <f t="shared" si="437"/>
        <v>30000</v>
      </c>
      <c r="CJ358" s="485">
        <f t="shared" si="437"/>
        <v>0</v>
      </c>
      <c r="CK358" s="485">
        <f t="shared" si="437"/>
        <v>0</v>
      </c>
      <c r="CL358" s="485">
        <f t="shared" si="437"/>
        <v>20000</v>
      </c>
      <c r="CM358" s="485">
        <f t="shared" si="437"/>
        <v>30000</v>
      </c>
      <c r="CN358" s="485">
        <f t="shared" si="437"/>
        <v>0</v>
      </c>
      <c r="CO358" s="485">
        <f t="shared" si="437"/>
        <v>255125</v>
      </c>
      <c r="CP358" s="485">
        <f t="shared" ref="CP358:CP364" si="438">SUM(CD358:CO358)</f>
        <v>660250</v>
      </c>
      <c r="CQ358" s="2783"/>
      <c r="CR358" s="485">
        <f t="shared" ref="CR358:DC358" si="439">SUM(CR359:CR363)</f>
        <v>20000</v>
      </c>
      <c r="CS358" s="485">
        <f t="shared" si="439"/>
        <v>285125</v>
      </c>
      <c r="CT358" s="485">
        <f t="shared" si="439"/>
        <v>0</v>
      </c>
      <c r="CU358" s="485">
        <f t="shared" si="439"/>
        <v>0</v>
      </c>
      <c r="CV358" s="485">
        <f t="shared" si="439"/>
        <v>0</v>
      </c>
      <c r="CW358" s="485">
        <f t="shared" si="439"/>
        <v>30000</v>
      </c>
      <c r="CX358" s="485">
        <f t="shared" si="439"/>
        <v>0</v>
      </c>
      <c r="CY358" s="485">
        <f t="shared" si="439"/>
        <v>0</v>
      </c>
      <c r="CZ358" s="485">
        <f t="shared" si="439"/>
        <v>0</v>
      </c>
      <c r="DA358" s="485">
        <f t="shared" si="439"/>
        <v>0</v>
      </c>
      <c r="DB358" s="485">
        <f t="shared" si="439"/>
        <v>0</v>
      </c>
      <c r="DC358" s="485">
        <f t="shared" si="439"/>
        <v>0</v>
      </c>
      <c r="DD358" s="485">
        <f t="shared" ref="DD358:DD363" si="440">SUM(CR358:DC358)</f>
        <v>335125</v>
      </c>
      <c r="DE358" s="2783"/>
      <c r="DF358" s="485">
        <f>SUM(DF359:DF363)</f>
        <v>0</v>
      </c>
      <c r="DG358" s="485">
        <f>SUM(DG359:DG363)</f>
        <v>0</v>
      </c>
      <c r="DH358" s="485">
        <f>SUM(DH359:DH363)</f>
        <v>0</v>
      </c>
      <c r="DI358" s="3101">
        <f t="shared" ref="DI358:DI363" si="441">SUM(DF358:DH358)</f>
        <v>0</v>
      </c>
      <c r="DJ358" s="3163">
        <f t="shared" ref="DJ358:DJ363" si="442">+AZ358+BN358+CB358+CP358+DD358+DI358</f>
        <v>1493500</v>
      </c>
      <c r="DL358" s="3180">
        <f t="shared" ref="DL358:DL363" si="443">+AN358-DJ358</f>
        <v>0</v>
      </c>
      <c r="DN358" s="2716" t="s">
        <v>1175</v>
      </c>
      <c r="DO358" s="2740" t="s">
        <v>1175</v>
      </c>
      <c r="DP358" s="2740"/>
      <c r="DQ358" s="2740" t="s">
        <v>1175</v>
      </c>
      <c r="DR358" s="2740" t="str">
        <f t="shared" ref="DR358:DR363" si="444">MID(D358,1,1)</f>
        <v>2</v>
      </c>
      <c r="DS358" s="2783"/>
      <c r="DT358" s="2783"/>
    </row>
    <row r="359" spans="2:124" ht="45" hidden="1" outlineLevel="4">
      <c r="B359" s="711"/>
      <c r="C359" s="182"/>
      <c r="D359" s="2953" t="s">
        <v>1518</v>
      </c>
      <c r="E359" s="580"/>
      <c r="F359" s="2953"/>
      <c r="G359" s="107"/>
      <c r="H359" s="3002" t="s">
        <v>1519</v>
      </c>
      <c r="I359" s="703"/>
      <c r="J359" s="103"/>
      <c r="K359" s="2783"/>
      <c r="L359" s="364"/>
      <c r="M359" s="364"/>
      <c r="N359" s="367"/>
      <c r="O359" s="367"/>
      <c r="P359" s="367"/>
      <c r="Q359" s="367"/>
      <c r="R359" s="367"/>
      <c r="S359" s="367"/>
      <c r="T359" s="367"/>
      <c r="U359" s="367"/>
      <c r="V359" s="2783"/>
      <c r="W359" s="364" t="s">
        <v>723</v>
      </c>
      <c r="X359" s="364"/>
      <c r="Y359" s="364"/>
      <c r="Z359" s="364"/>
      <c r="AA359" s="364"/>
      <c r="AB359" s="181" t="s">
        <v>1520</v>
      </c>
      <c r="AC359" s="2783"/>
      <c r="AD359" s="711" t="s">
        <v>1179</v>
      </c>
      <c r="AE359" s="712">
        <v>1</v>
      </c>
      <c r="AF359" s="179"/>
      <c r="AG359" s="179"/>
      <c r="AH359" s="1746">
        <f>1000000-182000+200000+2500</f>
        <v>1020500</v>
      </c>
      <c r="AI359" s="1746">
        <f>+AH359*AE359</f>
        <v>1020500</v>
      </c>
      <c r="AJ359" s="2690"/>
      <c r="AK359" s="2783"/>
      <c r="AL359" s="1746">
        <f t="shared" ref="AL359:AL365" si="445">+AI359</f>
        <v>1020500</v>
      </c>
      <c r="AM359" s="1746">
        <v>0</v>
      </c>
      <c r="AN359" s="1747">
        <f t="shared" si="430"/>
        <v>1020500</v>
      </c>
      <c r="AO359" s="2783"/>
      <c r="AP359" s="1015"/>
      <c r="AQ359" s="1015"/>
      <c r="AR359" s="1015"/>
      <c r="AS359" s="1015"/>
      <c r="AT359" s="1015"/>
      <c r="AU359" s="1015"/>
      <c r="AV359" s="1015"/>
      <c r="AW359" s="1015"/>
      <c r="AX359" s="1015"/>
      <c r="AY359" s="1015"/>
      <c r="AZ359" s="2026">
        <f t="shared" si="432"/>
        <v>0</v>
      </c>
      <c r="BA359" s="2783"/>
      <c r="BB359" s="1015"/>
      <c r="BC359" s="1015"/>
      <c r="BD359" s="1015"/>
      <c r="BE359" s="1015"/>
      <c r="BF359" s="1015"/>
      <c r="BG359" s="1015"/>
      <c r="BH359" s="1015"/>
      <c r="BI359" s="1015"/>
      <c r="BJ359" s="1015"/>
      <c r="BK359" s="1015"/>
      <c r="BL359" s="1015"/>
      <c r="BM359" s="1015"/>
      <c r="BN359" s="2026">
        <f t="shared" si="434"/>
        <v>0</v>
      </c>
      <c r="BO359" s="2783"/>
      <c r="BP359" s="1015"/>
      <c r="BQ359" s="1015"/>
      <c r="BR359" s="1015"/>
      <c r="BS359" s="1015"/>
      <c r="BT359" s="1015"/>
      <c r="BU359" s="1015"/>
      <c r="BV359" s="1015"/>
      <c r="BW359" s="1015"/>
      <c r="BX359" s="1015"/>
      <c r="BY359" s="1015"/>
      <c r="BZ359" s="1015"/>
      <c r="CA359" s="1015">
        <f>+$AL359/4</f>
        <v>255125</v>
      </c>
      <c r="CB359" s="2026">
        <f t="shared" si="436"/>
        <v>255125</v>
      </c>
      <c r="CC359" s="2783"/>
      <c r="CD359" s="1015"/>
      <c r="CE359" s="1015">
        <f>+$AL359/4</f>
        <v>255125</v>
      </c>
      <c r="CF359" s="1015"/>
      <c r="CG359" s="1015"/>
      <c r="CH359" s="1015"/>
      <c r="CI359" s="1015"/>
      <c r="CJ359" s="1015"/>
      <c r="CK359" s="1015"/>
      <c r="CL359" s="1015"/>
      <c r="CM359" s="1015"/>
      <c r="CN359" s="1015"/>
      <c r="CO359" s="1015">
        <f>+$AL359/4</f>
        <v>255125</v>
      </c>
      <c r="CP359" s="2026">
        <f t="shared" si="438"/>
        <v>510250</v>
      </c>
      <c r="CQ359" s="2783"/>
      <c r="CR359" s="1015"/>
      <c r="CS359" s="1015">
        <f>+$AL359/4</f>
        <v>255125</v>
      </c>
      <c r="CT359" s="1015"/>
      <c r="CU359" s="1015"/>
      <c r="CV359" s="1015"/>
      <c r="CW359" s="1015"/>
      <c r="CX359" s="1015"/>
      <c r="CY359" s="1015"/>
      <c r="CZ359" s="1015"/>
      <c r="DA359" s="1015"/>
      <c r="DB359" s="1015"/>
      <c r="DC359" s="1015"/>
      <c r="DD359" s="2026">
        <f t="shared" si="440"/>
        <v>255125</v>
      </c>
      <c r="DE359" s="2783"/>
      <c r="DF359" s="1015"/>
      <c r="DG359" s="1015"/>
      <c r="DH359" s="1015"/>
      <c r="DI359" s="2046">
        <f t="shared" si="441"/>
        <v>0</v>
      </c>
      <c r="DJ359" s="3169">
        <f t="shared" si="442"/>
        <v>1020500</v>
      </c>
      <c r="DL359" s="3180">
        <f t="shared" si="443"/>
        <v>0</v>
      </c>
      <c r="DN359" s="2743" t="s">
        <v>1283</v>
      </c>
      <c r="DO359" s="2744" t="s">
        <v>1284</v>
      </c>
      <c r="DP359" s="2744" t="s">
        <v>1117</v>
      </c>
      <c r="DQ359" s="2744" t="s">
        <v>5</v>
      </c>
      <c r="DR359" s="2744" t="str">
        <f t="shared" si="444"/>
        <v>2</v>
      </c>
      <c r="DS359" s="2783"/>
      <c r="DT359" s="2783"/>
    </row>
    <row r="360" spans="2:124" ht="30" hidden="1" outlineLevel="4">
      <c r="B360" s="711"/>
      <c r="C360" s="182"/>
      <c r="D360" s="2953" t="s">
        <v>1521</v>
      </c>
      <c r="E360" s="580"/>
      <c r="F360" s="2953"/>
      <c r="G360" s="107" t="s">
        <v>1279</v>
      </c>
      <c r="H360" s="3002" t="s">
        <v>1522</v>
      </c>
      <c r="I360" s="703"/>
      <c r="J360" s="103"/>
      <c r="K360" s="2783"/>
      <c r="L360" s="364"/>
      <c r="M360" s="364"/>
      <c r="N360" s="367"/>
      <c r="O360" s="367"/>
      <c r="P360" s="367"/>
      <c r="Q360" s="367"/>
      <c r="R360" s="367"/>
      <c r="S360" s="367"/>
      <c r="T360" s="367"/>
      <c r="U360" s="367"/>
      <c r="V360" s="2783"/>
      <c r="W360" s="364" t="s">
        <v>853</v>
      </c>
      <c r="X360" s="364" t="s">
        <v>1075</v>
      </c>
      <c r="Y360" s="364" t="s">
        <v>1198</v>
      </c>
      <c r="Z360" s="364">
        <f>+'10.2_PA_SC - CGR'!$A$10</f>
        <v>5</v>
      </c>
      <c r="AA360" s="364"/>
      <c r="AB360" s="181" t="s">
        <v>1523</v>
      </c>
      <c r="AC360" s="2783"/>
      <c r="AD360" s="711" t="s">
        <v>1179</v>
      </c>
      <c r="AE360" s="712">
        <v>1</v>
      </c>
      <c r="AF360" s="179"/>
      <c r="AG360" s="179"/>
      <c r="AH360" s="1746">
        <v>223000</v>
      </c>
      <c r="AI360" s="1746">
        <f>+AE360*AH360</f>
        <v>223000</v>
      </c>
      <c r="AJ360" s="2690"/>
      <c r="AK360" s="2783"/>
      <c r="AL360" s="1746">
        <f t="shared" si="445"/>
        <v>223000</v>
      </c>
      <c r="AM360" s="1746"/>
      <c r="AN360" s="1747">
        <f t="shared" si="430"/>
        <v>223000</v>
      </c>
      <c r="AO360" s="2783"/>
      <c r="AP360" s="1015"/>
      <c r="AQ360" s="1015"/>
      <c r="AR360" s="1015"/>
      <c r="AS360" s="1015"/>
      <c r="AT360" s="1015"/>
      <c r="AU360" s="1015"/>
      <c r="AV360" s="1015"/>
      <c r="AW360" s="1015"/>
      <c r="AX360" s="1015"/>
      <c r="AY360" s="1015"/>
      <c r="AZ360" s="2026">
        <f t="shared" si="432"/>
        <v>0</v>
      </c>
      <c r="BA360" s="2783"/>
      <c r="BB360" s="1015"/>
      <c r="BC360" s="1015"/>
      <c r="BD360" s="1015"/>
      <c r="BE360" s="1015"/>
      <c r="BF360" s="1015"/>
      <c r="BG360" s="1015"/>
      <c r="BH360" s="1015">
        <f>+$AI360*25%</f>
        <v>55750</v>
      </c>
      <c r="BI360" s="1015"/>
      <c r="BJ360" s="1015"/>
      <c r="BK360" s="1015"/>
      <c r="BL360" s="1015">
        <f>+$AI360*25%</f>
        <v>55750</v>
      </c>
      <c r="BM360" s="1015"/>
      <c r="BN360" s="2026">
        <f t="shared" si="434"/>
        <v>111500</v>
      </c>
      <c r="BO360" s="2783"/>
      <c r="BP360" s="1015"/>
      <c r="BQ360" s="1015"/>
      <c r="BR360" s="1015">
        <f>+$AI360*25%</f>
        <v>55750</v>
      </c>
      <c r="BS360" s="1015"/>
      <c r="BT360" s="1015"/>
      <c r="BU360" s="1015">
        <f>+$AI360*25%</f>
        <v>55750</v>
      </c>
      <c r="BV360" s="1015"/>
      <c r="BW360" s="1015"/>
      <c r="BX360" s="1015"/>
      <c r="BY360" s="1015"/>
      <c r="BZ360" s="1015"/>
      <c r="CA360" s="1015"/>
      <c r="CB360" s="2026">
        <f t="shared" si="436"/>
        <v>111500</v>
      </c>
      <c r="CC360" s="2783"/>
      <c r="CD360" s="1015"/>
      <c r="CE360" s="1015"/>
      <c r="CF360" s="1015"/>
      <c r="CG360" s="1015"/>
      <c r="CH360" s="1015"/>
      <c r="CI360" s="1015"/>
      <c r="CJ360" s="1015"/>
      <c r="CK360" s="1015"/>
      <c r="CL360" s="1015"/>
      <c r="CM360" s="1015"/>
      <c r="CN360" s="1015"/>
      <c r="CO360" s="1015"/>
      <c r="CP360" s="2026">
        <f t="shared" si="438"/>
        <v>0</v>
      </c>
      <c r="CQ360" s="2783"/>
      <c r="CR360" s="1015"/>
      <c r="CS360" s="1015"/>
      <c r="CT360" s="1015"/>
      <c r="CU360" s="1015"/>
      <c r="CV360" s="1015"/>
      <c r="CW360" s="1015"/>
      <c r="CX360" s="1015"/>
      <c r="CY360" s="1015"/>
      <c r="CZ360" s="1015"/>
      <c r="DA360" s="1015"/>
      <c r="DB360" s="1015"/>
      <c r="DC360" s="1015"/>
      <c r="DD360" s="2026">
        <f t="shared" si="440"/>
        <v>0</v>
      </c>
      <c r="DE360" s="2783"/>
      <c r="DF360" s="1015"/>
      <c r="DG360" s="1015"/>
      <c r="DH360" s="1015"/>
      <c r="DI360" s="2046">
        <f t="shared" si="441"/>
        <v>0</v>
      </c>
      <c r="DJ360" s="3169">
        <f t="shared" si="442"/>
        <v>223000</v>
      </c>
      <c r="DL360" s="3180">
        <f t="shared" si="443"/>
        <v>0</v>
      </c>
      <c r="DN360" s="2743" t="s">
        <v>1283</v>
      </c>
      <c r="DO360" s="2744" t="s">
        <v>1284</v>
      </c>
      <c r="DP360" s="2744" t="s">
        <v>1117</v>
      </c>
      <c r="DQ360" s="2744" t="s">
        <v>5</v>
      </c>
      <c r="DR360" s="2744" t="str">
        <f t="shared" si="444"/>
        <v>2</v>
      </c>
      <c r="DS360" s="2783"/>
      <c r="DT360" s="2783"/>
    </row>
    <row r="361" spans="2:124" ht="225" hidden="1" outlineLevel="4">
      <c r="B361" s="711"/>
      <c r="C361" s="182"/>
      <c r="D361" s="2953" t="s">
        <v>1524</v>
      </c>
      <c r="E361" s="580"/>
      <c r="F361" s="2953"/>
      <c r="G361" s="107"/>
      <c r="H361" s="3002" t="s">
        <v>1525</v>
      </c>
      <c r="I361" s="703"/>
      <c r="J361" s="103"/>
      <c r="K361" s="2783"/>
      <c r="L361" s="364"/>
      <c r="M361" s="364"/>
      <c r="N361" s="367"/>
      <c r="O361" s="367"/>
      <c r="P361" s="367"/>
      <c r="Q361" s="367"/>
      <c r="R361" s="367"/>
      <c r="S361" s="367"/>
      <c r="T361" s="367"/>
      <c r="U361" s="367"/>
      <c r="V361" s="2783"/>
      <c r="W361" s="364" t="s">
        <v>723</v>
      </c>
      <c r="X361" s="364"/>
      <c r="Y361" s="364" t="s">
        <v>1526</v>
      </c>
      <c r="Z361" s="364"/>
      <c r="AA361" s="364"/>
      <c r="AB361" s="181"/>
      <c r="AC361" s="2783"/>
      <c r="AD361" s="711" t="s">
        <v>1179</v>
      </c>
      <c r="AE361" s="712">
        <v>1</v>
      </c>
      <c r="AF361" s="179"/>
      <c r="AG361" s="179"/>
      <c r="AH361" s="1746">
        <v>60000</v>
      </c>
      <c r="AI361" s="1746">
        <f>+AE361*AH361</f>
        <v>60000</v>
      </c>
      <c r="AJ361" s="2690" t="s">
        <v>1527</v>
      </c>
      <c r="AK361" s="2783"/>
      <c r="AL361" s="1746">
        <f t="shared" si="445"/>
        <v>60000</v>
      </c>
      <c r="AM361" s="1746"/>
      <c r="AN361" s="1747">
        <f t="shared" si="430"/>
        <v>60000</v>
      </c>
      <c r="AO361" s="2783"/>
      <c r="AP361" s="1015"/>
      <c r="AQ361" s="1015"/>
      <c r="AR361" s="1015"/>
      <c r="AS361" s="1015"/>
      <c r="AT361" s="1015"/>
      <c r="AU361" s="1015"/>
      <c r="AV361" s="1015"/>
      <c r="AW361" s="1015"/>
      <c r="AX361" s="1015"/>
      <c r="AY361" s="1015"/>
      <c r="AZ361" s="2026">
        <f t="shared" si="432"/>
        <v>0</v>
      </c>
      <c r="BA361" s="2783"/>
      <c r="BB361" s="1015"/>
      <c r="BC361" s="1015"/>
      <c r="BD361" s="1015"/>
      <c r="BE361" s="1015"/>
      <c r="BF361" s="1015"/>
      <c r="BG361" s="1015"/>
      <c r="BH361" s="1015"/>
      <c r="BI361" s="1015"/>
      <c r="BJ361" s="1015"/>
      <c r="BK361" s="1015"/>
      <c r="BL361" s="1015"/>
      <c r="BM361" s="1015"/>
      <c r="BN361" s="2026">
        <f t="shared" si="434"/>
        <v>0</v>
      </c>
      <c r="BO361" s="2783"/>
      <c r="BP361" s="1015"/>
      <c r="BQ361" s="1015"/>
      <c r="BR361" s="1015"/>
      <c r="BS361" s="1015"/>
      <c r="BT361" s="1015"/>
      <c r="BU361" s="1015"/>
      <c r="BV361" s="1015"/>
      <c r="BW361" s="1015"/>
      <c r="BX361" s="1015"/>
      <c r="BY361" s="1015"/>
      <c r="BZ361" s="1015"/>
      <c r="CA361" s="1015"/>
      <c r="CB361" s="2026">
        <f t="shared" si="436"/>
        <v>0</v>
      </c>
      <c r="CC361" s="2783"/>
      <c r="CD361" s="1015"/>
      <c r="CE361" s="1015">
        <f>+$AI361*20%</f>
        <v>12000</v>
      </c>
      <c r="CF361" s="1015"/>
      <c r="CG361" s="1015"/>
      <c r="CH361" s="1015"/>
      <c r="CI361" s="1015">
        <f>+$AI361*20%</f>
        <v>12000</v>
      </c>
      <c r="CJ361" s="1015"/>
      <c r="CK361" s="1015"/>
      <c r="CL361" s="1015"/>
      <c r="CM361" s="1015">
        <f>+$AI361*20%</f>
        <v>12000</v>
      </c>
      <c r="CN361" s="1015"/>
      <c r="CO361" s="1015"/>
      <c r="CP361" s="2026">
        <f t="shared" si="438"/>
        <v>36000</v>
      </c>
      <c r="CQ361" s="2783"/>
      <c r="CR361" s="1015"/>
      <c r="CS361" s="1015">
        <f>+$AI361*20%</f>
        <v>12000</v>
      </c>
      <c r="CT361" s="1015"/>
      <c r="CU361" s="1015"/>
      <c r="CV361" s="1015"/>
      <c r="CW361" s="1015">
        <f>+$AI361*20%</f>
        <v>12000</v>
      </c>
      <c r="CX361" s="1015"/>
      <c r="CY361" s="1015"/>
      <c r="CZ361" s="1015"/>
      <c r="DA361" s="1015"/>
      <c r="DB361" s="1015"/>
      <c r="DC361" s="1015"/>
      <c r="DD361" s="2026">
        <f t="shared" si="440"/>
        <v>24000</v>
      </c>
      <c r="DE361" s="2783"/>
      <c r="DF361" s="1015"/>
      <c r="DG361" s="1015"/>
      <c r="DH361" s="1015"/>
      <c r="DI361" s="2046">
        <f t="shared" si="441"/>
        <v>0</v>
      </c>
      <c r="DJ361" s="3169">
        <f t="shared" si="442"/>
        <v>60000</v>
      </c>
      <c r="DL361" s="3180">
        <f t="shared" si="443"/>
        <v>0</v>
      </c>
      <c r="DN361" s="2743" t="s">
        <v>1346</v>
      </c>
      <c r="DO361" s="2744" t="s">
        <v>1347</v>
      </c>
      <c r="DP361" s="2751" t="s">
        <v>1115</v>
      </c>
      <c r="DQ361" s="2744" t="s">
        <v>5</v>
      </c>
      <c r="DR361" s="2744" t="str">
        <f t="shared" si="444"/>
        <v>2</v>
      </c>
      <c r="DS361" s="2783"/>
      <c r="DT361" s="2783"/>
    </row>
    <row r="362" spans="2:124" ht="30" hidden="1" outlineLevel="4">
      <c r="B362" s="711"/>
      <c r="C362" s="182"/>
      <c r="D362" s="2953" t="s">
        <v>1528</v>
      </c>
      <c r="E362" s="580"/>
      <c r="F362" s="2953"/>
      <c r="G362" s="107"/>
      <c r="H362" s="3002" t="s">
        <v>1529</v>
      </c>
      <c r="I362" s="703"/>
      <c r="J362" s="103"/>
      <c r="K362" s="2783"/>
      <c r="L362" s="364"/>
      <c r="M362" s="364"/>
      <c r="N362" s="367"/>
      <c r="O362" s="367"/>
      <c r="P362" s="367"/>
      <c r="Q362" s="367"/>
      <c r="R362" s="367"/>
      <c r="S362" s="367"/>
      <c r="T362" s="367"/>
      <c r="U362" s="367"/>
      <c r="V362" s="2783"/>
      <c r="W362" s="364" t="s">
        <v>723</v>
      </c>
      <c r="X362" s="364"/>
      <c r="Y362" s="364" t="s">
        <v>1526</v>
      </c>
      <c r="Z362" s="364"/>
      <c r="AA362" s="364"/>
      <c r="AB362" s="181"/>
      <c r="AC362" s="2783"/>
      <c r="AD362" s="711" t="s">
        <v>1179</v>
      </c>
      <c r="AE362" s="712">
        <v>1</v>
      </c>
      <c r="AF362" s="179"/>
      <c r="AG362" s="179"/>
      <c r="AH362" s="1746">
        <v>90000</v>
      </c>
      <c r="AI362" s="1746">
        <f>+AE362*AH362</f>
        <v>90000</v>
      </c>
      <c r="AJ362" s="2690"/>
      <c r="AK362" s="2783"/>
      <c r="AL362" s="1746">
        <f t="shared" si="445"/>
        <v>90000</v>
      </c>
      <c r="AM362" s="1746"/>
      <c r="AN362" s="1747">
        <f t="shared" si="430"/>
        <v>90000</v>
      </c>
      <c r="AO362" s="2783"/>
      <c r="AP362" s="1015"/>
      <c r="AQ362" s="1015"/>
      <c r="AR362" s="1015"/>
      <c r="AS362" s="1015"/>
      <c r="AT362" s="1015"/>
      <c r="AU362" s="1015"/>
      <c r="AV362" s="1015"/>
      <c r="AW362" s="1015"/>
      <c r="AX362" s="1015"/>
      <c r="AY362" s="1015"/>
      <c r="AZ362" s="2026">
        <f t="shared" si="432"/>
        <v>0</v>
      </c>
      <c r="BA362" s="2783"/>
      <c r="BB362" s="1015"/>
      <c r="BC362" s="1015"/>
      <c r="BD362" s="1015"/>
      <c r="BE362" s="1015"/>
      <c r="BF362" s="1015"/>
      <c r="BG362" s="1015"/>
      <c r="BH362" s="1015"/>
      <c r="BI362" s="1015"/>
      <c r="BJ362" s="1015"/>
      <c r="BK362" s="1015"/>
      <c r="BL362" s="1015"/>
      <c r="BM362" s="1015"/>
      <c r="BN362" s="2026">
        <f t="shared" si="434"/>
        <v>0</v>
      </c>
      <c r="BO362" s="2783"/>
      <c r="BP362" s="1015"/>
      <c r="BQ362" s="1015"/>
      <c r="BR362" s="1015"/>
      <c r="BS362" s="1015"/>
      <c r="BT362" s="1015"/>
      <c r="BU362" s="1015"/>
      <c r="BV362" s="1015"/>
      <c r="BW362" s="1015"/>
      <c r="BX362" s="1015"/>
      <c r="BY362" s="1015"/>
      <c r="BZ362" s="1015"/>
      <c r="CA362" s="1015"/>
      <c r="CB362" s="2026">
        <f t="shared" si="436"/>
        <v>0</v>
      </c>
      <c r="CC362" s="2783"/>
      <c r="CD362" s="1015"/>
      <c r="CE362" s="1015">
        <f>+$AI362*20%</f>
        <v>18000</v>
      </c>
      <c r="CF362" s="1015"/>
      <c r="CG362" s="1015"/>
      <c r="CH362" s="1015"/>
      <c r="CI362" s="1015">
        <f>+$AI362*20%</f>
        <v>18000</v>
      </c>
      <c r="CJ362" s="1015"/>
      <c r="CK362" s="1015"/>
      <c r="CL362" s="1015"/>
      <c r="CM362" s="1015">
        <f>+$AI362*20%</f>
        <v>18000</v>
      </c>
      <c r="CN362" s="1015"/>
      <c r="CO362" s="1015"/>
      <c r="CP362" s="2026">
        <f t="shared" si="438"/>
        <v>54000</v>
      </c>
      <c r="CQ362" s="2783"/>
      <c r="CR362" s="1015"/>
      <c r="CS362" s="1015">
        <f>+$AI362*20%</f>
        <v>18000</v>
      </c>
      <c r="CT362" s="1015"/>
      <c r="CU362" s="1015"/>
      <c r="CV362" s="1015"/>
      <c r="CW362" s="1015">
        <f>+$AI362*20%</f>
        <v>18000</v>
      </c>
      <c r="CX362" s="1015"/>
      <c r="CY362" s="1015"/>
      <c r="CZ362" s="1015"/>
      <c r="DA362" s="1015"/>
      <c r="DB362" s="1015"/>
      <c r="DC362" s="1015"/>
      <c r="DD362" s="2026">
        <f t="shared" si="440"/>
        <v>36000</v>
      </c>
      <c r="DE362" s="2783"/>
      <c r="DF362" s="1015"/>
      <c r="DG362" s="1015"/>
      <c r="DH362" s="1015"/>
      <c r="DI362" s="2046">
        <f t="shared" si="441"/>
        <v>0</v>
      </c>
      <c r="DJ362" s="3169">
        <f t="shared" si="442"/>
        <v>90000</v>
      </c>
      <c r="DL362" s="3180">
        <f t="shared" si="443"/>
        <v>0</v>
      </c>
      <c r="DN362" s="2743" t="s">
        <v>1346</v>
      </c>
      <c r="DO362" s="2744" t="s">
        <v>1347</v>
      </c>
      <c r="DP362" s="2751" t="s">
        <v>1115</v>
      </c>
      <c r="DQ362" s="2744" t="s">
        <v>5</v>
      </c>
      <c r="DR362" s="2744" t="str">
        <f t="shared" si="444"/>
        <v>2</v>
      </c>
      <c r="DS362" s="2783"/>
      <c r="DT362" s="2783"/>
    </row>
    <row r="363" spans="2:124" ht="30" hidden="1" outlineLevel="4">
      <c r="B363" s="711"/>
      <c r="C363" s="182"/>
      <c r="D363" s="2953" t="s">
        <v>1530</v>
      </c>
      <c r="E363" s="580"/>
      <c r="F363" s="2953"/>
      <c r="G363" s="107"/>
      <c r="H363" s="3002" t="s">
        <v>1531</v>
      </c>
      <c r="I363" s="703"/>
      <c r="J363" s="103"/>
      <c r="K363" s="2783"/>
      <c r="L363" s="364"/>
      <c r="M363" s="364"/>
      <c r="N363" s="367"/>
      <c r="O363" s="367"/>
      <c r="P363" s="367"/>
      <c r="Q363" s="367"/>
      <c r="R363" s="367"/>
      <c r="S363" s="367"/>
      <c r="T363" s="367"/>
      <c r="U363" s="367"/>
      <c r="V363" s="2783"/>
      <c r="W363" s="364" t="s">
        <v>723</v>
      </c>
      <c r="X363" s="364"/>
      <c r="Y363" s="364"/>
      <c r="Z363" s="364"/>
      <c r="AA363" s="364"/>
      <c r="AB363" s="181"/>
      <c r="AC363" s="2783"/>
      <c r="AD363" s="711" t="s">
        <v>1179</v>
      </c>
      <c r="AE363" s="712">
        <v>1</v>
      </c>
      <c r="AF363" s="179"/>
      <c r="AG363" s="179"/>
      <c r="AH363" s="1746">
        <v>100000</v>
      </c>
      <c r="AI363" s="1746">
        <f>+AE363*AH363</f>
        <v>100000</v>
      </c>
      <c r="AJ363" s="2690"/>
      <c r="AK363" s="2783"/>
      <c r="AL363" s="1746">
        <f t="shared" si="445"/>
        <v>100000</v>
      </c>
      <c r="AM363" s="1746"/>
      <c r="AN363" s="1747">
        <f t="shared" si="430"/>
        <v>100000</v>
      </c>
      <c r="AO363" s="2783"/>
      <c r="AP363" s="1015"/>
      <c r="AQ363" s="1015"/>
      <c r="AR363" s="1015"/>
      <c r="AS363" s="1015"/>
      <c r="AT363" s="1015"/>
      <c r="AU363" s="1015"/>
      <c r="AV363" s="1015"/>
      <c r="AW363" s="1015"/>
      <c r="AX363" s="1015"/>
      <c r="AY363" s="1015"/>
      <c r="AZ363" s="2026">
        <f t="shared" si="432"/>
        <v>0</v>
      </c>
      <c r="BA363" s="2783"/>
      <c r="BB363" s="1015"/>
      <c r="BC363" s="1015"/>
      <c r="BD363" s="1015"/>
      <c r="BE363" s="1015"/>
      <c r="BF363" s="1015"/>
      <c r="BG363" s="1015"/>
      <c r="BH363" s="1015"/>
      <c r="BI363" s="1015"/>
      <c r="BJ363" s="1015"/>
      <c r="BK363" s="1015"/>
      <c r="BL363" s="1015"/>
      <c r="BM363" s="1015"/>
      <c r="BN363" s="2026">
        <f t="shared" si="434"/>
        <v>0</v>
      </c>
      <c r="BO363" s="2783"/>
      <c r="BP363" s="1015"/>
      <c r="BQ363" s="1015"/>
      <c r="BR363" s="1015"/>
      <c r="BS363" s="1015"/>
      <c r="BT363" s="1015"/>
      <c r="BU363" s="1015"/>
      <c r="BV363" s="1015"/>
      <c r="BW363" s="1015"/>
      <c r="BX363" s="1015">
        <f>+$AI363*20%</f>
        <v>20000</v>
      </c>
      <c r="BY363" s="1015"/>
      <c r="BZ363" s="1015"/>
      <c r="CA363" s="1015"/>
      <c r="CB363" s="2026">
        <f t="shared" si="436"/>
        <v>20000</v>
      </c>
      <c r="CC363" s="2783"/>
      <c r="CD363" s="1015">
        <f>+$AI363*20%</f>
        <v>20000</v>
      </c>
      <c r="CE363" s="1015"/>
      <c r="CF363" s="1015"/>
      <c r="CG363" s="1015"/>
      <c r="CH363" s="1015">
        <f>+$AI363*20%</f>
        <v>20000</v>
      </c>
      <c r="CI363" s="1015"/>
      <c r="CJ363" s="1015"/>
      <c r="CK363" s="1015"/>
      <c r="CL363" s="1015">
        <f>+$AI363*20%</f>
        <v>20000</v>
      </c>
      <c r="CM363" s="1015"/>
      <c r="CN363" s="1015"/>
      <c r="CO363" s="1015"/>
      <c r="CP363" s="2026">
        <f t="shared" si="438"/>
        <v>60000</v>
      </c>
      <c r="CQ363" s="1015"/>
      <c r="CR363" s="1015">
        <f>+$AI363*20%</f>
        <v>20000</v>
      </c>
      <c r="CS363" s="1015"/>
      <c r="CT363" s="1015"/>
      <c r="CU363" s="1015"/>
      <c r="CV363" s="1015"/>
      <c r="CW363" s="1015"/>
      <c r="CX363" s="1015"/>
      <c r="CY363" s="1015"/>
      <c r="CZ363" s="1015"/>
      <c r="DA363" s="1015"/>
      <c r="DB363" s="1015"/>
      <c r="DC363" s="1015"/>
      <c r="DD363" s="2026">
        <f t="shared" si="440"/>
        <v>20000</v>
      </c>
      <c r="DE363" s="2783"/>
      <c r="DF363" s="1015"/>
      <c r="DG363" s="1015"/>
      <c r="DH363" s="1015"/>
      <c r="DI363" s="2046">
        <f t="shared" si="441"/>
        <v>0</v>
      </c>
      <c r="DJ363" s="3169">
        <f t="shared" si="442"/>
        <v>100000</v>
      </c>
      <c r="DL363" s="3180">
        <f t="shared" si="443"/>
        <v>0</v>
      </c>
      <c r="DN363" s="2743" t="s">
        <v>1283</v>
      </c>
      <c r="DO363" s="2744" t="s">
        <v>1284</v>
      </c>
      <c r="DP363" s="2744" t="s">
        <v>1117</v>
      </c>
      <c r="DQ363" s="2744" t="s">
        <v>5</v>
      </c>
      <c r="DR363" s="2744" t="str">
        <f t="shared" si="444"/>
        <v>2</v>
      </c>
      <c r="DS363" s="2783"/>
      <c r="DT363" s="2783"/>
    </row>
    <row r="364" spans="2:124" ht="30" hidden="1" outlineLevel="4">
      <c r="B364" s="711"/>
      <c r="C364" s="182"/>
      <c r="D364" s="2953" t="s">
        <v>1532</v>
      </c>
      <c r="E364" s="580"/>
      <c r="F364" s="2953"/>
      <c r="G364" s="107" t="s">
        <v>1279</v>
      </c>
      <c r="H364" s="3002" t="s">
        <v>1533</v>
      </c>
      <c r="I364" s="703"/>
      <c r="J364" s="103"/>
      <c r="K364" s="2783"/>
      <c r="L364" s="364"/>
      <c r="M364" s="364"/>
      <c r="N364" s="367"/>
      <c r="O364" s="367"/>
      <c r="P364" s="367"/>
      <c r="Q364" s="367"/>
      <c r="R364" s="367"/>
      <c r="S364" s="367"/>
      <c r="T364" s="367"/>
      <c r="U364" s="367"/>
      <c r="V364" s="2783"/>
      <c r="W364" s="852" t="s">
        <v>774</v>
      </c>
      <c r="X364" s="852" t="s">
        <v>1075</v>
      </c>
      <c r="Y364" s="852" t="s">
        <v>1534</v>
      </c>
      <c r="Z364" s="852">
        <f>+'10.1_PA_OB&amp;S - CGR'!A7</f>
        <v>1</v>
      </c>
      <c r="AA364" s="852"/>
      <c r="AB364" s="1318"/>
      <c r="AC364" s="2783"/>
      <c r="AD364" s="711" t="s">
        <v>1179</v>
      </c>
      <c r="AE364" s="712">
        <v>1</v>
      </c>
      <c r="AF364" s="179"/>
      <c r="AG364" s="179"/>
      <c r="AH364" s="1746">
        <v>300000</v>
      </c>
      <c r="AI364" s="1746">
        <f>AE364*AH364</f>
        <v>300000</v>
      </c>
      <c r="AJ364" s="2690"/>
      <c r="AK364" s="2783"/>
      <c r="AL364" s="1746">
        <f t="shared" si="445"/>
        <v>300000</v>
      </c>
      <c r="AM364" s="1746">
        <v>0</v>
      </c>
      <c r="AN364" s="1747">
        <f>+AL364+AM364</f>
        <v>300000</v>
      </c>
      <c r="AO364" s="2783"/>
      <c r="AP364" s="1015"/>
      <c r="AQ364" s="1015"/>
      <c r="AR364" s="1015"/>
      <c r="AS364" s="1015"/>
      <c r="AT364" s="1015"/>
      <c r="AU364" s="1015"/>
      <c r="AV364" s="1015"/>
      <c r="AW364" s="1015"/>
      <c r="AX364" s="1015"/>
      <c r="AY364" s="1015"/>
      <c r="AZ364" s="2026">
        <f>SUM(AP364:AY364)</f>
        <v>0</v>
      </c>
      <c r="BA364" s="2783"/>
      <c r="BB364" s="1015"/>
      <c r="BC364" s="1015"/>
      <c r="BD364" s="1015"/>
      <c r="BE364" s="1015"/>
      <c r="BF364" s="1015"/>
      <c r="BG364" s="1015"/>
      <c r="BH364" s="1015"/>
      <c r="BI364" s="1015"/>
      <c r="BJ364" s="1015"/>
      <c r="BK364" s="1015"/>
      <c r="BL364" s="1015"/>
      <c r="BM364" s="1015">
        <f>+$AH364*25%</f>
        <v>75000</v>
      </c>
      <c r="BN364" s="2026">
        <f>SUM(BB364:BM364)</f>
        <v>75000</v>
      </c>
      <c r="BO364" s="2783"/>
      <c r="BP364" s="1015"/>
      <c r="BQ364" s="1015"/>
      <c r="BR364" s="1015"/>
      <c r="BS364" s="1015"/>
      <c r="BT364" s="1015"/>
      <c r="BU364" s="1015"/>
      <c r="BV364" s="1015"/>
      <c r="BW364" s="1015"/>
      <c r="BX364" s="1015"/>
      <c r="BY364" s="1015"/>
      <c r="BZ364" s="1015"/>
      <c r="CA364" s="1015">
        <f>+$AH364*25%</f>
        <v>75000</v>
      </c>
      <c r="CB364" s="2026">
        <f>SUM(BP364:CA364)</f>
        <v>75000</v>
      </c>
      <c r="CC364" s="2783"/>
      <c r="CD364" s="1015"/>
      <c r="CE364" s="1015"/>
      <c r="CF364" s="1015"/>
      <c r="CG364" s="1015"/>
      <c r="CH364" s="1015"/>
      <c r="CI364" s="1015"/>
      <c r="CJ364" s="1015"/>
      <c r="CK364" s="1015"/>
      <c r="CL364" s="1015"/>
      <c r="CM364" s="1015"/>
      <c r="CN364" s="1015"/>
      <c r="CO364" s="1015">
        <f>+$AH364*25%</f>
        <v>75000</v>
      </c>
      <c r="CP364" s="2035">
        <f t="shared" si="438"/>
        <v>75000</v>
      </c>
      <c r="CQ364" s="2783"/>
      <c r="CR364" s="1015"/>
      <c r="CS364" s="1015"/>
      <c r="CT364" s="1015"/>
      <c r="CU364" s="1015"/>
      <c r="CV364" s="1015"/>
      <c r="CW364" s="1015"/>
      <c r="CX364" s="1015"/>
      <c r="CY364" s="1015"/>
      <c r="CZ364" s="1015"/>
      <c r="DA364" s="1015"/>
      <c r="DB364" s="1015"/>
      <c r="DC364" s="1015">
        <f>+$AH364*25%</f>
        <v>75000</v>
      </c>
      <c r="DD364" s="2046">
        <f>SUM(CR364:DC364)</f>
        <v>75000</v>
      </c>
      <c r="DE364" s="2783"/>
      <c r="DF364" s="1015"/>
      <c r="DG364" s="1015"/>
      <c r="DH364" s="1015"/>
      <c r="DI364" s="2046">
        <f>SUM(DF364:DH364)</f>
        <v>0</v>
      </c>
      <c r="DJ364" s="3164">
        <f>+AZ364+BN364+CB364+CP364+DD364+DI364</f>
        <v>300000</v>
      </c>
      <c r="DL364" s="3180">
        <f>+AN364-DJ364</f>
        <v>0</v>
      </c>
      <c r="DN364" s="3014" t="s">
        <v>1535</v>
      </c>
      <c r="DO364" s="3014" t="s">
        <v>1536</v>
      </c>
      <c r="DP364" s="2744" t="s">
        <v>1160</v>
      </c>
      <c r="DQ364" s="2744" t="s">
        <v>5</v>
      </c>
      <c r="DR364" s="2744" t="str">
        <f>MID(D364,1,1)</f>
        <v>2</v>
      </c>
      <c r="DS364" s="2783"/>
      <c r="DT364" s="2783"/>
    </row>
    <row r="365" spans="2:124" ht="15" hidden="1" outlineLevel="3">
      <c r="B365" s="711"/>
      <c r="C365" s="182"/>
      <c r="D365" s="2953" t="s">
        <v>1537</v>
      </c>
      <c r="E365" s="580"/>
      <c r="F365" s="2953"/>
      <c r="G365" s="107"/>
      <c r="H365" s="2687" t="s">
        <v>1538</v>
      </c>
      <c r="I365" s="703"/>
      <c r="J365" s="103"/>
      <c r="K365" s="2783"/>
      <c r="L365" s="364"/>
      <c r="M365" s="364"/>
      <c r="N365" s="367"/>
      <c r="O365" s="367"/>
      <c r="P365" s="367"/>
      <c r="Q365" s="367"/>
      <c r="R365" s="367"/>
      <c r="S365" s="367"/>
      <c r="T365" s="367"/>
      <c r="U365" s="367"/>
      <c r="V365" s="2783"/>
      <c r="W365" s="852" t="s">
        <v>1539</v>
      </c>
      <c r="X365" s="852"/>
      <c r="Y365" s="852"/>
      <c r="Z365" s="852"/>
      <c r="AA365" s="852"/>
      <c r="AB365" s="1318"/>
      <c r="AC365" s="2783"/>
      <c r="AD365" s="711" t="s">
        <v>1179</v>
      </c>
      <c r="AE365" s="712">
        <v>1</v>
      </c>
      <c r="AF365" s="179"/>
      <c r="AG365" s="179"/>
      <c r="AH365" s="1746">
        <v>156000</v>
      </c>
      <c r="AI365" s="1746">
        <f>AE365*AH365</f>
        <v>156000</v>
      </c>
      <c r="AJ365" s="2690"/>
      <c r="AK365" s="2783"/>
      <c r="AL365" s="1746">
        <f t="shared" si="445"/>
        <v>156000</v>
      </c>
      <c r="AM365" s="1746"/>
      <c r="AN365" s="1747">
        <f>+AM365+AL365</f>
        <v>156000</v>
      </c>
      <c r="AO365" s="2783"/>
      <c r="AP365" s="1015"/>
      <c r="AQ365" s="1015"/>
      <c r="AR365" s="1015"/>
      <c r="AS365" s="1015"/>
      <c r="AT365" s="1015"/>
      <c r="AU365" s="1015"/>
      <c r="AV365" s="1015"/>
      <c r="AW365" s="1015"/>
      <c r="AX365" s="1015"/>
      <c r="AY365" s="1015"/>
      <c r="AZ365" s="2026"/>
      <c r="BA365" s="2783"/>
      <c r="BB365" s="1015"/>
      <c r="BC365" s="1015"/>
      <c r="BD365" s="1015"/>
      <c r="BE365" s="1015"/>
      <c r="BF365" s="1015"/>
      <c r="BG365" s="1015"/>
      <c r="BH365" s="1015"/>
      <c r="BI365" s="1015"/>
      <c r="BJ365" s="1015"/>
      <c r="BK365" s="1015"/>
      <c r="BL365" s="1015"/>
      <c r="BM365" s="1015"/>
      <c r="BN365" s="2026"/>
      <c r="BO365" s="2783"/>
      <c r="BP365" s="1015"/>
      <c r="BQ365" s="1015"/>
      <c r="BR365" s="1015"/>
      <c r="BS365" s="1015"/>
      <c r="BT365" s="1015"/>
      <c r="BU365" s="1015"/>
      <c r="BV365" s="1015"/>
      <c r="BW365" s="1015"/>
      <c r="BX365" s="1015"/>
      <c r="BY365" s="1015"/>
      <c r="BZ365" s="1015"/>
      <c r="CA365" s="1015"/>
      <c r="CB365" s="2026"/>
      <c r="CC365" s="2783"/>
      <c r="CD365" s="1015"/>
      <c r="CE365" s="1015"/>
      <c r="CF365" s="1015"/>
      <c r="CG365" s="1015"/>
      <c r="CH365" s="1015"/>
      <c r="CI365" s="1015"/>
      <c r="CJ365" s="1015"/>
      <c r="CK365" s="1015"/>
      <c r="CL365" s="1015"/>
      <c r="CM365" s="1015"/>
      <c r="CN365" s="1015"/>
      <c r="CO365" s="1015"/>
      <c r="CP365" s="2035"/>
      <c r="CQ365" s="2783"/>
      <c r="CR365" s="1015"/>
      <c r="CS365" s="1015"/>
      <c r="CT365" s="1015"/>
      <c r="CU365" s="1015"/>
      <c r="CV365" s="1015"/>
      <c r="CW365" s="1015"/>
      <c r="CX365" s="1015"/>
      <c r="CY365" s="1015"/>
      <c r="CZ365" s="1015"/>
      <c r="DA365" s="1015"/>
      <c r="DB365" s="1015"/>
      <c r="DC365" s="1015"/>
      <c r="DD365" s="2046"/>
      <c r="DE365" s="2783"/>
      <c r="DF365" s="1015"/>
      <c r="DG365" s="1015"/>
      <c r="DH365" s="1015"/>
      <c r="DI365" s="2046"/>
      <c r="DJ365" s="3164"/>
      <c r="DL365" s="3180"/>
      <c r="DN365" s="3012"/>
      <c r="DO365" s="3013"/>
      <c r="DP365" s="2744"/>
      <c r="DQ365" s="2744"/>
      <c r="DR365" s="2744"/>
      <c r="DS365" s="2783"/>
      <c r="DT365" s="2783"/>
    </row>
    <row r="366" spans="2:124" hidden="1" outlineLevel="2">
      <c r="B366" s="711"/>
      <c r="C366" s="182"/>
      <c r="D366" s="2953"/>
      <c r="E366" s="580"/>
      <c r="F366" s="2953"/>
      <c r="G366" s="107"/>
      <c r="H366" s="2687"/>
      <c r="I366" s="703"/>
      <c r="J366" s="103"/>
      <c r="K366" s="2783"/>
      <c r="L366" s="364"/>
      <c r="M366" s="364"/>
      <c r="N366" s="367"/>
      <c r="O366" s="367"/>
      <c r="P366" s="367"/>
      <c r="Q366" s="367"/>
      <c r="R366" s="367"/>
      <c r="S366" s="367"/>
      <c r="T366" s="367"/>
      <c r="U366" s="367"/>
      <c r="V366" s="2783"/>
      <c r="W366" s="852"/>
      <c r="X366" s="852"/>
      <c r="Y366" s="852"/>
      <c r="Z366" s="852"/>
      <c r="AA366" s="852"/>
      <c r="AB366" s="1318"/>
      <c r="AC366" s="2783"/>
      <c r="AD366" s="711"/>
      <c r="AE366" s="712"/>
      <c r="AF366" s="179"/>
      <c r="AG366" s="179"/>
      <c r="AH366" s="1746"/>
      <c r="AI366" s="1746"/>
      <c r="AJ366" s="2690"/>
      <c r="AK366" s="2783"/>
      <c r="AL366" s="1746"/>
      <c r="AM366" s="1746"/>
      <c r="AN366" s="1747"/>
      <c r="AO366" s="2783"/>
      <c r="AP366" s="1015"/>
      <c r="AQ366" s="1015"/>
      <c r="AR366" s="1015"/>
      <c r="AS366" s="1015"/>
      <c r="AT366" s="1015"/>
      <c r="AU366" s="1015"/>
      <c r="AV366" s="1015"/>
      <c r="AW366" s="1015"/>
      <c r="AX366" s="1015"/>
      <c r="AY366" s="1015"/>
      <c r="AZ366" s="2026"/>
      <c r="BA366" s="2783"/>
      <c r="BB366" s="1015"/>
      <c r="BC366" s="1015"/>
      <c r="BD366" s="1015"/>
      <c r="BE366" s="1015"/>
      <c r="BF366" s="1015"/>
      <c r="BG366" s="1015"/>
      <c r="BH366" s="1015"/>
      <c r="BI366" s="1015"/>
      <c r="BJ366" s="1015"/>
      <c r="BK366" s="1015"/>
      <c r="BL366" s="1015"/>
      <c r="BM366" s="1015"/>
      <c r="BN366" s="2026"/>
      <c r="BO366" s="2783"/>
      <c r="BP366" s="1015"/>
      <c r="BQ366" s="1015"/>
      <c r="BR366" s="1015"/>
      <c r="BS366" s="1015"/>
      <c r="BT366" s="1015"/>
      <c r="BU366" s="1015"/>
      <c r="BV366" s="1015"/>
      <c r="BW366" s="1015"/>
      <c r="BX366" s="1015"/>
      <c r="BY366" s="1015"/>
      <c r="BZ366" s="1015"/>
      <c r="CA366" s="1015"/>
      <c r="CB366" s="2026"/>
      <c r="CC366" s="2783"/>
      <c r="CD366" s="1015"/>
      <c r="CE366" s="1015"/>
      <c r="CF366" s="1015"/>
      <c r="CG366" s="1015"/>
      <c r="CH366" s="1015"/>
      <c r="CI366" s="1015"/>
      <c r="CJ366" s="1015"/>
      <c r="CK366" s="1015"/>
      <c r="CL366" s="1015"/>
      <c r="CM366" s="1015"/>
      <c r="CN366" s="1015"/>
      <c r="CO366" s="1015"/>
      <c r="CP366" s="2035"/>
      <c r="CQ366" s="2783"/>
      <c r="CR366" s="1015"/>
      <c r="CS366" s="1015"/>
      <c r="CT366" s="1015"/>
      <c r="CU366" s="1015"/>
      <c r="CV366" s="1015"/>
      <c r="CW366" s="1015"/>
      <c r="CX366" s="1015"/>
      <c r="CY366" s="1015"/>
      <c r="CZ366" s="1015"/>
      <c r="DA366" s="1015"/>
      <c r="DB366" s="1015"/>
      <c r="DC366" s="1015"/>
      <c r="DD366" s="2046"/>
      <c r="DE366" s="2783"/>
      <c r="DF366" s="1015"/>
      <c r="DG366" s="1015"/>
      <c r="DH366" s="1015"/>
      <c r="DI366" s="2046"/>
      <c r="DJ366" s="3164"/>
      <c r="DL366" s="3180"/>
      <c r="DN366" s="3012"/>
      <c r="DO366" s="3013"/>
      <c r="DP366" s="2744"/>
      <c r="DQ366" s="2744"/>
      <c r="DR366" s="2744"/>
      <c r="DS366" s="2783"/>
      <c r="DT366" s="2783"/>
    </row>
    <row r="367" spans="2:124" hidden="1" outlineLevel="1">
      <c r="B367" s="711"/>
      <c r="C367" s="182"/>
      <c r="D367" s="2953"/>
      <c r="E367" s="580"/>
      <c r="F367" s="2953"/>
      <c r="G367" s="107"/>
      <c r="H367" s="1547"/>
      <c r="I367" s="703"/>
      <c r="J367" s="103"/>
      <c r="K367" s="2783"/>
      <c r="L367" s="364"/>
      <c r="M367" s="364"/>
      <c r="N367" s="367"/>
      <c r="O367" s="367"/>
      <c r="P367" s="367"/>
      <c r="Q367" s="367"/>
      <c r="R367" s="367"/>
      <c r="S367" s="367"/>
      <c r="T367" s="367"/>
      <c r="U367" s="367"/>
      <c r="V367" s="2783"/>
      <c r="W367" s="364"/>
      <c r="X367" s="364"/>
      <c r="Y367" s="364"/>
      <c r="Z367" s="364"/>
      <c r="AA367" s="364"/>
      <c r="AB367" s="181"/>
      <c r="AC367" s="2783"/>
      <c r="AD367" s="711"/>
      <c r="AE367" s="712"/>
      <c r="AF367" s="179"/>
      <c r="AG367" s="179"/>
      <c r="AH367" s="1746"/>
      <c r="AI367" s="1746"/>
      <c r="AJ367" s="2690"/>
      <c r="AK367" s="2783"/>
      <c r="AL367" s="1746"/>
      <c r="AM367" s="1746"/>
      <c r="AN367" s="1747">
        <f t="shared" si="389"/>
        <v>0</v>
      </c>
      <c r="AO367" s="2783"/>
      <c r="AP367" s="1015"/>
      <c r="AQ367" s="1015"/>
      <c r="AR367" s="1015"/>
      <c r="AS367" s="1015"/>
      <c r="AT367" s="1015"/>
      <c r="AU367" s="1015"/>
      <c r="AV367" s="1015"/>
      <c r="AW367" s="1015"/>
      <c r="AX367" s="1015"/>
      <c r="AY367" s="1015"/>
      <c r="AZ367" s="2026">
        <f t="shared" si="420"/>
        <v>0</v>
      </c>
      <c r="BA367" s="2783"/>
      <c r="BB367" s="1015"/>
      <c r="BC367" s="1015"/>
      <c r="BD367" s="1015"/>
      <c r="BE367" s="1015"/>
      <c r="BF367" s="1015"/>
      <c r="BG367" s="1015"/>
      <c r="BH367" s="1015"/>
      <c r="BI367" s="1015"/>
      <c r="BJ367" s="1015"/>
      <c r="BK367" s="1015"/>
      <c r="BL367" s="1015"/>
      <c r="BM367" s="1015"/>
      <c r="BN367" s="2026">
        <f t="shared" si="422"/>
        <v>0</v>
      </c>
      <c r="BO367" s="2783"/>
      <c r="BP367" s="1015"/>
      <c r="BQ367" s="1015"/>
      <c r="BR367" s="1015"/>
      <c r="BS367" s="1015"/>
      <c r="BT367" s="1015"/>
      <c r="BU367" s="1015"/>
      <c r="BV367" s="1015"/>
      <c r="BW367" s="1015"/>
      <c r="BX367" s="1015"/>
      <c r="BY367" s="1015"/>
      <c r="BZ367" s="1015"/>
      <c r="CA367" s="1015"/>
      <c r="CB367" s="2026">
        <f t="shared" si="424"/>
        <v>0</v>
      </c>
      <c r="CC367" s="2783"/>
      <c r="CD367" s="1015"/>
      <c r="CE367" s="1015"/>
      <c r="CF367" s="1015"/>
      <c r="CG367" s="1015"/>
      <c r="CH367" s="1015"/>
      <c r="CI367" s="1015"/>
      <c r="CJ367" s="1015"/>
      <c r="CK367" s="1015"/>
      <c r="CL367" s="1015"/>
      <c r="CM367" s="1015"/>
      <c r="CN367" s="1015"/>
      <c r="CO367" s="1015"/>
      <c r="CP367" s="2035">
        <f t="shared" si="426"/>
        <v>0</v>
      </c>
      <c r="CQ367" s="2783"/>
      <c r="CR367" s="1015"/>
      <c r="CS367" s="1015"/>
      <c r="CT367" s="1015"/>
      <c r="CU367" s="1015"/>
      <c r="CV367" s="1015"/>
      <c r="CW367" s="1015"/>
      <c r="CX367" s="1015"/>
      <c r="CY367" s="1015"/>
      <c r="CZ367" s="1015"/>
      <c r="DA367" s="1015"/>
      <c r="DB367" s="1015"/>
      <c r="DC367" s="1015"/>
      <c r="DD367" s="2046">
        <f t="shared" si="428"/>
        <v>0</v>
      </c>
      <c r="DE367" s="2783"/>
      <c r="DF367" s="1015"/>
      <c r="DG367" s="1015"/>
      <c r="DH367" s="1015"/>
      <c r="DI367" s="2046">
        <f t="shared" si="429"/>
        <v>0</v>
      </c>
      <c r="DJ367" s="3164">
        <f t="shared" si="392"/>
        <v>0</v>
      </c>
      <c r="DL367" s="3180">
        <f t="shared" si="393"/>
        <v>0</v>
      </c>
      <c r="DN367" s="2743" t="s">
        <v>1175</v>
      </c>
      <c r="DO367" s="2744" t="s">
        <v>1175</v>
      </c>
      <c r="DP367" s="2744"/>
      <c r="DQ367" s="2744" t="s">
        <v>1175</v>
      </c>
      <c r="DR367" s="2744" t="str">
        <f t="shared" ref="DR367:DR441" si="446">MID(D367,1,1)</f>
        <v/>
      </c>
      <c r="DS367" s="2783"/>
      <c r="DT367" s="2783"/>
    </row>
    <row r="368" spans="2:124" s="153" customFormat="1" ht="30" collapsed="1">
      <c r="B368" s="68"/>
      <c r="C368" s="166"/>
      <c r="D368" s="2956" t="s">
        <v>553</v>
      </c>
      <c r="E368" s="2902"/>
      <c r="F368" s="2956"/>
      <c r="G368" s="67"/>
      <c r="H368" s="1651" t="s">
        <v>554</v>
      </c>
      <c r="I368" s="546"/>
      <c r="J368" s="68" t="s">
        <v>4</v>
      </c>
      <c r="K368" s="1037"/>
      <c r="L368" s="2881"/>
      <c r="M368" s="370"/>
      <c r="N368" s="371"/>
      <c r="O368" s="371"/>
      <c r="P368" s="371"/>
      <c r="Q368" s="371"/>
      <c r="R368" s="371"/>
      <c r="S368" s="371"/>
      <c r="T368" s="371"/>
      <c r="U368" s="371"/>
      <c r="V368" s="1037"/>
      <c r="W368" s="370"/>
      <c r="X368" s="370"/>
      <c r="Y368" s="370"/>
      <c r="Z368" s="370"/>
      <c r="AA368" s="370"/>
      <c r="AB368" s="169"/>
      <c r="AC368" s="1037"/>
      <c r="AD368" s="68"/>
      <c r="AE368" s="166"/>
      <c r="AF368" s="166"/>
      <c r="AG368" s="166"/>
      <c r="AH368" s="69"/>
      <c r="AI368" s="69">
        <f>+AI369+AI405+AI421+AI439</f>
        <v>7205000</v>
      </c>
      <c r="AJ368" s="69">
        <f>7205000-AI368</f>
        <v>0</v>
      </c>
      <c r="AK368" s="1037"/>
      <c r="AL368" s="69">
        <f>+AL369+AL405+AL421+AL439</f>
        <v>7205000</v>
      </c>
      <c r="AM368" s="69">
        <f>+AM369+AM405+AM421+AM439</f>
        <v>0</v>
      </c>
      <c r="AN368" s="69">
        <f>+AL368+AM368</f>
        <v>7205000</v>
      </c>
      <c r="AO368" s="1037"/>
      <c r="AP368" s="974">
        <f t="shared" ref="AP368:AY368" si="447">+AP369+AP405+AP421+AP439</f>
        <v>0</v>
      </c>
      <c r="AQ368" s="974">
        <f t="shared" si="447"/>
        <v>0</v>
      </c>
      <c r="AR368" s="974">
        <f t="shared" si="447"/>
        <v>0</v>
      </c>
      <c r="AS368" s="974">
        <f t="shared" si="447"/>
        <v>0</v>
      </c>
      <c r="AT368" s="974">
        <f t="shared" si="447"/>
        <v>0</v>
      </c>
      <c r="AU368" s="974">
        <f t="shared" si="447"/>
        <v>0</v>
      </c>
      <c r="AV368" s="974">
        <f t="shared" si="447"/>
        <v>0</v>
      </c>
      <c r="AW368" s="974">
        <f t="shared" si="447"/>
        <v>0</v>
      </c>
      <c r="AX368" s="974">
        <f t="shared" si="447"/>
        <v>0</v>
      </c>
      <c r="AY368" s="974">
        <f t="shared" si="447"/>
        <v>0</v>
      </c>
      <c r="AZ368" s="974">
        <f t="shared" si="420"/>
        <v>0</v>
      </c>
      <c r="BA368" s="1037"/>
      <c r="BB368" s="974">
        <f t="shared" ref="BB368:BM368" si="448">+BB369+BB405+BB421+BB439</f>
        <v>0</v>
      </c>
      <c r="BC368" s="974">
        <f t="shared" si="448"/>
        <v>0</v>
      </c>
      <c r="BD368" s="974">
        <f t="shared" si="448"/>
        <v>0</v>
      </c>
      <c r="BE368" s="974">
        <f t="shared" si="448"/>
        <v>0</v>
      </c>
      <c r="BF368" s="974">
        <f t="shared" si="448"/>
        <v>0</v>
      </c>
      <c r="BG368" s="974">
        <f t="shared" si="448"/>
        <v>0</v>
      </c>
      <c r="BH368" s="974">
        <f t="shared" si="448"/>
        <v>0</v>
      </c>
      <c r="BI368" s="974">
        <f t="shared" si="448"/>
        <v>6000</v>
      </c>
      <c r="BJ368" s="974">
        <f t="shared" si="448"/>
        <v>16500</v>
      </c>
      <c r="BK368" s="974">
        <f t="shared" si="448"/>
        <v>21000</v>
      </c>
      <c r="BL368" s="974">
        <f t="shared" si="448"/>
        <v>7500</v>
      </c>
      <c r="BM368" s="974">
        <f t="shared" si="448"/>
        <v>82000</v>
      </c>
      <c r="BN368" s="974">
        <f t="shared" si="422"/>
        <v>133000</v>
      </c>
      <c r="BO368" s="1037"/>
      <c r="BP368" s="974">
        <f t="shared" ref="BP368:CA368" si="449">+BP369+BP405+BP421+BP439</f>
        <v>59500</v>
      </c>
      <c r="BQ368" s="974">
        <f t="shared" si="449"/>
        <v>62000</v>
      </c>
      <c r="BR368" s="974">
        <f t="shared" si="449"/>
        <v>47000</v>
      </c>
      <c r="BS368" s="974">
        <f t="shared" si="449"/>
        <v>107500</v>
      </c>
      <c r="BT368" s="974">
        <f t="shared" si="449"/>
        <v>40500</v>
      </c>
      <c r="BU368" s="974">
        <f t="shared" si="449"/>
        <v>60000</v>
      </c>
      <c r="BV368" s="974">
        <f t="shared" si="449"/>
        <v>113500</v>
      </c>
      <c r="BW368" s="974">
        <f t="shared" si="449"/>
        <v>41500</v>
      </c>
      <c r="BX368" s="974">
        <f t="shared" si="449"/>
        <v>100500</v>
      </c>
      <c r="BY368" s="974">
        <f t="shared" si="449"/>
        <v>49500</v>
      </c>
      <c r="BZ368" s="974">
        <f t="shared" si="449"/>
        <v>62900</v>
      </c>
      <c r="CA368" s="974">
        <f t="shared" si="449"/>
        <v>17500</v>
      </c>
      <c r="CB368" s="974">
        <f>SUM(BP368:CA368)</f>
        <v>761900</v>
      </c>
      <c r="CC368" s="1037"/>
      <c r="CD368" s="974">
        <f t="shared" ref="CD368:CO368" si="450">+CD369+CD405+CD421+CD439</f>
        <v>202357.14285714284</v>
      </c>
      <c r="CE368" s="974">
        <f t="shared" si="450"/>
        <v>762237.14285714284</v>
      </c>
      <c r="CF368" s="974">
        <f t="shared" si="450"/>
        <v>53357.142857142855</v>
      </c>
      <c r="CG368" s="974">
        <f t="shared" si="450"/>
        <v>176117.14285714284</v>
      </c>
      <c r="CH368" s="974">
        <f t="shared" si="450"/>
        <v>528057.14285714284</v>
      </c>
      <c r="CI368" s="974">
        <f t="shared" si="450"/>
        <v>89357.142857142855</v>
      </c>
      <c r="CJ368" s="974">
        <f t="shared" si="450"/>
        <v>262617.23285714287</v>
      </c>
      <c r="CK368" s="974">
        <f t="shared" si="450"/>
        <v>473800</v>
      </c>
      <c r="CL368" s="974">
        <f t="shared" si="450"/>
        <v>163700</v>
      </c>
      <c r="CM368" s="974">
        <f t="shared" si="450"/>
        <v>272000.08999999997</v>
      </c>
      <c r="CN368" s="974">
        <f t="shared" si="450"/>
        <v>402900</v>
      </c>
      <c r="CO368" s="974">
        <f t="shared" si="450"/>
        <v>65700</v>
      </c>
      <c r="CP368" s="975">
        <f t="shared" si="426"/>
        <v>3452200.1799999997</v>
      </c>
      <c r="CQ368" s="1037"/>
      <c r="CR368" s="974">
        <f t="shared" ref="CR368:DC368" si="451">+CR369+CR405+CR421+CR439</f>
        <v>77700</v>
      </c>
      <c r="CS368" s="974">
        <f t="shared" si="451"/>
        <v>534000.09</v>
      </c>
      <c r="CT368" s="974">
        <f t="shared" si="451"/>
        <v>10000</v>
      </c>
      <c r="CU368" s="974">
        <f t="shared" si="451"/>
        <v>22000</v>
      </c>
      <c r="CV368" s="974">
        <f t="shared" si="451"/>
        <v>376000.08999999997</v>
      </c>
      <c r="CW368" s="974">
        <f t="shared" si="451"/>
        <v>109800</v>
      </c>
      <c r="CX368" s="974">
        <f t="shared" si="451"/>
        <v>129500</v>
      </c>
      <c r="CY368" s="974">
        <f t="shared" si="451"/>
        <v>326000</v>
      </c>
      <c r="CZ368" s="974">
        <f t="shared" si="451"/>
        <v>45000.09</v>
      </c>
      <c r="DA368" s="974">
        <f t="shared" si="451"/>
        <v>172100</v>
      </c>
      <c r="DB368" s="974">
        <f t="shared" si="451"/>
        <v>326000</v>
      </c>
      <c r="DC368" s="974">
        <f t="shared" si="451"/>
        <v>44999.549999999996</v>
      </c>
      <c r="DD368" s="973">
        <f t="shared" si="428"/>
        <v>2173099.8199999998</v>
      </c>
      <c r="DE368" s="1037"/>
      <c r="DF368" s="974">
        <f>+DF369+DF405+DF421+DF439</f>
        <v>684800</v>
      </c>
      <c r="DG368" s="974">
        <f>+DG369+DG405+DG421+DG439</f>
        <v>0</v>
      </c>
      <c r="DH368" s="974">
        <f>+DH369+DH405+DH421+DH439</f>
        <v>0</v>
      </c>
      <c r="DI368" s="3080">
        <f t="shared" si="429"/>
        <v>684800</v>
      </c>
      <c r="DJ368" s="3115">
        <f>+AZ368+BN368+CB368+CP368+DD368+DI368</f>
        <v>7205000</v>
      </c>
      <c r="DL368" s="3180">
        <f>+AN368-DJ368</f>
        <v>0</v>
      </c>
      <c r="DN368" s="2719" t="s">
        <v>1175</v>
      </c>
      <c r="DO368" s="2720" t="s">
        <v>1175</v>
      </c>
      <c r="DP368" s="2720"/>
      <c r="DQ368" s="2720" t="s">
        <v>1175</v>
      </c>
      <c r="DR368" s="2720" t="str">
        <f t="shared" si="446"/>
        <v>3</v>
      </c>
      <c r="DS368" s="1037"/>
      <c r="DT368" s="1037"/>
    </row>
    <row r="369" spans="2:124" s="153" customFormat="1" ht="15" outlineLevel="1" collapsed="1">
      <c r="B369" s="426"/>
      <c r="C369" s="425"/>
      <c r="D369" s="2944" t="s">
        <v>555</v>
      </c>
      <c r="E369" s="2903"/>
      <c r="F369" s="2974"/>
      <c r="G369" s="1641"/>
      <c r="H369" s="545" t="s">
        <v>39</v>
      </c>
      <c r="I369" s="1646"/>
      <c r="J369" s="427"/>
      <c r="K369" s="1037"/>
      <c r="L369" s="425"/>
      <c r="M369" s="425"/>
      <c r="N369" s="430"/>
      <c r="O369" s="430"/>
      <c r="P369" s="430"/>
      <c r="Q369" s="430"/>
      <c r="R369" s="430"/>
      <c r="S369" s="430"/>
      <c r="T369" s="430"/>
      <c r="U369" s="430"/>
      <c r="V369" s="1037"/>
      <c r="W369" s="850"/>
      <c r="X369" s="850"/>
      <c r="Y369" s="850"/>
      <c r="Z369" s="850"/>
      <c r="AA369" s="850"/>
      <c r="AB369" s="431"/>
      <c r="AC369" s="1037"/>
      <c r="AD369" s="426"/>
      <c r="AE369" s="425"/>
      <c r="AF369" s="425"/>
      <c r="AG369" s="425"/>
      <c r="AH369" s="433"/>
      <c r="AI369" s="433">
        <f>+AI370+AI393+AI398</f>
        <v>1908000</v>
      </c>
      <c r="AJ369" s="685"/>
      <c r="AK369" s="1037"/>
      <c r="AL369" s="433">
        <f>+AL370+AL393+AL398</f>
        <v>1908000</v>
      </c>
      <c r="AM369" s="433">
        <f>+AM370+AM393+AM398</f>
        <v>0</v>
      </c>
      <c r="AN369" s="433">
        <f t="shared" si="389"/>
        <v>1908000</v>
      </c>
      <c r="AO369" s="1037"/>
      <c r="AP369" s="433">
        <f t="shared" ref="AP369:AZ369" si="452">+AP370+AP393+AP398</f>
        <v>0</v>
      </c>
      <c r="AQ369" s="433">
        <f t="shared" si="452"/>
        <v>0</v>
      </c>
      <c r="AR369" s="433">
        <f t="shared" si="452"/>
        <v>0</v>
      </c>
      <c r="AS369" s="433">
        <f t="shared" si="452"/>
        <v>0</v>
      </c>
      <c r="AT369" s="433">
        <f t="shared" si="452"/>
        <v>0</v>
      </c>
      <c r="AU369" s="433">
        <f t="shared" si="452"/>
        <v>0</v>
      </c>
      <c r="AV369" s="433">
        <f t="shared" si="452"/>
        <v>0</v>
      </c>
      <c r="AW369" s="433">
        <f t="shared" si="452"/>
        <v>0</v>
      </c>
      <c r="AX369" s="433">
        <f t="shared" si="452"/>
        <v>0</v>
      </c>
      <c r="AY369" s="433">
        <f t="shared" si="452"/>
        <v>0</v>
      </c>
      <c r="AZ369" s="433">
        <f t="shared" si="452"/>
        <v>0</v>
      </c>
      <c r="BA369" s="1037"/>
      <c r="BB369" s="433">
        <f t="shared" ref="BB369:BN369" si="453">+BB370+BB393+BB398</f>
        <v>0</v>
      </c>
      <c r="BC369" s="433">
        <f t="shared" si="453"/>
        <v>0</v>
      </c>
      <c r="BD369" s="433">
        <f t="shared" si="453"/>
        <v>0</v>
      </c>
      <c r="BE369" s="433">
        <f t="shared" si="453"/>
        <v>0</v>
      </c>
      <c r="BF369" s="433">
        <f t="shared" si="453"/>
        <v>0</v>
      </c>
      <c r="BG369" s="433">
        <f t="shared" si="453"/>
        <v>0</v>
      </c>
      <c r="BH369" s="433">
        <f t="shared" si="453"/>
        <v>0</v>
      </c>
      <c r="BI369" s="433">
        <f t="shared" si="453"/>
        <v>0</v>
      </c>
      <c r="BJ369" s="433">
        <f t="shared" si="453"/>
        <v>16500</v>
      </c>
      <c r="BK369" s="433">
        <f t="shared" si="453"/>
        <v>21000</v>
      </c>
      <c r="BL369" s="433">
        <f t="shared" si="453"/>
        <v>7500</v>
      </c>
      <c r="BM369" s="433">
        <f t="shared" si="453"/>
        <v>64000</v>
      </c>
      <c r="BN369" s="433">
        <f t="shared" si="453"/>
        <v>109000</v>
      </c>
      <c r="BO369" s="1037"/>
      <c r="BP369" s="433">
        <f t="shared" ref="BP369:CB369" si="454">+BP370+BP393+BP398</f>
        <v>22500</v>
      </c>
      <c r="BQ369" s="433">
        <f t="shared" si="454"/>
        <v>26000</v>
      </c>
      <c r="BR369" s="433">
        <f t="shared" si="454"/>
        <v>29500</v>
      </c>
      <c r="BS369" s="433">
        <f t="shared" si="454"/>
        <v>41000</v>
      </c>
      <c r="BT369" s="433">
        <f t="shared" si="454"/>
        <v>29500</v>
      </c>
      <c r="BU369" s="433">
        <f t="shared" si="454"/>
        <v>43500</v>
      </c>
      <c r="BV369" s="433">
        <f t="shared" si="454"/>
        <v>86500</v>
      </c>
      <c r="BW369" s="433">
        <f t="shared" si="454"/>
        <v>17500</v>
      </c>
      <c r="BX369" s="433">
        <f t="shared" si="454"/>
        <v>85500</v>
      </c>
      <c r="BY369" s="433">
        <f t="shared" si="454"/>
        <v>16500</v>
      </c>
      <c r="BZ369" s="433">
        <f t="shared" si="454"/>
        <v>57500</v>
      </c>
      <c r="CA369" s="433">
        <f t="shared" si="454"/>
        <v>17500</v>
      </c>
      <c r="CB369" s="433">
        <f t="shared" si="454"/>
        <v>473000</v>
      </c>
      <c r="CC369" s="1037"/>
      <c r="CD369" s="433">
        <f t="shared" ref="CD369:CP369" si="455">+CD370+CD393+CD398</f>
        <v>172357.14285714284</v>
      </c>
      <c r="CE369" s="433">
        <f t="shared" si="455"/>
        <v>82857.142857142855</v>
      </c>
      <c r="CF369" s="433">
        <f t="shared" si="455"/>
        <v>53357.142857142855</v>
      </c>
      <c r="CG369" s="433">
        <f t="shared" si="455"/>
        <v>41357.142857142855</v>
      </c>
      <c r="CH369" s="433">
        <f t="shared" si="455"/>
        <v>138357.14285714284</v>
      </c>
      <c r="CI369" s="433">
        <f t="shared" si="455"/>
        <v>35357.142857142855</v>
      </c>
      <c r="CJ369" s="433">
        <f t="shared" si="455"/>
        <v>82857.142857142855</v>
      </c>
      <c r="CK369" s="433">
        <f t="shared" si="455"/>
        <v>84100</v>
      </c>
      <c r="CL369" s="433">
        <f t="shared" si="455"/>
        <v>109700</v>
      </c>
      <c r="CM369" s="433">
        <f t="shared" si="455"/>
        <v>117200</v>
      </c>
      <c r="CN369" s="433">
        <f t="shared" si="455"/>
        <v>76900</v>
      </c>
      <c r="CO369" s="433">
        <f t="shared" si="455"/>
        <v>65700</v>
      </c>
      <c r="CP369" s="433">
        <f t="shared" si="455"/>
        <v>1060100</v>
      </c>
      <c r="CQ369" s="1037"/>
      <c r="CR369" s="433">
        <f t="shared" ref="CR369:DD369" si="456">+CR370+CR393+CR398</f>
        <v>77700</v>
      </c>
      <c r="CS369" s="433">
        <f t="shared" si="456"/>
        <v>53200</v>
      </c>
      <c r="CT369" s="433">
        <f t="shared" si="456"/>
        <v>10000</v>
      </c>
      <c r="CU369" s="433">
        <f t="shared" si="456"/>
        <v>22000</v>
      </c>
      <c r="CV369" s="433">
        <f t="shared" si="456"/>
        <v>5000</v>
      </c>
      <c r="CW369" s="433">
        <f t="shared" si="456"/>
        <v>0</v>
      </c>
      <c r="CX369" s="433">
        <f t="shared" si="456"/>
        <v>12000</v>
      </c>
      <c r="CY369" s="433">
        <f t="shared" si="456"/>
        <v>0</v>
      </c>
      <c r="CZ369" s="433">
        <f t="shared" si="456"/>
        <v>0</v>
      </c>
      <c r="DA369" s="433">
        <f t="shared" si="456"/>
        <v>0</v>
      </c>
      <c r="DB369" s="433">
        <f t="shared" si="456"/>
        <v>0</v>
      </c>
      <c r="DC369" s="433">
        <f t="shared" si="456"/>
        <v>0</v>
      </c>
      <c r="DD369" s="433">
        <f t="shared" si="456"/>
        <v>179900</v>
      </c>
      <c r="DE369" s="1037"/>
      <c r="DF369" s="433">
        <f>+DF370+DF393+DF398</f>
        <v>86000</v>
      </c>
      <c r="DG369" s="433">
        <f>+DG370+DG393+DG398</f>
        <v>0</v>
      </c>
      <c r="DH369" s="433">
        <f>+DH370+DH393+DH398</f>
        <v>0</v>
      </c>
      <c r="DI369" s="3081">
        <f>+DI370+DI393+DI398</f>
        <v>86000</v>
      </c>
      <c r="DJ369" s="3162">
        <f>+AZ369+BN369+CB369+CP369+DD369+DI369</f>
        <v>1908000</v>
      </c>
      <c r="DL369" s="3180">
        <f>+AN369-DJ369</f>
        <v>0</v>
      </c>
      <c r="DN369" s="2721" t="s">
        <v>1175</v>
      </c>
      <c r="DO369" s="2722" t="s">
        <v>1175</v>
      </c>
      <c r="DP369" s="2722"/>
      <c r="DQ369" s="2722" t="s">
        <v>1175</v>
      </c>
      <c r="DR369" s="2722" t="str">
        <f t="shared" si="446"/>
        <v>3</v>
      </c>
      <c r="DS369" s="1037"/>
      <c r="DT369" s="1037"/>
    </row>
    <row r="370" spans="2:124" s="153" customFormat="1" ht="34.25" customHeight="1" outlineLevel="2">
      <c r="B370" s="106"/>
      <c r="C370" s="172"/>
      <c r="D370" s="2945" t="s">
        <v>556</v>
      </c>
      <c r="E370" s="2904"/>
      <c r="F370" s="2975"/>
      <c r="G370" s="1642"/>
      <c r="H370" s="2773" t="s">
        <v>952</v>
      </c>
      <c r="I370" s="1647"/>
      <c r="J370" s="106" t="s">
        <v>1540</v>
      </c>
      <c r="K370" s="1037"/>
      <c r="L370" s="358" t="str">
        <f>'1_MdR'!C62</f>
        <v>Informe</v>
      </c>
      <c r="M370" s="358">
        <f>'1_MdR'!D62</f>
        <v>0</v>
      </c>
      <c r="N370" s="358">
        <f>'1_MdR'!E62</f>
        <v>2022</v>
      </c>
      <c r="O370" s="358" t="str">
        <f>'1_MdR'!G62</f>
        <v>-</v>
      </c>
      <c r="P370" s="358" t="str">
        <f>'1_MdR'!H62</f>
        <v>-</v>
      </c>
      <c r="Q370" s="358">
        <f>'1_MdR'!I62</f>
        <v>2</v>
      </c>
      <c r="R370" s="358">
        <f>'1_MdR'!J62</f>
        <v>1</v>
      </c>
      <c r="S370" s="358" t="str">
        <f>'1_MdR'!L62</f>
        <v>-</v>
      </c>
      <c r="T370" s="358" t="e">
        <f>'1_MdR'!#REF!</f>
        <v>#REF!</v>
      </c>
      <c r="U370" s="358">
        <f>'1_MdR'!M62</f>
        <v>4</v>
      </c>
      <c r="V370" s="1037"/>
      <c r="W370" s="854"/>
      <c r="X370" s="358"/>
      <c r="Y370" s="358"/>
      <c r="Z370" s="358"/>
      <c r="AA370" s="358"/>
      <c r="AB370" s="106"/>
      <c r="AC370" s="1037"/>
      <c r="AD370" s="106"/>
      <c r="AE370" s="172"/>
      <c r="AF370" s="172"/>
      <c r="AG370" s="172"/>
      <c r="AH370" s="176"/>
      <c r="AI370" s="176">
        <f>SUM(AI371:AI377)+AI378+AI382+AI387</f>
        <v>1239000</v>
      </c>
      <c r="AJ370" s="692"/>
      <c r="AK370" s="1037"/>
      <c r="AL370" s="176">
        <f>SUM(AL371:AL377)+AL378+AL382+AL387</f>
        <v>1239000</v>
      </c>
      <c r="AM370" s="176">
        <f>SUM(AM372:AM377)+AM378+AM382</f>
        <v>0</v>
      </c>
      <c r="AN370" s="176">
        <f>+AL370+AM370</f>
        <v>1239000</v>
      </c>
      <c r="AO370" s="1037"/>
      <c r="AP370" s="176">
        <f t="shared" ref="AP370:AY370" si="457">SUM(AP372:AP377)+AP378+AP382</f>
        <v>0</v>
      </c>
      <c r="AQ370" s="176">
        <f t="shared" si="457"/>
        <v>0</v>
      </c>
      <c r="AR370" s="176">
        <f t="shared" si="457"/>
        <v>0</v>
      </c>
      <c r="AS370" s="176">
        <f t="shared" si="457"/>
        <v>0</v>
      </c>
      <c r="AT370" s="176">
        <f t="shared" si="457"/>
        <v>0</v>
      </c>
      <c r="AU370" s="176">
        <f t="shared" si="457"/>
        <v>0</v>
      </c>
      <c r="AV370" s="176">
        <f t="shared" si="457"/>
        <v>0</v>
      </c>
      <c r="AW370" s="176">
        <f t="shared" si="457"/>
        <v>0</v>
      </c>
      <c r="AX370" s="176">
        <f t="shared" si="457"/>
        <v>0</v>
      </c>
      <c r="AY370" s="176">
        <f t="shared" si="457"/>
        <v>0</v>
      </c>
      <c r="AZ370" s="980">
        <f>SUM(AZ371:AZ377)+AZ378+AZ382+AZ387</f>
        <v>0</v>
      </c>
      <c r="BA370" s="1037"/>
      <c r="BB370" s="176">
        <f t="shared" ref="BB370:BI370" si="458">SUM(BB372:BB377)+BB378+BB382+BB387</f>
        <v>0</v>
      </c>
      <c r="BC370" s="176">
        <f t="shared" si="458"/>
        <v>0</v>
      </c>
      <c r="BD370" s="176">
        <f t="shared" si="458"/>
        <v>0</v>
      </c>
      <c r="BE370" s="176">
        <f t="shared" si="458"/>
        <v>0</v>
      </c>
      <c r="BF370" s="176">
        <f t="shared" si="458"/>
        <v>0</v>
      </c>
      <c r="BG370" s="176">
        <f t="shared" si="458"/>
        <v>0</v>
      </c>
      <c r="BH370" s="176">
        <f t="shared" si="458"/>
        <v>0</v>
      </c>
      <c r="BI370" s="176">
        <f t="shared" si="458"/>
        <v>0</v>
      </c>
      <c r="BJ370" s="176">
        <f>SUM(BJ372:BJ377)+BJ378+BJ382+BJ387</f>
        <v>13000</v>
      </c>
      <c r="BK370" s="176">
        <f>SUM(BK372:BK377)+BK378+BK382+BK387</f>
        <v>17500</v>
      </c>
      <c r="BL370" s="176">
        <f>SUM(BL372:BL377)+BL378+BL382+BL387</f>
        <v>4000</v>
      </c>
      <c r="BM370" s="176">
        <f>SUM(BM372:BM377)+BM378+BM382+BM387</f>
        <v>30500</v>
      </c>
      <c r="BN370" s="980">
        <f>SUM(BN371:BN377)+BN378+BN382+BN387</f>
        <v>65000</v>
      </c>
      <c r="BO370" s="1037"/>
      <c r="BP370" s="176">
        <f t="shared" ref="BP370:CA370" si="459">SUM(BP372:BP377)+BP378+BP382+BP387</f>
        <v>4000</v>
      </c>
      <c r="BQ370" s="176">
        <f t="shared" si="459"/>
        <v>0</v>
      </c>
      <c r="BR370" s="176">
        <f t="shared" si="459"/>
        <v>18000</v>
      </c>
      <c r="BS370" s="176">
        <f t="shared" si="459"/>
        <v>0</v>
      </c>
      <c r="BT370" s="176">
        <f t="shared" si="459"/>
        <v>26000</v>
      </c>
      <c r="BU370" s="176">
        <f t="shared" si="459"/>
        <v>8000</v>
      </c>
      <c r="BV370" s="176">
        <f t="shared" si="459"/>
        <v>38000</v>
      </c>
      <c r="BW370" s="176">
        <f t="shared" si="459"/>
        <v>14000</v>
      </c>
      <c r="BX370" s="176">
        <f t="shared" si="459"/>
        <v>50000</v>
      </c>
      <c r="BY370" s="176">
        <f t="shared" si="459"/>
        <v>13000</v>
      </c>
      <c r="BZ370" s="176">
        <f t="shared" si="459"/>
        <v>28000</v>
      </c>
      <c r="CA370" s="176">
        <f t="shared" si="459"/>
        <v>14000</v>
      </c>
      <c r="CB370" s="980">
        <f>SUM(CB371:CB377)+CB378+CB382+CB387</f>
        <v>213000</v>
      </c>
      <c r="CC370" s="1037"/>
      <c r="CD370" s="176">
        <f t="shared" ref="CD370:CO370" si="460">SUM(CD372:CD377)+CD378+CD382+CD387</f>
        <v>67857.142857142855</v>
      </c>
      <c r="CE370" s="176">
        <f t="shared" si="460"/>
        <v>71357.142857142855</v>
      </c>
      <c r="CF370" s="176">
        <f t="shared" si="460"/>
        <v>35357.142857142855</v>
      </c>
      <c r="CG370" s="176">
        <f t="shared" si="460"/>
        <v>35357.142857142855</v>
      </c>
      <c r="CH370" s="176">
        <f t="shared" si="460"/>
        <v>80357.142857142855</v>
      </c>
      <c r="CI370" s="176">
        <f t="shared" si="460"/>
        <v>35357.142857142855</v>
      </c>
      <c r="CJ370" s="176">
        <f t="shared" si="460"/>
        <v>35357.142857142855</v>
      </c>
      <c r="CK370" s="176">
        <f t="shared" si="460"/>
        <v>64100</v>
      </c>
      <c r="CL370" s="176">
        <f t="shared" si="460"/>
        <v>109700</v>
      </c>
      <c r="CM370" s="176">
        <f t="shared" si="460"/>
        <v>109700</v>
      </c>
      <c r="CN370" s="176">
        <f t="shared" si="460"/>
        <v>76900</v>
      </c>
      <c r="CO370" s="176">
        <f t="shared" si="460"/>
        <v>65700</v>
      </c>
      <c r="CP370" s="980">
        <f>SUM(CP371:CP377)+CP378+CP382+CP387</f>
        <v>787100</v>
      </c>
      <c r="CQ370" s="1037"/>
      <c r="CR370" s="176">
        <f t="shared" ref="CR370:DC370" si="461">SUM(CR372:CR377)+CR378+CR382+CR387</f>
        <v>71700</v>
      </c>
      <c r="CS370" s="176">
        <f t="shared" si="461"/>
        <v>53200</v>
      </c>
      <c r="CT370" s="176">
        <f t="shared" si="461"/>
        <v>10000</v>
      </c>
      <c r="CU370" s="176">
        <f t="shared" si="461"/>
        <v>22000</v>
      </c>
      <c r="CV370" s="176">
        <f t="shared" si="461"/>
        <v>5000</v>
      </c>
      <c r="CW370" s="176">
        <f t="shared" si="461"/>
        <v>0</v>
      </c>
      <c r="CX370" s="176">
        <f t="shared" si="461"/>
        <v>12000</v>
      </c>
      <c r="CY370" s="176">
        <f t="shared" si="461"/>
        <v>0</v>
      </c>
      <c r="CZ370" s="176">
        <f t="shared" si="461"/>
        <v>0</v>
      </c>
      <c r="DA370" s="176">
        <f t="shared" si="461"/>
        <v>0</v>
      </c>
      <c r="DB370" s="176">
        <f t="shared" si="461"/>
        <v>0</v>
      </c>
      <c r="DC370" s="176">
        <f t="shared" si="461"/>
        <v>0</v>
      </c>
      <c r="DD370" s="980">
        <f>SUM(DD371:DD377)+DD378+DD382+DD387</f>
        <v>173900</v>
      </c>
      <c r="DE370" s="1037"/>
      <c r="DF370" s="176">
        <f>SUM(DF372:DF377)+DF378+DF382</f>
        <v>0</v>
      </c>
      <c r="DG370" s="176">
        <f>SUM(DG372:DG377)+DG378+DG382</f>
        <v>0</v>
      </c>
      <c r="DH370" s="176">
        <f>SUM(DH372:DH377)+DH378+DH382</f>
        <v>0</v>
      </c>
      <c r="DI370" s="3091">
        <f>SUM(DI371:DI377)+DI378+DI382+DI387</f>
        <v>0</v>
      </c>
      <c r="DJ370" s="3135">
        <f>+AZ370+BN370+CB370+CP370+DD370+DI370</f>
        <v>1239000</v>
      </c>
      <c r="DL370" s="3180">
        <f>+AN370-DJ370</f>
        <v>0</v>
      </c>
      <c r="DN370" s="2723" t="s">
        <v>1175</v>
      </c>
      <c r="DO370" s="2724" t="s">
        <v>1175</v>
      </c>
      <c r="DP370" s="2724"/>
      <c r="DQ370" s="2724" t="s">
        <v>1175</v>
      </c>
      <c r="DR370" s="2724" t="str">
        <f t="shared" si="446"/>
        <v>3</v>
      </c>
      <c r="DS370" s="1037"/>
      <c r="DT370" s="1037"/>
    </row>
    <row r="371" spans="2:124" s="148" customFormat="1" ht="47.5" customHeight="1" outlineLevel="3">
      <c r="B371" s="711"/>
      <c r="C371" s="182"/>
      <c r="D371" s="2946"/>
      <c r="E371" s="2905"/>
      <c r="F371" s="2966"/>
      <c r="G371" s="1643"/>
      <c r="H371" s="2774" t="s">
        <v>954</v>
      </c>
      <c r="I371" s="2389" t="s">
        <v>1541</v>
      </c>
      <c r="J371" s="103"/>
      <c r="K371" s="1037"/>
      <c r="L371" s="364"/>
      <c r="M371" s="364"/>
      <c r="N371" s="367"/>
      <c r="O371" s="367"/>
      <c r="P371" s="367"/>
      <c r="Q371" s="367"/>
      <c r="R371" s="367"/>
      <c r="S371" s="367"/>
      <c r="T371" s="367"/>
      <c r="U371" s="367"/>
      <c r="V371" s="1037"/>
      <c r="W371" s="853"/>
      <c r="X371" s="853" t="s">
        <v>1075</v>
      </c>
      <c r="Y371" s="853" t="s">
        <v>1198</v>
      </c>
      <c r="Z371" s="853">
        <v>32</v>
      </c>
      <c r="AA371" s="853"/>
      <c r="AB371" s="177"/>
      <c r="AC371" s="1037"/>
      <c r="AD371" s="711" t="s">
        <v>1179</v>
      </c>
      <c r="AE371" s="1442">
        <v>1</v>
      </c>
      <c r="AF371" s="179"/>
      <c r="AG371" s="179"/>
      <c r="AH371" s="2689"/>
      <c r="AI371" s="1746"/>
      <c r="AJ371" s="693" t="s">
        <v>1542</v>
      </c>
      <c r="AK371" s="1037"/>
      <c r="AL371" s="1053">
        <f t="shared" ref="AL371:AL377" si="462">+AI371</f>
        <v>0</v>
      </c>
      <c r="AM371" s="1746"/>
      <c r="AN371" s="1747">
        <f t="shared" si="389"/>
        <v>0</v>
      </c>
      <c r="AO371" s="1037"/>
      <c r="AP371" s="1015"/>
      <c r="AQ371" s="1015"/>
      <c r="AR371" s="1015"/>
      <c r="AS371" s="1015"/>
      <c r="AT371" s="1015"/>
      <c r="AU371" s="1015"/>
      <c r="AV371" s="1015"/>
      <c r="AW371" s="1015"/>
      <c r="AX371" s="1015"/>
      <c r="AY371" s="1015"/>
      <c r="AZ371" s="2026">
        <f t="shared" si="420"/>
        <v>0</v>
      </c>
      <c r="BA371" s="1037"/>
      <c r="BB371" s="1015"/>
      <c r="BC371" s="1015"/>
      <c r="BD371" s="1015"/>
      <c r="BE371" s="1015"/>
      <c r="BF371" s="1015"/>
      <c r="BG371" s="1015"/>
      <c r="BH371" s="1015"/>
      <c r="BI371" s="1015"/>
      <c r="BJ371" s="1015"/>
      <c r="BK371" s="1015"/>
      <c r="BL371" s="1015"/>
      <c r="BM371" s="1015"/>
      <c r="BN371" s="2026">
        <f t="shared" si="422"/>
        <v>0</v>
      </c>
      <c r="BO371" s="1037"/>
      <c r="BP371" s="1015"/>
      <c r="BQ371" s="1015"/>
      <c r="BR371" s="1015"/>
      <c r="BS371" s="1015"/>
      <c r="BT371" s="1015"/>
      <c r="BU371" s="1015"/>
      <c r="BV371" s="1015"/>
      <c r="BW371" s="1015"/>
      <c r="BX371" s="1015"/>
      <c r="BY371" s="1015"/>
      <c r="BZ371" s="1015"/>
      <c r="CA371" s="1015"/>
      <c r="CB371" s="2026">
        <f t="shared" si="424"/>
        <v>0</v>
      </c>
      <c r="CC371" s="1037"/>
      <c r="CD371" s="1015"/>
      <c r="CE371" s="1015"/>
      <c r="CF371" s="1015"/>
      <c r="CG371" s="1015"/>
      <c r="CH371" s="1015"/>
      <c r="CI371" s="1015"/>
      <c r="CJ371" s="1015"/>
      <c r="CK371" s="1015"/>
      <c r="CL371" s="1015"/>
      <c r="CM371" s="1015"/>
      <c r="CN371" s="1015"/>
      <c r="CO371" s="1015"/>
      <c r="CP371" s="2026">
        <f t="shared" si="426"/>
        <v>0</v>
      </c>
      <c r="CQ371" s="1037"/>
      <c r="CR371" s="1015"/>
      <c r="CS371" s="1015"/>
      <c r="CT371" s="1015"/>
      <c r="CU371" s="1015"/>
      <c r="CV371" s="1015"/>
      <c r="CW371" s="1015"/>
      <c r="CX371" s="1015"/>
      <c r="CY371" s="1015"/>
      <c r="CZ371" s="1015"/>
      <c r="DA371" s="1015"/>
      <c r="DB371" s="1015"/>
      <c r="DC371" s="1015"/>
      <c r="DD371" s="2023">
        <f t="shared" si="428"/>
        <v>0</v>
      </c>
      <c r="DE371" s="1037"/>
      <c r="DF371" s="1015"/>
      <c r="DG371" s="1015"/>
      <c r="DH371" s="1015"/>
      <c r="DI371" s="2046">
        <f>SUM(DF371:DH371)</f>
        <v>0</v>
      </c>
      <c r="DJ371" s="3170">
        <f>+AZ371+BN371+CB371+CP371+DD371+DI371</f>
        <v>0</v>
      </c>
      <c r="DL371" s="3180">
        <f>+AN371-DJ371</f>
        <v>0</v>
      </c>
      <c r="DN371" s="2743"/>
      <c r="DO371" s="2775"/>
      <c r="DP371" s="2775"/>
      <c r="DQ371" s="2775"/>
      <c r="DR371" s="2775"/>
      <c r="DS371" s="1037"/>
      <c r="DT371" s="1037"/>
    </row>
    <row r="372" spans="2:124" s="148" customFormat="1" ht="45" outlineLevel="3">
      <c r="B372" s="711"/>
      <c r="C372" s="182"/>
      <c r="D372" s="435" t="s">
        <v>1543</v>
      </c>
      <c r="E372" s="2905"/>
      <c r="F372" s="2966"/>
      <c r="G372" s="1643"/>
      <c r="H372" s="2518" t="s">
        <v>1544</v>
      </c>
      <c r="I372" s="1210"/>
      <c r="J372" s="103"/>
      <c r="K372" s="1037"/>
      <c r="L372" s="364"/>
      <c r="M372" s="364"/>
      <c r="N372" s="367"/>
      <c r="O372" s="367"/>
      <c r="P372" s="367"/>
      <c r="Q372" s="367"/>
      <c r="R372" s="367"/>
      <c r="S372" s="367"/>
      <c r="T372" s="367"/>
      <c r="U372" s="367"/>
      <c r="V372" s="1037"/>
      <c r="W372" s="853" t="s">
        <v>763</v>
      </c>
      <c r="X372" s="853" t="s">
        <v>1075</v>
      </c>
      <c r="Y372" s="853" t="s">
        <v>1413</v>
      </c>
      <c r="Z372" s="853">
        <v>99</v>
      </c>
      <c r="AA372" s="853" t="s">
        <v>1266</v>
      </c>
      <c r="AB372" s="177"/>
      <c r="AC372" s="1037"/>
      <c r="AD372" s="711" t="s">
        <v>1179</v>
      </c>
      <c r="AE372" s="1442">
        <v>1</v>
      </c>
      <c r="AF372" s="179"/>
      <c r="AG372" s="179"/>
      <c r="AH372" s="2689">
        <v>30000</v>
      </c>
      <c r="AI372" s="1746">
        <f>AE372*AH372</f>
        <v>30000</v>
      </c>
      <c r="AJ372" s="2906"/>
      <c r="AK372" s="1037"/>
      <c r="AL372" s="1053">
        <f t="shared" si="462"/>
        <v>30000</v>
      </c>
      <c r="AM372" s="1746"/>
      <c r="AN372" s="1747">
        <f t="shared" si="389"/>
        <v>30000</v>
      </c>
      <c r="AO372" s="1037"/>
      <c r="AP372" s="1015">
        <v>0</v>
      </c>
      <c r="AQ372" s="1015">
        <v>0</v>
      </c>
      <c r="AR372" s="1015">
        <v>0</v>
      </c>
      <c r="AS372" s="1015">
        <v>0</v>
      </c>
      <c r="AT372" s="1015">
        <v>0</v>
      </c>
      <c r="AU372" s="1015">
        <v>0</v>
      </c>
      <c r="AV372" s="1015">
        <v>0</v>
      </c>
      <c r="AW372" s="1015">
        <v>0</v>
      </c>
      <c r="AX372" s="1015">
        <v>0</v>
      </c>
      <c r="AY372" s="1015">
        <v>0</v>
      </c>
      <c r="AZ372" s="2026">
        <f t="shared" si="420"/>
        <v>0</v>
      </c>
      <c r="BA372" s="1037"/>
      <c r="BB372" s="1015"/>
      <c r="BC372" s="1015">
        <v>0</v>
      </c>
      <c r="BD372" s="1015">
        <v>0</v>
      </c>
      <c r="BE372" s="1015">
        <v>0</v>
      </c>
      <c r="BF372" s="1015"/>
      <c r="BG372" s="1015">
        <f>+$AI$372*0%</f>
        <v>0</v>
      </c>
      <c r="BH372" s="1015">
        <v>0</v>
      </c>
      <c r="BI372" s="1015">
        <v>0</v>
      </c>
      <c r="BK372" s="1015">
        <v>0</v>
      </c>
      <c r="BL372" s="1015">
        <v>0</v>
      </c>
      <c r="BM372" s="1015">
        <v>0</v>
      </c>
      <c r="BN372" s="2026">
        <f t="shared" si="422"/>
        <v>0</v>
      </c>
      <c r="BO372" s="1037"/>
      <c r="BP372" s="1015"/>
      <c r="BQ372" s="1015">
        <v>0</v>
      </c>
      <c r="BR372" s="1015"/>
      <c r="BS372" s="1015"/>
      <c r="BT372" s="1015">
        <f t="shared" ref="BT372:BY372" si="463">+$AH$372/6</f>
        <v>5000</v>
      </c>
      <c r="BU372" s="1015">
        <f t="shared" si="463"/>
        <v>5000</v>
      </c>
      <c r="BV372" s="1015">
        <f t="shared" si="463"/>
        <v>5000</v>
      </c>
      <c r="BW372" s="1015">
        <f t="shared" si="463"/>
        <v>5000</v>
      </c>
      <c r="BX372" s="1015">
        <f t="shared" si="463"/>
        <v>5000</v>
      </c>
      <c r="BY372" s="1015">
        <f t="shared" si="463"/>
        <v>5000</v>
      </c>
      <c r="BZ372" s="1015"/>
      <c r="CA372" s="1015">
        <v>0</v>
      </c>
      <c r="CB372" s="2026">
        <f t="shared" si="424"/>
        <v>30000</v>
      </c>
      <c r="CC372" s="1037"/>
      <c r="CD372" s="1015">
        <v>0</v>
      </c>
      <c r="CE372" s="1015">
        <v>0</v>
      </c>
      <c r="CF372" s="1015"/>
      <c r="CG372" s="1015"/>
      <c r="CH372" s="1015"/>
      <c r="CI372" s="1015"/>
      <c r="CJ372" s="1015"/>
      <c r="CK372" s="1015"/>
      <c r="CL372" s="1015">
        <v>0</v>
      </c>
      <c r="CM372" s="1015">
        <v>0</v>
      </c>
      <c r="CN372" s="1015">
        <v>0</v>
      </c>
      <c r="CO372" s="1015">
        <v>0</v>
      </c>
      <c r="CP372" s="2026">
        <f t="shared" si="426"/>
        <v>0</v>
      </c>
      <c r="CQ372" s="1037"/>
      <c r="CR372" s="1015">
        <v>0</v>
      </c>
      <c r="CS372" s="1015">
        <v>0</v>
      </c>
      <c r="CT372" s="1015">
        <v>0</v>
      </c>
      <c r="CU372" s="1015">
        <v>0</v>
      </c>
      <c r="CV372" s="1015">
        <v>0</v>
      </c>
      <c r="CW372" s="1015">
        <v>0</v>
      </c>
      <c r="CX372" s="1015">
        <v>0</v>
      </c>
      <c r="CY372" s="1015">
        <v>0</v>
      </c>
      <c r="CZ372" s="1015">
        <v>0</v>
      </c>
      <c r="DA372" s="1015">
        <v>0</v>
      </c>
      <c r="DB372" s="1015">
        <v>0</v>
      </c>
      <c r="DC372" s="1015">
        <v>0</v>
      </c>
      <c r="DD372" s="2023">
        <f t="shared" si="428"/>
        <v>0</v>
      </c>
      <c r="DE372" s="1037"/>
      <c r="DF372" s="1015">
        <v>0</v>
      </c>
      <c r="DG372" s="1015">
        <v>0</v>
      </c>
      <c r="DH372" s="1015">
        <v>0</v>
      </c>
      <c r="DI372" s="2046">
        <f>SUM(DF372:DH372)</f>
        <v>0</v>
      </c>
      <c r="DJ372" s="3170">
        <f t="shared" si="392"/>
        <v>30000</v>
      </c>
      <c r="DL372" s="3180">
        <f t="shared" si="393"/>
        <v>0</v>
      </c>
      <c r="DN372" s="2743" t="s">
        <v>1415</v>
      </c>
      <c r="DO372" s="2775" t="s">
        <v>1416</v>
      </c>
      <c r="DP372" s="2775" t="s">
        <v>1124</v>
      </c>
      <c r="DQ372" s="2775" t="s">
        <v>4</v>
      </c>
      <c r="DR372" s="2775" t="str">
        <f t="shared" si="446"/>
        <v>3</v>
      </c>
      <c r="DS372" s="1037"/>
      <c r="DT372" s="1037"/>
    </row>
    <row r="373" spans="2:124" s="148" customFormat="1" ht="45" outlineLevel="3">
      <c r="B373" s="711"/>
      <c r="C373" s="182"/>
      <c r="D373" s="435" t="s">
        <v>1545</v>
      </c>
      <c r="E373" s="2905"/>
      <c r="F373" s="2966"/>
      <c r="G373" s="1643"/>
      <c r="H373" s="2518" t="s">
        <v>1546</v>
      </c>
      <c r="I373" s="1210"/>
      <c r="J373" s="103"/>
      <c r="K373" s="1037"/>
      <c r="L373" s="364"/>
      <c r="M373" s="364"/>
      <c r="N373" s="367"/>
      <c r="O373" s="367"/>
      <c r="P373" s="367"/>
      <c r="Q373" s="367"/>
      <c r="R373" s="367"/>
      <c r="S373" s="367"/>
      <c r="T373" s="367"/>
      <c r="U373" s="367"/>
      <c r="V373" s="1037"/>
      <c r="W373" s="853" t="s">
        <v>763</v>
      </c>
      <c r="X373" s="853" t="s">
        <v>1075</v>
      </c>
      <c r="Y373" s="853" t="s">
        <v>1413</v>
      </c>
      <c r="Z373" s="853">
        <v>100</v>
      </c>
      <c r="AA373" s="853" t="s">
        <v>1388</v>
      </c>
      <c r="AB373" s="177"/>
      <c r="AC373" s="1037"/>
      <c r="AD373" s="711" t="s">
        <v>1179</v>
      </c>
      <c r="AE373" s="1442">
        <v>1</v>
      </c>
      <c r="AF373" s="179"/>
      <c r="AG373" s="179"/>
      <c r="AH373" s="2689">
        <v>120000</v>
      </c>
      <c r="AI373" s="1746">
        <f>AE373*AH373</f>
        <v>120000</v>
      </c>
      <c r="AJ373" s="693"/>
      <c r="AK373" s="1037"/>
      <c r="AL373" s="1053">
        <f t="shared" si="462"/>
        <v>120000</v>
      </c>
      <c r="AM373" s="1746"/>
      <c r="AN373" s="1747">
        <f t="shared" si="389"/>
        <v>120000</v>
      </c>
      <c r="AO373" s="1037"/>
      <c r="AP373" s="1015">
        <v>0</v>
      </c>
      <c r="AQ373" s="1015">
        <v>0</v>
      </c>
      <c r="AR373" s="1015">
        <v>0</v>
      </c>
      <c r="AS373" s="1015">
        <v>0</v>
      </c>
      <c r="AT373" s="1015">
        <v>0</v>
      </c>
      <c r="AU373" s="1015">
        <v>0</v>
      </c>
      <c r="AV373" s="1015">
        <v>0</v>
      </c>
      <c r="AW373" s="1015">
        <v>0</v>
      </c>
      <c r="AX373" s="1015">
        <v>0</v>
      </c>
      <c r="AY373" s="1015">
        <v>0</v>
      </c>
      <c r="AZ373" s="2026">
        <f t="shared" si="420"/>
        <v>0</v>
      </c>
      <c r="BA373" s="1037"/>
      <c r="BB373" s="1015">
        <v>0</v>
      </c>
      <c r="BC373" s="1015">
        <v>0</v>
      </c>
      <c r="BD373" s="1015">
        <v>0</v>
      </c>
      <c r="BE373" s="1015">
        <v>0</v>
      </c>
      <c r="BF373" s="1015">
        <v>0</v>
      </c>
      <c r="BG373" s="1015">
        <v>0</v>
      </c>
      <c r="BH373" s="1015">
        <v>0</v>
      </c>
      <c r="BI373" s="1015">
        <v>0</v>
      </c>
      <c r="BJ373" s="1015">
        <v>0</v>
      </c>
      <c r="BK373" s="1015">
        <v>0</v>
      </c>
      <c r="BL373" s="1015"/>
      <c r="BM373" s="1015"/>
      <c r="BN373" s="2026">
        <f t="shared" si="422"/>
        <v>0</v>
      </c>
      <c r="BO373" s="1037"/>
      <c r="BP373" s="1015">
        <v>0</v>
      </c>
      <c r="BQ373" s="1015"/>
      <c r="BR373" s="1015">
        <f>+$AH$373*0.1</f>
        <v>12000</v>
      </c>
      <c r="BS373" s="1015"/>
      <c r="BT373" s="1015">
        <f>+$AH$373*0.1</f>
        <v>12000</v>
      </c>
      <c r="BU373" s="1015"/>
      <c r="BV373" s="1015">
        <f>+$AH$373*0.2</f>
        <v>24000</v>
      </c>
      <c r="BW373" s="1015"/>
      <c r="BX373" s="1015">
        <f>+$AH$373*0.3</f>
        <v>36000</v>
      </c>
      <c r="BY373" s="1015"/>
      <c r="BZ373" s="1015">
        <f>+$AH$373*0.1</f>
        <v>12000</v>
      </c>
      <c r="CA373" s="1015"/>
      <c r="CB373" s="2026">
        <f t="shared" si="424"/>
        <v>96000</v>
      </c>
      <c r="CC373" s="1037"/>
      <c r="CD373" s="1015">
        <f>+$AH$373*0.2</f>
        <v>24000</v>
      </c>
      <c r="CE373" s="1015"/>
      <c r="CF373" s="1015"/>
      <c r="CG373" s="1015">
        <v>0</v>
      </c>
      <c r="CH373" s="1015">
        <v>0</v>
      </c>
      <c r="CI373" s="1015">
        <v>0</v>
      </c>
      <c r="CJ373" s="1015">
        <v>0</v>
      </c>
      <c r="CK373" s="1015">
        <v>0</v>
      </c>
      <c r="CL373" s="1015">
        <v>0</v>
      </c>
      <c r="CM373" s="1015">
        <v>0</v>
      </c>
      <c r="CN373" s="1015">
        <v>0</v>
      </c>
      <c r="CO373" s="1015"/>
      <c r="CP373" s="2026">
        <f>SUM(CD373:CO373)</f>
        <v>24000</v>
      </c>
      <c r="CQ373" s="1037"/>
      <c r="CR373" s="1015"/>
      <c r="CS373" s="1015">
        <v>0</v>
      </c>
      <c r="CT373" s="1015"/>
      <c r="CU373" s="1015">
        <v>0</v>
      </c>
      <c r="CV373" s="1015">
        <v>0</v>
      </c>
      <c r="CW373" s="1015">
        <v>0</v>
      </c>
      <c r="CX373" s="1015">
        <v>0</v>
      </c>
      <c r="CY373" s="1015">
        <v>0</v>
      </c>
      <c r="CZ373" s="1015">
        <v>0</v>
      </c>
      <c r="DA373" s="1015">
        <v>0</v>
      </c>
      <c r="DB373" s="1015">
        <v>0</v>
      </c>
      <c r="DC373" s="1015">
        <v>0</v>
      </c>
      <c r="DD373" s="2023">
        <f t="shared" si="428"/>
        <v>0</v>
      </c>
      <c r="DE373" s="1037"/>
      <c r="DF373" s="1015">
        <v>0</v>
      </c>
      <c r="DG373" s="1015">
        <v>0</v>
      </c>
      <c r="DH373" s="1015">
        <v>0</v>
      </c>
      <c r="DI373" s="2046">
        <f t="shared" si="429"/>
        <v>0</v>
      </c>
      <c r="DJ373" s="3170">
        <f t="shared" si="392"/>
        <v>120000</v>
      </c>
      <c r="DL373" s="3180">
        <f t="shared" si="393"/>
        <v>0</v>
      </c>
      <c r="DN373" s="2743" t="s">
        <v>1415</v>
      </c>
      <c r="DO373" s="2775" t="s">
        <v>1416</v>
      </c>
      <c r="DP373" s="2775" t="s">
        <v>1124</v>
      </c>
      <c r="DQ373" s="2775" t="s">
        <v>4</v>
      </c>
      <c r="DR373" s="2775" t="str">
        <f t="shared" si="446"/>
        <v>3</v>
      </c>
      <c r="DS373" s="1037"/>
      <c r="DT373" s="1037"/>
    </row>
    <row r="374" spans="2:124" s="153" customFormat="1" ht="45" outlineLevel="3">
      <c r="B374" s="711"/>
      <c r="C374" s="182"/>
      <c r="D374" s="435" t="s">
        <v>1547</v>
      </c>
      <c r="E374" s="2905"/>
      <c r="F374" s="2966"/>
      <c r="G374" s="1643"/>
      <c r="H374" s="2518" t="s">
        <v>1548</v>
      </c>
      <c r="I374" s="1210"/>
      <c r="J374" s="177"/>
      <c r="K374" s="1037"/>
      <c r="L374" s="853"/>
      <c r="M374" s="853"/>
      <c r="N374" s="368"/>
      <c r="O374" s="368"/>
      <c r="P374" s="368"/>
      <c r="Q374" s="368"/>
      <c r="R374" s="368"/>
      <c r="S374" s="368"/>
      <c r="T374" s="368"/>
      <c r="U374" s="368"/>
      <c r="V374" s="1037"/>
      <c r="W374" s="853" t="s">
        <v>763</v>
      </c>
      <c r="X374" s="853" t="s">
        <v>1075</v>
      </c>
      <c r="Y374" s="853" t="s">
        <v>1413</v>
      </c>
      <c r="Z374" s="853">
        <v>101</v>
      </c>
      <c r="AA374" s="853" t="s">
        <v>1549</v>
      </c>
      <c r="AB374" s="177"/>
      <c r="AC374" s="1037"/>
      <c r="AD374" s="711" t="s">
        <v>1179</v>
      </c>
      <c r="AE374" s="1442">
        <v>1</v>
      </c>
      <c r="AF374" s="704"/>
      <c r="AG374" s="704"/>
      <c r="AH374" s="2689">
        <v>30000</v>
      </c>
      <c r="AI374" s="1746">
        <f>AE374*AH374</f>
        <v>30000</v>
      </c>
      <c r="AJ374" s="2060"/>
      <c r="AK374" s="1037"/>
      <c r="AL374" s="1053">
        <f t="shared" si="462"/>
        <v>30000</v>
      </c>
      <c r="AM374" s="485">
        <f>+AM375+AM376</f>
        <v>0</v>
      </c>
      <c r="AN374" s="485">
        <f t="shared" si="389"/>
        <v>30000</v>
      </c>
      <c r="AO374" s="1037"/>
      <c r="AP374" s="1015">
        <v>0</v>
      </c>
      <c r="AQ374" s="1015">
        <v>0</v>
      </c>
      <c r="AR374" s="1015">
        <v>0</v>
      </c>
      <c r="AS374" s="1015">
        <v>0</v>
      </c>
      <c r="AT374" s="1015">
        <v>0</v>
      </c>
      <c r="AU374" s="1015">
        <v>0</v>
      </c>
      <c r="AV374" s="1015">
        <v>0</v>
      </c>
      <c r="AW374" s="1015">
        <v>0</v>
      </c>
      <c r="AX374" s="1015">
        <v>0</v>
      </c>
      <c r="AY374" s="1015">
        <v>0</v>
      </c>
      <c r="AZ374" s="1294">
        <f t="shared" si="420"/>
        <v>0</v>
      </c>
      <c r="BA374" s="1037"/>
      <c r="BB374" s="1015">
        <v>0</v>
      </c>
      <c r="BC374" s="1015">
        <v>0</v>
      </c>
      <c r="BD374" s="1015">
        <v>0</v>
      </c>
      <c r="BE374" s="1015">
        <v>0</v>
      </c>
      <c r="BF374" s="1015">
        <v>0</v>
      </c>
      <c r="BG374" s="1015">
        <v>0</v>
      </c>
      <c r="BH374" s="1015">
        <v>0</v>
      </c>
      <c r="BI374" s="1015">
        <v>0</v>
      </c>
      <c r="BJ374" s="1015">
        <v>0</v>
      </c>
      <c r="BK374" s="1015">
        <v>0</v>
      </c>
      <c r="BL374" s="1015">
        <v>0</v>
      </c>
      <c r="BM374" s="1033"/>
      <c r="BN374" s="1294">
        <f t="shared" si="422"/>
        <v>0</v>
      </c>
      <c r="BO374" s="1037"/>
      <c r="BP374" s="1015">
        <v>0</v>
      </c>
      <c r="BQ374" s="1015"/>
      <c r="BR374" s="1015">
        <f>+$AH$374*0.1</f>
        <v>3000</v>
      </c>
      <c r="BS374" s="1015"/>
      <c r="BT374" s="1015">
        <f>+$AH$374*0.15</f>
        <v>4500</v>
      </c>
      <c r="BU374" s="1015"/>
      <c r="BV374" s="1015">
        <f>+$AH$374*0.15</f>
        <v>4500</v>
      </c>
      <c r="BW374" s="1015"/>
      <c r="BX374" s="1015">
        <f>+$AH$374*0.15</f>
        <v>4500</v>
      </c>
      <c r="BY374" s="1015"/>
      <c r="BZ374" s="1015">
        <f>+$AH$374*0.2</f>
        <v>6000</v>
      </c>
      <c r="CA374" s="1033"/>
      <c r="CB374" s="1294">
        <f t="shared" si="424"/>
        <v>22500</v>
      </c>
      <c r="CC374" s="1037"/>
      <c r="CD374" s="1015">
        <f>+$AH$374*0.25</f>
        <v>7500</v>
      </c>
      <c r="CE374" s="1015">
        <v>0</v>
      </c>
      <c r="CF374" s="1033"/>
      <c r="CG374" s="1015"/>
      <c r="CH374" s="1015"/>
      <c r="CI374" s="1033"/>
      <c r="CJ374" s="1015"/>
      <c r="CK374" s="1015"/>
      <c r="CL374" s="1015"/>
      <c r="CM374" s="1015">
        <v>0</v>
      </c>
      <c r="CN374" s="1015">
        <v>0</v>
      </c>
      <c r="CO374" s="1015">
        <v>0</v>
      </c>
      <c r="CP374" s="1744">
        <f t="shared" si="426"/>
        <v>7500</v>
      </c>
      <c r="CQ374" s="1037"/>
      <c r="CR374" s="1033"/>
      <c r="CS374" s="1015"/>
      <c r="CT374" s="1033"/>
      <c r="CU374" s="1015"/>
      <c r="CV374" s="1033"/>
      <c r="CW374" s="1015"/>
      <c r="CX374" s="1033"/>
      <c r="CY374" s="1015">
        <v>0</v>
      </c>
      <c r="CZ374" s="1015">
        <v>0</v>
      </c>
      <c r="DA374" s="1015">
        <v>0</v>
      </c>
      <c r="DB374" s="1015">
        <v>0</v>
      </c>
      <c r="DC374" s="1015">
        <v>0</v>
      </c>
      <c r="DD374" s="1468">
        <f t="shared" si="428"/>
        <v>0</v>
      </c>
      <c r="DE374" s="1037"/>
      <c r="DF374" s="1015">
        <v>0</v>
      </c>
      <c r="DG374" s="1015">
        <v>0</v>
      </c>
      <c r="DH374" s="1015">
        <v>0</v>
      </c>
      <c r="DI374" s="3086">
        <f t="shared" si="429"/>
        <v>0</v>
      </c>
      <c r="DJ374" s="3141">
        <f t="shared" si="392"/>
        <v>30000</v>
      </c>
      <c r="DL374" s="3180">
        <f t="shared" si="393"/>
        <v>0</v>
      </c>
      <c r="DN374" s="2716" t="s">
        <v>1415</v>
      </c>
      <c r="DO374" s="2775" t="s">
        <v>1416</v>
      </c>
      <c r="DP374" s="2775" t="s">
        <v>1124</v>
      </c>
      <c r="DQ374" s="2775" t="s">
        <v>4</v>
      </c>
      <c r="DR374" s="2775" t="str">
        <f t="shared" si="446"/>
        <v>3</v>
      </c>
      <c r="DS374" s="1037"/>
      <c r="DT374" s="1037"/>
    </row>
    <row r="375" spans="2:124" s="148" customFormat="1" ht="45" outlineLevel="3">
      <c r="B375" s="711"/>
      <c r="C375" s="182"/>
      <c r="D375" s="435" t="s">
        <v>1550</v>
      </c>
      <c r="E375" s="2905"/>
      <c r="F375" s="2966"/>
      <c r="G375" s="1643"/>
      <c r="H375" s="2518" t="s">
        <v>1551</v>
      </c>
      <c r="I375" s="1210"/>
      <c r="J375" s="103"/>
      <c r="K375" s="1037"/>
      <c r="L375" s="364"/>
      <c r="M375" s="364"/>
      <c r="N375" s="367"/>
      <c r="O375" s="367"/>
      <c r="P375" s="367"/>
      <c r="Q375" s="367"/>
      <c r="R375" s="367"/>
      <c r="S375" s="367"/>
      <c r="T375" s="367"/>
      <c r="U375" s="367"/>
      <c r="V375" s="1037"/>
      <c r="W375" s="853" t="s">
        <v>763</v>
      </c>
      <c r="X375" s="853" t="s">
        <v>1075</v>
      </c>
      <c r="Y375" s="853" t="s">
        <v>1413</v>
      </c>
      <c r="Z375" s="853">
        <v>102</v>
      </c>
      <c r="AA375" s="853" t="s">
        <v>1552</v>
      </c>
      <c r="AB375" s="177"/>
      <c r="AC375" s="1037"/>
      <c r="AD375" s="711" t="s">
        <v>1179</v>
      </c>
      <c r="AE375" s="1442">
        <v>1</v>
      </c>
      <c r="AF375" s="179"/>
      <c r="AG375" s="179"/>
      <c r="AH375" s="2689">
        <v>30000</v>
      </c>
      <c r="AI375" s="1746">
        <f>AE375*AH375</f>
        <v>30000</v>
      </c>
      <c r="AJ375" s="2126"/>
      <c r="AK375" s="1037"/>
      <c r="AL375" s="1053">
        <f t="shared" si="462"/>
        <v>30000</v>
      </c>
      <c r="AM375" s="1048"/>
      <c r="AN375" s="1053">
        <f t="shared" si="389"/>
        <v>30000</v>
      </c>
      <c r="AO375" s="1037"/>
      <c r="AP375" s="1015">
        <v>0</v>
      </c>
      <c r="AQ375" s="1015">
        <v>0</v>
      </c>
      <c r="AR375" s="1015">
        <v>0</v>
      </c>
      <c r="AS375" s="1015">
        <v>0</v>
      </c>
      <c r="AT375" s="1015">
        <v>0</v>
      </c>
      <c r="AU375" s="1015">
        <v>0</v>
      </c>
      <c r="AV375" s="1015">
        <v>0</v>
      </c>
      <c r="AW375" s="1015">
        <v>0</v>
      </c>
      <c r="AX375" s="1015">
        <v>0</v>
      </c>
      <c r="AY375" s="1015">
        <v>0</v>
      </c>
      <c r="AZ375" s="2026">
        <f t="shared" si="420"/>
        <v>0</v>
      </c>
      <c r="BA375" s="1037"/>
      <c r="BB375" s="1015">
        <v>0</v>
      </c>
      <c r="BC375" s="1015">
        <v>0</v>
      </c>
      <c r="BD375" s="1015">
        <v>0</v>
      </c>
      <c r="BE375" s="1015">
        <v>0</v>
      </c>
      <c r="BF375" s="1015">
        <v>0</v>
      </c>
      <c r="BG375" s="1015">
        <v>0</v>
      </c>
      <c r="BH375" s="1015">
        <v>0</v>
      </c>
      <c r="BI375" s="1015">
        <v>0</v>
      </c>
      <c r="BJ375" s="1015">
        <v>0</v>
      </c>
      <c r="BK375" s="1015">
        <v>0</v>
      </c>
      <c r="BL375" s="1015">
        <v>0</v>
      </c>
      <c r="BM375" s="1015">
        <v>0</v>
      </c>
      <c r="BN375" s="2026">
        <f t="shared" si="422"/>
        <v>0</v>
      </c>
      <c r="BO375" s="1037"/>
      <c r="BP375" s="1015">
        <v>0</v>
      </c>
      <c r="BQ375" s="1015"/>
      <c r="BR375" s="1015">
        <f>+$AH$375*0.1</f>
        <v>3000</v>
      </c>
      <c r="BS375" s="1015"/>
      <c r="BT375" s="1015">
        <f>+$AH$375*0.15</f>
        <v>4500</v>
      </c>
      <c r="BU375" s="1015"/>
      <c r="BV375" s="1015">
        <f>+$AH$375*0.15</f>
        <v>4500</v>
      </c>
      <c r="BW375" s="1015"/>
      <c r="BX375" s="1015">
        <f>+$AH$375*0.15</f>
        <v>4500</v>
      </c>
      <c r="BY375" s="1015"/>
      <c r="BZ375" s="1015">
        <f>+$AH$375*0.2</f>
        <v>6000</v>
      </c>
      <c r="CA375" s="1015"/>
      <c r="CB375" s="2026">
        <f t="shared" si="424"/>
        <v>22500</v>
      </c>
      <c r="CC375" s="1037"/>
      <c r="CD375" s="1015">
        <f>+$AH$375*0.25</f>
        <v>7500</v>
      </c>
      <c r="CE375" s="1015"/>
      <c r="CF375" s="1015"/>
      <c r="CG375" s="1015">
        <v>0</v>
      </c>
      <c r="CH375" s="1015">
        <v>0</v>
      </c>
      <c r="CI375" s="1015"/>
      <c r="CJ375" s="1015"/>
      <c r="CK375" s="1015">
        <v>0</v>
      </c>
      <c r="CL375" s="1015"/>
      <c r="CM375" s="1015">
        <v>0</v>
      </c>
      <c r="CN375" s="1015">
        <v>0</v>
      </c>
      <c r="CO375" s="1015">
        <v>0</v>
      </c>
      <c r="CP375" s="2026">
        <f t="shared" si="426"/>
        <v>7500</v>
      </c>
      <c r="CQ375" s="1037"/>
      <c r="CR375" s="1015">
        <v>0</v>
      </c>
      <c r="CS375" s="1015">
        <v>0</v>
      </c>
      <c r="CT375" s="1015">
        <v>0</v>
      </c>
      <c r="CU375" s="1015">
        <v>0</v>
      </c>
      <c r="CV375" s="1015">
        <v>0</v>
      </c>
      <c r="CW375" s="1015">
        <v>0</v>
      </c>
      <c r="CX375" s="1015">
        <v>0</v>
      </c>
      <c r="CY375" s="1015"/>
      <c r="CZ375" s="1015"/>
      <c r="DA375" s="1015"/>
      <c r="DB375" s="1015"/>
      <c r="DC375" s="1015"/>
      <c r="DD375" s="2022">
        <f t="shared" si="428"/>
        <v>0</v>
      </c>
      <c r="DE375" s="1037"/>
      <c r="DF375" s="1015">
        <v>0</v>
      </c>
      <c r="DG375" s="1015"/>
      <c r="DH375" s="1015">
        <v>0</v>
      </c>
      <c r="DI375" s="2017">
        <f t="shared" si="429"/>
        <v>0</v>
      </c>
      <c r="DJ375" s="3161">
        <f t="shared" si="392"/>
        <v>30000</v>
      </c>
      <c r="DL375" s="3180">
        <f t="shared" si="393"/>
        <v>0</v>
      </c>
      <c r="DN375" s="2749" t="s">
        <v>1415</v>
      </c>
      <c r="DO375" s="2775" t="s">
        <v>1416</v>
      </c>
      <c r="DP375" s="2775" t="s">
        <v>1124</v>
      </c>
      <c r="DQ375" s="2775" t="s">
        <v>4</v>
      </c>
      <c r="DR375" s="2775" t="str">
        <f t="shared" si="446"/>
        <v>3</v>
      </c>
      <c r="DS375" s="1037"/>
      <c r="DT375" s="1037"/>
    </row>
    <row r="376" spans="2:124" s="148" customFormat="1" ht="45" outlineLevel="3">
      <c r="B376" s="711"/>
      <c r="C376" s="182"/>
      <c r="D376" s="435" t="s">
        <v>1553</v>
      </c>
      <c r="E376" s="2905"/>
      <c r="F376" s="2966"/>
      <c r="G376" s="1643"/>
      <c r="H376" s="2518" t="s">
        <v>1554</v>
      </c>
      <c r="I376" s="1210"/>
      <c r="J376" s="103"/>
      <c r="K376" s="1037"/>
      <c r="L376" s="364"/>
      <c r="M376" s="364"/>
      <c r="N376" s="367"/>
      <c r="O376" s="367"/>
      <c r="P376" s="367"/>
      <c r="Q376" s="367"/>
      <c r="R376" s="367"/>
      <c r="S376" s="367"/>
      <c r="T376" s="367"/>
      <c r="U376" s="367"/>
      <c r="V376" s="1037"/>
      <c r="W376" s="853" t="s">
        <v>763</v>
      </c>
      <c r="X376" s="853" t="s">
        <v>1075</v>
      </c>
      <c r="Y376" s="853" t="s">
        <v>1413</v>
      </c>
      <c r="Z376" s="853">
        <v>103</v>
      </c>
      <c r="AA376" s="853" t="s">
        <v>1388</v>
      </c>
      <c r="AB376" s="177"/>
      <c r="AC376" s="1037"/>
      <c r="AD376" s="711" t="s">
        <v>1179</v>
      </c>
      <c r="AE376" s="1442">
        <v>1</v>
      </c>
      <c r="AF376" s="179"/>
      <c r="AG376" s="179"/>
      <c r="AH376" s="2689">
        <v>30000</v>
      </c>
      <c r="AI376" s="1746">
        <f>AE376*AH376</f>
        <v>30000</v>
      </c>
      <c r="AJ376" s="2126"/>
      <c r="AK376" s="1037"/>
      <c r="AL376" s="1053">
        <f t="shared" si="462"/>
        <v>30000</v>
      </c>
      <c r="AM376" s="1048"/>
      <c r="AN376" s="1053">
        <f t="shared" si="389"/>
        <v>30000</v>
      </c>
      <c r="AO376" s="1037"/>
      <c r="AP376" s="1015">
        <v>0</v>
      </c>
      <c r="AQ376" s="1015">
        <v>0</v>
      </c>
      <c r="AR376" s="1015">
        <v>0</v>
      </c>
      <c r="AS376" s="1015">
        <v>0</v>
      </c>
      <c r="AT376" s="1015">
        <v>0</v>
      </c>
      <c r="AU376" s="1015">
        <v>0</v>
      </c>
      <c r="AV376" s="1015">
        <v>0</v>
      </c>
      <c r="AW376" s="1015">
        <v>0</v>
      </c>
      <c r="AX376" s="1015">
        <v>0</v>
      </c>
      <c r="AY376" s="1015">
        <v>0</v>
      </c>
      <c r="AZ376" s="2026">
        <f t="shared" si="420"/>
        <v>0</v>
      </c>
      <c r="BA376" s="1037"/>
      <c r="BB376" s="1015">
        <v>0</v>
      </c>
      <c r="BC376" s="1015">
        <v>0</v>
      </c>
      <c r="BD376" s="1015">
        <v>0</v>
      </c>
      <c r="BE376" s="1015">
        <v>0</v>
      </c>
      <c r="BF376" s="1015">
        <v>0</v>
      </c>
      <c r="BG376" s="1015">
        <v>0</v>
      </c>
      <c r="BH376" s="1015">
        <v>0</v>
      </c>
      <c r="BI376" s="1015">
        <v>0</v>
      </c>
      <c r="BJ376" s="1015">
        <v>0</v>
      </c>
      <c r="BK376" s="1015">
        <v>0</v>
      </c>
      <c r="BL376" s="1015">
        <v>0</v>
      </c>
      <c r="BM376" s="1015">
        <v>0</v>
      </c>
      <c r="BN376" s="2026">
        <f t="shared" si="422"/>
        <v>0</v>
      </c>
      <c r="BO376" s="1037"/>
      <c r="BP376" s="1015">
        <v>0</v>
      </c>
      <c r="BQ376" s="1015">
        <v>0</v>
      </c>
      <c r="BR376" s="1015">
        <v>0</v>
      </c>
      <c r="BS376" s="1015"/>
      <c r="BT376" s="1015"/>
      <c r="BU376" s="1015">
        <f>+$AI$376*0.1</f>
        <v>3000</v>
      </c>
      <c r="BV376" s="1015"/>
      <c r="BW376" s="1015">
        <f>+$AI$376*0.3</f>
        <v>9000</v>
      </c>
      <c r="BX376" s="1015"/>
      <c r="BY376" s="1015">
        <f>+$AI$376*0.2</f>
        <v>6000</v>
      </c>
      <c r="BZ376" s="1015"/>
      <c r="CA376" s="1015">
        <f>+$AI$376*0.2</f>
        <v>6000</v>
      </c>
      <c r="CB376" s="2026">
        <f t="shared" si="424"/>
        <v>24000</v>
      </c>
      <c r="CC376" s="1037"/>
      <c r="CD376" s="1015"/>
      <c r="CE376" s="1015">
        <f>+$AI$376*0.2</f>
        <v>6000</v>
      </c>
      <c r="CF376" s="1015"/>
      <c r="CG376" s="1015"/>
      <c r="CH376" s="1015">
        <v>0</v>
      </c>
      <c r="CI376" s="1015">
        <v>0</v>
      </c>
      <c r="CJ376" s="1015"/>
      <c r="CK376" s="1015">
        <v>0</v>
      </c>
      <c r="CL376" s="1015">
        <v>0</v>
      </c>
      <c r="CM376" s="1015">
        <v>0</v>
      </c>
      <c r="CN376" s="1015"/>
      <c r="CO376" s="1015">
        <v>0</v>
      </c>
      <c r="CP376" s="2026">
        <f t="shared" si="426"/>
        <v>6000</v>
      </c>
      <c r="CQ376" s="1037"/>
      <c r="CR376" s="1015">
        <v>0</v>
      </c>
      <c r="CS376" s="1015">
        <v>0</v>
      </c>
      <c r="CT376" s="1015"/>
      <c r="CU376" s="1015">
        <v>0</v>
      </c>
      <c r="CV376" s="1015">
        <v>0</v>
      </c>
      <c r="CW376" s="1015"/>
      <c r="CX376" s="1015">
        <v>0</v>
      </c>
      <c r="CY376" s="1015"/>
      <c r="CZ376" s="1015">
        <v>0</v>
      </c>
      <c r="DA376" s="1015">
        <v>0</v>
      </c>
      <c r="DB376" s="1015"/>
      <c r="DC376" s="1015">
        <v>0</v>
      </c>
      <c r="DD376" s="2022">
        <f>SUM(CR376:DC376)</f>
        <v>0</v>
      </c>
      <c r="DE376" s="1037"/>
      <c r="DF376" s="1015">
        <v>0</v>
      </c>
      <c r="DG376" s="1015">
        <v>0</v>
      </c>
      <c r="DH376" s="1015">
        <v>0</v>
      </c>
      <c r="DI376" s="2017">
        <f t="shared" si="429"/>
        <v>0</v>
      </c>
      <c r="DJ376" s="3161">
        <f t="shared" si="392"/>
        <v>30000</v>
      </c>
      <c r="DL376" s="3180">
        <f t="shared" si="393"/>
        <v>0</v>
      </c>
      <c r="DN376" s="2749" t="s">
        <v>1415</v>
      </c>
      <c r="DO376" s="2775" t="s">
        <v>1416</v>
      </c>
      <c r="DP376" s="2775" t="s">
        <v>1124</v>
      </c>
      <c r="DQ376" s="2775" t="s">
        <v>4</v>
      </c>
      <c r="DR376" s="2775" t="str">
        <f t="shared" si="446"/>
        <v>3</v>
      </c>
      <c r="DS376" s="1037"/>
      <c r="DT376" s="1037"/>
    </row>
    <row r="377" spans="2:124" s="148" customFormat="1" ht="15" outlineLevel="3">
      <c r="B377" s="711"/>
      <c r="C377" s="182"/>
      <c r="D377" s="435" t="s">
        <v>964</v>
      </c>
      <c r="E377" s="2905"/>
      <c r="F377" s="2966"/>
      <c r="G377" s="1643"/>
      <c r="H377" s="2518" t="s">
        <v>965</v>
      </c>
      <c r="I377" s="1210"/>
      <c r="J377" s="103"/>
      <c r="K377" s="1037"/>
      <c r="L377" s="364"/>
      <c r="M377" s="364"/>
      <c r="N377" s="367"/>
      <c r="O377" s="367"/>
      <c r="P377" s="367"/>
      <c r="Q377" s="367"/>
      <c r="R377" s="367"/>
      <c r="S377" s="367"/>
      <c r="T377" s="367"/>
      <c r="U377" s="367"/>
      <c r="V377" s="1037"/>
      <c r="W377" s="853"/>
      <c r="X377" s="853"/>
      <c r="Y377" s="1481"/>
      <c r="Z377" s="853"/>
      <c r="AA377" s="364"/>
      <c r="AB377" s="177"/>
      <c r="AC377" s="1037"/>
      <c r="AD377" s="711"/>
      <c r="AE377" s="1442">
        <v>1</v>
      </c>
      <c r="AF377" s="179"/>
      <c r="AG377" s="179"/>
      <c r="AH377" s="2689"/>
      <c r="AI377" s="1746"/>
      <c r="AJ377" s="693"/>
      <c r="AK377" s="1037"/>
      <c r="AL377" s="1053">
        <f t="shared" si="462"/>
        <v>0</v>
      </c>
      <c r="AM377" s="1048"/>
      <c r="AN377" s="1053">
        <f t="shared" si="389"/>
        <v>0</v>
      </c>
      <c r="AO377" s="1037"/>
      <c r="AP377" s="1015">
        <v>0</v>
      </c>
      <c r="AQ377" s="1015">
        <v>0</v>
      </c>
      <c r="AR377" s="1015">
        <v>0</v>
      </c>
      <c r="AS377" s="1015">
        <v>0</v>
      </c>
      <c r="AT377" s="1015">
        <v>0</v>
      </c>
      <c r="AU377" s="1015">
        <v>0</v>
      </c>
      <c r="AV377" s="1015">
        <v>0</v>
      </c>
      <c r="AW377" s="1015">
        <v>0</v>
      </c>
      <c r="AX377" s="1015">
        <v>0</v>
      </c>
      <c r="AY377" s="1015">
        <v>0</v>
      </c>
      <c r="AZ377" s="2026">
        <f t="shared" si="420"/>
        <v>0</v>
      </c>
      <c r="BA377" s="1037"/>
      <c r="BB377" s="1015">
        <v>0</v>
      </c>
      <c r="BC377" s="1015">
        <v>0</v>
      </c>
      <c r="BD377" s="1015">
        <v>0</v>
      </c>
      <c r="BE377" s="1015">
        <v>0</v>
      </c>
      <c r="BF377" s="1015">
        <v>0</v>
      </c>
      <c r="BG377" s="1015">
        <v>0</v>
      </c>
      <c r="BH377" s="1015">
        <v>0</v>
      </c>
      <c r="BI377" s="1015">
        <v>0</v>
      </c>
      <c r="BJ377" s="1015">
        <v>0</v>
      </c>
      <c r="BK377" s="1015">
        <v>0</v>
      </c>
      <c r="BL377" s="1015">
        <v>0</v>
      </c>
      <c r="BM377" s="1015">
        <v>0</v>
      </c>
      <c r="BN377" s="2026">
        <f t="shared" si="422"/>
        <v>0</v>
      </c>
      <c r="BO377" s="1037"/>
      <c r="BP377" s="1015">
        <v>0</v>
      </c>
      <c r="BQ377" s="1015">
        <v>0</v>
      </c>
      <c r="BR377" s="1015">
        <v>0</v>
      </c>
      <c r="BS377" s="1015">
        <v>0</v>
      </c>
      <c r="BT377" s="1015">
        <v>0</v>
      </c>
      <c r="BU377" s="1015"/>
      <c r="BV377" s="1015"/>
      <c r="BW377" s="1015"/>
      <c r="BX377" s="1015"/>
      <c r="BY377" s="1015"/>
      <c r="BZ377" s="1015">
        <v>0</v>
      </c>
      <c r="CA377" s="1015">
        <v>0</v>
      </c>
      <c r="CB377" s="2026">
        <f t="shared" si="424"/>
        <v>0</v>
      </c>
      <c r="CC377" s="1037"/>
      <c r="CD377" s="1015">
        <v>0</v>
      </c>
      <c r="CE377" s="1015">
        <v>0</v>
      </c>
      <c r="CF377" s="1015">
        <v>0</v>
      </c>
      <c r="CG377" s="1015">
        <v>0</v>
      </c>
      <c r="CH377" s="1015">
        <v>0</v>
      </c>
      <c r="CI377" s="1015">
        <v>0</v>
      </c>
      <c r="CJ377" s="1015">
        <v>0</v>
      </c>
      <c r="CK377" s="1015">
        <v>0</v>
      </c>
      <c r="CL377" s="1015">
        <v>0</v>
      </c>
      <c r="CM377" s="1015">
        <v>0</v>
      </c>
      <c r="CN377" s="1015">
        <v>0</v>
      </c>
      <c r="CO377" s="1015">
        <v>0</v>
      </c>
      <c r="CP377" s="2026">
        <f t="shared" si="426"/>
        <v>0</v>
      </c>
      <c r="CQ377" s="1037"/>
      <c r="CR377" s="1015">
        <v>0</v>
      </c>
      <c r="CS377" s="1015">
        <v>0</v>
      </c>
      <c r="CT377" s="1015">
        <v>0</v>
      </c>
      <c r="CU377" s="1015">
        <v>0</v>
      </c>
      <c r="CV377" s="1015">
        <v>0</v>
      </c>
      <c r="CW377" s="1015">
        <v>0</v>
      </c>
      <c r="CX377" s="1015">
        <v>0</v>
      </c>
      <c r="CY377" s="1015">
        <v>0</v>
      </c>
      <c r="CZ377" s="1015"/>
      <c r="DA377" s="1015"/>
      <c r="DB377" s="1015"/>
      <c r="DC377" s="1015"/>
      <c r="DD377" s="2022">
        <f t="shared" si="428"/>
        <v>0</v>
      </c>
      <c r="DE377" s="1037"/>
      <c r="DF377" s="1015">
        <v>0</v>
      </c>
      <c r="DG377" s="1015">
        <v>0</v>
      </c>
      <c r="DH377" s="1015">
        <v>0</v>
      </c>
      <c r="DI377" s="2017">
        <f t="shared" si="429"/>
        <v>0</v>
      </c>
      <c r="DJ377" s="3161">
        <f t="shared" si="392"/>
        <v>0</v>
      </c>
      <c r="DL377" s="3180">
        <f t="shared" si="393"/>
        <v>0</v>
      </c>
      <c r="DN377" s="2749" t="s">
        <v>1415</v>
      </c>
      <c r="DO377" s="2775" t="s">
        <v>1416</v>
      </c>
      <c r="DP377" s="2775" t="s">
        <v>1124</v>
      </c>
      <c r="DQ377" s="2775" t="s">
        <v>4</v>
      </c>
      <c r="DR377" s="2775" t="str">
        <f t="shared" si="446"/>
        <v>3</v>
      </c>
      <c r="DS377" s="1037"/>
      <c r="DT377" s="1037"/>
    </row>
    <row r="378" spans="2:124" s="153" customFormat="1" ht="45" outlineLevel="3">
      <c r="B378" s="2840"/>
      <c r="C378" s="397"/>
      <c r="D378" s="2949" t="s">
        <v>956</v>
      </c>
      <c r="E378" s="704"/>
      <c r="F378" s="2949"/>
      <c r="G378" s="395"/>
      <c r="H378" s="1249" t="s">
        <v>1555</v>
      </c>
      <c r="I378" s="536"/>
      <c r="J378" s="399" t="s">
        <v>1556</v>
      </c>
      <c r="K378" s="1037"/>
      <c r="L378" s="851" t="e">
        <f>'1_MdR'!#REF!</f>
        <v>#REF!</v>
      </c>
      <c r="M378" s="851" t="e">
        <f>'1_MdR'!#REF!</f>
        <v>#REF!</v>
      </c>
      <c r="N378" s="402" t="e">
        <f>'1_MdR'!#REF!</f>
        <v>#REF!</v>
      </c>
      <c r="O378" s="402" t="e">
        <f>'1_MdR'!#REF!</f>
        <v>#REF!</v>
      </c>
      <c r="P378" s="402" t="e">
        <f>'1_MdR'!#REF!</f>
        <v>#REF!</v>
      </c>
      <c r="Q378" s="402" t="e">
        <f>'1_MdR'!#REF!</f>
        <v>#REF!</v>
      </c>
      <c r="R378" s="402" t="e">
        <f>'1_MdR'!#REF!</f>
        <v>#REF!</v>
      </c>
      <c r="S378" s="402" t="e">
        <f>'1_MdR'!#REF!</f>
        <v>#REF!</v>
      </c>
      <c r="T378" s="402" t="e">
        <f>'1_MdR'!#REF!</f>
        <v>#REF!</v>
      </c>
      <c r="U378" s="402" t="e">
        <f>'1_MdR'!#REF!</f>
        <v>#REF!</v>
      </c>
      <c r="V378" s="1037"/>
      <c r="W378" s="851"/>
      <c r="X378" s="851"/>
      <c r="Y378" s="851"/>
      <c r="Z378" s="851"/>
      <c r="AA378" s="851"/>
      <c r="AB378" s="399"/>
      <c r="AC378" s="1037"/>
      <c r="AD378" s="2840"/>
      <c r="AE378" s="397"/>
      <c r="AF378" s="397"/>
      <c r="AG378" s="397"/>
      <c r="AH378" s="398"/>
      <c r="AI378" s="1458">
        <f>SUM(AI379:AI381)</f>
        <v>200000</v>
      </c>
      <c r="AJ378" s="680"/>
      <c r="AK378" s="1037"/>
      <c r="AL378" s="1458">
        <f>SUM(AL379:AL381)</f>
        <v>200000</v>
      </c>
      <c r="AM378" s="1458">
        <f>SUM(AM379:AM381)</f>
        <v>0</v>
      </c>
      <c r="AN378" s="398">
        <f t="shared" ref="AN378:AN386" si="464">+AL378+AM378</f>
        <v>200000</v>
      </c>
      <c r="AO378" s="1037"/>
      <c r="AP378" s="1458">
        <f t="shared" ref="AP378:AY378" si="465">SUM(AP379:AP381)</f>
        <v>0</v>
      </c>
      <c r="AQ378" s="1458">
        <f t="shared" si="465"/>
        <v>0</v>
      </c>
      <c r="AR378" s="1458">
        <f t="shared" si="465"/>
        <v>0</v>
      </c>
      <c r="AS378" s="1458">
        <f t="shared" si="465"/>
        <v>0</v>
      </c>
      <c r="AT378" s="1458">
        <f t="shared" si="465"/>
        <v>0</v>
      </c>
      <c r="AU378" s="1458">
        <f t="shared" si="465"/>
        <v>0</v>
      </c>
      <c r="AV378" s="1458">
        <f t="shared" si="465"/>
        <v>0</v>
      </c>
      <c r="AW378" s="1458">
        <f t="shared" si="465"/>
        <v>0</v>
      </c>
      <c r="AX378" s="1458">
        <f t="shared" si="465"/>
        <v>0</v>
      </c>
      <c r="AY378" s="1458">
        <f t="shared" si="465"/>
        <v>0</v>
      </c>
      <c r="AZ378" s="398">
        <f t="shared" ref="AZ378:AZ391" si="466">SUM(AP378:AY378)</f>
        <v>0</v>
      </c>
      <c r="BA378" s="1037"/>
      <c r="BB378" s="1458">
        <f t="shared" ref="BB378:BM378" si="467">SUM(BB379:BB381)</f>
        <v>0</v>
      </c>
      <c r="BC378" s="1458">
        <f t="shared" si="467"/>
        <v>0</v>
      </c>
      <c r="BD378" s="1458">
        <f t="shared" si="467"/>
        <v>0</v>
      </c>
      <c r="BE378" s="1458">
        <f t="shared" si="467"/>
        <v>0</v>
      </c>
      <c r="BF378" s="1458">
        <f t="shared" si="467"/>
        <v>0</v>
      </c>
      <c r="BG378" s="1458">
        <f t="shared" si="467"/>
        <v>0</v>
      </c>
      <c r="BH378" s="1458">
        <f t="shared" si="467"/>
        <v>0</v>
      </c>
      <c r="BI378" s="1458">
        <f t="shared" si="467"/>
        <v>0</v>
      </c>
      <c r="BJ378" s="1458">
        <f t="shared" si="467"/>
        <v>0</v>
      </c>
      <c r="BK378" s="1458">
        <f t="shared" si="467"/>
        <v>0</v>
      </c>
      <c r="BL378" s="1458">
        <f t="shared" si="467"/>
        <v>0</v>
      </c>
      <c r="BM378" s="1458">
        <f t="shared" si="467"/>
        <v>0</v>
      </c>
      <c r="BN378" s="398">
        <f t="shared" ref="BN378:BN386" si="468">SUM(BB378:BM378)</f>
        <v>0</v>
      </c>
      <c r="BO378" s="1037"/>
      <c r="BP378" s="1458">
        <f t="shared" ref="BP378:BZ378" si="469">SUM(BP379:BP381)</f>
        <v>0</v>
      </c>
      <c r="BQ378" s="1458">
        <f t="shared" si="469"/>
        <v>0</v>
      </c>
      <c r="BR378" s="1458">
        <f t="shared" si="469"/>
        <v>0</v>
      </c>
      <c r="BS378" s="1458">
        <f t="shared" si="469"/>
        <v>0</v>
      </c>
      <c r="BT378" s="1458">
        <f t="shared" si="469"/>
        <v>0</v>
      </c>
      <c r="BU378" s="1458">
        <f t="shared" si="469"/>
        <v>0</v>
      </c>
      <c r="BV378" s="1458">
        <f t="shared" si="469"/>
        <v>0</v>
      </c>
      <c r="BW378" s="1458">
        <f t="shared" si="469"/>
        <v>0</v>
      </c>
      <c r="BX378" s="1458">
        <f t="shared" si="469"/>
        <v>0</v>
      </c>
      <c r="BY378" s="1458">
        <f t="shared" si="469"/>
        <v>2000</v>
      </c>
      <c r="BZ378" s="1458">
        <f t="shared" si="469"/>
        <v>4000</v>
      </c>
      <c r="CA378" s="1458">
        <f>SUM(CA379:CA381)</f>
        <v>8000</v>
      </c>
      <c r="CB378" s="398">
        <f t="shared" ref="CB378:CB386" si="470">SUM(BP378:CA378)</f>
        <v>14000</v>
      </c>
      <c r="CC378" s="1037"/>
      <c r="CD378" s="1458">
        <f t="shared" ref="CD378:CO378" si="471">SUM(CD379:CD381)</f>
        <v>6000</v>
      </c>
      <c r="CE378" s="1458">
        <f t="shared" si="471"/>
        <v>12500</v>
      </c>
      <c r="CF378" s="1458">
        <f t="shared" si="471"/>
        <v>12500</v>
      </c>
      <c r="CG378" s="1458">
        <f t="shared" si="471"/>
        <v>12500</v>
      </c>
      <c r="CH378" s="1458">
        <f t="shared" si="471"/>
        <v>12500</v>
      </c>
      <c r="CI378" s="1458">
        <f t="shared" si="471"/>
        <v>12500</v>
      </c>
      <c r="CJ378" s="1458">
        <f t="shared" si="471"/>
        <v>12500</v>
      </c>
      <c r="CK378" s="1458">
        <f t="shared" si="471"/>
        <v>12500</v>
      </c>
      <c r="CL378" s="1458">
        <f t="shared" si="471"/>
        <v>12500</v>
      </c>
      <c r="CM378" s="1458">
        <f t="shared" si="471"/>
        <v>12500</v>
      </c>
      <c r="CN378" s="1458">
        <f t="shared" si="471"/>
        <v>17500</v>
      </c>
      <c r="CO378" s="1458">
        <f t="shared" si="471"/>
        <v>17500</v>
      </c>
      <c r="CP378" s="398">
        <f>SUM(CD378:CO378)</f>
        <v>153500</v>
      </c>
      <c r="CQ378" s="1037"/>
      <c r="CR378" s="1458">
        <f t="shared" ref="CR378:DC378" si="472">SUM(CR379:CR381)</f>
        <v>17500</v>
      </c>
      <c r="CS378" s="1458">
        <f t="shared" si="472"/>
        <v>5000</v>
      </c>
      <c r="CT378" s="1458">
        <f t="shared" si="472"/>
        <v>5000</v>
      </c>
      <c r="CU378" s="1458">
        <f t="shared" si="472"/>
        <v>5000</v>
      </c>
      <c r="CV378" s="1458">
        <f t="shared" si="472"/>
        <v>0</v>
      </c>
      <c r="CW378" s="1458">
        <f t="shared" si="472"/>
        <v>0</v>
      </c>
      <c r="CX378" s="1458">
        <f t="shared" si="472"/>
        <v>0</v>
      </c>
      <c r="CY378" s="1458">
        <f t="shared" si="472"/>
        <v>0</v>
      </c>
      <c r="CZ378" s="1458">
        <f t="shared" si="472"/>
        <v>0</v>
      </c>
      <c r="DA378" s="1458">
        <f t="shared" si="472"/>
        <v>0</v>
      </c>
      <c r="DB378" s="1458">
        <f t="shared" si="472"/>
        <v>0</v>
      </c>
      <c r="DC378" s="1458">
        <f t="shared" si="472"/>
        <v>0</v>
      </c>
      <c r="DD378" s="398">
        <f t="shared" ref="DD378:DD386" si="473">SUM(CR378:DC378)</f>
        <v>32500</v>
      </c>
      <c r="DE378" s="1037"/>
      <c r="DF378" s="1458">
        <f>SUM(DF379:DF381)</f>
        <v>0</v>
      </c>
      <c r="DG378" s="1458">
        <f>SUM(DG379:DG381)</f>
        <v>0</v>
      </c>
      <c r="DH378" s="1458">
        <f>SUM(DH379:DH381)</f>
        <v>0</v>
      </c>
      <c r="DI378" s="3087">
        <f t="shared" ref="DI378:DI391" si="474">SUM(DF378:DH378)</f>
        <v>0</v>
      </c>
      <c r="DJ378" s="3153">
        <f>+AZ378+BN378+CB378+CP378+DD378+DI378</f>
        <v>200000</v>
      </c>
      <c r="DL378" s="3180">
        <f>+AN378-DJ378</f>
        <v>0</v>
      </c>
      <c r="DN378" s="2725" t="s">
        <v>1175</v>
      </c>
      <c r="DO378" s="2726" t="s">
        <v>1175</v>
      </c>
      <c r="DP378" s="2726"/>
      <c r="DQ378" s="2726" t="s">
        <v>1175</v>
      </c>
      <c r="DR378" s="2726" t="str">
        <f t="shared" ref="DR378:DR386" si="475">MID(D378,1,1)</f>
        <v>3</v>
      </c>
      <c r="DS378" s="1037"/>
      <c r="DT378" s="1037"/>
    </row>
    <row r="379" spans="2:124" s="148" customFormat="1" ht="45" outlineLevel="4">
      <c r="B379" s="711"/>
      <c r="C379" s="182"/>
      <c r="D379" s="2957" t="s">
        <v>1557</v>
      </c>
      <c r="E379" s="2907"/>
      <c r="F379" s="2971"/>
      <c r="G379" s="1643"/>
      <c r="H379" s="1547" t="s">
        <v>1558</v>
      </c>
      <c r="I379" s="1210"/>
      <c r="J379" s="103"/>
      <c r="K379" s="1037"/>
      <c r="L379" s="364"/>
      <c r="M379" s="364"/>
      <c r="N379" s="367"/>
      <c r="O379" s="367"/>
      <c r="P379" s="367"/>
      <c r="Q379" s="367"/>
      <c r="R379" s="367"/>
      <c r="S379" s="367"/>
      <c r="T379" s="367"/>
      <c r="U379" s="367"/>
      <c r="V379" s="1037"/>
      <c r="W379" s="853" t="s">
        <v>763</v>
      </c>
      <c r="X379" s="853" t="s">
        <v>1075</v>
      </c>
      <c r="Y379" s="853" t="s">
        <v>1413</v>
      </c>
      <c r="Z379" s="853">
        <v>104</v>
      </c>
      <c r="AA379" s="853" t="s">
        <v>1421</v>
      </c>
      <c r="AB379" s="931"/>
      <c r="AC379" s="1037"/>
      <c r="AD379" s="711" t="s">
        <v>1179</v>
      </c>
      <c r="AE379" s="712">
        <v>1</v>
      </c>
      <c r="AF379" s="179"/>
      <c r="AG379" s="179"/>
      <c r="AH379" s="1053">
        <v>20000</v>
      </c>
      <c r="AI379" s="1048">
        <f>+AE379*AH379</f>
        <v>20000</v>
      </c>
      <c r="AJ379" s="1762"/>
      <c r="AK379" s="1037"/>
      <c r="AL379" s="1053">
        <f>+AI379</f>
        <v>20000</v>
      </c>
      <c r="AM379" s="1048"/>
      <c r="AN379" s="1053">
        <f t="shared" si="464"/>
        <v>20000</v>
      </c>
      <c r="AO379" s="1037"/>
      <c r="AP379" s="1015">
        <v>0</v>
      </c>
      <c r="AQ379" s="1015">
        <v>0</v>
      </c>
      <c r="AR379" s="1015">
        <v>0</v>
      </c>
      <c r="AS379" s="1015">
        <v>0</v>
      </c>
      <c r="AT379" s="1015">
        <v>0</v>
      </c>
      <c r="AU379" s="1015">
        <v>0</v>
      </c>
      <c r="AV379" s="1015">
        <v>0</v>
      </c>
      <c r="AW379" s="1015">
        <v>0</v>
      </c>
      <c r="AX379" s="1015">
        <v>0</v>
      </c>
      <c r="AY379" s="1015">
        <v>0</v>
      </c>
      <c r="AZ379" s="2026">
        <f t="shared" si="466"/>
        <v>0</v>
      </c>
      <c r="BA379" s="1037"/>
      <c r="BB379" s="1015">
        <v>0</v>
      </c>
      <c r="BC379" s="1015">
        <v>0</v>
      </c>
      <c r="BD379" s="1015">
        <v>0</v>
      </c>
      <c r="BE379" s="1015">
        <v>0</v>
      </c>
      <c r="BF379" s="1015">
        <v>0</v>
      </c>
      <c r="BG379" s="1015">
        <v>0</v>
      </c>
      <c r="BH379" s="1015">
        <v>0</v>
      </c>
      <c r="BI379" s="1015">
        <v>0</v>
      </c>
      <c r="BJ379" s="1015">
        <v>0</v>
      </c>
      <c r="BK379" s="1015">
        <v>0</v>
      </c>
      <c r="BL379" s="1015">
        <v>0</v>
      </c>
      <c r="BM379" s="1015">
        <v>0</v>
      </c>
      <c r="BN379" s="2026">
        <f t="shared" si="468"/>
        <v>0</v>
      </c>
      <c r="BO379" s="1037"/>
      <c r="BP379" s="1015">
        <v>0</v>
      </c>
      <c r="BQ379" s="1015">
        <v>0</v>
      </c>
      <c r="BR379" s="1015"/>
      <c r="BS379" s="1015"/>
      <c r="BT379" s="1015"/>
      <c r="BU379" s="1015"/>
      <c r="BV379" s="1015"/>
      <c r="BW379" s="1015">
        <v>0</v>
      </c>
      <c r="BX379" s="1015"/>
      <c r="BY379" s="1015">
        <f>+$AI$379*0.1</f>
        <v>2000</v>
      </c>
      <c r="BZ379" s="1015">
        <f>+$AI$379*0.2</f>
        <v>4000</v>
      </c>
      <c r="CA379" s="1015">
        <f>+$AI$379*0.4</f>
        <v>8000</v>
      </c>
      <c r="CB379" s="2026">
        <f t="shared" si="470"/>
        <v>14000</v>
      </c>
      <c r="CC379" s="1037"/>
      <c r="CD379" s="1015">
        <f>+$AI$379*0.3</f>
        <v>6000</v>
      </c>
      <c r="CE379" s="1015">
        <v>0</v>
      </c>
      <c r="CF379" s="1015"/>
      <c r="CG379" s="1015"/>
      <c r="CH379" s="1015">
        <v>0</v>
      </c>
      <c r="CI379" s="1015">
        <v>0</v>
      </c>
      <c r="CJ379" s="1015">
        <v>0</v>
      </c>
      <c r="CK379" s="1015"/>
      <c r="CL379" s="1015">
        <v>0</v>
      </c>
      <c r="CM379" s="1015">
        <v>0</v>
      </c>
      <c r="CN379" s="1015">
        <v>0</v>
      </c>
      <c r="CO379" s="1015">
        <v>0</v>
      </c>
      <c r="CP379" s="2026">
        <f t="shared" ref="CP379:CP386" si="476">SUM(CD379:CO379)</f>
        <v>6000</v>
      </c>
      <c r="CQ379" s="1037"/>
      <c r="CR379" s="1015"/>
      <c r="CS379" s="1015">
        <v>0</v>
      </c>
      <c r="CT379" s="1015">
        <v>0</v>
      </c>
      <c r="CU379" s="1015">
        <v>0</v>
      </c>
      <c r="CV379" s="1015">
        <v>0</v>
      </c>
      <c r="CW379" s="1015">
        <v>0</v>
      </c>
      <c r="CX379" s="1015">
        <v>0</v>
      </c>
      <c r="CY379" s="1015">
        <v>0</v>
      </c>
      <c r="CZ379" s="1015">
        <v>0</v>
      </c>
      <c r="DA379" s="1015">
        <v>0</v>
      </c>
      <c r="DB379" s="1015">
        <v>0</v>
      </c>
      <c r="DC379" s="1015">
        <v>0</v>
      </c>
      <c r="DD379" s="2022">
        <f t="shared" si="473"/>
        <v>0</v>
      </c>
      <c r="DE379" s="1037"/>
      <c r="DF379" s="1015">
        <v>0</v>
      </c>
      <c r="DG379" s="1015">
        <v>0</v>
      </c>
      <c r="DH379" s="1015">
        <v>0</v>
      </c>
      <c r="DI379" s="2017">
        <f t="shared" si="474"/>
        <v>0</v>
      </c>
      <c r="DJ379" s="3161">
        <f>+AZ379+BN379+CB379+CP379+DD379+DI379</f>
        <v>20000</v>
      </c>
      <c r="DL379" s="3180">
        <f t="shared" ref="DL379:DL391" si="477">+AN379-DJ379</f>
        <v>0</v>
      </c>
      <c r="DN379" s="2749" t="s">
        <v>1180</v>
      </c>
      <c r="DO379" s="2736" t="s">
        <v>1181</v>
      </c>
      <c r="DP379" s="2775" t="s">
        <v>1117</v>
      </c>
      <c r="DQ379" s="2736" t="s">
        <v>4</v>
      </c>
      <c r="DR379" s="2736" t="str">
        <f t="shared" si="475"/>
        <v>3</v>
      </c>
      <c r="DS379" s="1037"/>
      <c r="DT379" s="1037"/>
    </row>
    <row r="380" spans="2:124" s="148" customFormat="1" ht="60" outlineLevel="4">
      <c r="B380" s="711"/>
      <c r="C380" s="182"/>
      <c r="D380" s="2957" t="s">
        <v>1559</v>
      </c>
      <c r="E380" s="2907"/>
      <c r="F380" s="2971"/>
      <c r="G380" s="1643"/>
      <c r="H380" s="1547" t="s">
        <v>1560</v>
      </c>
      <c r="I380" s="1210"/>
      <c r="J380" s="103"/>
      <c r="K380" s="1037"/>
      <c r="L380" s="364"/>
      <c r="M380" s="364"/>
      <c r="N380" s="367"/>
      <c r="O380" s="367"/>
      <c r="P380" s="367"/>
      <c r="Q380" s="367"/>
      <c r="R380" s="367"/>
      <c r="S380" s="367"/>
      <c r="T380" s="367"/>
      <c r="U380" s="367"/>
      <c r="V380" s="1037"/>
      <c r="W380" s="853" t="s">
        <v>853</v>
      </c>
      <c r="X380" s="853" t="s">
        <v>1075</v>
      </c>
      <c r="Y380" s="2515" t="s">
        <v>1561</v>
      </c>
      <c r="Z380" s="853" t="s">
        <v>1562</v>
      </c>
      <c r="AA380" s="853"/>
      <c r="AB380" s="931"/>
      <c r="AC380" s="1037"/>
      <c r="AD380" s="711" t="s">
        <v>1179</v>
      </c>
      <c r="AE380" s="712">
        <v>1</v>
      </c>
      <c r="AF380" s="179"/>
      <c r="AG380" s="179"/>
      <c r="AH380" s="1053">
        <v>150000</v>
      </c>
      <c r="AI380" s="1048">
        <f>+AE380*AH380</f>
        <v>150000</v>
      </c>
      <c r="AJ380" s="1762"/>
      <c r="AK380" s="1037"/>
      <c r="AL380" s="1053">
        <f>+AI380</f>
        <v>150000</v>
      </c>
      <c r="AM380" s="1048"/>
      <c r="AN380" s="1053">
        <f t="shared" si="464"/>
        <v>150000</v>
      </c>
      <c r="AO380" s="1037"/>
      <c r="AP380" s="1015"/>
      <c r="AQ380" s="1015"/>
      <c r="AR380" s="1015"/>
      <c r="AS380" s="1015"/>
      <c r="AT380" s="1015"/>
      <c r="AU380" s="1015"/>
      <c r="AV380" s="1015"/>
      <c r="AW380" s="1015"/>
      <c r="AX380" s="1015"/>
      <c r="AY380" s="1015"/>
      <c r="AZ380" s="2026"/>
      <c r="BA380" s="1037"/>
      <c r="BB380" s="1015"/>
      <c r="BC380" s="1015"/>
      <c r="BD380" s="1015"/>
      <c r="BE380" s="1015"/>
      <c r="BF380" s="1015"/>
      <c r="BG380" s="1015"/>
      <c r="BH380" s="1015"/>
      <c r="BI380" s="1015"/>
      <c r="BJ380" s="1015"/>
      <c r="BK380" s="1015"/>
      <c r="BL380" s="1015"/>
      <c r="BM380" s="1015"/>
      <c r="BN380" s="2026"/>
      <c r="BO380" s="1037"/>
      <c r="BP380" s="1015"/>
      <c r="BQ380" s="1015"/>
      <c r="BR380" s="1015"/>
      <c r="BS380" s="1015"/>
      <c r="BT380" s="1015"/>
      <c r="BU380" s="1015"/>
      <c r="BV380" s="1015"/>
      <c r="BW380" s="1015"/>
      <c r="BX380" s="1015"/>
      <c r="BY380" s="1015"/>
      <c r="BZ380" s="1015"/>
      <c r="CA380" s="1015"/>
      <c r="CB380" s="2026">
        <f t="shared" si="470"/>
        <v>0</v>
      </c>
      <c r="CC380" s="1037"/>
      <c r="CD380" s="1015"/>
      <c r="CE380" s="1015">
        <f t="shared" ref="CE380:CO380" si="478">+$AI$380/12</f>
        <v>12500</v>
      </c>
      <c r="CF380" s="1015">
        <f t="shared" si="478"/>
        <v>12500</v>
      </c>
      <c r="CG380" s="1015">
        <f t="shared" si="478"/>
        <v>12500</v>
      </c>
      <c r="CH380" s="1015">
        <f t="shared" si="478"/>
        <v>12500</v>
      </c>
      <c r="CI380" s="1015">
        <f t="shared" si="478"/>
        <v>12500</v>
      </c>
      <c r="CJ380" s="1015">
        <f t="shared" si="478"/>
        <v>12500</v>
      </c>
      <c r="CK380" s="1015">
        <f t="shared" si="478"/>
        <v>12500</v>
      </c>
      <c r="CL380" s="1015">
        <f t="shared" si="478"/>
        <v>12500</v>
      </c>
      <c r="CM380" s="1015">
        <f t="shared" si="478"/>
        <v>12500</v>
      </c>
      <c r="CN380" s="1015">
        <f t="shared" si="478"/>
        <v>12500</v>
      </c>
      <c r="CO380" s="1015">
        <f t="shared" si="478"/>
        <v>12500</v>
      </c>
      <c r="CP380" s="2026">
        <f t="shared" si="476"/>
        <v>137500</v>
      </c>
      <c r="CQ380" s="1037"/>
      <c r="CR380" s="1015">
        <f t="shared" ref="CR380" si="479">+$AI$380/12</f>
        <v>12500</v>
      </c>
      <c r="CS380" s="1015"/>
      <c r="CT380" s="1015"/>
      <c r="CU380" s="1015"/>
      <c r="CV380" s="1015"/>
      <c r="CW380" s="1015"/>
      <c r="CX380" s="1015"/>
      <c r="CY380" s="1015"/>
      <c r="CZ380" s="1015"/>
      <c r="DA380" s="1015"/>
      <c r="DB380" s="1015"/>
      <c r="DC380" s="1015"/>
      <c r="DD380" s="2026">
        <f t="shared" si="473"/>
        <v>12500</v>
      </c>
      <c r="DE380" s="1037"/>
      <c r="DF380" s="1015"/>
      <c r="DG380" s="1015"/>
      <c r="DH380" s="1015"/>
      <c r="DI380" s="2046">
        <f>SUM(CW380:DH380)</f>
        <v>12500</v>
      </c>
      <c r="DJ380" s="3161">
        <f>+AZ380+BN380+CB380+CP380+DD380+DI380</f>
        <v>162500</v>
      </c>
      <c r="DL380" s="3180"/>
      <c r="DN380" s="2749"/>
      <c r="DO380" s="2736"/>
      <c r="DP380" s="2775"/>
      <c r="DQ380" s="2736"/>
      <c r="DR380" s="2736"/>
      <c r="DS380" s="1037"/>
      <c r="DT380" s="1037"/>
    </row>
    <row r="381" spans="2:124" s="148" customFormat="1" ht="45" outlineLevel="4">
      <c r="B381" s="711"/>
      <c r="C381" s="182"/>
      <c r="D381" s="2957" t="s">
        <v>1563</v>
      </c>
      <c r="E381" s="2907"/>
      <c r="F381" s="2971"/>
      <c r="G381" s="1643"/>
      <c r="H381" s="1547" t="s">
        <v>1564</v>
      </c>
      <c r="I381" s="1210"/>
      <c r="J381" s="177"/>
      <c r="K381" s="1037"/>
      <c r="L381" s="364"/>
      <c r="M381" s="364"/>
      <c r="N381" s="367"/>
      <c r="O381" s="367"/>
      <c r="P381" s="367"/>
      <c r="Q381" s="367"/>
      <c r="R381" s="367"/>
      <c r="S381" s="367"/>
      <c r="T381" s="367"/>
      <c r="U381" s="367"/>
      <c r="V381" s="1037"/>
      <c r="W381" s="853" t="s">
        <v>853</v>
      </c>
      <c r="X381" s="853" t="s">
        <v>1075</v>
      </c>
      <c r="Y381" s="2985" t="s">
        <v>1565</v>
      </c>
      <c r="Z381" s="853" t="s">
        <v>1566</v>
      </c>
      <c r="AA381" s="853" t="s">
        <v>1266</v>
      </c>
      <c r="AB381" s="931"/>
      <c r="AC381" s="1037"/>
      <c r="AD381" s="711" t="s">
        <v>1179</v>
      </c>
      <c r="AE381" s="712">
        <v>1</v>
      </c>
      <c r="AF381" s="179"/>
      <c r="AG381" s="179"/>
      <c r="AH381" s="1053">
        <v>30000</v>
      </c>
      <c r="AI381" s="1048">
        <f>+AE381*AH381</f>
        <v>30000</v>
      </c>
      <c r="AJ381" s="1762"/>
      <c r="AK381" s="1037"/>
      <c r="AL381" s="1053">
        <f>+AI381</f>
        <v>30000</v>
      </c>
      <c r="AM381" s="1048"/>
      <c r="AN381" s="1053">
        <f t="shared" si="464"/>
        <v>30000</v>
      </c>
      <c r="AO381" s="1037"/>
      <c r="AP381" s="1015">
        <v>0</v>
      </c>
      <c r="AQ381" s="1015">
        <v>0</v>
      </c>
      <c r="AR381" s="1015">
        <v>0</v>
      </c>
      <c r="AS381" s="1015">
        <v>0</v>
      </c>
      <c r="AT381" s="1015">
        <v>0</v>
      </c>
      <c r="AU381" s="1015">
        <v>0</v>
      </c>
      <c r="AV381" s="1015">
        <v>0</v>
      </c>
      <c r="AW381" s="1015">
        <v>0</v>
      </c>
      <c r="AX381" s="1015">
        <v>0</v>
      </c>
      <c r="AY381" s="1015">
        <v>0</v>
      </c>
      <c r="AZ381" s="2026">
        <f t="shared" si="466"/>
        <v>0</v>
      </c>
      <c r="BA381" s="1037"/>
      <c r="BB381" s="1015">
        <v>0</v>
      </c>
      <c r="BC381" s="1015">
        <v>0</v>
      </c>
      <c r="BD381" s="1015">
        <v>0</v>
      </c>
      <c r="BE381" s="1015">
        <v>0</v>
      </c>
      <c r="BF381" s="1015">
        <v>0</v>
      </c>
      <c r="BG381" s="1015">
        <v>0</v>
      </c>
      <c r="BH381" s="1015">
        <v>0</v>
      </c>
      <c r="BI381" s="1015">
        <v>0</v>
      </c>
      <c r="BJ381" s="1015">
        <v>0</v>
      </c>
      <c r="BK381" s="1015">
        <v>0</v>
      </c>
      <c r="BL381" s="1015">
        <v>0</v>
      </c>
      <c r="BM381" s="1015">
        <v>0</v>
      </c>
      <c r="BN381" s="2026">
        <f t="shared" si="468"/>
        <v>0</v>
      </c>
      <c r="BO381" s="1037"/>
      <c r="BP381" s="1015">
        <v>0</v>
      </c>
      <c r="BQ381" s="1015">
        <v>0</v>
      </c>
      <c r="BR381" s="1015">
        <v>0</v>
      </c>
      <c r="BS381" s="1015">
        <v>0</v>
      </c>
      <c r="BT381" s="1015">
        <v>0</v>
      </c>
      <c r="BU381" s="1015">
        <v>0</v>
      </c>
      <c r="BV381" s="1015">
        <v>0</v>
      </c>
      <c r="BW381" s="1015">
        <v>0</v>
      </c>
      <c r="BX381" s="1015">
        <v>0</v>
      </c>
      <c r="BY381" s="1015">
        <v>0</v>
      </c>
      <c r="BZ381" s="1015">
        <v>0</v>
      </c>
      <c r="CA381" s="1015">
        <v>0</v>
      </c>
      <c r="CB381" s="2026">
        <f t="shared" si="470"/>
        <v>0</v>
      </c>
      <c r="CC381" s="1037"/>
      <c r="CD381" s="1015">
        <v>0</v>
      </c>
      <c r="CE381" s="1015">
        <v>0</v>
      </c>
      <c r="CF381" s="1015">
        <v>0</v>
      </c>
      <c r="CG381" s="1015">
        <v>0</v>
      </c>
      <c r="CH381" s="1015">
        <v>0</v>
      </c>
      <c r="CI381" s="1015">
        <v>0</v>
      </c>
      <c r="CJ381" s="1015"/>
      <c r="CK381" s="1015">
        <v>0</v>
      </c>
      <c r="CL381" s="1015">
        <v>0</v>
      </c>
      <c r="CM381" s="1015">
        <v>0</v>
      </c>
      <c r="CN381" s="1015">
        <f>+$AN$381/6</f>
        <v>5000</v>
      </c>
      <c r="CO381" s="1015">
        <f>+$AN$381/6</f>
        <v>5000</v>
      </c>
      <c r="CP381" s="2026">
        <f t="shared" si="476"/>
        <v>10000</v>
      </c>
      <c r="CQ381" s="1037"/>
      <c r="CR381" s="1015">
        <f>+$AN$381/6</f>
        <v>5000</v>
      </c>
      <c r="CS381" s="1015">
        <f>+$AN$381/6</f>
        <v>5000</v>
      </c>
      <c r="CT381" s="1015">
        <f>+$AN$381/6</f>
        <v>5000</v>
      </c>
      <c r="CU381" s="1015">
        <f>+$AN$381/6</f>
        <v>5000</v>
      </c>
      <c r="CV381" s="1015"/>
      <c r="CW381" s="1015">
        <v>0</v>
      </c>
      <c r="CX381" s="1015">
        <v>0</v>
      </c>
      <c r="CY381" s="1015">
        <v>0</v>
      </c>
      <c r="CZ381" s="1015">
        <v>0</v>
      </c>
      <c r="DA381" s="1015">
        <v>0</v>
      </c>
      <c r="DB381" s="1015">
        <v>0</v>
      </c>
      <c r="DC381" s="1015">
        <v>0</v>
      </c>
      <c r="DD381" s="2022">
        <f t="shared" si="473"/>
        <v>20000</v>
      </c>
      <c r="DE381" s="1037"/>
      <c r="DF381" s="1015">
        <v>0</v>
      </c>
      <c r="DG381" s="1015">
        <v>0</v>
      </c>
      <c r="DH381" s="1015">
        <v>0</v>
      </c>
      <c r="DI381" s="2017">
        <f t="shared" si="474"/>
        <v>0</v>
      </c>
      <c r="DJ381" s="3161">
        <f t="shared" ref="DJ381:DJ391" si="480">+AZ381+BN381+CB381+CP381+DD381+DI381</f>
        <v>30000</v>
      </c>
      <c r="DL381" s="3180">
        <f t="shared" si="477"/>
        <v>0</v>
      </c>
      <c r="DN381" s="2749" t="s">
        <v>1346</v>
      </c>
      <c r="DO381" s="2740" t="s">
        <v>1347</v>
      </c>
      <c r="DP381" s="2740" t="s">
        <v>1115</v>
      </c>
      <c r="DQ381" s="2740" t="s">
        <v>4</v>
      </c>
      <c r="DR381" s="2740" t="str">
        <f t="shared" si="475"/>
        <v>3</v>
      </c>
      <c r="DS381" s="1037"/>
      <c r="DT381" s="1037"/>
    </row>
    <row r="382" spans="2:124" s="153" customFormat="1" ht="45" outlineLevel="3">
      <c r="B382" s="2840"/>
      <c r="C382" s="397"/>
      <c r="D382" s="2949" t="s">
        <v>958</v>
      </c>
      <c r="E382" s="704"/>
      <c r="F382" s="2949"/>
      <c r="G382" s="395"/>
      <c r="H382" s="1249" t="s">
        <v>1567</v>
      </c>
      <c r="I382" s="536"/>
      <c r="J382" s="399" t="s">
        <v>1556</v>
      </c>
      <c r="K382" s="1037"/>
      <c r="L382" s="851" t="e">
        <f>'1_MdR'!#REF!</f>
        <v>#REF!</v>
      </c>
      <c r="M382" s="851" t="e">
        <f>'1_MdR'!#REF!</f>
        <v>#REF!</v>
      </c>
      <c r="N382" s="402" t="e">
        <f>'1_MdR'!#REF!</f>
        <v>#REF!</v>
      </c>
      <c r="O382" s="402" t="e">
        <f>'1_MdR'!#REF!</f>
        <v>#REF!</v>
      </c>
      <c r="P382" s="402" t="e">
        <f>'1_MdR'!#REF!</f>
        <v>#REF!</v>
      </c>
      <c r="Q382" s="402" t="e">
        <f>'1_MdR'!#REF!</f>
        <v>#REF!</v>
      </c>
      <c r="R382" s="402" t="e">
        <f>'1_MdR'!#REF!</f>
        <v>#REF!</v>
      </c>
      <c r="S382" s="402" t="e">
        <f>'1_MdR'!#REF!</f>
        <v>#REF!</v>
      </c>
      <c r="T382" s="402" t="e">
        <f>'1_MdR'!#REF!</f>
        <v>#REF!</v>
      </c>
      <c r="U382" s="402" t="e">
        <f>'1_MdR'!#REF!</f>
        <v>#REF!</v>
      </c>
      <c r="V382" s="1037"/>
      <c r="W382" s="851"/>
      <c r="X382" s="851"/>
      <c r="Y382" s="851"/>
      <c r="Z382" s="851"/>
      <c r="AA382" s="851"/>
      <c r="AB382" s="399"/>
      <c r="AC382" s="1037"/>
      <c r="AD382" s="2840"/>
      <c r="AE382" s="397"/>
      <c r="AF382" s="397"/>
      <c r="AG382" s="397"/>
      <c r="AH382" s="398"/>
      <c r="AI382" s="1458">
        <f>SUM(AI383:AI386)</f>
        <v>550000</v>
      </c>
      <c r="AJ382" s="680"/>
      <c r="AK382" s="1037"/>
      <c r="AL382" s="1458">
        <f>SUM(AL383:AL386)</f>
        <v>550000</v>
      </c>
      <c r="AM382" s="1458">
        <f>SUM(AM383:AM386)</f>
        <v>0</v>
      </c>
      <c r="AN382" s="398">
        <f t="shared" si="464"/>
        <v>550000</v>
      </c>
      <c r="AO382" s="1037"/>
      <c r="AP382" s="1458">
        <f t="shared" ref="AP382:AX382" si="481">SUM(AP383:AP386)</f>
        <v>0</v>
      </c>
      <c r="AQ382" s="1458">
        <f t="shared" si="481"/>
        <v>0</v>
      </c>
      <c r="AR382" s="1458">
        <f t="shared" si="481"/>
        <v>0</v>
      </c>
      <c r="AS382" s="1458">
        <f t="shared" si="481"/>
        <v>0</v>
      </c>
      <c r="AT382" s="1458">
        <f t="shared" si="481"/>
        <v>0</v>
      </c>
      <c r="AU382" s="1458">
        <f t="shared" si="481"/>
        <v>0</v>
      </c>
      <c r="AV382" s="1458">
        <f t="shared" si="481"/>
        <v>0</v>
      </c>
      <c r="AW382" s="1458">
        <f t="shared" si="481"/>
        <v>0</v>
      </c>
      <c r="AX382" s="1458">
        <f t="shared" si="481"/>
        <v>0</v>
      </c>
      <c r="AY382" s="1458">
        <f t="shared" ref="AY382:BM382" si="482">SUM(AY383:AY386)</f>
        <v>0</v>
      </c>
      <c r="AZ382" s="398">
        <f>SUM(AP382:AY382)</f>
        <v>0</v>
      </c>
      <c r="BA382" s="1037"/>
      <c r="BB382" s="1458">
        <f t="shared" si="482"/>
        <v>0</v>
      </c>
      <c r="BC382" s="1458">
        <f t="shared" si="482"/>
        <v>0</v>
      </c>
      <c r="BD382" s="1458">
        <f>SUM(BD383:BD386)</f>
        <v>0</v>
      </c>
      <c r="BE382" s="1458">
        <f>SUM(BE383:BE386)</f>
        <v>0</v>
      </c>
      <c r="BF382" s="1458">
        <f t="shared" si="482"/>
        <v>0</v>
      </c>
      <c r="BG382" s="1458">
        <f t="shared" si="482"/>
        <v>0</v>
      </c>
      <c r="BH382" s="1458">
        <f t="shared" si="482"/>
        <v>0</v>
      </c>
      <c r="BI382" s="1458">
        <f t="shared" si="482"/>
        <v>0</v>
      </c>
      <c r="BJ382" s="1458">
        <f t="shared" si="482"/>
        <v>0</v>
      </c>
      <c r="BK382" s="1458">
        <f t="shared" si="482"/>
        <v>0</v>
      </c>
      <c r="BL382" s="1458">
        <f t="shared" si="482"/>
        <v>0</v>
      </c>
      <c r="BM382" s="1458">
        <f t="shared" si="482"/>
        <v>0</v>
      </c>
      <c r="BN382" s="398">
        <f t="shared" si="468"/>
        <v>0</v>
      </c>
      <c r="BO382" s="1037"/>
      <c r="BP382" s="1458">
        <f t="shared" ref="BP382:CA382" si="483">SUM(BP383:BP386)</f>
        <v>0</v>
      </c>
      <c r="BQ382" s="1458">
        <f t="shared" si="483"/>
        <v>0</v>
      </c>
      <c r="BR382" s="1458">
        <f t="shared" si="483"/>
        <v>0</v>
      </c>
      <c r="BS382" s="1458">
        <f t="shared" si="483"/>
        <v>0</v>
      </c>
      <c r="BT382" s="1458">
        <f t="shared" si="483"/>
        <v>0</v>
      </c>
      <c r="BU382" s="1458">
        <f t="shared" si="483"/>
        <v>0</v>
      </c>
      <c r="BV382" s="1458">
        <f t="shared" si="483"/>
        <v>0</v>
      </c>
      <c r="BW382" s="1458">
        <f t="shared" si="483"/>
        <v>0</v>
      </c>
      <c r="BX382" s="1458">
        <f t="shared" si="483"/>
        <v>0</v>
      </c>
      <c r="BY382" s="1458">
        <f t="shared" si="483"/>
        <v>0</v>
      </c>
      <c r="BZ382" s="1458">
        <f t="shared" si="483"/>
        <v>0</v>
      </c>
      <c r="CA382" s="1458">
        <f t="shared" si="483"/>
        <v>0</v>
      </c>
      <c r="CB382" s="398">
        <f t="shared" si="470"/>
        <v>0</v>
      </c>
      <c r="CC382" s="1037"/>
      <c r="CD382" s="1458">
        <f t="shared" ref="CD382:CO382" si="484">SUM(CD383:CD386)</f>
        <v>22857.142857142859</v>
      </c>
      <c r="CE382" s="1458">
        <f t="shared" si="484"/>
        <v>22857.142857142859</v>
      </c>
      <c r="CF382" s="1458">
        <f t="shared" si="484"/>
        <v>22857.142857142859</v>
      </c>
      <c r="CG382" s="1458">
        <f t="shared" si="484"/>
        <v>22857.142857142859</v>
      </c>
      <c r="CH382" s="1458">
        <f t="shared" si="484"/>
        <v>22857.142857142859</v>
      </c>
      <c r="CI382" s="1458">
        <f t="shared" si="484"/>
        <v>22857.142857142859</v>
      </c>
      <c r="CJ382" s="1458">
        <f t="shared" si="484"/>
        <v>22857.142857142859</v>
      </c>
      <c r="CK382" s="1458">
        <f t="shared" si="484"/>
        <v>21600</v>
      </c>
      <c r="CL382" s="1458">
        <f t="shared" si="484"/>
        <v>97200</v>
      </c>
      <c r="CM382" s="1458">
        <f t="shared" si="484"/>
        <v>97200</v>
      </c>
      <c r="CN382" s="1458">
        <f t="shared" si="484"/>
        <v>14400</v>
      </c>
      <c r="CO382" s="1458">
        <f t="shared" si="484"/>
        <v>48200</v>
      </c>
      <c r="CP382" s="398">
        <f t="shared" si="476"/>
        <v>438600</v>
      </c>
      <c r="CQ382" s="1037"/>
      <c r="CR382" s="1458">
        <f t="shared" ref="CR382:DC382" si="485">SUM(CR383:CR386)</f>
        <v>48200</v>
      </c>
      <c r="CS382" s="1458">
        <f t="shared" si="485"/>
        <v>48200</v>
      </c>
      <c r="CT382" s="1458">
        <f t="shared" si="485"/>
        <v>5000</v>
      </c>
      <c r="CU382" s="1458">
        <f t="shared" si="485"/>
        <v>5000</v>
      </c>
      <c r="CV382" s="1458">
        <f t="shared" si="485"/>
        <v>5000</v>
      </c>
      <c r="CW382" s="1458">
        <f t="shared" si="485"/>
        <v>0</v>
      </c>
      <c r="CX382" s="1458">
        <f t="shared" si="485"/>
        <v>0</v>
      </c>
      <c r="CY382" s="1458">
        <f t="shared" si="485"/>
        <v>0</v>
      </c>
      <c r="CZ382" s="1458">
        <f t="shared" si="485"/>
        <v>0</v>
      </c>
      <c r="DA382" s="1458">
        <f t="shared" si="485"/>
        <v>0</v>
      </c>
      <c r="DB382" s="1458">
        <f t="shared" si="485"/>
        <v>0</v>
      </c>
      <c r="DC382" s="1458">
        <f t="shared" si="485"/>
        <v>0</v>
      </c>
      <c r="DD382" s="398">
        <f t="shared" si="473"/>
        <v>111400</v>
      </c>
      <c r="DE382" s="1037"/>
      <c r="DF382" s="1458">
        <f>SUM(DF383:DF386)</f>
        <v>0</v>
      </c>
      <c r="DG382" s="1458">
        <f>SUM(DG383:DG386)</f>
        <v>0</v>
      </c>
      <c r="DH382" s="1458">
        <f>SUM(DH383:DH386)</f>
        <v>0</v>
      </c>
      <c r="DI382" s="3087">
        <f>SUM(DF382:DH382)</f>
        <v>0</v>
      </c>
      <c r="DJ382" s="3153">
        <f t="shared" si="480"/>
        <v>550000</v>
      </c>
      <c r="DL382" s="3180">
        <f t="shared" si="477"/>
        <v>0</v>
      </c>
      <c r="DN382" s="2725" t="s">
        <v>1175</v>
      </c>
      <c r="DO382" s="2726" t="s">
        <v>1175</v>
      </c>
      <c r="DP382" s="2726"/>
      <c r="DQ382" s="2726" t="s">
        <v>1175</v>
      </c>
      <c r="DR382" s="2726" t="str">
        <f t="shared" si="475"/>
        <v>3</v>
      </c>
      <c r="DS382" s="1037"/>
      <c r="DT382" s="1037"/>
    </row>
    <row r="383" spans="2:124" ht="45" outlineLevel="4">
      <c r="B383" s="711"/>
      <c r="C383" s="182"/>
      <c r="D383" s="2946" t="s">
        <v>1568</v>
      </c>
      <c r="E383" s="159"/>
      <c r="F383" s="2946"/>
      <c r="G383" s="702"/>
      <c r="H383" s="1547" t="s">
        <v>1569</v>
      </c>
      <c r="I383" s="703"/>
      <c r="J383" s="177"/>
      <c r="L383" s="364"/>
      <c r="M383" s="364"/>
      <c r="N383" s="367"/>
      <c r="O383" s="367"/>
      <c r="P383" s="367"/>
      <c r="Q383" s="367"/>
      <c r="R383" s="367"/>
      <c r="S383" s="367"/>
      <c r="T383" s="367"/>
      <c r="U383" s="367"/>
      <c r="W383" s="853" t="s">
        <v>853</v>
      </c>
      <c r="X383" s="853" t="s">
        <v>1075</v>
      </c>
      <c r="Y383" s="853" t="s">
        <v>1198</v>
      </c>
      <c r="Z383" s="853">
        <v>86</v>
      </c>
      <c r="AA383" s="853" t="s">
        <v>1388</v>
      </c>
      <c r="AB383" s="177"/>
      <c r="AD383" s="711" t="s">
        <v>1280</v>
      </c>
      <c r="AE383" s="712">
        <v>1</v>
      </c>
      <c r="AF383" s="712">
        <v>1</v>
      </c>
      <c r="AG383" s="712"/>
      <c r="AH383" s="1442">
        <v>160000</v>
      </c>
      <c r="AI383" s="1442">
        <f>+AE383*AF383*AH383</f>
        <v>160000</v>
      </c>
      <c r="AJ383" s="159"/>
      <c r="AL383" s="1442">
        <f>+AI383</f>
        <v>160000</v>
      </c>
      <c r="AM383" s="1442"/>
      <c r="AN383" s="1442">
        <f t="shared" si="464"/>
        <v>160000</v>
      </c>
      <c r="AP383" s="1015">
        <v>0</v>
      </c>
      <c r="AQ383" s="1015">
        <v>0</v>
      </c>
      <c r="AR383" s="1015">
        <v>0</v>
      </c>
      <c r="AS383" s="1015">
        <v>0</v>
      </c>
      <c r="AT383" s="1015">
        <v>0</v>
      </c>
      <c r="AU383" s="1015">
        <v>0</v>
      </c>
      <c r="AV383" s="1015">
        <v>0</v>
      </c>
      <c r="AW383" s="1015">
        <v>0</v>
      </c>
      <c r="AX383" s="1015">
        <v>0</v>
      </c>
      <c r="AY383" s="1015">
        <v>0</v>
      </c>
      <c r="AZ383" s="2026">
        <f t="shared" si="466"/>
        <v>0</v>
      </c>
      <c r="BB383" s="1015"/>
      <c r="BC383" s="1015"/>
      <c r="BD383" s="1015"/>
      <c r="BE383" s="1015"/>
      <c r="BF383" s="1015"/>
      <c r="BG383" s="1015"/>
      <c r="BH383" s="1015"/>
      <c r="BI383" s="1015"/>
      <c r="BJ383" s="1015"/>
      <c r="BK383" s="1015"/>
      <c r="BL383" s="1015"/>
      <c r="BM383" s="1015"/>
      <c r="BN383" s="2026">
        <f t="shared" si="468"/>
        <v>0</v>
      </c>
      <c r="BP383" s="1015"/>
      <c r="BQ383" s="1015"/>
      <c r="BR383" s="1015"/>
      <c r="BS383" s="1015"/>
      <c r="BT383" s="1015">
        <v>0</v>
      </c>
      <c r="BU383" s="1015">
        <v>0</v>
      </c>
      <c r="BV383" s="1015">
        <v>0</v>
      </c>
      <c r="BW383" s="1015">
        <v>0</v>
      </c>
      <c r="BX383" s="1015">
        <v>0</v>
      </c>
      <c r="BY383" s="1015"/>
      <c r="BZ383" s="1015"/>
      <c r="CA383" s="1015"/>
      <c r="CB383" s="2026">
        <f t="shared" si="470"/>
        <v>0</v>
      </c>
      <c r="CD383" s="1015">
        <f t="shared" ref="CD383:CJ383" si="486">+$AI$383/7</f>
        <v>22857.142857142859</v>
      </c>
      <c r="CE383" s="1015">
        <f t="shared" si="486"/>
        <v>22857.142857142859</v>
      </c>
      <c r="CF383" s="1015">
        <f t="shared" si="486"/>
        <v>22857.142857142859</v>
      </c>
      <c r="CG383" s="1015">
        <f t="shared" si="486"/>
        <v>22857.142857142859</v>
      </c>
      <c r="CH383" s="1015">
        <f t="shared" si="486"/>
        <v>22857.142857142859</v>
      </c>
      <c r="CI383" s="1015">
        <f t="shared" si="486"/>
        <v>22857.142857142859</v>
      </c>
      <c r="CJ383" s="1015">
        <f t="shared" si="486"/>
        <v>22857.142857142859</v>
      </c>
      <c r="CK383" s="1015"/>
      <c r="CL383" s="1015"/>
      <c r="CM383" s="1015"/>
      <c r="CN383" s="1015">
        <v>0</v>
      </c>
      <c r="CO383" s="1015">
        <v>0</v>
      </c>
      <c r="CP383" s="2026">
        <f t="shared" si="476"/>
        <v>160000.00000000003</v>
      </c>
      <c r="CR383" s="1015">
        <v>0</v>
      </c>
      <c r="CS383" s="1015">
        <v>0</v>
      </c>
      <c r="CT383" s="1015">
        <v>0</v>
      </c>
      <c r="CU383" s="1015">
        <v>0</v>
      </c>
      <c r="CV383" s="1015">
        <v>0</v>
      </c>
      <c r="CW383" s="1015">
        <v>0</v>
      </c>
      <c r="CX383" s="1015">
        <v>0</v>
      </c>
      <c r="CY383" s="1015">
        <v>0</v>
      </c>
      <c r="CZ383" s="1015">
        <v>0</v>
      </c>
      <c r="DA383" s="1015">
        <v>0</v>
      </c>
      <c r="DB383" s="1015">
        <v>0</v>
      </c>
      <c r="DC383" s="1015">
        <v>0</v>
      </c>
      <c r="DD383" s="2026">
        <f t="shared" si="473"/>
        <v>0</v>
      </c>
      <c r="DF383" s="1015">
        <v>0</v>
      </c>
      <c r="DG383" s="1015">
        <v>0</v>
      </c>
      <c r="DH383" s="1015">
        <v>0</v>
      </c>
      <c r="DI383" s="2046">
        <f t="shared" si="474"/>
        <v>0</v>
      </c>
      <c r="DJ383" s="3169">
        <f t="shared" si="480"/>
        <v>160000.00000000003</v>
      </c>
      <c r="DL383" s="3180">
        <f t="shared" si="477"/>
        <v>0</v>
      </c>
      <c r="DN383" s="2743" t="s">
        <v>1180</v>
      </c>
      <c r="DO383" s="2736" t="s">
        <v>1181</v>
      </c>
      <c r="DP383" s="2736" t="s">
        <v>1117</v>
      </c>
      <c r="DQ383" s="2736" t="s">
        <v>4</v>
      </c>
      <c r="DR383" s="2736" t="str">
        <f t="shared" si="475"/>
        <v>3</v>
      </c>
      <c r="DS383" s="1037"/>
      <c r="DT383" s="1037"/>
    </row>
    <row r="384" spans="2:124" s="879" customFormat="1" ht="45" outlineLevel="4">
      <c r="B384" s="498"/>
      <c r="C384" s="497"/>
      <c r="D384" s="2946" t="s">
        <v>1570</v>
      </c>
      <c r="E384" s="159"/>
      <c r="F384" s="2946"/>
      <c r="G384" s="702"/>
      <c r="H384" s="1547" t="s">
        <v>1571</v>
      </c>
      <c r="I384" s="703"/>
      <c r="J384" s="177"/>
      <c r="K384" s="2783"/>
      <c r="L384" s="364"/>
      <c r="M384" s="364"/>
      <c r="N384" s="367"/>
      <c r="O384" s="367"/>
      <c r="P384" s="367"/>
      <c r="Q384" s="367"/>
      <c r="R384" s="367"/>
      <c r="S384" s="367"/>
      <c r="T384" s="367"/>
      <c r="U384" s="367"/>
      <c r="V384" s="2783"/>
      <c r="W384" s="853" t="s">
        <v>853</v>
      </c>
      <c r="X384" s="853" t="s">
        <v>1075</v>
      </c>
      <c r="Y384" s="853" t="s">
        <v>1198</v>
      </c>
      <c r="Z384" s="853">
        <v>87</v>
      </c>
      <c r="AA384" s="853" t="s">
        <v>1388</v>
      </c>
      <c r="AB384" s="177"/>
      <c r="AC384" s="2783"/>
      <c r="AD384" s="711" t="s">
        <v>1280</v>
      </c>
      <c r="AE384" s="712">
        <v>1</v>
      </c>
      <c r="AF384" s="712">
        <v>1</v>
      </c>
      <c r="AG384" s="712"/>
      <c r="AH384" s="1442">
        <v>216000</v>
      </c>
      <c r="AI384" s="1442">
        <f>+AE384*AF384*AH384</f>
        <v>216000</v>
      </c>
      <c r="AJ384" s="177"/>
      <c r="AK384" s="2783"/>
      <c r="AL384" s="1442">
        <f>+AI384</f>
        <v>216000</v>
      </c>
      <c r="AM384" s="1442"/>
      <c r="AN384" s="1442">
        <f t="shared" si="464"/>
        <v>216000</v>
      </c>
      <c r="AO384" s="2783"/>
      <c r="AP384" s="1015">
        <v>0</v>
      </c>
      <c r="AQ384" s="1015">
        <v>0</v>
      </c>
      <c r="AR384" s="1015">
        <v>0</v>
      </c>
      <c r="AS384" s="1015">
        <v>0</v>
      </c>
      <c r="AT384" s="1015">
        <v>0</v>
      </c>
      <c r="AU384" s="1015">
        <v>0</v>
      </c>
      <c r="AV384" s="1015">
        <v>0</v>
      </c>
      <c r="AW384" s="1015">
        <v>0</v>
      </c>
      <c r="AX384" s="1015">
        <v>0</v>
      </c>
      <c r="AY384" s="1015">
        <v>0</v>
      </c>
      <c r="AZ384" s="2026">
        <f t="shared" si="466"/>
        <v>0</v>
      </c>
      <c r="BA384" s="1037"/>
      <c r="BB384" s="1015">
        <v>0</v>
      </c>
      <c r="BC384" s="1015"/>
      <c r="BD384" s="1015"/>
      <c r="BE384" s="1015"/>
      <c r="BF384" s="1015"/>
      <c r="BG384" s="1015"/>
      <c r="BH384" s="1015"/>
      <c r="BI384" s="1015"/>
      <c r="BJ384" s="1015"/>
      <c r="BK384" s="1015"/>
      <c r="BL384" s="1015"/>
      <c r="BM384" s="1015"/>
      <c r="BN384" s="2026">
        <f t="shared" si="468"/>
        <v>0</v>
      </c>
      <c r="BO384" s="2783"/>
      <c r="BP384" s="1015"/>
      <c r="BQ384" s="1015"/>
      <c r="BR384" s="1015">
        <v>0</v>
      </c>
      <c r="BS384" s="1015">
        <v>0</v>
      </c>
      <c r="BT384" s="1015">
        <v>0</v>
      </c>
      <c r="BU384" s="1015">
        <v>0</v>
      </c>
      <c r="BV384" s="1015">
        <v>0</v>
      </c>
      <c r="BW384" s="1015">
        <v>0</v>
      </c>
      <c r="BX384" s="1015">
        <v>0</v>
      </c>
      <c r="BY384" s="1015">
        <v>0</v>
      </c>
      <c r="BZ384" s="1015"/>
      <c r="CA384" s="1015"/>
      <c r="CB384" s="2026">
        <f t="shared" si="470"/>
        <v>0</v>
      </c>
      <c r="CC384" s="2783"/>
      <c r="CD384" s="1015"/>
      <c r="CE384" s="1015"/>
      <c r="CF384" s="1015"/>
      <c r="CG384" s="1015"/>
      <c r="CH384" s="1015"/>
      <c r="CK384" s="1015">
        <f>+$AI$384*0.1</f>
        <v>21600</v>
      </c>
      <c r="CL384" s="1015">
        <f>+$AI$384*0.45</f>
        <v>97200</v>
      </c>
      <c r="CM384" s="1015">
        <f>+$AI$384*0.45</f>
        <v>97200</v>
      </c>
      <c r="CN384" s="1015">
        <v>0</v>
      </c>
      <c r="CO384" s="1015">
        <v>0</v>
      </c>
      <c r="CP384" s="2026">
        <f t="shared" si="476"/>
        <v>216000</v>
      </c>
      <c r="CQ384" s="2783"/>
      <c r="CR384" s="1015">
        <v>0</v>
      </c>
      <c r="CS384" s="1015">
        <v>0</v>
      </c>
      <c r="CT384" s="1015">
        <v>0</v>
      </c>
      <c r="CU384" s="1015">
        <v>0</v>
      </c>
      <c r="CV384" s="1015">
        <v>0</v>
      </c>
      <c r="CW384" s="1015">
        <v>0</v>
      </c>
      <c r="CX384" s="1015">
        <v>0</v>
      </c>
      <c r="CY384" s="1015">
        <v>0</v>
      </c>
      <c r="CZ384" s="1015">
        <v>0</v>
      </c>
      <c r="DA384" s="1015">
        <v>0</v>
      </c>
      <c r="DB384" s="1015">
        <v>0</v>
      </c>
      <c r="DC384" s="1015">
        <v>0</v>
      </c>
      <c r="DD384" s="2026">
        <f t="shared" si="473"/>
        <v>0</v>
      </c>
      <c r="DE384" s="2783"/>
      <c r="DF384" s="1015">
        <v>0</v>
      </c>
      <c r="DG384" s="1015">
        <v>0</v>
      </c>
      <c r="DH384" s="1015">
        <v>0</v>
      </c>
      <c r="DI384" s="2046">
        <f t="shared" si="474"/>
        <v>0</v>
      </c>
      <c r="DJ384" s="3169">
        <f t="shared" si="480"/>
        <v>216000</v>
      </c>
      <c r="DL384" s="3180">
        <f t="shared" si="477"/>
        <v>0</v>
      </c>
      <c r="DN384" s="2755" t="s">
        <v>1180</v>
      </c>
      <c r="DO384" s="2776" t="s">
        <v>1181</v>
      </c>
      <c r="DP384" s="2776" t="s">
        <v>1117</v>
      </c>
      <c r="DQ384" s="2776" t="s">
        <v>4</v>
      </c>
      <c r="DR384" s="2776" t="str">
        <f t="shared" si="475"/>
        <v>3</v>
      </c>
      <c r="DS384" s="2898"/>
      <c r="DT384" s="2898"/>
    </row>
    <row r="385" spans="2:124" ht="45" outlineLevel="4">
      <c r="B385" s="711"/>
      <c r="C385" s="182"/>
      <c r="D385" s="2946" t="s">
        <v>1572</v>
      </c>
      <c r="E385" s="159"/>
      <c r="F385" s="2946"/>
      <c r="G385" s="702"/>
      <c r="H385" s="1547" t="s">
        <v>1573</v>
      </c>
      <c r="I385" s="703"/>
      <c r="J385" s="177"/>
      <c r="L385" s="364"/>
      <c r="M385" s="364"/>
      <c r="N385" s="367"/>
      <c r="O385" s="367"/>
      <c r="P385" s="367"/>
      <c r="Q385" s="367"/>
      <c r="R385" s="367"/>
      <c r="S385" s="367"/>
      <c r="T385" s="367"/>
      <c r="U385" s="367"/>
      <c r="W385" s="853" t="s">
        <v>853</v>
      </c>
      <c r="X385" s="853" t="s">
        <v>1075</v>
      </c>
      <c r="Y385" s="853" t="s">
        <v>1198</v>
      </c>
      <c r="Z385" s="853">
        <v>88</v>
      </c>
      <c r="AA385" s="853" t="s">
        <v>1388</v>
      </c>
      <c r="AB385" s="177"/>
      <c r="AD385" s="711" t="s">
        <v>1179</v>
      </c>
      <c r="AE385" s="712">
        <v>1</v>
      </c>
      <c r="AF385" s="712">
        <v>1</v>
      </c>
      <c r="AG385" s="712"/>
      <c r="AH385" s="1442">
        <v>144000</v>
      </c>
      <c r="AI385" s="1442">
        <f>+AE385*AH385</f>
        <v>144000</v>
      </c>
      <c r="AJ385" s="159"/>
      <c r="AL385" s="1442">
        <f>+AI385</f>
        <v>144000</v>
      </c>
      <c r="AM385" s="1442"/>
      <c r="AN385" s="1442">
        <f t="shared" si="464"/>
        <v>144000</v>
      </c>
      <c r="AP385" s="1015">
        <v>0</v>
      </c>
      <c r="AQ385" s="1015">
        <v>0</v>
      </c>
      <c r="AR385" s="1015">
        <v>0</v>
      </c>
      <c r="AS385" s="1015">
        <v>0</v>
      </c>
      <c r="AT385" s="1015">
        <v>0</v>
      </c>
      <c r="AU385" s="1015">
        <v>0</v>
      </c>
      <c r="AV385" s="1015">
        <v>0</v>
      </c>
      <c r="AW385" s="1015">
        <v>0</v>
      </c>
      <c r="AX385" s="1015">
        <v>0</v>
      </c>
      <c r="AY385" s="1015">
        <v>0</v>
      </c>
      <c r="AZ385" s="2026">
        <f t="shared" si="466"/>
        <v>0</v>
      </c>
      <c r="BB385" s="1015">
        <v>0</v>
      </c>
      <c r="BC385" s="1015">
        <v>0</v>
      </c>
      <c r="BD385" s="1015">
        <v>0</v>
      </c>
      <c r="BE385" s="1015">
        <v>0</v>
      </c>
      <c r="BF385" s="1015">
        <v>0</v>
      </c>
      <c r="BG385" s="1015">
        <v>0</v>
      </c>
      <c r="BH385" s="1015">
        <v>0</v>
      </c>
      <c r="BI385" s="1015">
        <v>0</v>
      </c>
      <c r="BJ385" s="1015">
        <v>0</v>
      </c>
      <c r="BK385" s="1015">
        <v>0</v>
      </c>
      <c r="BL385" s="1015">
        <v>0</v>
      </c>
      <c r="BM385" s="1015">
        <v>0</v>
      </c>
      <c r="BN385" s="2026">
        <f t="shared" si="468"/>
        <v>0</v>
      </c>
      <c r="BP385" s="1015">
        <v>0</v>
      </c>
      <c r="BQ385" s="1015">
        <v>0</v>
      </c>
      <c r="BR385" s="1015"/>
      <c r="BS385" s="1015">
        <v>0</v>
      </c>
      <c r="BT385" s="1015">
        <v>0</v>
      </c>
      <c r="BU385" s="1015">
        <v>0</v>
      </c>
      <c r="BV385" s="1015"/>
      <c r="BW385" s="1015">
        <v>0</v>
      </c>
      <c r="BX385" s="1015"/>
      <c r="BY385" s="1015"/>
      <c r="BZ385" s="1015"/>
      <c r="CA385" s="1015"/>
      <c r="CB385" s="2026">
        <f t="shared" si="470"/>
        <v>0</v>
      </c>
      <c r="CD385" s="1015"/>
      <c r="CE385" s="1015"/>
      <c r="CF385" s="1015"/>
      <c r="CG385" s="1015"/>
      <c r="CH385" s="1015"/>
      <c r="CI385" s="1015"/>
      <c r="CJ385" s="1015"/>
      <c r="CK385" s="1015"/>
      <c r="CL385" s="1015"/>
      <c r="CM385" s="1015"/>
      <c r="CN385" s="1015">
        <f>+$AI$385*0.1</f>
        <v>14400</v>
      </c>
      <c r="CO385" s="1015">
        <f>+$AI$385*0.3</f>
        <v>43200</v>
      </c>
      <c r="CP385" s="2026">
        <f t="shared" si="476"/>
        <v>57600</v>
      </c>
      <c r="CR385" s="1015">
        <f>+$AI$385*0.3</f>
        <v>43200</v>
      </c>
      <c r="CS385" s="1015">
        <f>+$AI$385*0.3</f>
        <v>43200</v>
      </c>
      <c r="CT385" s="1015"/>
      <c r="CU385" s="1015"/>
      <c r="CV385" s="1015">
        <v>0</v>
      </c>
      <c r="CW385" s="1015">
        <v>0</v>
      </c>
      <c r="CX385" s="1015">
        <v>0</v>
      </c>
      <c r="CY385" s="1015">
        <v>0</v>
      </c>
      <c r="CZ385" s="1015">
        <v>0</v>
      </c>
      <c r="DA385" s="1015">
        <v>0</v>
      </c>
      <c r="DB385" s="1015">
        <v>0</v>
      </c>
      <c r="DC385" s="1015">
        <v>0</v>
      </c>
      <c r="DD385" s="2026">
        <f t="shared" si="473"/>
        <v>86400</v>
      </c>
      <c r="DF385" s="1015">
        <v>0</v>
      </c>
      <c r="DG385" s="1015">
        <v>0</v>
      </c>
      <c r="DH385" s="1015">
        <v>0</v>
      </c>
      <c r="DI385" s="2046">
        <f t="shared" si="474"/>
        <v>0</v>
      </c>
      <c r="DJ385" s="3169">
        <f t="shared" si="480"/>
        <v>144000</v>
      </c>
      <c r="DL385" s="3180">
        <f t="shared" si="477"/>
        <v>0</v>
      </c>
      <c r="DN385" s="2743" t="s">
        <v>1180</v>
      </c>
      <c r="DO385" s="2730" t="s">
        <v>1181</v>
      </c>
      <c r="DP385" s="2730" t="s">
        <v>1117</v>
      </c>
      <c r="DQ385" s="2730" t="s">
        <v>4</v>
      </c>
      <c r="DR385" s="2730" t="str">
        <f t="shared" si="475"/>
        <v>3</v>
      </c>
      <c r="DS385" s="1037"/>
      <c r="DT385" s="1037"/>
    </row>
    <row r="386" spans="2:124" ht="45" outlineLevel="4">
      <c r="B386" s="711"/>
      <c r="C386" s="182"/>
      <c r="D386" s="2946" t="s">
        <v>1574</v>
      </c>
      <c r="E386" s="159"/>
      <c r="F386" s="2946"/>
      <c r="G386" s="702"/>
      <c r="H386" s="1547" t="s">
        <v>1575</v>
      </c>
      <c r="I386" s="703"/>
      <c r="J386" s="177"/>
      <c r="L386" s="364"/>
      <c r="M386" s="364"/>
      <c r="N386" s="367"/>
      <c r="O386" s="367"/>
      <c r="P386" s="367"/>
      <c r="Q386" s="367"/>
      <c r="R386" s="367"/>
      <c r="S386" s="367"/>
      <c r="T386" s="367"/>
      <c r="U386" s="367"/>
      <c r="W386" s="853" t="s">
        <v>763</v>
      </c>
      <c r="X386" s="853" t="s">
        <v>1075</v>
      </c>
      <c r="Y386" s="853" t="s">
        <v>1413</v>
      </c>
      <c r="Z386" s="853">
        <v>89</v>
      </c>
      <c r="AA386" s="853" t="s">
        <v>1266</v>
      </c>
      <c r="AB386" s="177"/>
      <c r="AD386" s="711" t="s">
        <v>1179</v>
      </c>
      <c r="AE386" s="712">
        <v>1</v>
      </c>
      <c r="AF386" s="712">
        <v>1</v>
      </c>
      <c r="AG386" s="712"/>
      <c r="AH386" s="1442">
        <v>30000</v>
      </c>
      <c r="AI386" s="1442">
        <f>+AH386*AE386</f>
        <v>30000</v>
      </c>
      <c r="AJ386" s="159"/>
      <c r="AL386" s="1442">
        <f>+AI386</f>
        <v>30000</v>
      </c>
      <c r="AM386" s="1442"/>
      <c r="AN386" s="1442">
        <f t="shared" si="464"/>
        <v>30000</v>
      </c>
      <c r="AP386" s="1015">
        <v>0</v>
      </c>
      <c r="AQ386" s="1015">
        <v>0</v>
      </c>
      <c r="AR386" s="1015">
        <v>0</v>
      </c>
      <c r="AS386" s="1015">
        <v>0</v>
      </c>
      <c r="AT386" s="1015">
        <v>0</v>
      </c>
      <c r="AU386" s="1015">
        <v>0</v>
      </c>
      <c r="AV386" s="1015">
        <v>0</v>
      </c>
      <c r="AW386" s="1015">
        <v>0</v>
      </c>
      <c r="AX386" s="1015">
        <v>0</v>
      </c>
      <c r="AY386" s="1015">
        <v>0</v>
      </c>
      <c r="AZ386" s="2026">
        <f t="shared" si="466"/>
        <v>0</v>
      </c>
      <c r="BB386" s="1015">
        <v>0</v>
      </c>
      <c r="BC386" s="1015">
        <v>0</v>
      </c>
      <c r="BD386" s="1015">
        <v>0</v>
      </c>
      <c r="BE386" s="1015">
        <v>0</v>
      </c>
      <c r="BF386" s="1015">
        <v>0</v>
      </c>
      <c r="BG386" s="1015">
        <v>0</v>
      </c>
      <c r="BH386" s="1015">
        <v>0</v>
      </c>
      <c r="BI386" s="1015">
        <v>0</v>
      </c>
      <c r="BJ386" s="1015">
        <v>0</v>
      </c>
      <c r="BK386" s="1015">
        <v>0</v>
      </c>
      <c r="BL386" s="1015">
        <v>0</v>
      </c>
      <c r="BM386" s="1015">
        <v>0</v>
      </c>
      <c r="BN386" s="2026">
        <f t="shared" si="468"/>
        <v>0</v>
      </c>
      <c r="BP386" s="1015">
        <v>0</v>
      </c>
      <c r="BQ386" s="1015">
        <v>0</v>
      </c>
      <c r="BR386" s="1015">
        <v>0</v>
      </c>
      <c r="BS386" s="1015">
        <v>0</v>
      </c>
      <c r="BT386" s="1015">
        <v>0</v>
      </c>
      <c r="BU386" s="1015">
        <v>0</v>
      </c>
      <c r="BV386" s="1015">
        <v>0</v>
      </c>
      <c r="BW386" s="1015">
        <v>0</v>
      </c>
      <c r="BX386" s="1015">
        <v>0</v>
      </c>
      <c r="BY386" s="1015">
        <v>0</v>
      </c>
      <c r="BZ386" s="1015">
        <v>0</v>
      </c>
      <c r="CA386" s="1015">
        <v>0</v>
      </c>
      <c r="CB386" s="2026">
        <f t="shared" si="470"/>
        <v>0</v>
      </c>
      <c r="CD386" s="1015">
        <v>0</v>
      </c>
      <c r="CE386" s="1015">
        <v>0</v>
      </c>
      <c r="CF386" s="1015">
        <v>0</v>
      </c>
      <c r="CG386" s="1015">
        <v>0</v>
      </c>
      <c r="CH386" s="1015">
        <v>0</v>
      </c>
      <c r="CI386" s="1015">
        <v>0</v>
      </c>
      <c r="CJ386" s="1015"/>
      <c r="CK386" s="1015">
        <v>0</v>
      </c>
      <c r="CL386" s="1015">
        <v>0</v>
      </c>
      <c r="CM386" s="1015">
        <v>0</v>
      </c>
      <c r="CN386" s="1015"/>
      <c r="CO386" s="1015">
        <f>+$AI$386/6</f>
        <v>5000</v>
      </c>
      <c r="CP386" s="2026">
        <f t="shared" si="476"/>
        <v>5000</v>
      </c>
      <c r="CR386" s="1015">
        <f>+$AI$386/6</f>
        <v>5000</v>
      </c>
      <c r="CS386" s="1015">
        <f>+$AI$386/6</f>
        <v>5000</v>
      </c>
      <c r="CT386" s="1015">
        <f>+$AI$386/6</f>
        <v>5000</v>
      </c>
      <c r="CU386" s="1015">
        <f>+$AI$386/6</f>
        <v>5000</v>
      </c>
      <c r="CV386" s="1015">
        <f>+$AI$386/6</f>
        <v>5000</v>
      </c>
      <c r="CW386" s="1015">
        <v>0</v>
      </c>
      <c r="CX386" s="1015">
        <v>0</v>
      </c>
      <c r="CY386" s="1015">
        <v>0</v>
      </c>
      <c r="CZ386" s="1015">
        <v>0</v>
      </c>
      <c r="DA386" s="1015">
        <v>0</v>
      </c>
      <c r="DB386" s="1015">
        <v>0</v>
      </c>
      <c r="DC386" s="1015">
        <v>0</v>
      </c>
      <c r="DD386" s="2026">
        <f t="shared" si="473"/>
        <v>25000</v>
      </c>
      <c r="DF386" s="1015">
        <v>0</v>
      </c>
      <c r="DG386" s="1015">
        <v>0</v>
      </c>
      <c r="DH386" s="1015">
        <v>0</v>
      </c>
      <c r="DI386" s="2046">
        <f t="shared" si="474"/>
        <v>0</v>
      </c>
      <c r="DJ386" s="3169">
        <f t="shared" si="480"/>
        <v>30000</v>
      </c>
      <c r="DL386" s="3180">
        <f t="shared" si="477"/>
        <v>0</v>
      </c>
      <c r="DN386" s="2743" t="s">
        <v>1346</v>
      </c>
      <c r="DO386" s="2740" t="s">
        <v>1347</v>
      </c>
      <c r="DP386" s="2740" t="s">
        <v>1115</v>
      </c>
      <c r="DQ386" s="2740" t="s">
        <v>4</v>
      </c>
      <c r="DR386" s="2740" t="str">
        <f t="shared" si="475"/>
        <v>3</v>
      </c>
      <c r="DS386" s="1037"/>
      <c r="DT386" s="1037"/>
    </row>
    <row r="387" spans="2:124" s="153" customFormat="1" ht="15" outlineLevel="3">
      <c r="B387" s="2840"/>
      <c r="C387" s="397"/>
      <c r="D387" s="2949" t="s">
        <v>960</v>
      </c>
      <c r="E387" s="704"/>
      <c r="F387" s="2949"/>
      <c r="G387" s="395"/>
      <c r="H387" s="1249" t="s">
        <v>973</v>
      </c>
      <c r="I387" s="536"/>
      <c r="J387" s="399"/>
      <c r="K387" s="1037"/>
      <c r="L387" s="851"/>
      <c r="M387" s="851"/>
      <c r="N387" s="402"/>
      <c r="O387" s="402"/>
      <c r="P387" s="402"/>
      <c r="Q387" s="402"/>
      <c r="R387" s="402"/>
      <c r="S387" s="402"/>
      <c r="T387" s="402"/>
      <c r="U387" s="402"/>
      <c r="V387" s="1037"/>
      <c r="W387" s="851"/>
      <c r="X387" s="851"/>
      <c r="Y387" s="851"/>
      <c r="Z387" s="851"/>
      <c r="AA387" s="851"/>
      <c r="AB387" s="399"/>
      <c r="AC387" s="1037"/>
      <c r="AD387" s="2840"/>
      <c r="AE387" s="397"/>
      <c r="AF387" s="397"/>
      <c r="AG387" s="397"/>
      <c r="AH387" s="398"/>
      <c r="AI387" s="1458">
        <f>SUM(AI388:AI391)</f>
        <v>249000</v>
      </c>
      <c r="AJ387" s="680"/>
      <c r="AK387" s="1037"/>
      <c r="AL387" s="1458">
        <f>SUM(AL388:AL391)</f>
        <v>249000</v>
      </c>
      <c r="AM387" s="1458">
        <f>SUM(AM388:AM391)</f>
        <v>0</v>
      </c>
      <c r="AN387" s="398">
        <f>+AL387+AM387</f>
        <v>249000</v>
      </c>
      <c r="AO387" s="1037"/>
      <c r="AP387" s="1458">
        <f>SUM(AP388:AP391)</f>
        <v>0</v>
      </c>
      <c r="AQ387" s="1458">
        <f t="shared" ref="AQ387:AY387" si="487">SUM(AQ388:AQ391)</f>
        <v>0</v>
      </c>
      <c r="AR387" s="1458">
        <f t="shared" si="487"/>
        <v>0</v>
      </c>
      <c r="AS387" s="1458">
        <f t="shared" si="487"/>
        <v>0</v>
      </c>
      <c r="AT387" s="1458">
        <f t="shared" si="487"/>
        <v>0</v>
      </c>
      <c r="AU387" s="1458">
        <f t="shared" si="487"/>
        <v>0</v>
      </c>
      <c r="AV387" s="1458">
        <f t="shared" si="487"/>
        <v>0</v>
      </c>
      <c r="AW387" s="1458">
        <f t="shared" si="487"/>
        <v>0</v>
      </c>
      <c r="AX387" s="1458">
        <f t="shared" si="487"/>
        <v>0</v>
      </c>
      <c r="AY387" s="1458">
        <f t="shared" si="487"/>
        <v>0</v>
      </c>
      <c r="AZ387" s="398">
        <f>SUM(AP387:AY387)</f>
        <v>0</v>
      </c>
      <c r="BA387" s="1037"/>
      <c r="BB387" s="1458">
        <f t="shared" ref="BB387:BM387" si="488">SUM(BB388:BB391)</f>
        <v>0</v>
      </c>
      <c r="BC387" s="1458">
        <f t="shared" si="488"/>
        <v>0</v>
      </c>
      <c r="BD387" s="1458">
        <f t="shared" si="488"/>
        <v>0</v>
      </c>
      <c r="BE387" s="1458">
        <f t="shared" si="488"/>
        <v>0</v>
      </c>
      <c r="BF387" s="1458">
        <f t="shared" si="488"/>
        <v>0</v>
      </c>
      <c r="BG387" s="1458">
        <f t="shared" si="488"/>
        <v>0</v>
      </c>
      <c r="BH387" s="1458">
        <f t="shared" si="488"/>
        <v>0</v>
      </c>
      <c r="BI387" s="1458">
        <f t="shared" si="488"/>
        <v>0</v>
      </c>
      <c r="BJ387" s="1458">
        <f t="shared" si="488"/>
        <v>13000</v>
      </c>
      <c r="BK387" s="1458">
        <f t="shared" si="488"/>
        <v>17500</v>
      </c>
      <c r="BL387" s="1458">
        <f t="shared" si="488"/>
        <v>4000</v>
      </c>
      <c r="BM387" s="1458">
        <f t="shared" si="488"/>
        <v>30500</v>
      </c>
      <c r="BN387" s="398">
        <f>SUM(BB387:BM387)</f>
        <v>65000</v>
      </c>
      <c r="BO387" s="1037"/>
      <c r="BP387" s="1458">
        <f t="shared" ref="BP387:CA387" si="489">SUM(BP388:BP391)</f>
        <v>4000</v>
      </c>
      <c r="BQ387" s="1458">
        <f t="shared" si="489"/>
        <v>0</v>
      </c>
      <c r="BR387" s="1458">
        <f t="shared" si="489"/>
        <v>0</v>
      </c>
      <c r="BS387" s="1458">
        <f t="shared" si="489"/>
        <v>0</v>
      </c>
      <c r="BT387" s="1458">
        <f t="shared" si="489"/>
        <v>0</v>
      </c>
      <c r="BU387" s="1458">
        <f t="shared" si="489"/>
        <v>0</v>
      </c>
      <c r="BV387" s="1458">
        <f t="shared" si="489"/>
        <v>0</v>
      </c>
      <c r="BW387" s="1458">
        <f t="shared" si="489"/>
        <v>0</v>
      </c>
      <c r="BX387" s="1458">
        <f t="shared" si="489"/>
        <v>0</v>
      </c>
      <c r="BY387" s="1458">
        <f t="shared" si="489"/>
        <v>0</v>
      </c>
      <c r="BZ387" s="1458">
        <f t="shared" si="489"/>
        <v>0</v>
      </c>
      <c r="CA387" s="1458">
        <f t="shared" si="489"/>
        <v>0</v>
      </c>
      <c r="CB387" s="398">
        <f>SUM(BP387:CA387)</f>
        <v>4000</v>
      </c>
      <c r="CC387" s="1037"/>
      <c r="CD387" s="1458">
        <f t="shared" ref="CD387:CO387" si="490">SUM(CD388:CD391)</f>
        <v>0</v>
      </c>
      <c r="CE387" s="1458">
        <f t="shared" si="490"/>
        <v>30000</v>
      </c>
      <c r="CF387" s="1458">
        <f t="shared" si="490"/>
        <v>0</v>
      </c>
      <c r="CG387" s="1458">
        <f t="shared" si="490"/>
        <v>0</v>
      </c>
      <c r="CH387" s="1458">
        <f t="shared" si="490"/>
        <v>45000</v>
      </c>
      <c r="CI387" s="1458">
        <f t="shared" si="490"/>
        <v>0</v>
      </c>
      <c r="CJ387" s="1458">
        <f t="shared" si="490"/>
        <v>0</v>
      </c>
      <c r="CK387" s="1458">
        <f t="shared" si="490"/>
        <v>30000</v>
      </c>
      <c r="CL387" s="1458">
        <f t="shared" si="490"/>
        <v>0</v>
      </c>
      <c r="CM387" s="1458">
        <f t="shared" si="490"/>
        <v>0</v>
      </c>
      <c r="CN387" s="1458">
        <f t="shared" si="490"/>
        <v>45000</v>
      </c>
      <c r="CO387" s="1458">
        <f t="shared" si="490"/>
        <v>0</v>
      </c>
      <c r="CP387" s="398">
        <f>SUM(CD387:CO387)</f>
        <v>150000</v>
      </c>
      <c r="CQ387" s="1037"/>
      <c r="CR387" s="1458">
        <f t="shared" ref="CR387:DC387" si="491">SUM(CR388:CR391)</f>
        <v>6000</v>
      </c>
      <c r="CS387" s="1458">
        <f t="shared" si="491"/>
        <v>0</v>
      </c>
      <c r="CT387" s="1458">
        <f t="shared" si="491"/>
        <v>0</v>
      </c>
      <c r="CU387" s="1458">
        <f t="shared" si="491"/>
        <v>12000</v>
      </c>
      <c r="CV387" s="1458">
        <f t="shared" si="491"/>
        <v>0</v>
      </c>
      <c r="CW387" s="1458">
        <f t="shared" si="491"/>
        <v>0</v>
      </c>
      <c r="CX387" s="1458">
        <f t="shared" si="491"/>
        <v>12000</v>
      </c>
      <c r="CY387" s="1458">
        <f t="shared" si="491"/>
        <v>0</v>
      </c>
      <c r="CZ387" s="1458">
        <f t="shared" si="491"/>
        <v>0</v>
      </c>
      <c r="DA387" s="1458">
        <f t="shared" si="491"/>
        <v>0</v>
      </c>
      <c r="DB387" s="1458">
        <f t="shared" si="491"/>
        <v>0</v>
      </c>
      <c r="DC387" s="1458">
        <f t="shared" si="491"/>
        <v>0</v>
      </c>
      <c r="DD387" s="398">
        <f>SUM(CR387:DC387)</f>
        <v>30000</v>
      </c>
      <c r="DE387" s="1037"/>
      <c r="DF387" s="1458">
        <f>SUM(DF388:DF391)</f>
        <v>0</v>
      </c>
      <c r="DG387" s="1458">
        <f>SUM(DG388:DG391)</f>
        <v>0</v>
      </c>
      <c r="DH387" s="1458">
        <f>SUM(DH388:DH391)</f>
        <v>0</v>
      </c>
      <c r="DI387" s="3087">
        <f>SUM(DF387:DH387)</f>
        <v>0</v>
      </c>
      <c r="DJ387" s="3153">
        <f t="shared" si="480"/>
        <v>249000</v>
      </c>
      <c r="DL387" s="3180">
        <f>+AN387-DJ387</f>
        <v>0</v>
      </c>
      <c r="DN387" s="2725"/>
      <c r="DO387" s="2726"/>
      <c r="DP387" s="2726"/>
      <c r="DQ387" s="2726"/>
      <c r="DR387" s="2726"/>
      <c r="DS387" s="1037"/>
      <c r="DT387" s="1037"/>
    </row>
    <row r="388" spans="2:124" ht="45" outlineLevel="4">
      <c r="B388" s="711"/>
      <c r="C388" s="182"/>
      <c r="D388" s="2946" t="s">
        <v>1576</v>
      </c>
      <c r="E388" s="2905"/>
      <c r="F388" s="2966"/>
      <c r="G388" s="1643"/>
      <c r="H388" s="1547" t="s">
        <v>975</v>
      </c>
      <c r="I388" s="1210"/>
      <c r="J388" s="177"/>
      <c r="L388" s="364"/>
      <c r="M388" s="364"/>
      <c r="N388" s="367"/>
      <c r="O388" s="367"/>
      <c r="P388" s="367"/>
      <c r="Q388" s="367"/>
      <c r="R388" s="367"/>
      <c r="S388" s="367"/>
      <c r="T388" s="367"/>
      <c r="U388" s="367"/>
      <c r="W388" s="853" t="s">
        <v>763</v>
      </c>
      <c r="X388" s="853" t="s">
        <v>1075</v>
      </c>
      <c r="Y388" s="853" t="s">
        <v>1413</v>
      </c>
      <c r="Z388" s="853">
        <v>35</v>
      </c>
      <c r="AA388" s="364"/>
      <c r="AB388" s="177"/>
      <c r="AD388" s="711" t="s">
        <v>1179</v>
      </c>
      <c r="AE388" s="712">
        <v>1</v>
      </c>
      <c r="AF388" s="712">
        <v>1</v>
      </c>
      <c r="AG388" s="712"/>
      <c r="AH388" s="1442">
        <v>45000</v>
      </c>
      <c r="AI388" s="1442">
        <f>+AE388*AF388*AH388</f>
        <v>45000</v>
      </c>
      <c r="AJ388" s="159"/>
      <c r="AL388" s="1442">
        <f>+AI388</f>
        <v>45000</v>
      </c>
      <c r="AM388" s="1442"/>
      <c r="AN388" s="1442">
        <f>+AL388+AM388</f>
        <v>45000</v>
      </c>
      <c r="AP388" s="1015"/>
      <c r="AQ388" s="1015"/>
      <c r="AR388" s="1015"/>
      <c r="AS388" s="1015"/>
      <c r="AT388" s="1015"/>
      <c r="AU388" s="1015"/>
      <c r="AV388" s="1015"/>
      <c r="AW388" s="1015"/>
      <c r="AX388" s="1015"/>
      <c r="AY388" s="1015"/>
      <c r="AZ388" s="2026">
        <f>SUM(AP388:AY388)</f>
        <v>0</v>
      </c>
      <c r="BB388" s="1015"/>
      <c r="BC388" s="1015"/>
      <c r="BD388" s="1015"/>
      <c r="BE388" s="1015"/>
      <c r="BF388" s="1015"/>
      <c r="BG388" s="1015"/>
      <c r="BH388" s="1015"/>
      <c r="BI388" s="1015"/>
      <c r="BJ388" s="1015">
        <f>+$AI$388*0.2</f>
        <v>9000</v>
      </c>
      <c r="BK388" s="1015">
        <f>+$AI$388*0.3</f>
        <v>13500</v>
      </c>
      <c r="BL388" s="1015"/>
      <c r="BM388" s="1015">
        <f>+$AI$388*0.5</f>
        <v>22500</v>
      </c>
      <c r="BN388" s="2026">
        <f>SUM(BB388:BM388)</f>
        <v>45000</v>
      </c>
      <c r="BP388" s="1015"/>
      <c r="BQ388" s="1015"/>
      <c r="BR388" s="1015"/>
      <c r="BS388" s="1015"/>
      <c r="BT388" s="1015"/>
      <c r="BU388" s="1015"/>
      <c r="BV388" s="1015"/>
      <c r="BW388" s="1015"/>
      <c r="BX388" s="1015"/>
      <c r="BY388" s="1015"/>
      <c r="BZ388" s="1015"/>
      <c r="CA388" s="1015"/>
      <c r="CB388" s="2026">
        <f>SUM(BP388:CA388)</f>
        <v>0</v>
      </c>
      <c r="CD388" s="1015"/>
      <c r="CE388" s="1015"/>
      <c r="CF388" s="1015"/>
      <c r="CG388" s="1015"/>
      <c r="CH388" s="1015"/>
      <c r="CI388" s="1015"/>
      <c r="CJ388" s="1015"/>
      <c r="CK388" s="1015"/>
      <c r="CL388" s="1015"/>
      <c r="CM388" s="1015"/>
      <c r="CN388" s="1015"/>
      <c r="CO388" s="1015"/>
      <c r="CP388" s="2026">
        <f>SUM(CD388:CO388)</f>
        <v>0</v>
      </c>
      <c r="CR388" s="1015"/>
      <c r="CS388" s="1015"/>
      <c r="CT388" s="1015"/>
      <c r="CU388" s="1015"/>
      <c r="CV388" s="1015"/>
      <c r="CW388" s="1015"/>
      <c r="CX388" s="1015"/>
      <c r="CY388" s="1015"/>
      <c r="CZ388" s="1015"/>
      <c r="DA388" s="1015"/>
      <c r="DB388" s="1015"/>
      <c r="DC388" s="1015"/>
      <c r="DD388" s="2026">
        <f>SUM(CR388:DC388)</f>
        <v>0</v>
      </c>
      <c r="DF388" s="1015"/>
      <c r="DG388" s="1015"/>
      <c r="DH388" s="1015"/>
      <c r="DI388" s="2046">
        <f t="shared" si="474"/>
        <v>0</v>
      </c>
      <c r="DJ388" s="3169">
        <f t="shared" si="480"/>
        <v>45000</v>
      </c>
      <c r="DL388" s="3180">
        <f t="shared" si="477"/>
        <v>0</v>
      </c>
      <c r="DN388" s="2743"/>
      <c r="DO388" s="2740"/>
      <c r="DP388" s="2740"/>
      <c r="DQ388" s="2740"/>
      <c r="DR388" s="2740"/>
      <c r="DS388" s="1037"/>
      <c r="DT388" s="1037"/>
    </row>
    <row r="389" spans="2:124" ht="30" outlineLevel="4">
      <c r="B389" s="711"/>
      <c r="C389" s="182"/>
      <c r="D389" s="2946" t="s">
        <v>1577</v>
      </c>
      <c r="E389" s="2905"/>
      <c r="F389" s="2966"/>
      <c r="G389" s="1643"/>
      <c r="H389" s="1547" t="s">
        <v>977</v>
      </c>
      <c r="I389" s="1210"/>
      <c r="J389" s="177"/>
      <c r="L389" s="364"/>
      <c r="M389" s="364"/>
      <c r="N389" s="367"/>
      <c r="O389" s="367"/>
      <c r="P389" s="367"/>
      <c r="Q389" s="367"/>
      <c r="R389" s="367"/>
      <c r="S389" s="367"/>
      <c r="T389" s="367"/>
      <c r="U389" s="367"/>
      <c r="W389" s="853" t="s">
        <v>763</v>
      </c>
      <c r="X389" s="853" t="s">
        <v>1075</v>
      </c>
      <c r="Y389" s="853" t="s">
        <v>1430</v>
      </c>
      <c r="Z389" s="853">
        <v>36</v>
      </c>
      <c r="AA389" s="364"/>
      <c r="AB389" s="177"/>
      <c r="AD389" s="711" t="s">
        <v>1179</v>
      </c>
      <c r="AE389" s="712">
        <v>1</v>
      </c>
      <c r="AF389" s="712">
        <v>1</v>
      </c>
      <c r="AG389" s="712"/>
      <c r="AH389" s="1442">
        <v>24000</v>
      </c>
      <c r="AI389" s="1442">
        <f>+AE389*AF389*AH389</f>
        <v>24000</v>
      </c>
      <c r="AJ389" s="159"/>
      <c r="AL389" s="1442">
        <f>+AI389</f>
        <v>24000</v>
      </c>
      <c r="AM389" s="1442"/>
      <c r="AN389" s="1442">
        <f>+AL389+AM389</f>
        <v>24000</v>
      </c>
      <c r="AP389" s="1015"/>
      <c r="AQ389" s="1015"/>
      <c r="AR389" s="1015"/>
      <c r="AS389" s="1015"/>
      <c r="AT389" s="1015"/>
      <c r="AU389" s="1015"/>
      <c r="AV389" s="1015"/>
      <c r="AW389" s="1015"/>
      <c r="AX389" s="1015"/>
      <c r="AY389" s="1015"/>
      <c r="AZ389" s="2026">
        <f t="shared" si="466"/>
        <v>0</v>
      </c>
      <c r="BB389" s="1015"/>
      <c r="BC389" s="1015"/>
      <c r="BD389" s="1015"/>
      <c r="BE389" s="1015"/>
      <c r="BF389" s="1015"/>
      <c r="BG389" s="1015"/>
      <c r="BH389" s="1015"/>
      <c r="BI389" s="1015"/>
      <c r="BJ389" s="1015">
        <f>+$AH$389/6</f>
        <v>4000</v>
      </c>
      <c r="BK389" s="1015">
        <f>+$AH$389/6</f>
        <v>4000</v>
      </c>
      <c r="BL389" s="1015">
        <f>+$AH$389/6</f>
        <v>4000</v>
      </c>
      <c r="BM389" s="1015">
        <v>8000</v>
      </c>
      <c r="BN389" s="2026">
        <f>SUM(BB389:BM389)</f>
        <v>20000</v>
      </c>
      <c r="BP389" s="1015">
        <f>+$AH$389/6</f>
        <v>4000</v>
      </c>
      <c r="BQ389" s="1015"/>
      <c r="BR389" s="1015"/>
      <c r="BS389" s="1015"/>
      <c r="BT389" s="1015"/>
      <c r="BU389" s="1015"/>
      <c r="BV389" s="1015"/>
      <c r="BW389" s="1015"/>
      <c r="BX389" s="1015"/>
      <c r="BY389" s="1015"/>
      <c r="BZ389" s="1015"/>
      <c r="CA389" s="1015"/>
      <c r="CB389" s="2026">
        <f>SUM(BP389:CA389)</f>
        <v>4000</v>
      </c>
      <c r="CD389" s="1015"/>
      <c r="CE389" s="1015"/>
      <c r="CF389" s="1015"/>
      <c r="CG389" s="1015"/>
      <c r="CH389" s="1015"/>
      <c r="CI389" s="1015"/>
      <c r="CJ389" s="1015"/>
      <c r="CK389" s="1015"/>
      <c r="CL389" s="1015"/>
      <c r="CM389" s="1015"/>
      <c r="CN389" s="1015"/>
      <c r="CO389" s="1015"/>
      <c r="CP389" s="2026">
        <f>SUM(CD389:CO389)</f>
        <v>0</v>
      </c>
      <c r="CR389" s="1015"/>
      <c r="CS389" s="1015"/>
      <c r="CT389" s="1015"/>
      <c r="CU389" s="1015"/>
      <c r="CV389" s="1015"/>
      <c r="CW389" s="1015"/>
      <c r="CX389" s="1015"/>
      <c r="CY389" s="1015"/>
      <c r="CZ389" s="1015"/>
      <c r="DA389" s="1015"/>
      <c r="DB389" s="1015"/>
      <c r="DC389" s="1015"/>
      <c r="DD389" s="2026">
        <f>SUM(CR389:DC389)</f>
        <v>0</v>
      </c>
      <c r="DF389" s="1015"/>
      <c r="DG389" s="1015"/>
      <c r="DH389" s="1015"/>
      <c r="DI389" s="2046">
        <f t="shared" si="474"/>
        <v>0</v>
      </c>
      <c r="DJ389" s="3169">
        <f t="shared" si="480"/>
        <v>24000</v>
      </c>
      <c r="DL389" s="3180">
        <f t="shared" si="477"/>
        <v>0</v>
      </c>
      <c r="DN389" s="2743"/>
      <c r="DO389" s="2740"/>
      <c r="DP389" s="2740"/>
      <c r="DQ389" s="2740"/>
      <c r="DR389" s="2740"/>
      <c r="DS389" s="1037"/>
      <c r="DT389" s="1037"/>
    </row>
    <row r="390" spans="2:124" ht="60" outlineLevel="4">
      <c r="B390" s="711"/>
      <c r="C390" s="182"/>
      <c r="D390" s="2946" t="s">
        <v>1578</v>
      </c>
      <c r="E390" s="2905"/>
      <c r="F390" s="2966"/>
      <c r="G390" s="1643"/>
      <c r="H390" s="1547" t="s">
        <v>979</v>
      </c>
      <c r="I390" s="1210"/>
      <c r="J390" s="177"/>
      <c r="L390" s="364"/>
      <c r="M390" s="364"/>
      <c r="N390" s="367"/>
      <c r="O390" s="367"/>
      <c r="P390" s="367"/>
      <c r="Q390" s="367"/>
      <c r="R390" s="367"/>
      <c r="S390" s="367"/>
      <c r="T390" s="367"/>
      <c r="U390" s="367"/>
      <c r="W390" s="853" t="s">
        <v>853</v>
      </c>
      <c r="X390" s="853" t="s">
        <v>1075</v>
      </c>
      <c r="Y390" s="2515" t="s">
        <v>1561</v>
      </c>
      <c r="Z390" s="853" t="s">
        <v>1579</v>
      </c>
      <c r="AA390" s="364"/>
      <c r="AB390" s="177"/>
      <c r="AD390" s="711" t="s">
        <v>1179</v>
      </c>
      <c r="AE390" s="712">
        <v>1</v>
      </c>
      <c r="AF390" s="712">
        <v>1</v>
      </c>
      <c r="AG390" s="712"/>
      <c r="AH390" s="1442">
        <v>150000</v>
      </c>
      <c r="AI390" s="1442">
        <f>+AE390*AF390*AH390</f>
        <v>150000</v>
      </c>
      <c r="AJ390" s="159"/>
      <c r="AL390" s="1442">
        <f>+AI390</f>
        <v>150000</v>
      </c>
      <c r="AM390" s="1442"/>
      <c r="AN390" s="1442">
        <f>+AL390+AM390</f>
        <v>150000</v>
      </c>
      <c r="AP390" s="1015"/>
      <c r="AQ390" s="1015"/>
      <c r="AR390" s="1015"/>
      <c r="AS390" s="1015"/>
      <c r="AT390" s="1015"/>
      <c r="AU390" s="1015"/>
      <c r="AV390" s="1015"/>
      <c r="AW390" s="1015"/>
      <c r="AX390" s="1015"/>
      <c r="AY390" s="1015"/>
      <c r="AZ390" s="2026">
        <f t="shared" si="466"/>
        <v>0</v>
      </c>
      <c r="BB390" s="1015"/>
      <c r="BC390" s="1015"/>
      <c r="BD390" s="1015"/>
      <c r="BE390" s="1015"/>
      <c r="BF390" s="1015"/>
      <c r="BG390" s="1015"/>
      <c r="BH390" s="1015"/>
      <c r="BI390" s="1015"/>
      <c r="BJ390" s="1015"/>
      <c r="BK390" s="1015"/>
      <c r="BL390" s="1015"/>
      <c r="BM390" s="1015"/>
      <c r="BN390" s="2026">
        <f>SUM(BB390:BM390)</f>
        <v>0</v>
      </c>
      <c r="BP390" s="1015"/>
      <c r="BQ390" s="1015"/>
      <c r="BR390" s="1015"/>
      <c r="BS390" s="1015"/>
      <c r="BT390" s="1015"/>
      <c r="BU390" s="1015"/>
      <c r="BV390" s="1015"/>
      <c r="BW390" s="1015"/>
      <c r="BX390" s="1015"/>
      <c r="BY390" s="1015"/>
      <c r="BZ390" s="1015"/>
      <c r="CA390" s="1015"/>
      <c r="CB390" s="2026">
        <f>SUM(BP390:CA390)</f>
        <v>0</v>
      </c>
      <c r="CD390" s="1015"/>
      <c r="CE390" s="1015">
        <f>+$AI$390*0.2</f>
        <v>30000</v>
      </c>
      <c r="CF390" s="1015"/>
      <c r="CG390" s="1015"/>
      <c r="CH390" s="1015">
        <f>+$AI$390*0.3</f>
        <v>45000</v>
      </c>
      <c r="CI390" s="1015"/>
      <c r="CJ390" s="1015"/>
      <c r="CK390" s="1015">
        <f>+$AI$390*0.2</f>
        <v>30000</v>
      </c>
      <c r="CL390" s="1015"/>
      <c r="CM390" s="1015"/>
      <c r="CN390" s="1015">
        <f>+$AI$390*0.3</f>
        <v>45000</v>
      </c>
      <c r="CO390" s="1015"/>
      <c r="CP390" s="2026">
        <f>SUM(CD390:CO390)</f>
        <v>150000</v>
      </c>
      <c r="CR390" s="1015"/>
      <c r="CS390" s="1015"/>
      <c r="CT390" s="1015"/>
      <c r="CU390" s="1015"/>
      <c r="CV390" s="1015"/>
      <c r="CW390" s="1015"/>
      <c r="CX390" s="1015"/>
      <c r="CY390" s="1015"/>
      <c r="CZ390" s="1015"/>
      <c r="DA390" s="1015"/>
      <c r="DB390" s="1015"/>
      <c r="DC390" s="1015"/>
      <c r="DD390" s="2026">
        <f>SUM(CR390:DC390)</f>
        <v>0</v>
      </c>
      <c r="DF390" s="1015"/>
      <c r="DG390" s="1015"/>
      <c r="DH390" s="1015"/>
      <c r="DI390" s="2046">
        <f t="shared" si="474"/>
        <v>0</v>
      </c>
      <c r="DJ390" s="3169">
        <f t="shared" si="480"/>
        <v>150000</v>
      </c>
      <c r="DL390" s="3180">
        <f t="shared" si="477"/>
        <v>0</v>
      </c>
      <c r="DN390" s="2743"/>
      <c r="DO390" s="2740"/>
      <c r="DP390" s="2740"/>
      <c r="DQ390" s="2740"/>
      <c r="DR390" s="2740"/>
      <c r="DS390" s="1037"/>
      <c r="DT390" s="1037"/>
    </row>
    <row r="391" spans="2:124" ht="15" outlineLevel="4">
      <c r="B391" s="711"/>
      <c r="C391" s="182"/>
      <c r="D391" s="2946" t="s">
        <v>1580</v>
      </c>
      <c r="E391" s="2905"/>
      <c r="F391" s="2966"/>
      <c r="G391" s="1643"/>
      <c r="H391" s="1547" t="s">
        <v>971</v>
      </c>
      <c r="I391" s="1210"/>
      <c r="J391" s="177"/>
      <c r="L391" s="364"/>
      <c r="M391" s="364"/>
      <c r="N391" s="367"/>
      <c r="O391" s="367"/>
      <c r="P391" s="367"/>
      <c r="Q391" s="367"/>
      <c r="R391" s="367"/>
      <c r="S391" s="367"/>
      <c r="T391" s="367"/>
      <c r="U391" s="367"/>
      <c r="W391" s="853" t="s">
        <v>853</v>
      </c>
      <c r="X391" s="853" t="s">
        <v>1075</v>
      </c>
      <c r="Y391" s="2985" t="s">
        <v>1565</v>
      </c>
      <c r="Z391" s="853" t="s">
        <v>1581</v>
      </c>
      <c r="AA391" s="364"/>
      <c r="AB391" s="177"/>
      <c r="AD391" s="711" t="s">
        <v>1179</v>
      </c>
      <c r="AE391" s="712">
        <v>1</v>
      </c>
      <c r="AF391" s="712">
        <v>1</v>
      </c>
      <c r="AG391" s="712"/>
      <c r="AH391" s="1442">
        <v>30000</v>
      </c>
      <c r="AI391" s="1442">
        <f>+AE391*AF391*AH391</f>
        <v>30000</v>
      </c>
      <c r="AJ391" s="159"/>
      <c r="AL391" s="1442">
        <f>+AI391</f>
        <v>30000</v>
      </c>
      <c r="AM391" s="1442"/>
      <c r="AN391" s="1442">
        <f>+AL391+AM391</f>
        <v>30000</v>
      </c>
      <c r="AP391" s="1015"/>
      <c r="AQ391" s="1015"/>
      <c r="AR391" s="1015"/>
      <c r="AS391" s="1015"/>
      <c r="AT391" s="1015"/>
      <c r="AU391" s="1015"/>
      <c r="AV391" s="1015"/>
      <c r="AW391" s="1015"/>
      <c r="AX391" s="1015"/>
      <c r="AY391" s="1015"/>
      <c r="AZ391" s="2026">
        <f t="shared" si="466"/>
        <v>0</v>
      </c>
      <c r="BB391" s="1015"/>
      <c r="BC391" s="1015"/>
      <c r="BD391" s="1015"/>
      <c r="BE391" s="1015"/>
      <c r="BF391" s="1015"/>
      <c r="BG391" s="1015"/>
      <c r="BH391" s="1015"/>
      <c r="BI391" s="1015"/>
      <c r="BJ391" s="1015"/>
      <c r="BK391" s="1015"/>
      <c r="BL391" s="1015"/>
      <c r="BM391" s="1015"/>
      <c r="BN391" s="2026">
        <f>SUM(BB391:BM391)</f>
        <v>0</v>
      </c>
      <c r="BP391" s="1015"/>
      <c r="BQ391" s="1015"/>
      <c r="BR391" s="1015"/>
      <c r="BS391" s="1015"/>
      <c r="BT391" s="1015"/>
      <c r="BU391" s="1015"/>
      <c r="BV391" s="1015"/>
      <c r="BW391" s="1015"/>
      <c r="BX391" s="1015"/>
      <c r="BY391" s="1015"/>
      <c r="BZ391" s="1015"/>
      <c r="CA391" s="1015"/>
      <c r="CB391" s="2026">
        <f>SUM(BP391:CA391)</f>
        <v>0</v>
      </c>
      <c r="CD391" s="1015"/>
      <c r="CE391" s="1015"/>
      <c r="CF391" s="1015"/>
      <c r="CG391" s="1015"/>
      <c r="CH391" s="1015"/>
      <c r="CI391" s="1015"/>
      <c r="CJ391" s="1015"/>
      <c r="CK391" s="1015"/>
      <c r="CL391" s="1015"/>
      <c r="CM391" s="1015"/>
      <c r="CN391" s="1015"/>
      <c r="CO391" s="1015"/>
      <c r="CP391" s="2026">
        <f>SUM(CD391:CO391)</f>
        <v>0</v>
      </c>
      <c r="CR391" s="1015">
        <f>+$AI$391*0.2</f>
        <v>6000</v>
      </c>
      <c r="CS391" s="1015"/>
      <c r="CT391" s="1015"/>
      <c r="CU391" s="1015">
        <f>+$AI$391*0.4</f>
        <v>12000</v>
      </c>
      <c r="CV391" s="1015"/>
      <c r="CW391" s="1015"/>
      <c r="CX391" s="1015">
        <f>+$AI$391*0.4</f>
        <v>12000</v>
      </c>
      <c r="CY391" s="1015"/>
      <c r="CZ391" s="1015"/>
      <c r="DA391" s="1015"/>
      <c r="DB391" s="1015"/>
      <c r="DC391" s="1015"/>
      <c r="DD391" s="2026">
        <f>SUM(CR391:DC391)</f>
        <v>30000</v>
      </c>
      <c r="DF391" s="1015"/>
      <c r="DG391" s="1015"/>
      <c r="DH391" s="1015"/>
      <c r="DI391" s="2046">
        <f t="shared" si="474"/>
        <v>0</v>
      </c>
      <c r="DJ391" s="3169">
        <f t="shared" si="480"/>
        <v>30000</v>
      </c>
      <c r="DL391" s="3180">
        <f t="shared" si="477"/>
        <v>0</v>
      </c>
      <c r="DN391" s="2743"/>
      <c r="DO391" s="2740"/>
      <c r="DP391" s="2740"/>
      <c r="DQ391" s="2740"/>
      <c r="DR391" s="2740"/>
      <c r="DS391" s="1037"/>
      <c r="DT391" s="1037"/>
    </row>
    <row r="392" spans="2:124" s="148" customFormat="1" outlineLevel="3">
      <c r="B392" s="711"/>
      <c r="C392" s="182"/>
      <c r="D392" s="2946"/>
      <c r="E392" s="2905"/>
      <c r="F392" s="2966"/>
      <c r="G392" s="1643"/>
      <c r="H392" s="544"/>
      <c r="I392" s="1650"/>
      <c r="J392" s="103"/>
      <c r="K392" s="1037"/>
      <c r="L392" s="364"/>
      <c r="M392" s="364"/>
      <c r="N392" s="365"/>
      <c r="O392" s="365"/>
      <c r="P392" s="365"/>
      <c r="Q392" s="365"/>
      <c r="R392" s="365"/>
      <c r="S392" s="365"/>
      <c r="T392" s="365"/>
      <c r="U392" s="365"/>
      <c r="V392" s="1037"/>
      <c r="W392" s="853"/>
      <c r="X392" s="853"/>
      <c r="Y392" s="853"/>
      <c r="Z392" s="853"/>
      <c r="AA392" s="364"/>
      <c r="AB392" s="177"/>
      <c r="AC392" s="1037"/>
      <c r="AD392" s="711"/>
      <c r="AE392" s="675"/>
      <c r="AF392" s="179"/>
      <c r="AG392" s="179"/>
      <c r="AH392" s="1041"/>
      <c r="AI392" s="1032"/>
      <c r="AJ392" s="1763"/>
      <c r="AK392" s="1037"/>
      <c r="AL392" s="1041"/>
      <c r="AM392" s="1032"/>
      <c r="AN392" s="1041">
        <f t="shared" si="389"/>
        <v>0</v>
      </c>
      <c r="AO392" s="1037"/>
      <c r="AP392" s="986"/>
      <c r="AQ392" s="986"/>
      <c r="AR392" s="986"/>
      <c r="AS392" s="986"/>
      <c r="AT392" s="986"/>
      <c r="AU392" s="986"/>
      <c r="AV392" s="986"/>
      <c r="AW392" s="986"/>
      <c r="AX392" s="986"/>
      <c r="AY392" s="986"/>
      <c r="AZ392" s="2011">
        <f t="shared" si="420"/>
        <v>0</v>
      </c>
      <c r="BA392" s="1037"/>
      <c r="BB392" s="986"/>
      <c r="BC392" s="986"/>
      <c r="BD392" s="986"/>
      <c r="BE392" s="986"/>
      <c r="BF392" s="986"/>
      <c r="BG392" s="986"/>
      <c r="BH392" s="986"/>
      <c r="BI392" s="986"/>
      <c r="BJ392" s="986"/>
      <c r="BK392" s="986"/>
      <c r="BL392" s="986"/>
      <c r="BM392" s="986"/>
      <c r="BN392" s="2011">
        <f t="shared" si="422"/>
        <v>0</v>
      </c>
      <c r="BO392" s="1037"/>
      <c r="BP392" s="986"/>
      <c r="BQ392" s="986"/>
      <c r="BR392" s="986"/>
      <c r="BS392" s="986"/>
      <c r="BT392" s="986"/>
      <c r="BU392" s="986"/>
      <c r="BV392" s="986"/>
      <c r="BW392" s="986"/>
      <c r="BX392" s="986"/>
      <c r="BY392" s="986"/>
      <c r="BZ392" s="986"/>
      <c r="CA392" s="986"/>
      <c r="CB392" s="2011">
        <f t="shared" si="424"/>
        <v>0</v>
      </c>
      <c r="CC392" s="1037"/>
      <c r="CD392" s="986"/>
      <c r="CE392" s="986"/>
      <c r="CF392" s="986"/>
      <c r="CG392" s="986"/>
      <c r="CH392" s="986"/>
      <c r="CI392" s="986"/>
      <c r="CJ392" s="986"/>
      <c r="CK392" s="986"/>
      <c r="CL392" s="986"/>
      <c r="CM392" s="986"/>
      <c r="CN392" s="986"/>
      <c r="CO392" s="986"/>
      <c r="CP392" s="2011">
        <f t="shared" si="426"/>
        <v>0</v>
      </c>
      <c r="CQ392" s="1037"/>
      <c r="CR392" s="986"/>
      <c r="CS392" s="986"/>
      <c r="CT392" s="986"/>
      <c r="CU392" s="986"/>
      <c r="CV392" s="986"/>
      <c r="CW392" s="986"/>
      <c r="CX392" s="986"/>
      <c r="CY392" s="986"/>
      <c r="CZ392" s="986"/>
      <c r="DA392" s="986"/>
      <c r="DB392" s="986"/>
      <c r="DC392" s="986"/>
      <c r="DD392" s="2024">
        <f t="shared" si="428"/>
        <v>0</v>
      </c>
      <c r="DE392" s="1037"/>
      <c r="DF392" s="986"/>
      <c r="DG392" s="986"/>
      <c r="DH392" s="986"/>
      <c r="DI392" s="1498">
        <f t="shared" si="429"/>
        <v>0</v>
      </c>
      <c r="DJ392" s="3171">
        <f t="shared" si="392"/>
        <v>0</v>
      </c>
      <c r="DL392" s="3180">
        <f t="shared" si="393"/>
        <v>0</v>
      </c>
      <c r="DN392" s="2749" t="s">
        <v>1175</v>
      </c>
      <c r="DO392" s="2747" t="s">
        <v>1175</v>
      </c>
      <c r="DP392" s="2747"/>
      <c r="DQ392" s="2747" t="s">
        <v>1175</v>
      </c>
      <c r="DR392" s="2747" t="str">
        <f t="shared" si="446"/>
        <v/>
      </c>
      <c r="DS392" s="1037"/>
      <c r="DT392" s="1037"/>
    </row>
    <row r="393" spans="2:124" s="153" customFormat="1" ht="28.25" customHeight="1" outlineLevel="2">
      <c r="B393" s="106"/>
      <c r="C393" s="172"/>
      <c r="D393" s="2945" t="s">
        <v>559</v>
      </c>
      <c r="E393" s="2904"/>
      <c r="F393" s="2975"/>
      <c r="G393" s="1642"/>
      <c r="H393" s="2773" t="s">
        <v>981</v>
      </c>
      <c r="I393" s="1647"/>
      <c r="J393" s="106" t="s">
        <v>1540</v>
      </c>
      <c r="K393" s="1037"/>
      <c r="L393" s="358" t="str">
        <f>'1_MdR'!C63</f>
        <v>Informe</v>
      </c>
      <c r="M393" s="358">
        <f>'1_MdR'!D63</f>
        <v>0</v>
      </c>
      <c r="N393" s="358">
        <f>'1_MdR'!E63</f>
        <v>2022</v>
      </c>
      <c r="O393" s="358" t="str">
        <f>'1_MdR'!G63</f>
        <v>-</v>
      </c>
      <c r="P393" s="358" t="str">
        <f>'1_MdR'!H63</f>
        <v>-</v>
      </c>
      <c r="Q393" s="358" t="e">
        <f>'1_MdR'!#REF!</f>
        <v>#REF!</v>
      </c>
      <c r="R393" s="358" t="str">
        <f>'1_MdR'!I63</f>
        <v>-</v>
      </c>
      <c r="S393" s="358">
        <f>'1_MdR'!K63</f>
        <v>1</v>
      </c>
      <c r="T393" s="358" t="str">
        <f>'1_MdR'!L63</f>
        <v>-</v>
      </c>
      <c r="U393" s="358">
        <f>'1_MdR'!M63</f>
        <v>2</v>
      </c>
      <c r="V393" s="1037"/>
      <c r="W393" s="358"/>
      <c r="X393" s="358"/>
      <c r="Y393" s="358"/>
      <c r="Z393" s="358"/>
      <c r="AA393" s="358"/>
      <c r="AB393" s="106"/>
      <c r="AC393" s="1037"/>
      <c r="AD393" s="106"/>
      <c r="AE393" s="172"/>
      <c r="AF393" s="172"/>
      <c r="AG393" s="172"/>
      <c r="AH393" s="176"/>
      <c r="AI393" s="176">
        <f>+AI397+AI394+AI396+AI395</f>
        <v>366000</v>
      </c>
      <c r="AJ393" s="692"/>
      <c r="AK393" s="1037"/>
      <c r="AL393" s="176">
        <f>+AL397+AL394+AL396+AL395</f>
        <v>366000</v>
      </c>
      <c r="AM393" s="176">
        <f>+AM397</f>
        <v>0</v>
      </c>
      <c r="AN393" s="176">
        <f>+AL393+AM393</f>
        <v>366000</v>
      </c>
      <c r="AO393" s="1037"/>
      <c r="AP393" s="176">
        <f>+AP397+AP394+AP396</f>
        <v>0</v>
      </c>
      <c r="AQ393" s="176">
        <f t="shared" ref="AQ393:AX393" si="492">+AQ397+AQ394+AQ396</f>
        <v>0</v>
      </c>
      <c r="AR393" s="176">
        <f t="shared" si="492"/>
        <v>0</v>
      </c>
      <c r="AS393" s="176">
        <f t="shared" si="492"/>
        <v>0</v>
      </c>
      <c r="AT393" s="176">
        <f t="shared" si="492"/>
        <v>0</v>
      </c>
      <c r="AU393" s="176">
        <f t="shared" si="492"/>
        <v>0</v>
      </c>
      <c r="AV393" s="176">
        <f t="shared" si="492"/>
        <v>0</v>
      </c>
      <c r="AW393" s="176">
        <f t="shared" si="492"/>
        <v>0</v>
      </c>
      <c r="AX393" s="176">
        <f t="shared" si="492"/>
        <v>0</v>
      </c>
      <c r="AY393" s="176">
        <f>+AY397+AY394+AY396</f>
        <v>0</v>
      </c>
      <c r="AZ393" s="176">
        <f t="shared" si="420"/>
        <v>0</v>
      </c>
      <c r="BA393" s="1037"/>
      <c r="BB393" s="176">
        <f>+BB397+BB394+BB396+BB395</f>
        <v>0</v>
      </c>
      <c r="BC393" s="176">
        <f t="shared" ref="BC393:BN393" si="493">+BC397+BC394+BC396+BC395</f>
        <v>0</v>
      </c>
      <c r="BD393" s="176">
        <f t="shared" si="493"/>
        <v>0</v>
      </c>
      <c r="BE393" s="176">
        <f t="shared" si="493"/>
        <v>0</v>
      </c>
      <c r="BF393" s="176">
        <f t="shared" si="493"/>
        <v>0</v>
      </c>
      <c r="BG393" s="176">
        <f t="shared" si="493"/>
        <v>0</v>
      </c>
      <c r="BH393" s="176">
        <f t="shared" si="493"/>
        <v>0</v>
      </c>
      <c r="BI393" s="176">
        <f t="shared" si="493"/>
        <v>0</v>
      </c>
      <c r="BJ393" s="176">
        <f t="shared" si="493"/>
        <v>0</v>
      </c>
      <c r="BK393" s="176">
        <f t="shared" si="493"/>
        <v>0</v>
      </c>
      <c r="BL393" s="176">
        <f t="shared" si="493"/>
        <v>0</v>
      </c>
      <c r="BM393" s="176">
        <f>+BM397+BM394+BM396+BM395</f>
        <v>0</v>
      </c>
      <c r="BN393" s="176">
        <f t="shared" si="493"/>
        <v>0</v>
      </c>
      <c r="BO393" s="1037"/>
      <c r="BP393" s="176">
        <f t="shared" ref="BP393:CA393" si="494">+BP397+BP394+BP396+BP395</f>
        <v>0</v>
      </c>
      <c r="BQ393" s="176">
        <f t="shared" si="494"/>
        <v>0</v>
      </c>
      <c r="BR393" s="176">
        <f t="shared" si="494"/>
        <v>8000</v>
      </c>
      <c r="BS393" s="176">
        <f t="shared" si="494"/>
        <v>0</v>
      </c>
      <c r="BT393" s="176">
        <f t="shared" si="494"/>
        <v>0</v>
      </c>
      <c r="BU393" s="176">
        <f t="shared" si="494"/>
        <v>32000</v>
      </c>
      <c r="BV393" s="176">
        <f t="shared" si="494"/>
        <v>0</v>
      </c>
      <c r="BW393" s="176">
        <f t="shared" si="494"/>
        <v>0</v>
      </c>
      <c r="BX393" s="176">
        <f t="shared" si="494"/>
        <v>32000</v>
      </c>
      <c r="BY393" s="176">
        <f t="shared" si="494"/>
        <v>0</v>
      </c>
      <c r="BZ393" s="176">
        <f t="shared" si="494"/>
        <v>20000</v>
      </c>
      <c r="CA393" s="176">
        <f t="shared" si="494"/>
        <v>0</v>
      </c>
      <c r="CB393" s="176">
        <f>SUM(BP393:CA393)</f>
        <v>92000</v>
      </c>
      <c r="CC393" s="1037"/>
      <c r="CD393" s="176">
        <f t="shared" ref="CD393" si="495">+CD397+CD394+CD396+CD395</f>
        <v>80000</v>
      </c>
      <c r="CE393" s="176">
        <f t="shared" ref="CE393" si="496">+CE397+CE394+CE396+CE395</f>
        <v>8000</v>
      </c>
      <c r="CF393" s="176">
        <f t="shared" ref="CF393" si="497">+CF397+CF394+CF396+CF395</f>
        <v>0</v>
      </c>
      <c r="CG393" s="176">
        <f t="shared" ref="CG393" si="498">+CG397+CG394+CG396+CG395</f>
        <v>0</v>
      </c>
      <c r="CH393" s="176">
        <f t="shared" ref="CH393" si="499">+CH397+CH394+CH396+CH395</f>
        <v>40000</v>
      </c>
      <c r="CI393" s="176">
        <f t="shared" ref="CI393" si="500">+CI397+CI394+CI396+CI395</f>
        <v>0</v>
      </c>
      <c r="CJ393" s="176">
        <f t="shared" ref="CJ393" si="501">+CJ397+CJ394+CJ396+CJ395</f>
        <v>40000</v>
      </c>
      <c r="CK393" s="176">
        <f t="shared" ref="CK393" si="502">+CK397+CK394+CK396+CK395</f>
        <v>20000</v>
      </c>
      <c r="CL393" s="176">
        <f t="shared" ref="CL393" si="503">+CL397+CL394+CL396+CL395</f>
        <v>0</v>
      </c>
      <c r="CM393" s="176">
        <f t="shared" ref="CM393" si="504">+CM397+CM394+CM396+CM395</f>
        <v>0</v>
      </c>
      <c r="CN393" s="176">
        <f t="shared" ref="CN393" si="505">+CN397+CN394+CN396+CN395</f>
        <v>0</v>
      </c>
      <c r="CO393" s="176">
        <f t="shared" ref="CO393" si="506">+CO397+CO394+CO396+CO395</f>
        <v>0</v>
      </c>
      <c r="CP393" s="176">
        <f t="shared" si="426"/>
        <v>188000</v>
      </c>
      <c r="CQ393" s="1037"/>
      <c r="CR393" s="176">
        <f t="shared" ref="CR393" si="507">+CR397+CR394+CR396+CR395</f>
        <v>0</v>
      </c>
      <c r="CS393" s="176">
        <f t="shared" ref="CS393" si="508">+CS397+CS394+CS396+CS395</f>
        <v>0</v>
      </c>
      <c r="CT393" s="176">
        <f t="shared" ref="CT393" si="509">+CT397+CT394+CT396+CT395</f>
        <v>0</v>
      </c>
      <c r="CU393" s="176">
        <f t="shared" ref="CU393" si="510">+CU397+CU394+CU396+CU395</f>
        <v>0</v>
      </c>
      <c r="CV393" s="176">
        <f t="shared" ref="CV393" si="511">+CV397+CV394+CV396+CV395</f>
        <v>0</v>
      </c>
      <c r="CW393" s="176">
        <f t="shared" ref="CW393" si="512">+CW397+CW394+CW396+CW395</f>
        <v>0</v>
      </c>
      <c r="CX393" s="176">
        <f t="shared" ref="CX393" si="513">+CX397+CX394+CX396+CX395</f>
        <v>0</v>
      </c>
      <c r="CY393" s="176">
        <f t="shared" ref="CY393" si="514">+CY397+CY394+CY396+CY395</f>
        <v>0</v>
      </c>
      <c r="CZ393" s="176">
        <f t="shared" ref="CZ393" si="515">+CZ397+CZ394+CZ396+CZ395</f>
        <v>0</v>
      </c>
      <c r="DA393" s="176">
        <f t="shared" ref="DA393" si="516">+DA397+DA394+DA396+DA395</f>
        <v>0</v>
      </c>
      <c r="DB393" s="176">
        <f t="shared" ref="DB393" si="517">+DB397+DB394+DB396+DB395</f>
        <v>0</v>
      </c>
      <c r="DC393" s="176">
        <f t="shared" ref="DC393" si="518">+DC397+DC394+DC396+DC395</f>
        <v>0</v>
      </c>
      <c r="DD393" s="176">
        <f t="shared" si="428"/>
        <v>0</v>
      </c>
      <c r="DE393" s="1037"/>
      <c r="DF393" s="176">
        <f>+DF397+DF394+DF396+DF395</f>
        <v>86000</v>
      </c>
      <c r="DG393" s="176">
        <f t="shared" ref="DG393" si="519">+DG397+DG394+DG396+DG395</f>
        <v>0</v>
      </c>
      <c r="DH393" s="176">
        <f t="shared" ref="DH393" si="520">+DH397+DH394+DH396+DH395</f>
        <v>0</v>
      </c>
      <c r="DI393" s="3082">
        <f t="shared" si="429"/>
        <v>86000</v>
      </c>
      <c r="DJ393" s="3154">
        <f>+AZ393+BN393+CB393+CP393+DD393+DI393</f>
        <v>366000</v>
      </c>
      <c r="DL393" s="3180">
        <f>+AN393-DJ393</f>
        <v>0</v>
      </c>
      <c r="DN393" s="2723" t="s">
        <v>1175</v>
      </c>
      <c r="DO393" s="2724" t="s">
        <v>1175</v>
      </c>
      <c r="DP393" s="2724"/>
      <c r="DQ393" s="2724" t="s">
        <v>1175</v>
      </c>
      <c r="DR393" s="2724" t="str">
        <f t="shared" si="446"/>
        <v>3</v>
      </c>
      <c r="DS393" s="1037"/>
      <c r="DT393" s="1037"/>
    </row>
    <row r="394" spans="2:124" s="148" customFormat="1" ht="60" outlineLevel="3">
      <c r="B394" s="711"/>
      <c r="C394" s="182"/>
      <c r="D394" s="2946" t="s">
        <v>982</v>
      </c>
      <c r="E394" s="2905"/>
      <c r="F394" s="2966"/>
      <c r="G394" s="1643"/>
      <c r="H394" s="2518" t="s">
        <v>1582</v>
      </c>
      <c r="I394" s="2391"/>
      <c r="J394" s="103"/>
      <c r="K394" s="1037"/>
      <c r="L394" s="364"/>
      <c r="M394" s="364"/>
      <c r="N394" s="365"/>
      <c r="O394" s="365"/>
      <c r="P394" s="365"/>
      <c r="Q394" s="365"/>
      <c r="R394" s="365"/>
      <c r="S394" s="365"/>
      <c r="T394" s="365"/>
      <c r="U394" s="365"/>
      <c r="V394" s="1037"/>
      <c r="W394" s="853" t="s">
        <v>763</v>
      </c>
      <c r="X394" s="853" t="s">
        <v>1075</v>
      </c>
      <c r="Y394" s="853" t="s">
        <v>1413</v>
      </c>
      <c r="Z394" s="853">
        <v>91</v>
      </c>
      <c r="AA394" s="364"/>
      <c r="AB394" s="1749"/>
      <c r="AC394" s="1037"/>
      <c r="AD394" s="711" t="s">
        <v>1179</v>
      </c>
      <c r="AE394" s="675">
        <v>1</v>
      </c>
      <c r="AF394" s="179"/>
      <c r="AG394" s="179"/>
      <c r="AH394" s="1748">
        <v>80000</v>
      </c>
      <c r="AI394" s="725">
        <f>AE394*AH394</f>
        <v>80000</v>
      </c>
      <c r="AJ394" s="693" t="s">
        <v>1583</v>
      </c>
      <c r="AK394" s="1037"/>
      <c r="AL394" s="1748">
        <f>+AI394</f>
        <v>80000</v>
      </c>
      <c r="AM394" s="725"/>
      <c r="AN394" s="1748">
        <f>+AL394+AM394</f>
        <v>80000</v>
      </c>
      <c r="AO394" s="1037"/>
      <c r="AP394" s="986"/>
      <c r="AQ394" s="986"/>
      <c r="AR394" s="986"/>
      <c r="AS394" s="986"/>
      <c r="AT394" s="986"/>
      <c r="AU394" s="986"/>
      <c r="AV394" s="986"/>
      <c r="AW394" s="986"/>
      <c r="AX394" s="986"/>
      <c r="AY394" s="986"/>
      <c r="AZ394" s="2011"/>
      <c r="BA394" s="1037"/>
      <c r="BB394" s="986"/>
      <c r="BC394" s="986"/>
      <c r="BD394" s="986"/>
      <c r="BE394" s="986"/>
      <c r="BF394" s="986"/>
      <c r="BG394" s="986"/>
      <c r="BH394" s="986"/>
      <c r="BI394" s="986"/>
      <c r="BJ394" s="986"/>
      <c r="BK394" s="986"/>
      <c r="BL394" s="986"/>
      <c r="BM394" s="986"/>
      <c r="BN394" s="2011"/>
      <c r="BO394" s="1037"/>
      <c r="BP394" s="986"/>
      <c r="BQ394" s="986"/>
      <c r="BR394" s="986">
        <f>+$AI$394*10%</f>
        <v>8000</v>
      </c>
      <c r="BS394" s="986"/>
      <c r="BT394" s="986"/>
      <c r="BU394" s="986">
        <f>+$AI$394*40%</f>
        <v>32000</v>
      </c>
      <c r="BV394" s="986"/>
      <c r="BW394" s="986"/>
      <c r="BX394" s="986">
        <f>+$AI$394*15%</f>
        <v>12000</v>
      </c>
      <c r="BY394" s="986"/>
      <c r="BZ394" s="986"/>
      <c r="CA394" s="986"/>
      <c r="CB394" s="2011">
        <f>SUM(BP394:CA394)</f>
        <v>52000</v>
      </c>
      <c r="CC394" s="1037"/>
      <c r="CD394" s="986">
        <f>+$AI$394*25%</f>
        <v>20000</v>
      </c>
      <c r="CE394" s="986">
        <f>+$AI$394*10%</f>
        <v>8000</v>
      </c>
      <c r="CF394" s="986"/>
      <c r="CG394" s="986"/>
      <c r="CH394" s="986"/>
      <c r="CI394" s="986"/>
      <c r="CJ394" s="986"/>
      <c r="CK394" s="986"/>
      <c r="CL394" s="986"/>
      <c r="CM394" s="986"/>
      <c r="CN394" s="986"/>
      <c r="CO394" s="986"/>
      <c r="CP394" s="2011">
        <f t="shared" si="426"/>
        <v>28000</v>
      </c>
      <c r="CQ394" s="1037"/>
      <c r="CR394" s="986"/>
      <c r="CS394" s="986"/>
      <c r="CT394" s="986"/>
      <c r="CU394" s="986"/>
      <c r="CV394" s="986"/>
      <c r="CW394" s="986"/>
      <c r="CX394" s="986"/>
      <c r="CY394" s="986"/>
      <c r="CZ394" s="986"/>
      <c r="DA394" s="986"/>
      <c r="DB394" s="986"/>
      <c r="DC394" s="986"/>
      <c r="DD394" s="2025"/>
      <c r="DE394" s="1037"/>
      <c r="DF394" s="986"/>
      <c r="DG394" s="986"/>
      <c r="DH394" s="986"/>
      <c r="DI394" s="2008"/>
      <c r="DJ394" s="3172">
        <f>+AZ394+BN394+CB394+CP394+DD394+DI394</f>
        <v>80000</v>
      </c>
      <c r="DL394" s="3180">
        <f t="shared" si="393"/>
        <v>0</v>
      </c>
      <c r="DN394" s="2743"/>
      <c r="DO394" s="2775"/>
      <c r="DP394" s="2775"/>
      <c r="DQ394" s="2775"/>
      <c r="DR394" s="2775"/>
      <c r="DS394" s="1037"/>
      <c r="DT394" s="1037"/>
    </row>
    <row r="395" spans="2:124" s="148" customFormat="1" ht="30" outlineLevel="3">
      <c r="B395" s="711"/>
      <c r="C395" s="182"/>
      <c r="D395" s="2946" t="s">
        <v>1584</v>
      </c>
      <c r="E395" s="2905"/>
      <c r="F395" s="2966"/>
      <c r="G395" s="1643"/>
      <c r="H395" s="3525" t="s">
        <v>1585</v>
      </c>
      <c r="I395" s="2391"/>
      <c r="J395" s="103"/>
      <c r="K395" s="1037"/>
      <c r="L395" s="364"/>
      <c r="M395" s="364"/>
      <c r="N395" s="365"/>
      <c r="O395" s="365"/>
      <c r="P395" s="365"/>
      <c r="Q395" s="365"/>
      <c r="R395" s="365"/>
      <c r="S395" s="365"/>
      <c r="T395" s="365"/>
      <c r="U395" s="365"/>
      <c r="V395" s="1037"/>
      <c r="W395" s="853" t="s">
        <v>763</v>
      </c>
      <c r="X395" s="853" t="s">
        <v>1075</v>
      </c>
      <c r="Y395" s="853" t="s">
        <v>853</v>
      </c>
      <c r="Z395" s="853" t="s">
        <v>1586</v>
      </c>
      <c r="AA395" s="364"/>
      <c r="AB395" s="1749"/>
      <c r="AC395" s="1037"/>
      <c r="AD395" s="711" t="s">
        <v>1179</v>
      </c>
      <c r="AE395" s="675">
        <v>1</v>
      </c>
      <c r="AF395" s="179"/>
      <c r="AG395" s="179"/>
      <c r="AH395" s="1748">
        <v>100000</v>
      </c>
      <c r="AI395" s="725">
        <f>AE395*AH395</f>
        <v>100000</v>
      </c>
      <c r="AJ395" s="693"/>
      <c r="AK395" s="1037"/>
      <c r="AL395" s="1748">
        <f>+AI395</f>
        <v>100000</v>
      </c>
      <c r="AM395" s="725"/>
      <c r="AN395" s="1748">
        <f>+AL395+AM395</f>
        <v>100000</v>
      </c>
      <c r="AO395" s="1037"/>
      <c r="AP395" s="986"/>
      <c r="AQ395" s="986"/>
      <c r="AR395" s="986"/>
      <c r="AS395" s="986"/>
      <c r="AT395" s="986"/>
      <c r="AU395" s="986"/>
      <c r="AV395" s="986"/>
      <c r="AW395" s="986"/>
      <c r="AX395" s="986"/>
      <c r="AY395" s="986"/>
      <c r="AZ395" s="2011"/>
      <c r="BA395" s="1037"/>
      <c r="BB395" s="986"/>
      <c r="BC395" s="986"/>
      <c r="BD395" s="986"/>
      <c r="BE395" s="986"/>
      <c r="BF395" s="986"/>
      <c r="BG395" s="986"/>
      <c r="BH395" s="986"/>
      <c r="BI395" s="986"/>
      <c r="BJ395" s="986"/>
      <c r="BK395" s="986"/>
      <c r="BL395" s="986"/>
      <c r="BM395" s="986"/>
      <c r="BN395" s="2011"/>
      <c r="BO395" s="1037"/>
      <c r="BP395" s="986"/>
      <c r="BQ395" s="986"/>
      <c r="BR395" s="986"/>
      <c r="BS395" s="986"/>
      <c r="BT395" s="986"/>
      <c r="BU395" s="986"/>
      <c r="BV395" s="986"/>
      <c r="BW395" s="986"/>
      <c r="BX395" s="986">
        <f>+$AI$395*0.1</f>
        <v>10000</v>
      </c>
      <c r="BY395" s="986"/>
      <c r="BZ395" s="986">
        <f>+$AI$395*0.1</f>
        <v>10000</v>
      </c>
      <c r="CA395" s="986"/>
      <c r="CB395" s="2011">
        <f>SUM(BP395:CA395)</f>
        <v>20000</v>
      </c>
      <c r="CC395" s="1037"/>
      <c r="CD395" s="986">
        <f>+$AI$396*0.3</f>
        <v>30000</v>
      </c>
      <c r="CE395" s="986"/>
      <c r="CF395" s="986"/>
      <c r="CG395" s="986"/>
      <c r="CH395" s="986">
        <f>+$AI$395*0.2</f>
        <v>20000</v>
      </c>
      <c r="CI395" s="986"/>
      <c r="CJ395" s="986">
        <f>+$AI$395*0.2</f>
        <v>20000</v>
      </c>
      <c r="CK395" s="986">
        <f>+$AI$395*0.1</f>
        <v>10000</v>
      </c>
      <c r="CL395" s="986"/>
      <c r="CM395" s="986"/>
      <c r="CN395" s="986"/>
      <c r="CO395" s="986"/>
      <c r="CP395" s="2011">
        <f t="shared" ref="CP395" si="521">SUM(CD395:CO395)</f>
        <v>80000</v>
      </c>
      <c r="CQ395" s="1037"/>
      <c r="CR395" s="986"/>
      <c r="CS395" s="986"/>
      <c r="CT395" s="986"/>
      <c r="CU395" s="986"/>
      <c r="CV395" s="986"/>
      <c r="CW395" s="986"/>
      <c r="CX395" s="986"/>
      <c r="CY395" s="986"/>
      <c r="CZ395" s="986"/>
      <c r="DA395" s="986"/>
      <c r="DB395" s="986"/>
      <c r="DC395" s="986"/>
      <c r="DD395" s="2011">
        <f t="shared" ref="DD395" si="522">SUM(CR395:DC395)</f>
        <v>0</v>
      </c>
      <c r="DE395" s="1037"/>
      <c r="DF395" s="986"/>
      <c r="DG395" s="986"/>
      <c r="DH395" s="986"/>
      <c r="DI395" s="2011">
        <f t="shared" ref="DI395" si="523">SUM(CW395:DH395)</f>
        <v>0</v>
      </c>
      <c r="DJ395" s="3172">
        <f t="shared" ref="DJ395" si="524">+AZ395+BN395+CB395+CP395+DD395+DI395</f>
        <v>100000</v>
      </c>
      <c r="DL395" s="3180">
        <f>+AN395-DJ395</f>
        <v>0</v>
      </c>
      <c r="DN395" s="2743"/>
      <c r="DO395" s="2775"/>
      <c r="DP395" s="2775"/>
      <c r="DQ395" s="2775"/>
      <c r="DR395" s="2775"/>
      <c r="DS395" s="1037"/>
      <c r="DT395" s="1037"/>
    </row>
    <row r="396" spans="2:124" s="148" customFormat="1" ht="15" outlineLevel="3">
      <c r="B396" s="711"/>
      <c r="C396" s="182"/>
      <c r="D396" s="2946" t="s">
        <v>1587</v>
      </c>
      <c r="E396" s="2905"/>
      <c r="F396" s="2966"/>
      <c r="G396" s="1643"/>
      <c r="H396" s="3525" t="s">
        <v>1588</v>
      </c>
      <c r="I396" s="2391"/>
      <c r="J396" s="103"/>
      <c r="K396" s="1037"/>
      <c r="L396" s="364"/>
      <c r="M396" s="364"/>
      <c r="N396" s="365"/>
      <c r="O396" s="365"/>
      <c r="P396" s="365"/>
      <c r="Q396" s="365"/>
      <c r="R396" s="365"/>
      <c r="S396" s="365"/>
      <c r="T396" s="365"/>
      <c r="U396" s="365"/>
      <c r="V396" s="1037"/>
      <c r="W396" s="853" t="s">
        <v>763</v>
      </c>
      <c r="X396" s="853" t="s">
        <v>1075</v>
      </c>
      <c r="Y396" s="853" t="s">
        <v>853</v>
      </c>
      <c r="Z396" s="853" t="s">
        <v>1589</v>
      </c>
      <c r="AA396" s="364"/>
      <c r="AB396" s="1749"/>
      <c r="AC396" s="1037"/>
      <c r="AD396" s="711" t="s">
        <v>1179</v>
      </c>
      <c r="AE396" s="675">
        <v>1</v>
      </c>
      <c r="AF396" s="179"/>
      <c r="AG396" s="179"/>
      <c r="AH396" s="1748">
        <v>100000</v>
      </c>
      <c r="AI396" s="725">
        <f>AE396*AH396</f>
        <v>100000</v>
      </c>
      <c r="AJ396" s="693"/>
      <c r="AK396" s="1037"/>
      <c r="AL396" s="1748">
        <f>+AI396</f>
        <v>100000</v>
      </c>
      <c r="AM396" s="725"/>
      <c r="AN396" s="1748">
        <f>+AL396+AM396</f>
        <v>100000</v>
      </c>
      <c r="AO396" s="1037"/>
      <c r="AP396" s="986"/>
      <c r="AQ396" s="986"/>
      <c r="AR396" s="986"/>
      <c r="AS396" s="986"/>
      <c r="AT396" s="986"/>
      <c r="AU396" s="986"/>
      <c r="AV396" s="986"/>
      <c r="AW396" s="986"/>
      <c r="AX396" s="986"/>
      <c r="AY396" s="986"/>
      <c r="AZ396" s="2011"/>
      <c r="BA396" s="1037"/>
      <c r="BB396" s="986"/>
      <c r="BC396" s="986"/>
      <c r="BD396" s="986"/>
      <c r="BE396" s="986"/>
      <c r="BF396" s="986"/>
      <c r="BG396" s="986"/>
      <c r="BH396" s="986"/>
      <c r="BI396" s="986"/>
      <c r="BJ396" s="986"/>
      <c r="BK396" s="986"/>
      <c r="BL396" s="986"/>
      <c r="BM396" s="986"/>
      <c r="BN396" s="2011"/>
      <c r="BO396" s="1037"/>
      <c r="BP396" s="986"/>
      <c r="BQ396" s="986"/>
      <c r="BR396" s="986"/>
      <c r="BS396" s="986"/>
      <c r="BT396" s="986"/>
      <c r="BU396" s="986"/>
      <c r="BV396" s="986"/>
      <c r="BW396" s="986"/>
      <c r="BX396" s="986">
        <f>+$AI$395*0.1</f>
        <v>10000</v>
      </c>
      <c r="BY396" s="986"/>
      <c r="BZ396" s="986">
        <f>+$AI$395*0.1</f>
        <v>10000</v>
      </c>
      <c r="CA396" s="986"/>
      <c r="CB396" s="2011">
        <f t="shared" si="424"/>
        <v>20000</v>
      </c>
      <c r="CC396" s="1037"/>
      <c r="CD396" s="986">
        <f>+$AI$396*0.3</f>
        <v>30000</v>
      </c>
      <c r="CE396" s="986"/>
      <c r="CF396" s="986"/>
      <c r="CG396" s="986"/>
      <c r="CH396" s="986">
        <f>+$AI$395*0.2</f>
        <v>20000</v>
      </c>
      <c r="CI396" s="986"/>
      <c r="CJ396" s="986">
        <f>+$AI$395*0.2</f>
        <v>20000</v>
      </c>
      <c r="CK396" s="986">
        <f>+$AI$395*0.1</f>
        <v>10000</v>
      </c>
      <c r="CL396" s="986"/>
      <c r="CM396" s="986"/>
      <c r="CN396" s="986"/>
      <c r="CO396" s="986"/>
      <c r="CP396" s="2011">
        <f t="shared" ref="CP396" si="525">SUM(CD396:CO396)</f>
        <v>80000</v>
      </c>
      <c r="CQ396" s="1037"/>
      <c r="CR396" s="986"/>
      <c r="CS396" s="986"/>
      <c r="CT396" s="986"/>
      <c r="CU396" s="986"/>
      <c r="CV396" s="986"/>
      <c r="CW396" s="986"/>
      <c r="CX396" s="986"/>
      <c r="CY396" s="986"/>
      <c r="CZ396" s="986"/>
      <c r="DA396" s="986"/>
      <c r="DB396" s="986"/>
      <c r="DC396" s="986"/>
      <c r="DD396" s="2011">
        <f t="shared" ref="DD396" si="526">SUM(CR396:DC396)</f>
        <v>0</v>
      </c>
      <c r="DE396" s="1037"/>
      <c r="DF396" s="986"/>
      <c r="DG396" s="986"/>
      <c r="DH396" s="986"/>
      <c r="DI396" s="2011">
        <f t="shared" ref="DI396" si="527">SUM(CW396:DH396)</f>
        <v>0</v>
      </c>
      <c r="DJ396" s="3172">
        <f t="shared" si="392"/>
        <v>100000</v>
      </c>
      <c r="DL396" s="3180">
        <f>+AN396-DJ396</f>
        <v>0</v>
      </c>
      <c r="DN396" s="2743"/>
      <c r="DO396" s="2775"/>
      <c r="DP396" s="2775"/>
      <c r="DQ396" s="2775"/>
      <c r="DR396" s="2775"/>
      <c r="DS396" s="1037"/>
      <c r="DT396" s="1037"/>
    </row>
    <row r="397" spans="2:124" s="148" customFormat="1" ht="30" outlineLevel="3">
      <c r="B397" s="711"/>
      <c r="C397" s="182"/>
      <c r="D397" s="2946" t="s">
        <v>1590</v>
      </c>
      <c r="E397" s="2905"/>
      <c r="F397" s="2966"/>
      <c r="G397" s="1643"/>
      <c r="H397" s="2698" t="s">
        <v>965</v>
      </c>
      <c r="I397" s="2391" t="s">
        <v>1591</v>
      </c>
      <c r="J397" s="103"/>
      <c r="K397" s="1037"/>
      <c r="L397" s="364"/>
      <c r="M397" s="364"/>
      <c r="N397" s="365"/>
      <c r="O397" s="365"/>
      <c r="P397" s="365"/>
      <c r="Q397" s="365"/>
      <c r="R397" s="365"/>
      <c r="S397" s="365"/>
      <c r="T397" s="365"/>
      <c r="U397" s="365"/>
      <c r="V397" s="1037"/>
      <c r="W397" s="853"/>
      <c r="X397" s="853"/>
      <c r="Y397" s="853"/>
      <c r="Z397" s="853"/>
      <c r="AA397" s="364"/>
      <c r="AB397" s="1749"/>
      <c r="AC397" s="1037"/>
      <c r="AD397" s="711"/>
      <c r="AE397" s="675">
        <v>1</v>
      </c>
      <c r="AF397" s="179"/>
      <c r="AG397" s="179"/>
      <c r="AH397" s="1748">
        <v>86000</v>
      </c>
      <c r="AI397" s="725">
        <f>AE397*AH397</f>
        <v>86000</v>
      </c>
      <c r="AJ397" s="693"/>
      <c r="AK397" s="1037"/>
      <c r="AL397" s="1748">
        <f>+AI397</f>
        <v>86000</v>
      </c>
      <c r="AM397" s="725"/>
      <c r="AN397" s="1748">
        <f>+AL397+AM397</f>
        <v>86000</v>
      </c>
      <c r="AO397" s="1037"/>
      <c r="AP397" s="986">
        <v>0</v>
      </c>
      <c r="AQ397" s="986">
        <v>0</v>
      </c>
      <c r="AR397" s="986">
        <v>0</v>
      </c>
      <c r="AS397" s="986">
        <v>0</v>
      </c>
      <c r="AT397" s="986">
        <v>0</v>
      </c>
      <c r="AU397" s="986">
        <v>0</v>
      </c>
      <c r="AV397" s="986">
        <v>0</v>
      </c>
      <c r="AW397" s="986">
        <v>0</v>
      </c>
      <c r="AX397" s="986">
        <v>0</v>
      </c>
      <c r="AY397" s="986">
        <v>0</v>
      </c>
      <c r="AZ397" s="2011">
        <f t="shared" si="420"/>
        <v>0</v>
      </c>
      <c r="BA397" s="1037"/>
      <c r="BB397" s="986">
        <v>0</v>
      </c>
      <c r="BC397" s="986">
        <v>0</v>
      </c>
      <c r="BD397" s="986">
        <v>0</v>
      </c>
      <c r="BE397" s="986">
        <v>0</v>
      </c>
      <c r="BF397" s="986">
        <v>0</v>
      </c>
      <c r="BG397" s="986">
        <v>0</v>
      </c>
      <c r="BH397" s="986">
        <v>0</v>
      </c>
      <c r="BI397" s="986">
        <v>0</v>
      </c>
      <c r="BJ397" s="986">
        <v>0</v>
      </c>
      <c r="BK397" s="986">
        <v>0</v>
      </c>
      <c r="BL397" s="986">
        <v>0</v>
      </c>
      <c r="BM397" s="986">
        <v>0</v>
      </c>
      <c r="BN397" s="2011">
        <f t="shared" si="422"/>
        <v>0</v>
      </c>
      <c r="BO397" s="1037"/>
      <c r="BP397" s="986"/>
      <c r="BQ397" s="986"/>
      <c r="BR397" s="986"/>
      <c r="BS397" s="986"/>
      <c r="BT397" s="986"/>
      <c r="BU397" s="986"/>
      <c r="BV397" s="986">
        <v>0</v>
      </c>
      <c r="BW397" s="986"/>
      <c r="BX397" s="986"/>
      <c r="BY397" s="986"/>
      <c r="BZ397" s="986"/>
      <c r="CA397" s="986"/>
      <c r="CB397" s="2011">
        <f t="shared" si="424"/>
        <v>0</v>
      </c>
      <c r="CC397" s="1037"/>
      <c r="CD397" s="986"/>
      <c r="CE397" s="986"/>
      <c r="CF397" s="986"/>
      <c r="CG397" s="986"/>
      <c r="CH397" s="986"/>
      <c r="CI397" s="986"/>
      <c r="CJ397" s="986"/>
      <c r="CK397" s="986"/>
      <c r="CL397" s="986"/>
      <c r="CM397" s="986"/>
      <c r="CN397" s="986"/>
      <c r="CO397" s="986"/>
      <c r="CP397" s="2011">
        <f t="shared" si="426"/>
        <v>0</v>
      </c>
      <c r="CQ397" s="1037"/>
      <c r="CR397" s="986"/>
      <c r="CS397" s="986"/>
      <c r="CT397" s="986"/>
      <c r="CU397" s="986"/>
      <c r="CV397" s="986"/>
      <c r="CW397" s="986"/>
      <c r="CX397" s="986"/>
      <c r="CY397" s="986"/>
      <c r="CZ397" s="986"/>
      <c r="DA397" s="986"/>
      <c r="DB397" s="986">
        <v>0</v>
      </c>
      <c r="DC397" s="986">
        <v>0</v>
      </c>
      <c r="DD397" s="2025">
        <f t="shared" si="428"/>
        <v>0</v>
      </c>
      <c r="DE397" s="1037"/>
      <c r="DF397" s="986">
        <f>+AI397</f>
        <v>86000</v>
      </c>
      <c r="DG397" s="986">
        <v>0</v>
      </c>
      <c r="DH397" s="986">
        <v>0</v>
      </c>
      <c r="DI397" s="2008">
        <f t="shared" si="429"/>
        <v>86000</v>
      </c>
      <c r="DJ397" s="3172">
        <f t="shared" si="392"/>
        <v>86000</v>
      </c>
      <c r="DL397" s="3180">
        <f>+AN397-DJ397</f>
        <v>0</v>
      </c>
      <c r="DN397" s="2743" t="s">
        <v>1415</v>
      </c>
      <c r="DO397" s="2775" t="s">
        <v>1416</v>
      </c>
      <c r="DP397" s="2775" t="s">
        <v>1124</v>
      </c>
      <c r="DQ397" s="2775" t="s">
        <v>4</v>
      </c>
      <c r="DR397" s="2775" t="str">
        <f t="shared" si="446"/>
        <v>3</v>
      </c>
      <c r="DS397" s="1037"/>
      <c r="DT397" s="1037"/>
    </row>
    <row r="398" spans="2:124" s="153" customFormat="1" ht="24" customHeight="1" outlineLevel="2">
      <c r="B398" s="106"/>
      <c r="C398" s="172"/>
      <c r="D398" s="2945" t="s">
        <v>561</v>
      </c>
      <c r="E398" s="2904"/>
      <c r="F398" s="2975"/>
      <c r="G398" s="1642"/>
      <c r="H398" s="2773" t="s">
        <v>984</v>
      </c>
      <c r="I398" s="1647"/>
      <c r="J398" s="106" t="s">
        <v>1592</v>
      </c>
      <c r="K398" s="1037"/>
      <c r="L398" s="358" t="str">
        <f>'1_MdR'!C64</f>
        <v xml:space="preserve">Informe </v>
      </c>
      <c r="M398" s="358">
        <f>'1_MdR'!D64</f>
        <v>0</v>
      </c>
      <c r="N398" s="358">
        <f>'1_MdR'!E64</f>
        <v>2022</v>
      </c>
      <c r="O398" s="358" t="str">
        <f>'1_MdR'!G64</f>
        <v>-</v>
      </c>
      <c r="P398" s="358" t="str">
        <f>'1_MdR'!H64</f>
        <v>-</v>
      </c>
      <c r="Q398" s="358" t="str">
        <f>'1_MdR'!I64</f>
        <v>-</v>
      </c>
      <c r="R398" s="358">
        <f>'1_MdR'!J64</f>
        <v>1</v>
      </c>
      <c r="S398" s="358">
        <f>'1_MdR'!K64</f>
        <v>1</v>
      </c>
      <c r="T398" s="358" t="str">
        <f>'1_MdR'!L64</f>
        <v>-</v>
      </c>
      <c r="U398" s="358">
        <f>'1_MdR'!M64</f>
        <v>2</v>
      </c>
      <c r="V398" s="1037"/>
      <c r="W398" s="358"/>
      <c r="X398" s="358"/>
      <c r="Y398" s="358"/>
      <c r="Z398" s="358"/>
      <c r="AA398" s="358"/>
      <c r="AB398" s="106"/>
      <c r="AC398" s="1037"/>
      <c r="AD398" s="106"/>
      <c r="AE398" s="172"/>
      <c r="AF398" s="172"/>
      <c r="AG398" s="172"/>
      <c r="AH398" s="176"/>
      <c r="AI398" s="176">
        <f>SUM(AI399:AI402)+AI403</f>
        <v>303000</v>
      </c>
      <c r="AJ398" s="686"/>
      <c r="AK398" s="1037"/>
      <c r="AL398" s="176">
        <f>SUM(AL399:AL402)+AL403</f>
        <v>303000</v>
      </c>
      <c r="AM398" s="176">
        <f>SUM(AM399:AM402)+AM403</f>
        <v>0</v>
      </c>
      <c r="AN398" s="176">
        <f t="shared" ref="AN398:AN441" si="528">+AL398+AM398</f>
        <v>303000</v>
      </c>
      <c r="AO398" s="1037"/>
      <c r="AP398" s="980">
        <f t="shared" ref="AP398:AY398" si="529">SUM(AP399:AP403)</f>
        <v>0</v>
      </c>
      <c r="AQ398" s="980">
        <f t="shared" si="529"/>
        <v>0</v>
      </c>
      <c r="AR398" s="980">
        <f t="shared" si="529"/>
        <v>0</v>
      </c>
      <c r="AS398" s="980">
        <f t="shared" si="529"/>
        <v>0</v>
      </c>
      <c r="AT398" s="980">
        <f t="shared" si="529"/>
        <v>0</v>
      </c>
      <c r="AU398" s="980">
        <f t="shared" si="529"/>
        <v>0</v>
      </c>
      <c r="AV398" s="980">
        <f t="shared" si="529"/>
        <v>0</v>
      </c>
      <c r="AW398" s="980">
        <f t="shared" si="529"/>
        <v>0</v>
      </c>
      <c r="AX398" s="980">
        <f t="shared" si="529"/>
        <v>0</v>
      </c>
      <c r="AY398" s="980">
        <f t="shared" si="529"/>
        <v>0</v>
      </c>
      <c r="AZ398" s="980">
        <f t="shared" si="420"/>
        <v>0</v>
      </c>
      <c r="BA398" s="1037"/>
      <c r="BB398" s="980">
        <f t="shared" ref="BB398:BM398" si="530">SUM(BB399:BB403)</f>
        <v>0</v>
      </c>
      <c r="BC398" s="980">
        <f t="shared" si="530"/>
        <v>0</v>
      </c>
      <c r="BD398" s="980">
        <f t="shared" si="530"/>
        <v>0</v>
      </c>
      <c r="BE398" s="980">
        <f t="shared" si="530"/>
        <v>0</v>
      </c>
      <c r="BF398" s="980">
        <f t="shared" si="530"/>
        <v>0</v>
      </c>
      <c r="BG398" s="980">
        <f t="shared" si="530"/>
        <v>0</v>
      </c>
      <c r="BH398" s="980">
        <f t="shared" si="530"/>
        <v>0</v>
      </c>
      <c r="BI398" s="980">
        <f t="shared" si="530"/>
        <v>0</v>
      </c>
      <c r="BJ398" s="980">
        <f t="shared" si="530"/>
        <v>3500</v>
      </c>
      <c r="BK398" s="980">
        <f t="shared" si="530"/>
        <v>3500</v>
      </c>
      <c r="BL398" s="980">
        <f t="shared" si="530"/>
        <v>3500</v>
      </c>
      <c r="BM398" s="980">
        <f t="shared" si="530"/>
        <v>33500</v>
      </c>
      <c r="BN398" s="980">
        <f t="shared" si="422"/>
        <v>44000</v>
      </c>
      <c r="BO398" s="1037"/>
      <c r="BP398" s="980">
        <f t="shared" ref="BP398:CA398" si="531">SUM(BP399:BP403)</f>
        <v>18500</v>
      </c>
      <c r="BQ398" s="980">
        <f t="shared" si="531"/>
        <v>26000</v>
      </c>
      <c r="BR398" s="980">
        <f t="shared" si="531"/>
        <v>3500</v>
      </c>
      <c r="BS398" s="980">
        <f t="shared" si="531"/>
        <v>41000</v>
      </c>
      <c r="BT398" s="980">
        <f t="shared" si="531"/>
        <v>3500</v>
      </c>
      <c r="BU398" s="980">
        <f t="shared" si="531"/>
        <v>3500</v>
      </c>
      <c r="BV398" s="980">
        <f t="shared" si="531"/>
        <v>48500</v>
      </c>
      <c r="BW398" s="980">
        <f t="shared" si="531"/>
        <v>3500</v>
      </c>
      <c r="BX398" s="980">
        <f t="shared" si="531"/>
        <v>3500</v>
      </c>
      <c r="BY398" s="980">
        <f t="shared" si="531"/>
        <v>3500</v>
      </c>
      <c r="BZ398" s="980">
        <f t="shared" si="531"/>
        <v>9500</v>
      </c>
      <c r="CA398" s="980">
        <f t="shared" si="531"/>
        <v>3500</v>
      </c>
      <c r="CB398" s="980">
        <f t="shared" si="424"/>
        <v>168000</v>
      </c>
      <c r="CC398" s="1037"/>
      <c r="CD398" s="980">
        <f t="shared" ref="CD398:CO398" si="532">SUM(CD399:CD403)</f>
        <v>24500</v>
      </c>
      <c r="CE398" s="980">
        <f t="shared" si="532"/>
        <v>3500</v>
      </c>
      <c r="CF398" s="980">
        <f t="shared" si="532"/>
        <v>18000</v>
      </c>
      <c r="CG398" s="980">
        <f t="shared" si="532"/>
        <v>6000</v>
      </c>
      <c r="CH398" s="980">
        <f t="shared" si="532"/>
        <v>18000</v>
      </c>
      <c r="CI398" s="980">
        <f t="shared" si="532"/>
        <v>0</v>
      </c>
      <c r="CJ398" s="980">
        <f t="shared" si="532"/>
        <v>7500</v>
      </c>
      <c r="CK398" s="980">
        <f t="shared" si="532"/>
        <v>0</v>
      </c>
      <c r="CL398" s="980">
        <f t="shared" si="532"/>
        <v>0</v>
      </c>
      <c r="CM398" s="980">
        <f t="shared" si="532"/>
        <v>7500</v>
      </c>
      <c r="CN398" s="980">
        <f t="shared" si="532"/>
        <v>0</v>
      </c>
      <c r="CO398" s="980">
        <f t="shared" si="532"/>
        <v>0</v>
      </c>
      <c r="CP398" s="981">
        <f t="shared" si="426"/>
        <v>85000</v>
      </c>
      <c r="CQ398" s="1037"/>
      <c r="CR398" s="980">
        <f t="shared" ref="CR398:DC398" si="533">SUM(CR399:CR403)</f>
        <v>6000</v>
      </c>
      <c r="CS398" s="980">
        <f t="shared" si="533"/>
        <v>0</v>
      </c>
      <c r="CT398" s="980">
        <f t="shared" si="533"/>
        <v>0</v>
      </c>
      <c r="CU398" s="980">
        <f t="shared" si="533"/>
        <v>0</v>
      </c>
      <c r="CV398" s="980">
        <f t="shared" si="533"/>
        <v>0</v>
      </c>
      <c r="CW398" s="980">
        <f t="shared" si="533"/>
        <v>0</v>
      </c>
      <c r="CX398" s="980">
        <f t="shared" si="533"/>
        <v>0</v>
      </c>
      <c r="CY398" s="980">
        <f t="shared" si="533"/>
        <v>0</v>
      </c>
      <c r="CZ398" s="980">
        <f t="shared" si="533"/>
        <v>0</v>
      </c>
      <c r="DA398" s="980">
        <f t="shared" si="533"/>
        <v>0</v>
      </c>
      <c r="DB398" s="980">
        <f t="shared" si="533"/>
        <v>0</v>
      </c>
      <c r="DC398" s="980">
        <f t="shared" si="533"/>
        <v>0</v>
      </c>
      <c r="DD398" s="979">
        <f t="shared" si="428"/>
        <v>6000</v>
      </c>
      <c r="DE398" s="1037"/>
      <c r="DF398" s="980">
        <f>SUM(DF399:DF403)</f>
        <v>0</v>
      </c>
      <c r="DG398" s="980">
        <f>SUM(DG399:DG403)</f>
        <v>0</v>
      </c>
      <c r="DH398" s="980">
        <f>SUM(DH399:DH403)</f>
        <v>0</v>
      </c>
      <c r="DI398" s="3091">
        <f t="shared" si="429"/>
        <v>0</v>
      </c>
      <c r="DJ398" s="3135">
        <f t="shared" ref="DJ398:DJ451" si="534">+AZ398+BN398+CB398+CP398+DD398+DI398</f>
        <v>303000</v>
      </c>
      <c r="DL398" s="3180">
        <f t="shared" ref="DL398:DL449" si="535">+AN398-DJ398</f>
        <v>0</v>
      </c>
      <c r="DN398" s="2723" t="s">
        <v>1175</v>
      </c>
      <c r="DO398" s="2724" t="s">
        <v>1175</v>
      </c>
      <c r="DP398" s="2724"/>
      <c r="DQ398" s="2724" t="s">
        <v>1175</v>
      </c>
      <c r="DR398" s="2724" t="str">
        <f t="shared" si="446"/>
        <v>3</v>
      </c>
      <c r="DS398" s="1037"/>
      <c r="DT398" s="1037"/>
    </row>
    <row r="399" spans="2:124" ht="15" outlineLevel="3">
      <c r="B399" s="711"/>
      <c r="C399" s="182"/>
      <c r="D399" s="2953" t="s">
        <v>1593</v>
      </c>
      <c r="E399" s="580"/>
      <c r="F399" s="2953"/>
      <c r="G399" s="2908"/>
      <c r="H399" s="1547" t="s">
        <v>1594</v>
      </c>
      <c r="I399" s="1210"/>
      <c r="J399" s="103"/>
      <c r="L399" s="364"/>
      <c r="M399" s="364"/>
      <c r="N399" s="364"/>
      <c r="O399" s="364"/>
      <c r="P399" s="364"/>
      <c r="Q399" s="364"/>
      <c r="R399" s="364"/>
      <c r="S399" s="364"/>
      <c r="T399" s="364"/>
      <c r="U399" s="364"/>
      <c r="W399" s="853" t="s">
        <v>1595</v>
      </c>
      <c r="X399" s="853"/>
      <c r="Y399" s="853"/>
      <c r="Z399" s="853"/>
      <c r="AA399" s="364"/>
      <c r="AB399" s="2909"/>
      <c r="AD399" s="711"/>
      <c r="AE399" s="712"/>
      <c r="AF399" s="179"/>
      <c r="AG399" s="179"/>
      <c r="AH399" s="1048"/>
      <c r="AI399" s="1048"/>
      <c r="AJ399" s="1399"/>
      <c r="AL399" s="1048">
        <f>+AI399</f>
        <v>0</v>
      </c>
      <c r="AM399" s="1048">
        <v>0</v>
      </c>
      <c r="AN399" s="355">
        <f t="shared" si="528"/>
        <v>0</v>
      </c>
      <c r="AP399" s="1015"/>
      <c r="AQ399" s="1015"/>
      <c r="AR399" s="1015"/>
      <c r="AS399" s="1015"/>
      <c r="AT399" s="1015"/>
      <c r="AU399" s="1015"/>
      <c r="AV399" s="1015"/>
      <c r="AW399" s="1015"/>
      <c r="AX399" s="1015"/>
      <c r="AY399" s="1015"/>
      <c r="AZ399" s="2026">
        <f t="shared" si="420"/>
        <v>0</v>
      </c>
      <c r="BB399" s="1015"/>
      <c r="BC399" s="1015"/>
      <c r="BD399" s="1015"/>
      <c r="BE399" s="1015"/>
      <c r="BF399" s="1015"/>
      <c r="BG399" s="1015"/>
      <c r="BH399" s="1015"/>
      <c r="BI399" s="1015"/>
      <c r="BJ399" s="1015"/>
      <c r="BK399" s="1015"/>
      <c r="BL399" s="1015"/>
      <c r="BM399" s="1015"/>
      <c r="BN399" s="2026">
        <f t="shared" si="422"/>
        <v>0</v>
      </c>
      <c r="BP399" s="1015"/>
      <c r="BQ399" s="1015"/>
      <c r="BR399" s="1015"/>
      <c r="BS399" s="1015"/>
      <c r="BT399" s="1015"/>
      <c r="BU399" s="1015"/>
      <c r="BV399" s="1015"/>
      <c r="BW399" s="1015"/>
      <c r="BX399" s="1015"/>
      <c r="BY399" s="1015"/>
      <c r="BZ399" s="1015"/>
      <c r="CA399" s="1015"/>
      <c r="CB399" s="2026">
        <f t="shared" si="424"/>
        <v>0</v>
      </c>
      <c r="CD399" s="1015"/>
      <c r="CE399" s="1015"/>
      <c r="CF399" s="1015"/>
      <c r="CG399" s="1015"/>
      <c r="CH399" s="1015"/>
      <c r="CI399" s="1015"/>
      <c r="CJ399" s="1015"/>
      <c r="CK399" s="1015"/>
      <c r="CL399" s="1015"/>
      <c r="CM399" s="1015"/>
      <c r="CN399" s="1015"/>
      <c r="CO399" s="1015"/>
      <c r="CP399" s="2035">
        <f t="shared" si="426"/>
        <v>0</v>
      </c>
      <c r="CR399" s="1015"/>
      <c r="CS399" s="1015"/>
      <c r="CT399" s="1015"/>
      <c r="CU399" s="1015"/>
      <c r="CV399" s="1015"/>
      <c r="CW399" s="1015"/>
      <c r="CX399" s="1015"/>
      <c r="CY399" s="1015"/>
      <c r="CZ399" s="1015"/>
      <c r="DA399" s="1015"/>
      <c r="DB399" s="1015"/>
      <c r="DC399" s="1015"/>
      <c r="DD399" s="2017">
        <f t="shared" si="428"/>
        <v>0</v>
      </c>
      <c r="DF399" s="1015"/>
      <c r="DG399" s="1015"/>
      <c r="DH399" s="1015"/>
      <c r="DI399" s="2017">
        <f t="shared" si="429"/>
        <v>0</v>
      </c>
      <c r="DJ399" s="3143">
        <f t="shared" si="534"/>
        <v>0</v>
      </c>
      <c r="DL399" s="3180">
        <f t="shared" si="535"/>
        <v>0</v>
      </c>
      <c r="DN399" s="2749" t="s">
        <v>1175</v>
      </c>
      <c r="DO399" s="2747" t="s">
        <v>1175</v>
      </c>
      <c r="DP399" s="2747"/>
      <c r="DQ399" s="2747" t="s">
        <v>1175</v>
      </c>
      <c r="DR399" s="2747" t="str">
        <f t="shared" si="446"/>
        <v>3</v>
      </c>
      <c r="DS399" s="1037"/>
      <c r="DT399" s="1037"/>
    </row>
    <row r="400" spans="2:124" ht="45" outlineLevel="3">
      <c r="B400" s="1749"/>
      <c r="C400" s="2908"/>
      <c r="D400" s="2953" t="s">
        <v>985</v>
      </c>
      <c r="E400" s="580"/>
      <c r="F400" s="2953"/>
      <c r="G400" s="2908"/>
      <c r="H400" s="1547" t="s">
        <v>986</v>
      </c>
      <c r="I400" s="1210"/>
      <c r="J400" s="103"/>
      <c r="L400" s="364"/>
      <c r="M400" s="364"/>
      <c r="N400" s="364"/>
      <c r="O400" s="364"/>
      <c r="P400" s="364"/>
      <c r="Q400" s="364"/>
      <c r="R400" s="364"/>
      <c r="S400" s="364"/>
      <c r="T400" s="364"/>
      <c r="U400" s="364"/>
      <c r="W400" s="853" t="s">
        <v>763</v>
      </c>
      <c r="X400" s="853" t="s">
        <v>1075</v>
      </c>
      <c r="Y400" s="853" t="s">
        <v>1413</v>
      </c>
      <c r="Z400" s="853">
        <v>34</v>
      </c>
      <c r="AA400" s="364"/>
      <c r="AB400" s="3179"/>
      <c r="AD400" s="1749" t="s">
        <v>1280</v>
      </c>
      <c r="AE400" s="712">
        <v>1</v>
      </c>
      <c r="AF400" s="179">
        <v>18</v>
      </c>
      <c r="AG400" s="179"/>
      <c r="AH400" s="2777">
        <v>3500</v>
      </c>
      <c r="AI400" s="1048">
        <f>+AE400*AF400*AH400</f>
        <v>63000</v>
      </c>
      <c r="AJ400" s="1399"/>
      <c r="AL400" s="1048">
        <f>+AI400</f>
        <v>63000</v>
      </c>
      <c r="AM400" s="1048">
        <v>0</v>
      </c>
      <c r="AN400" s="355">
        <f t="shared" si="528"/>
        <v>63000</v>
      </c>
      <c r="AP400" s="1015">
        <v>0</v>
      </c>
      <c r="AQ400" s="1015">
        <v>0</v>
      </c>
      <c r="AR400" s="1015">
        <v>0</v>
      </c>
      <c r="AS400" s="1015">
        <v>0</v>
      </c>
      <c r="AT400" s="1015">
        <v>0</v>
      </c>
      <c r="AU400" s="1015">
        <v>0</v>
      </c>
      <c r="AV400" s="1015">
        <v>0</v>
      </c>
      <c r="AW400" s="1015">
        <v>0</v>
      </c>
      <c r="AX400" s="1015">
        <v>0</v>
      </c>
      <c r="AY400" s="1015">
        <v>0</v>
      </c>
      <c r="AZ400" s="2026">
        <f t="shared" si="420"/>
        <v>0</v>
      </c>
      <c r="BB400" s="1015"/>
      <c r="BC400" s="1015"/>
      <c r="BD400" s="1015"/>
      <c r="BE400" s="1015"/>
      <c r="BF400" s="1015"/>
      <c r="BG400" s="1015"/>
      <c r="BH400" s="1015"/>
      <c r="BI400" s="1015"/>
      <c r="BJ400" s="1015">
        <f>+$AH$400</f>
        <v>3500</v>
      </c>
      <c r="BK400" s="1015">
        <f>+$AH$400</f>
        <v>3500</v>
      </c>
      <c r="BL400" s="1015">
        <f>+$AH$400</f>
        <v>3500</v>
      </c>
      <c r="BM400" s="1015">
        <f>+$AH$400</f>
        <v>3500</v>
      </c>
      <c r="BN400" s="2026">
        <f t="shared" si="422"/>
        <v>14000</v>
      </c>
      <c r="BP400" s="1015">
        <f t="shared" ref="BP400:CA400" si="536">+$AH$400</f>
        <v>3500</v>
      </c>
      <c r="BQ400" s="1015">
        <f t="shared" si="536"/>
        <v>3500</v>
      </c>
      <c r="BR400" s="1015">
        <f t="shared" si="536"/>
        <v>3500</v>
      </c>
      <c r="BS400" s="1015">
        <f t="shared" si="536"/>
        <v>3500</v>
      </c>
      <c r="BT400" s="1015">
        <f t="shared" si="536"/>
        <v>3500</v>
      </c>
      <c r="BU400" s="1015">
        <f t="shared" si="536"/>
        <v>3500</v>
      </c>
      <c r="BV400" s="1015">
        <f t="shared" si="536"/>
        <v>3500</v>
      </c>
      <c r="BW400" s="1015">
        <f t="shared" si="536"/>
        <v>3500</v>
      </c>
      <c r="BX400" s="1015">
        <f t="shared" si="536"/>
        <v>3500</v>
      </c>
      <c r="BY400" s="1015">
        <f t="shared" si="536"/>
        <v>3500</v>
      </c>
      <c r="BZ400" s="1015">
        <f t="shared" si="536"/>
        <v>3500</v>
      </c>
      <c r="CA400" s="1015">
        <f t="shared" si="536"/>
        <v>3500</v>
      </c>
      <c r="CB400" s="2026">
        <f t="shared" si="424"/>
        <v>42000</v>
      </c>
      <c r="CD400" s="1015">
        <f>+$AH$400</f>
        <v>3500</v>
      </c>
      <c r="CE400" s="1015">
        <f>+$AH$400</f>
        <v>3500</v>
      </c>
      <c r="CF400" s="1015">
        <v>0</v>
      </c>
      <c r="CG400" s="1015">
        <v>0</v>
      </c>
      <c r="CH400" s="1015">
        <v>0</v>
      </c>
      <c r="CI400" s="1015">
        <v>0</v>
      </c>
      <c r="CJ400" s="1015">
        <v>0</v>
      </c>
      <c r="CK400" s="1015">
        <v>0</v>
      </c>
      <c r="CL400" s="1015">
        <v>0</v>
      </c>
      <c r="CM400" s="1015">
        <v>0</v>
      </c>
      <c r="CN400" s="1015">
        <v>0</v>
      </c>
      <c r="CO400" s="1015">
        <v>0</v>
      </c>
      <c r="CP400" s="2035">
        <f t="shared" si="426"/>
        <v>7000</v>
      </c>
      <c r="CR400" s="1015">
        <v>0</v>
      </c>
      <c r="CS400" s="1015">
        <v>0</v>
      </c>
      <c r="CT400" s="1015">
        <v>0</v>
      </c>
      <c r="CU400" s="1015">
        <v>0</v>
      </c>
      <c r="CV400" s="1015">
        <v>0</v>
      </c>
      <c r="CW400" s="1015">
        <v>0</v>
      </c>
      <c r="CX400" s="1015">
        <v>0</v>
      </c>
      <c r="CY400" s="1015">
        <v>0</v>
      </c>
      <c r="CZ400" s="1015">
        <v>0</v>
      </c>
      <c r="DA400" s="1015">
        <v>0</v>
      </c>
      <c r="DB400" s="1015">
        <v>0</v>
      </c>
      <c r="DC400" s="1015">
        <v>0</v>
      </c>
      <c r="DD400" s="2017">
        <f t="shared" si="428"/>
        <v>0</v>
      </c>
      <c r="DF400" s="1015">
        <v>0</v>
      </c>
      <c r="DG400" s="1015">
        <v>0</v>
      </c>
      <c r="DH400" s="1015">
        <v>0</v>
      </c>
      <c r="DI400" s="2017">
        <f t="shared" si="429"/>
        <v>0</v>
      </c>
      <c r="DJ400" s="3143">
        <f t="shared" si="534"/>
        <v>63000</v>
      </c>
      <c r="DL400" s="3180">
        <f t="shared" si="535"/>
        <v>0</v>
      </c>
      <c r="DN400" s="2749" t="s">
        <v>1283</v>
      </c>
      <c r="DO400" s="2736" t="s">
        <v>1284</v>
      </c>
      <c r="DP400" s="2736" t="s">
        <v>1117</v>
      </c>
      <c r="DQ400" s="2736" t="s">
        <v>4</v>
      </c>
      <c r="DR400" s="2736" t="str">
        <f t="shared" si="446"/>
        <v>3</v>
      </c>
      <c r="DS400" s="1037"/>
      <c r="DT400" s="1037"/>
    </row>
    <row r="401" spans="2:124" ht="15" outlineLevel="3">
      <c r="B401" s="711"/>
      <c r="C401" s="182"/>
      <c r="D401" s="2953" t="s">
        <v>988</v>
      </c>
      <c r="E401" s="580"/>
      <c r="F401" s="2953"/>
      <c r="G401" s="2908"/>
      <c r="H401" s="1547" t="s">
        <v>989</v>
      </c>
      <c r="I401" s="1210"/>
      <c r="J401" s="103"/>
      <c r="L401" s="364"/>
      <c r="M401" s="364"/>
      <c r="N401" s="364"/>
      <c r="O401" s="364"/>
      <c r="P401" s="364"/>
      <c r="Q401" s="364"/>
      <c r="R401" s="364"/>
      <c r="S401" s="364"/>
      <c r="T401" s="364"/>
      <c r="U401" s="364"/>
      <c r="W401" s="853" t="s">
        <v>853</v>
      </c>
      <c r="X401" s="853" t="s">
        <v>1075</v>
      </c>
      <c r="Y401" s="853" t="s">
        <v>853</v>
      </c>
      <c r="Z401" s="853">
        <v>93</v>
      </c>
      <c r="AA401" s="364"/>
      <c r="AB401" s="3179"/>
      <c r="AD401" s="711" t="s">
        <v>1179</v>
      </c>
      <c r="AE401" s="712">
        <v>3</v>
      </c>
      <c r="AF401" s="179"/>
      <c r="AG401" s="179"/>
      <c r="AH401" s="2777">
        <v>20000</v>
      </c>
      <c r="AI401" s="1048">
        <f>+AE401*AH401</f>
        <v>60000</v>
      </c>
      <c r="AJ401" s="1399"/>
      <c r="AL401" s="1048">
        <f>+AI401</f>
        <v>60000</v>
      </c>
      <c r="AM401" s="1048"/>
      <c r="AN401" s="355">
        <f t="shared" si="528"/>
        <v>60000</v>
      </c>
      <c r="AP401" s="1015">
        <v>0</v>
      </c>
      <c r="AQ401" s="1015">
        <v>0</v>
      </c>
      <c r="AR401" s="1015">
        <v>0</v>
      </c>
      <c r="AS401" s="1015">
        <v>0</v>
      </c>
      <c r="AT401" s="1015">
        <v>0</v>
      </c>
      <c r="AU401" s="1015">
        <v>0</v>
      </c>
      <c r="AV401" s="1015">
        <v>0</v>
      </c>
      <c r="AW401" s="1015">
        <v>0</v>
      </c>
      <c r="AX401" s="1015">
        <v>0</v>
      </c>
      <c r="AY401" s="1015">
        <v>0</v>
      </c>
      <c r="AZ401" s="2026">
        <f t="shared" si="420"/>
        <v>0</v>
      </c>
      <c r="BB401" s="1015">
        <v>0</v>
      </c>
      <c r="BC401" s="1015">
        <v>0</v>
      </c>
      <c r="BD401" s="1015">
        <v>0</v>
      </c>
      <c r="BE401" s="1015">
        <v>0</v>
      </c>
      <c r="BF401" s="1015">
        <v>0</v>
      </c>
      <c r="BG401" s="1015">
        <v>0</v>
      </c>
      <c r="BH401" s="1015">
        <v>0</v>
      </c>
      <c r="BI401" s="1015">
        <v>0</v>
      </c>
      <c r="BJ401" s="1015"/>
      <c r="BK401" s="1015"/>
      <c r="BL401" s="1015">
        <v>0</v>
      </c>
      <c r="BM401" s="1015">
        <v>0</v>
      </c>
      <c r="BN401" s="2026">
        <f t="shared" si="422"/>
        <v>0</v>
      </c>
      <c r="BP401" s="1015"/>
      <c r="BQ401" s="1015"/>
      <c r="BR401" s="1015">
        <v>0</v>
      </c>
      <c r="BS401" s="1015">
        <v>0</v>
      </c>
      <c r="BT401" s="1015"/>
      <c r="BU401" s="1015"/>
      <c r="BV401" s="1015">
        <v>0</v>
      </c>
      <c r="BW401" s="1015"/>
      <c r="BX401" s="1015">
        <v>0</v>
      </c>
      <c r="BY401" s="1015"/>
      <c r="BZ401" s="1015">
        <f>+$AI$401*0.1</f>
        <v>6000</v>
      </c>
      <c r="CA401" s="1015">
        <v>0</v>
      </c>
      <c r="CB401" s="2026">
        <f t="shared" si="424"/>
        <v>6000</v>
      </c>
      <c r="CD401" s="1015">
        <f>+$AI$401*0.3</f>
        <v>18000</v>
      </c>
      <c r="CE401" s="1015"/>
      <c r="CF401" s="1015">
        <f>+$AI$401*0.3</f>
        <v>18000</v>
      </c>
      <c r="CG401" s="1015">
        <v>0</v>
      </c>
      <c r="CH401" s="1015">
        <f>+$AI$401*0.3</f>
        <v>18000</v>
      </c>
      <c r="CI401" s="1015">
        <v>0</v>
      </c>
      <c r="CJ401" s="1015">
        <v>0</v>
      </c>
      <c r="CK401" s="1015"/>
      <c r="CL401" s="1015">
        <v>0</v>
      </c>
      <c r="CM401" s="1015">
        <v>0</v>
      </c>
      <c r="CN401" s="1015"/>
      <c r="CO401" s="1015">
        <v>0</v>
      </c>
      <c r="CP401" s="2035">
        <f t="shared" si="426"/>
        <v>54000</v>
      </c>
      <c r="CR401" s="1015">
        <v>0</v>
      </c>
      <c r="CS401" s="1015">
        <v>0</v>
      </c>
      <c r="CT401" s="1015">
        <v>0</v>
      </c>
      <c r="CU401" s="1015">
        <v>0</v>
      </c>
      <c r="CV401" s="1015">
        <v>0</v>
      </c>
      <c r="CW401" s="1015">
        <v>0</v>
      </c>
      <c r="CX401" s="1015">
        <v>0</v>
      </c>
      <c r="CY401" s="1015">
        <v>0</v>
      </c>
      <c r="CZ401" s="1015">
        <v>0</v>
      </c>
      <c r="DA401" s="1015">
        <v>0</v>
      </c>
      <c r="DB401" s="1015">
        <v>0</v>
      </c>
      <c r="DC401" s="1015">
        <v>0</v>
      </c>
      <c r="DD401" s="2017">
        <f t="shared" si="428"/>
        <v>0</v>
      </c>
      <c r="DF401" s="1015">
        <v>0</v>
      </c>
      <c r="DG401" s="1015">
        <v>0</v>
      </c>
      <c r="DH401" s="1015">
        <v>0</v>
      </c>
      <c r="DI401" s="2017">
        <f t="shared" si="429"/>
        <v>0</v>
      </c>
      <c r="DJ401" s="3143">
        <f t="shared" si="534"/>
        <v>60000</v>
      </c>
      <c r="DL401" s="3180">
        <f t="shared" si="535"/>
        <v>0</v>
      </c>
      <c r="DN401" s="2749" t="s">
        <v>1346</v>
      </c>
      <c r="DO401" s="2740" t="s">
        <v>1347</v>
      </c>
      <c r="DP401" s="2740" t="s">
        <v>1115</v>
      </c>
      <c r="DQ401" s="2740" t="s">
        <v>4</v>
      </c>
      <c r="DR401" s="2740" t="str">
        <f t="shared" si="446"/>
        <v>3</v>
      </c>
      <c r="DS401" s="1037"/>
      <c r="DT401" s="1037"/>
    </row>
    <row r="402" spans="2:124" ht="15" outlineLevel="3">
      <c r="B402" s="711"/>
      <c r="C402" s="182"/>
      <c r="D402" s="2953" t="s">
        <v>990</v>
      </c>
      <c r="E402" s="580"/>
      <c r="F402" s="2953"/>
      <c r="G402" s="2908"/>
      <c r="H402" s="2518" t="s">
        <v>991</v>
      </c>
      <c r="I402" s="1210"/>
      <c r="J402" s="103"/>
      <c r="L402" s="364"/>
      <c r="M402" s="364"/>
      <c r="N402" s="364"/>
      <c r="O402" s="364"/>
      <c r="P402" s="364"/>
      <c r="Q402" s="364"/>
      <c r="R402" s="364"/>
      <c r="S402" s="364"/>
      <c r="T402" s="364"/>
      <c r="U402" s="364"/>
      <c r="W402" s="853" t="s">
        <v>853</v>
      </c>
      <c r="X402" s="853" t="s">
        <v>1075</v>
      </c>
      <c r="Y402" s="2709" t="s">
        <v>763</v>
      </c>
      <c r="Z402" s="853">
        <v>63</v>
      </c>
      <c r="AA402" s="364"/>
      <c r="AB402" s="3179"/>
      <c r="AD402" s="711" t="s">
        <v>1179</v>
      </c>
      <c r="AE402" s="712">
        <v>1</v>
      </c>
      <c r="AF402" s="179"/>
      <c r="AG402" s="179"/>
      <c r="AH402" s="1048">
        <v>150000</v>
      </c>
      <c r="AI402" s="1048">
        <f>+AE402*AH402</f>
        <v>150000</v>
      </c>
      <c r="AJ402" s="1399"/>
      <c r="AL402" s="1048">
        <f>+AI402</f>
        <v>150000</v>
      </c>
      <c r="AM402" s="1048"/>
      <c r="AN402" s="355">
        <f t="shared" si="528"/>
        <v>150000</v>
      </c>
      <c r="AP402" s="1015">
        <v>0</v>
      </c>
      <c r="AQ402" s="1015">
        <v>0</v>
      </c>
      <c r="AR402" s="1015">
        <v>0</v>
      </c>
      <c r="AS402" s="1015">
        <v>0</v>
      </c>
      <c r="AT402" s="1015">
        <v>0</v>
      </c>
      <c r="AU402" s="1015">
        <v>0</v>
      </c>
      <c r="AV402" s="1015">
        <v>0</v>
      </c>
      <c r="AW402" s="1015">
        <v>0</v>
      </c>
      <c r="AX402" s="1015">
        <v>0</v>
      </c>
      <c r="AY402" s="1015">
        <v>0</v>
      </c>
      <c r="AZ402" s="2026">
        <f t="shared" si="420"/>
        <v>0</v>
      </c>
      <c r="BB402" s="1015">
        <v>0</v>
      </c>
      <c r="BC402" s="1015">
        <v>0</v>
      </c>
      <c r="BD402" s="1015">
        <v>0</v>
      </c>
      <c r="BE402" s="1015">
        <v>0</v>
      </c>
      <c r="BF402" s="1015">
        <v>0</v>
      </c>
      <c r="BG402" s="1015">
        <v>0</v>
      </c>
      <c r="BH402" s="1015">
        <v>0</v>
      </c>
      <c r="BI402" s="1015">
        <v>0</v>
      </c>
      <c r="BJ402" s="1015">
        <v>0</v>
      </c>
      <c r="BK402" s="1015">
        <v>0</v>
      </c>
      <c r="BL402" s="1015">
        <v>0</v>
      </c>
      <c r="BM402" s="1015">
        <v>30000</v>
      </c>
      <c r="BN402" s="2026">
        <f t="shared" si="422"/>
        <v>30000</v>
      </c>
      <c r="BP402" s="1015">
        <f>+$AI$402*10%</f>
        <v>15000</v>
      </c>
      <c r="BQ402" s="1015">
        <f>+$AI$402*15%</f>
        <v>22500</v>
      </c>
      <c r="BR402" s="1015"/>
      <c r="BS402" s="1015">
        <f>+$AI$402*25%</f>
        <v>37500</v>
      </c>
      <c r="BT402" s="1015">
        <v>0</v>
      </c>
      <c r="BU402" s="1015">
        <v>0</v>
      </c>
      <c r="BV402" s="1015">
        <f>+$AI$402*30%</f>
        <v>45000</v>
      </c>
      <c r="BX402" s="1015"/>
      <c r="BY402" s="1015"/>
      <c r="BZ402" s="1015"/>
      <c r="CA402" s="1015">
        <v>0</v>
      </c>
      <c r="CB402" s="2026">
        <f>SUM(BP402:CA402)</f>
        <v>120000</v>
      </c>
      <c r="CD402" s="1015">
        <v>0</v>
      </c>
      <c r="CE402" s="1015">
        <v>0</v>
      </c>
      <c r="CF402" s="1015"/>
      <c r="CG402" s="1015">
        <v>0</v>
      </c>
      <c r="CH402" s="1015">
        <v>0</v>
      </c>
      <c r="CI402" s="1015">
        <v>0</v>
      </c>
      <c r="CJ402" s="1015">
        <v>0</v>
      </c>
      <c r="CK402" s="1015">
        <v>0</v>
      </c>
      <c r="CL402" s="1015">
        <v>0</v>
      </c>
      <c r="CM402" s="1015">
        <v>0</v>
      </c>
      <c r="CN402" s="1015">
        <v>0</v>
      </c>
      <c r="CO402" s="1015">
        <v>0</v>
      </c>
      <c r="CP402" s="2035">
        <f t="shared" si="426"/>
        <v>0</v>
      </c>
      <c r="CR402" s="1015">
        <v>0</v>
      </c>
      <c r="CS402" s="1015">
        <v>0</v>
      </c>
      <c r="CT402" s="1015">
        <v>0</v>
      </c>
      <c r="CU402" s="1015">
        <v>0</v>
      </c>
      <c r="CV402" s="1015">
        <v>0</v>
      </c>
      <c r="CW402" s="1015">
        <v>0</v>
      </c>
      <c r="CX402" s="1015">
        <v>0</v>
      </c>
      <c r="CY402" s="1015">
        <v>0</v>
      </c>
      <c r="CZ402" s="1015">
        <v>0</v>
      </c>
      <c r="DA402" s="1015">
        <v>0</v>
      </c>
      <c r="DB402" s="1015">
        <v>0</v>
      </c>
      <c r="DC402" s="1015">
        <v>0</v>
      </c>
      <c r="DD402" s="2017">
        <f t="shared" si="428"/>
        <v>0</v>
      </c>
      <c r="DF402" s="1015">
        <v>0</v>
      </c>
      <c r="DG402" s="1015">
        <v>0</v>
      </c>
      <c r="DH402" s="1015">
        <v>0</v>
      </c>
      <c r="DI402" s="2017">
        <f t="shared" si="429"/>
        <v>0</v>
      </c>
      <c r="DJ402" s="3143">
        <f t="shared" si="534"/>
        <v>150000</v>
      </c>
      <c r="DL402" s="3180">
        <f t="shared" si="535"/>
        <v>0</v>
      </c>
      <c r="DN402" s="2749" t="s">
        <v>1180</v>
      </c>
      <c r="DO402" s="2736" t="s">
        <v>1181</v>
      </c>
      <c r="DP402" s="2736" t="s">
        <v>1117</v>
      </c>
      <c r="DQ402" s="2736" t="s">
        <v>4</v>
      </c>
      <c r="DR402" s="2736" t="str">
        <f t="shared" si="446"/>
        <v>3</v>
      </c>
      <c r="DS402" s="1037"/>
      <c r="DT402" s="1037"/>
    </row>
    <row r="403" spans="2:124" ht="75" outlineLevel="3">
      <c r="B403" s="711"/>
      <c r="C403" s="182"/>
      <c r="D403" s="2953" t="s">
        <v>992</v>
      </c>
      <c r="E403" s="2910"/>
      <c r="F403" s="2976"/>
      <c r="G403" s="1645"/>
      <c r="H403" s="1547" t="s">
        <v>993</v>
      </c>
      <c r="I403" s="1210"/>
      <c r="J403" s="103"/>
      <c r="L403" s="364"/>
      <c r="M403" s="364"/>
      <c r="N403" s="364"/>
      <c r="O403" s="364"/>
      <c r="P403" s="364"/>
      <c r="Q403" s="364"/>
      <c r="R403" s="364"/>
      <c r="S403" s="364"/>
      <c r="T403" s="364"/>
      <c r="U403" s="364"/>
      <c r="W403" s="853" t="s">
        <v>853</v>
      </c>
      <c r="X403" s="853" t="s">
        <v>1075</v>
      </c>
      <c r="Y403" s="2934" t="s">
        <v>1596</v>
      </c>
      <c r="Z403" s="853">
        <v>94</v>
      </c>
      <c r="AA403" s="364"/>
      <c r="AB403" s="1749"/>
      <c r="AD403" s="711" t="s">
        <v>1179</v>
      </c>
      <c r="AE403" s="712">
        <v>1</v>
      </c>
      <c r="AF403" s="179"/>
      <c r="AG403" s="179"/>
      <c r="AH403" s="1048">
        <v>30000</v>
      </c>
      <c r="AI403" s="1048">
        <f>+AE403*AH403</f>
        <v>30000</v>
      </c>
      <c r="AJ403" s="1399"/>
      <c r="AL403" s="1048">
        <f>+AI403</f>
        <v>30000</v>
      </c>
      <c r="AM403" s="1048">
        <v>0</v>
      </c>
      <c r="AN403" s="355">
        <f t="shared" si="528"/>
        <v>30000</v>
      </c>
      <c r="AP403" s="1015">
        <v>0</v>
      </c>
      <c r="AQ403" s="1015">
        <v>0</v>
      </c>
      <c r="AR403" s="1015">
        <v>0</v>
      </c>
      <c r="AS403" s="1015">
        <v>0</v>
      </c>
      <c r="AT403" s="1015">
        <v>0</v>
      </c>
      <c r="AU403" s="1015">
        <v>0</v>
      </c>
      <c r="AV403" s="1015">
        <v>0</v>
      </c>
      <c r="AW403" s="1015">
        <v>0</v>
      </c>
      <c r="AX403" s="1015">
        <v>0</v>
      </c>
      <c r="AY403" s="1015">
        <v>0</v>
      </c>
      <c r="AZ403" s="2026">
        <f t="shared" si="420"/>
        <v>0</v>
      </c>
      <c r="BB403" s="1015">
        <v>0</v>
      </c>
      <c r="BC403" s="1015">
        <v>0</v>
      </c>
      <c r="BD403" s="1015">
        <v>0</v>
      </c>
      <c r="BE403" s="1015">
        <v>0</v>
      </c>
      <c r="BF403" s="1015">
        <v>0</v>
      </c>
      <c r="BG403" s="1015">
        <v>0</v>
      </c>
      <c r="BH403" s="1015">
        <v>0</v>
      </c>
      <c r="BI403" s="1015">
        <v>0</v>
      </c>
      <c r="BJ403" s="1015">
        <v>0</v>
      </c>
      <c r="BK403" s="1015">
        <v>0</v>
      </c>
      <c r="BL403" s="1015">
        <v>0</v>
      </c>
      <c r="BM403" s="1015">
        <v>0</v>
      </c>
      <c r="BN403" s="2026">
        <f t="shared" si="422"/>
        <v>0</v>
      </c>
      <c r="BP403" s="1015">
        <v>0</v>
      </c>
      <c r="BQ403" s="1015"/>
      <c r="BR403" s="1015"/>
      <c r="BS403" s="1015">
        <v>0</v>
      </c>
      <c r="BT403" s="1015">
        <v>0</v>
      </c>
      <c r="BU403" s="1015"/>
      <c r="BV403" s="1015"/>
      <c r="BW403" s="1015">
        <v>0</v>
      </c>
      <c r="BX403" s="1015"/>
      <c r="BY403" s="1015">
        <v>0</v>
      </c>
      <c r="BZ403" s="1015">
        <v>0</v>
      </c>
      <c r="CA403" s="1015"/>
      <c r="CB403" s="2026">
        <f t="shared" si="424"/>
        <v>0</v>
      </c>
      <c r="CD403" s="1015">
        <f>+$AH$403*10%</f>
        <v>3000</v>
      </c>
      <c r="CE403" s="1015">
        <v>0</v>
      </c>
      <c r="CF403" s="1015">
        <v>0</v>
      </c>
      <c r="CG403" s="1015">
        <f>+$AH$403*20%</f>
        <v>6000</v>
      </c>
      <c r="CH403" s="1015">
        <v>0</v>
      </c>
      <c r="CI403" s="1015">
        <v>0</v>
      </c>
      <c r="CJ403" s="1015">
        <f>+$AH$403*25%</f>
        <v>7500</v>
      </c>
      <c r="CK403" s="1015">
        <v>0</v>
      </c>
      <c r="CL403" s="1015">
        <v>0</v>
      </c>
      <c r="CM403" s="1015">
        <f>+$AH$403*25%</f>
        <v>7500</v>
      </c>
      <c r="CN403" s="1015">
        <v>0</v>
      </c>
      <c r="CO403" s="1015"/>
      <c r="CP403" s="2035">
        <f t="shared" si="426"/>
        <v>24000</v>
      </c>
      <c r="CR403" s="1015">
        <f>+$AH$403*20%</f>
        <v>6000</v>
      </c>
      <c r="CS403" s="1015">
        <v>0</v>
      </c>
      <c r="CT403" s="1015">
        <v>0</v>
      </c>
      <c r="CU403" s="1015">
        <v>0</v>
      </c>
      <c r="CV403" s="1015">
        <v>0</v>
      </c>
      <c r="CW403" s="1015">
        <v>0</v>
      </c>
      <c r="CX403" s="1015">
        <v>0</v>
      </c>
      <c r="CY403" s="1015">
        <v>0</v>
      </c>
      <c r="CZ403" s="1015">
        <v>0</v>
      </c>
      <c r="DA403" s="1015">
        <v>0</v>
      </c>
      <c r="DB403" s="1015">
        <v>0</v>
      </c>
      <c r="DC403" s="1015">
        <v>0</v>
      </c>
      <c r="DD403" s="2017">
        <f t="shared" si="428"/>
        <v>6000</v>
      </c>
      <c r="DF403" s="1015">
        <v>0</v>
      </c>
      <c r="DG403" s="1015">
        <v>0</v>
      </c>
      <c r="DH403" s="1015">
        <v>0</v>
      </c>
      <c r="DI403" s="2017">
        <f t="shared" si="429"/>
        <v>0</v>
      </c>
      <c r="DJ403" s="3143">
        <f t="shared" si="534"/>
        <v>30000</v>
      </c>
      <c r="DL403" s="3180">
        <f t="shared" si="535"/>
        <v>0</v>
      </c>
      <c r="DN403" s="2749" t="s">
        <v>1597</v>
      </c>
      <c r="DO403" s="2742" t="s">
        <v>1598</v>
      </c>
      <c r="DP403" s="2742" t="s">
        <v>1124</v>
      </c>
      <c r="DQ403" s="2742" t="s">
        <v>4</v>
      </c>
      <c r="DR403" s="2742" t="str">
        <f t="shared" si="446"/>
        <v>3</v>
      </c>
      <c r="DS403" s="1037"/>
      <c r="DT403" s="1037"/>
    </row>
    <row r="404" spans="2:124" s="883" customFormat="1" ht="15" outlineLevel="2">
      <c r="B404" s="2911"/>
      <c r="C404" s="447"/>
      <c r="D404" s="2950"/>
      <c r="E404" s="159"/>
      <c r="F404" s="2950"/>
      <c r="G404" s="441"/>
      <c r="H404" s="2704"/>
      <c r="I404" s="941"/>
      <c r="J404" s="442"/>
      <c r="K404" s="1037"/>
      <c r="L404" s="858"/>
      <c r="M404" s="858"/>
      <c r="N404" s="445"/>
      <c r="O404" s="445"/>
      <c r="P404" s="445"/>
      <c r="Q404" s="445"/>
      <c r="R404" s="445"/>
      <c r="S404" s="445"/>
      <c r="T404" s="445"/>
      <c r="U404" s="445"/>
      <c r="V404" s="1037"/>
      <c r="W404" s="362"/>
      <c r="X404" s="858"/>
      <c r="Y404" s="858"/>
      <c r="Z404" s="858"/>
      <c r="AA404" s="858"/>
      <c r="AB404" s="442"/>
      <c r="AC404" s="1037"/>
      <c r="AD404" s="2911"/>
      <c r="AE404" s="447"/>
      <c r="AF404" s="447"/>
      <c r="AG404" s="447"/>
      <c r="AH404" s="440"/>
      <c r="AI404" s="440"/>
      <c r="AJ404" s="694"/>
      <c r="AK404" s="1037"/>
      <c r="AL404" s="440"/>
      <c r="AM404" s="440"/>
      <c r="AN404" s="440">
        <f t="shared" si="528"/>
        <v>0</v>
      </c>
      <c r="AO404" s="1037"/>
      <c r="AP404" s="1011"/>
      <c r="AQ404" s="1011"/>
      <c r="AR404" s="1011"/>
      <c r="AS404" s="1011"/>
      <c r="AT404" s="1011"/>
      <c r="AU404" s="1011"/>
      <c r="AV404" s="1011"/>
      <c r="AW404" s="1011"/>
      <c r="AX404" s="1011"/>
      <c r="AY404" s="1011"/>
      <c r="AZ404" s="1011">
        <f t="shared" si="420"/>
        <v>0</v>
      </c>
      <c r="BA404" s="1037"/>
      <c r="BB404" s="1011"/>
      <c r="BC404" s="1011"/>
      <c r="BD404" s="1011"/>
      <c r="BE404" s="1011"/>
      <c r="BF404" s="1011"/>
      <c r="BG404" s="1011"/>
      <c r="BH404" s="1011"/>
      <c r="BI404" s="1011"/>
      <c r="BJ404" s="1011"/>
      <c r="BK404" s="1011"/>
      <c r="BL404" s="1011"/>
      <c r="BM404" s="1011"/>
      <c r="BN404" s="1011">
        <f t="shared" si="422"/>
        <v>0</v>
      </c>
      <c r="BO404" s="1037"/>
      <c r="BP404" s="1011"/>
      <c r="BQ404" s="1011"/>
      <c r="BR404" s="1011"/>
      <c r="BS404" s="1011"/>
      <c r="BT404" s="1011"/>
      <c r="BU404" s="1011"/>
      <c r="BV404" s="1011"/>
      <c r="BW404" s="1011"/>
      <c r="BX404" s="1011"/>
      <c r="BY404" s="1011"/>
      <c r="BZ404" s="1011"/>
      <c r="CA404" s="1011"/>
      <c r="CB404" s="1011">
        <f t="shared" si="424"/>
        <v>0</v>
      </c>
      <c r="CC404" s="1037"/>
      <c r="CD404" s="1011"/>
      <c r="CE404" s="1011"/>
      <c r="CF404" s="1011"/>
      <c r="CG404" s="1011"/>
      <c r="CH404" s="1011"/>
      <c r="CI404" s="1011"/>
      <c r="CJ404" s="1011"/>
      <c r="CK404" s="1011"/>
      <c r="CL404" s="1011"/>
      <c r="CM404" s="1011"/>
      <c r="CN404" s="1011"/>
      <c r="CO404" s="1011"/>
      <c r="CP404" s="1012">
        <f t="shared" si="426"/>
        <v>0</v>
      </c>
      <c r="CQ404" s="1037"/>
      <c r="CR404" s="1011"/>
      <c r="CS404" s="1011"/>
      <c r="CT404" s="1011"/>
      <c r="CU404" s="1011"/>
      <c r="CV404" s="1011"/>
      <c r="CW404" s="1011"/>
      <c r="CX404" s="1011"/>
      <c r="CY404" s="1011"/>
      <c r="CZ404" s="1011"/>
      <c r="DA404" s="1011"/>
      <c r="DB404" s="1011"/>
      <c r="DC404" s="1011"/>
      <c r="DD404" s="1013">
        <f t="shared" si="428"/>
        <v>0</v>
      </c>
      <c r="DE404" s="1037"/>
      <c r="DF404" s="1011"/>
      <c r="DG404" s="1011"/>
      <c r="DH404" s="1011"/>
      <c r="DI404" s="3104">
        <f t="shared" si="429"/>
        <v>0</v>
      </c>
      <c r="DJ404" s="3173">
        <f t="shared" si="534"/>
        <v>0</v>
      </c>
      <c r="DK404" s="153"/>
      <c r="DL404" s="3180">
        <f t="shared" si="535"/>
        <v>0</v>
      </c>
      <c r="DN404" s="2778" t="s">
        <v>1175</v>
      </c>
      <c r="DO404" s="2779" t="s">
        <v>1175</v>
      </c>
      <c r="DP404" s="2779"/>
      <c r="DQ404" s="2779" t="s">
        <v>1175</v>
      </c>
      <c r="DR404" s="2779" t="str">
        <f t="shared" si="446"/>
        <v/>
      </c>
      <c r="DS404" s="1037"/>
      <c r="DT404" s="1037"/>
    </row>
    <row r="405" spans="2:124" s="153" customFormat="1" ht="15" outlineLevel="1">
      <c r="B405" s="426"/>
      <c r="C405" s="425"/>
      <c r="D405" s="2944" t="s">
        <v>566</v>
      </c>
      <c r="E405" s="582"/>
      <c r="F405" s="2944"/>
      <c r="G405" s="428"/>
      <c r="H405" s="545" t="s">
        <v>49</v>
      </c>
      <c r="I405" s="545"/>
      <c r="J405" s="427"/>
      <c r="K405" s="1037"/>
      <c r="L405" s="425"/>
      <c r="M405" s="425"/>
      <c r="N405" s="430"/>
      <c r="O405" s="430"/>
      <c r="P405" s="430"/>
      <c r="Q405" s="430"/>
      <c r="R405" s="430"/>
      <c r="S405" s="430"/>
      <c r="T405" s="430"/>
      <c r="U405" s="430"/>
      <c r="V405" s="1037"/>
      <c r="W405" s="850"/>
      <c r="X405" s="850"/>
      <c r="Y405" s="850"/>
      <c r="Z405" s="850"/>
      <c r="AA405" s="850"/>
      <c r="AB405" s="431"/>
      <c r="AC405" s="1037"/>
      <c r="AD405" s="426"/>
      <c r="AE405" s="425"/>
      <c r="AF405" s="425"/>
      <c r="AG405" s="425"/>
      <c r="AH405" s="433"/>
      <c r="AI405" s="433">
        <f>+AI407+AI411</f>
        <v>915000</v>
      </c>
      <c r="AJ405" s="685"/>
      <c r="AK405" s="1037"/>
      <c r="AL405" s="433">
        <f>+AL406</f>
        <v>915000</v>
      </c>
      <c r="AM405" s="433">
        <f>+AM406+AM411</f>
        <v>0</v>
      </c>
      <c r="AN405" s="433">
        <f t="shared" si="528"/>
        <v>915000</v>
      </c>
      <c r="AO405" s="1037"/>
      <c r="AP405" s="977">
        <f t="shared" ref="AP405:AY405" si="537">+AP406+AP411</f>
        <v>0</v>
      </c>
      <c r="AQ405" s="977">
        <f t="shared" si="537"/>
        <v>0</v>
      </c>
      <c r="AR405" s="977">
        <f t="shared" si="537"/>
        <v>0</v>
      </c>
      <c r="AS405" s="977">
        <f t="shared" si="537"/>
        <v>0</v>
      </c>
      <c r="AT405" s="977">
        <f t="shared" si="537"/>
        <v>0</v>
      </c>
      <c r="AU405" s="977">
        <f t="shared" si="537"/>
        <v>0</v>
      </c>
      <c r="AV405" s="977">
        <f t="shared" si="537"/>
        <v>0</v>
      </c>
      <c r="AW405" s="977">
        <f t="shared" si="537"/>
        <v>0</v>
      </c>
      <c r="AX405" s="977">
        <f t="shared" si="537"/>
        <v>0</v>
      </c>
      <c r="AY405" s="977">
        <f t="shared" si="537"/>
        <v>0</v>
      </c>
      <c r="AZ405" s="977">
        <f t="shared" si="420"/>
        <v>0</v>
      </c>
      <c r="BA405" s="1037"/>
      <c r="BB405" s="977">
        <f>+BB406</f>
        <v>0</v>
      </c>
      <c r="BC405" s="977">
        <f t="shared" ref="BC405:BM405" si="538">+BC406</f>
        <v>0</v>
      </c>
      <c r="BD405" s="977">
        <f t="shared" si="538"/>
        <v>0</v>
      </c>
      <c r="BE405" s="977">
        <f t="shared" si="538"/>
        <v>0</v>
      </c>
      <c r="BF405" s="977">
        <f t="shared" si="538"/>
        <v>0</v>
      </c>
      <c r="BG405" s="977">
        <f t="shared" si="538"/>
        <v>0</v>
      </c>
      <c r="BH405" s="977">
        <f t="shared" si="538"/>
        <v>0</v>
      </c>
      <c r="BI405" s="977">
        <f t="shared" si="538"/>
        <v>0</v>
      </c>
      <c r="BJ405" s="977">
        <f t="shared" si="538"/>
        <v>0</v>
      </c>
      <c r="BK405" s="977">
        <f t="shared" si="538"/>
        <v>0</v>
      </c>
      <c r="BL405" s="977">
        <f t="shared" si="538"/>
        <v>0</v>
      </c>
      <c r="BM405" s="977">
        <f t="shared" si="538"/>
        <v>18000</v>
      </c>
      <c r="BN405" s="977">
        <f t="shared" si="422"/>
        <v>18000</v>
      </c>
      <c r="BO405" s="1037"/>
      <c r="BP405" s="977">
        <f t="shared" ref="BP405:CA405" si="539">+BP406</f>
        <v>15000</v>
      </c>
      <c r="BQ405" s="977">
        <f t="shared" si="539"/>
        <v>36000</v>
      </c>
      <c r="BR405" s="977">
        <f t="shared" si="539"/>
        <v>7000</v>
      </c>
      <c r="BS405" s="977">
        <f t="shared" si="539"/>
        <v>47500</v>
      </c>
      <c r="BT405" s="977">
        <f t="shared" si="539"/>
        <v>11000</v>
      </c>
      <c r="BU405" s="977">
        <f t="shared" si="539"/>
        <v>16500</v>
      </c>
      <c r="BV405" s="977">
        <f t="shared" si="539"/>
        <v>27000</v>
      </c>
      <c r="BW405" s="977">
        <f t="shared" si="539"/>
        <v>24000</v>
      </c>
      <c r="BX405" s="977">
        <f t="shared" si="539"/>
        <v>15000</v>
      </c>
      <c r="BY405" s="977">
        <f t="shared" si="539"/>
        <v>33000</v>
      </c>
      <c r="BZ405" s="977">
        <f t="shared" si="539"/>
        <v>0</v>
      </c>
      <c r="CA405" s="977">
        <f t="shared" si="539"/>
        <v>0</v>
      </c>
      <c r="CB405" s="977">
        <f t="shared" si="424"/>
        <v>232000</v>
      </c>
      <c r="CC405" s="1037"/>
      <c r="CD405" s="977">
        <f t="shared" ref="CD405:CO405" si="540">+CD406</f>
        <v>30000</v>
      </c>
      <c r="CE405" s="977">
        <f t="shared" si="540"/>
        <v>27000</v>
      </c>
      <c r="CF405" s="977">
        <f t="shared" si="540"/>
        <v>0</v>
      </c>
      <c r="CG405" s="977">
        <f t="shared" si="540"/>
        <v>60000</v>
      </c>
      <c r="CH405" s="977">
        <f t="shared" si="540"/>
        <v>0</v>
      </c>
      <c r="CI405" s="977">
        <f t="shared" si="540"/>
        <v>54000</v>
      </c>
      <c r="CJ405" s="977">
        <f t="shared" si="540"/>
        <v>105000.09</v>
      </c>
      <c r="CK405" s="977">
        <f t="shared" si="540"/>
        <v>0</v>
      </c>
      <c r="CL405" s="977">
        <f t="shared" si="540"/>
        <v>54000</v>
      </c>
      <c r="CM405" s="977">
        <f t="shared" si="540"/>
        <v>45000.09</v>
      </c>
      <c r="CN405" s="977">
        <f t="shared" si="540"/>
        <v>0</v>
      </c>
      <c r="CO405" s="977">
        <f t="shared" si="540"/>
        <v>0</v>
      </c>
      <c r="CP405" s="978">
        <f t="shared" si="426"/>
        <v>375000.17999999993</v>
      </c>
      <c r="CQ405" s="1037"/>
      <c r="CR405" s="977">
        <f t="shared" ref="CR405:DC405" si="541">+CR406</f>
        <v>0</v>
      </c>
      <c r="CS405" s="977">
        <f t="shared" si="541"/>
        <v>45000.09</v>
      </c>
      <c r="CT405" s="977">
        <f t="shared" si="541"/>
        <v>0</v>
      </c>
      <c r="CU405" s="977">
        <f t="shared" si="541"/>
        <v>0</v>
      </c>
      <c r="CV405" s="977">
        <f t="shared" si="541"/>
        <v>45000.09</v>
      </c>
      <c r="CW405" s="977">
        <f t="shared" si="541"/>
        <v>0</v>
      </c>
      <c r="CX405" s="977">
        <f t="shared" si="541"/>
        <v>110000</v>
      </c>
      <c r="CY405" s="977">
        <f t="shared" si="541"/>
        <v>0</v>
      </c>
      <c r="CZ405" s="977">
        <f t="shared" si="541"/>
        <v>45000.09</v>
      </c>
      <c r="DA405" s="977">
        <f t="shared" si="541"/>
        <v>0</v>
      </c>
      <c r="DB405" s="977">
        <f t="shared" si="541"/>
        <v>0</v>
      </c>
      <c r="DC405" s="977">
        <f t="shared" si="541"/>
        <v>44999.549999999996</v>
      </c>
      <c r="DD405" s="976">
        <f t="shared" si="428"/>
        <v>289999.82</v>
      </c>
      <c r="DE405" s="1037"/>
      <c r="DF405" s="977">
        <f>+DF406</f>
        <v>0</v>
      </c>
      <c r="DG405" s="977">
        <f>+DG406</f>
        <v>0</v>
      </c>
      <c r="DH405" s="977">
        <f>+DH406</f>
        <v>0</v>
      </c>
      <c r="DI405" s="3090">
        <f>+DI406</f>
        <v>0</v>
      </c>
      <c r="DJ405" s="3145">
        <f t="shared" si="534"/>
        <v>915000</v>
      </c>
      <c r="DL405" s="3180">
        <f t="shared" si="535"/>
        <v>0</v>
      </c>
      <c r="DN405" s="2721" t="s">
        <v>1175</v>
      </c>
      <c r="DO405" s="2722" t="s">
        <v>1175</v>
      </c>
      <c r="DP405" s="2722"/>
      <c r="DQ405" s="2722" t="s">
        <v>1175</v>
      </c>
      <c r="DR405" s="2722" t="str">
        <f t="shared" si="446"/>
        <v>3</v>
      </c>
      <c r="DS405" s="1037"/>
      <c r="DT405" s="1037"/>
    </row>
    <row r="406" spans="2:124" s="153" customFormat="1" ht="35.5" customHeight="1" outlineLevel="2">
      <c r="B406" s="106"/>
      <c r="C406" s="172"/>
      <c r="D406" s="2958" t="s">
        <v>567</v>
      </c>
      <c r="E406" s="2912"/>
      <c r="F406" s="2958"/>
      <c r="G406" s="171"/>
      <c r="H406" s="2773" t="s">
        <v>994</v>
      </c>
      <c r="I406" s="538"/>
      <c r="J406" s="106" t="s">
        <v>1556</v>
      </c>
      <c r="K406" s="2858"/>
      <c r="L406" s="358" t="str">
        <f>'1_MdR'!C66</f>
        <v>Informes</v>
      </c>
      <c r="M406" s="358">
        <f>'1_MdR'!D66</f>
        <v>0</v>
      </c>
      <c r="N406" s="358">
        <f>'1_MdR'!E66</f>
        <v>2022</v>
      </c>
      <c r="O406" s="358" t="str">
        <f>'1_MdR'!G66</f>
        <v>-</v>
      </c>
      <c r="P406" s="358" t="str">
        <f>'1_MdR'!H66</f>
        <v>-</v>
      </c>
      <c r="Q406" s="358">
        <f>'1_MdR'!I66</f>
        <v>1</v>
      </c>
      <c r="R406" s="358">
        <f>'1_MdR'!J66</f>
        <v>1</v>
      </c>
      <c r="S406" s="358">
        <f>'1_MdR'!K66</f>
        <v>1</v>
      </c>
      <c r="T406" s="358" t="str">
        <f>'1_MdR'!L66</f>
        <v>-</v>
      </c>
      <c r="U406" s="358">
        <f>'1_MdR'!M66</f>
        <v>3</v>
      </c>
      <c r="V406" s="2858"/>
      <c r="W406" s="358"/>
      <c r="X406" s="358"/>
      <c r="Y406" s="358"/>
      <c r="Z406" s="358"/>
      <c r="AA406" s="358"/>
      <c r="AB406" s="106"/>
      <c r="AC406" s="2858"/>
      <c r="AD406" s="106"/>
      <c r="AE406" s="172"/>
      <c r="AF406" s="172"/>
      <c r="AG406" s="172"/>
      <c r="AH406" s="176"/>
      <c r="AI406" s="176">
        <f>+AI407+AI411</f>
        <v>915000</v>
      </c>
      <c r="AJ406" s="692"/>
      <c r="AK406" s="2858"/>
      <c r="AL406" s="176">
        <f>+AL407+AL411</f>
        <v>915000</v>
      </c>
      <c r="AM406" s="176">
        <f>SUM(AM408:AM410)</f>
        <v>0</v>
      </c>
      <c r="AN406" s="176">
        <f>+AL406+AM406</f>
        <v>915000</v>
      </c>
      <c r="AO406" s="2858"/>
      <c r="AP406" s="176">
        <f t="shared" ref="AP406:AY406" si="542">SUM(AP408:AP410)</f>
        <v>0</v>
      </c>
      <c r="AQ406" s="176">
        <f t="shared" si="542"/>
        <v>0</v>
      </c>
      <c r="AR406" s="176">
        <f t="shared" si="542"/>
        <v>0</v>
      </c>
      <c r="AS406" s="176">
        <f t="shared" si="542"/>
        <v>0</v>
      </c>
      <c r="AT406" s="176">
        <f t="shared" si="542"/>
        <v>0</v>
      </c>
      <c r="AU406" s="176">
        <f t="shared" si="542"/>
        <v>0</v>
      </c>
      <c r="AV406" s="176">
        <f t="shared" si="542"/>
        <v>0</v>
      </c>
      <c r="AW406" s="176">
        <f t="shared" si="542"/>
        <v>0</v>
      </c>
      <c r="AX406" s="176">
        <f t="shared" si="542"/>
        <v>0</v>
      </c>
      <c r="AY406" s="176">
        <f t="shared" si="542"/>
        <v>0</v>
      </c>
      <c r="AZ406" s="980">
        <f t="shared" si="420"/>
        <v>0</v>
      </c>
      <c r="BA406" s="1037"/>
      <c r="BB406" s="176">
        <f t="shared" ref="BB406:BM406" si="543">+BB407+BB411</f>
        <v>0</v>
      </c>
      <c r="BC406" s="176">
        <f t="shared" si="543"/>
        <v>0</v>
      </c>
      <c r="BD406" s="176">
        <f t="shared" si="543"/>
        <v>0</v>
      </c>
      <c r="BE406" s="176">
        <f t="shared" si="543"/>
        <v>0</v>
      </c>
      <c r="BF406" s="176">
        <f t="shared" si="543"/>
        <v>0</v>
      </c>
      <c r="BG406" s="176">
        <f t="shared" si="543"/>
        <v>0</v>
      </c>
      <c r="BH406" s="176">
        <f t="shared" si="543"/>
        <v>0</v>
      </c>
      <c r="BI406" s="176">
        <f t="shared" si="543"/>
        <v>0</v>
      </c>
      <c r="BJ406" s="176">
        <f t="shared" si="543"/>
        <v>0</v>
      </c>
      <c r="BK406" s="176">
        <f t="shared" si="543"/>
        <v>0</v>
      </c>
      <c r="BL406" s="176">
        <f t="shared" si="543"/>
        <v>0</v>
      </c>
      <c r="BM406" s="176">
        <f t="shared" si="543"/>
        <v>18000</v>
      </c>
      <c r="BN406" s="980">
        <f>SUM(BB406:BM406)</f>
        <v>18000</v>
      </c>
      <c r="BO406" s="2858"/>
      <c r="BP406" s="176">
        <f t="shared" ref="BP406:CA406" si="544">+BP407+BP411</f>
        <v>15000</v>
      </c>
      <c r="BQ406" s="176">
        <f t="shared" si="544"/>
        <v>36000</v>
      </c>
      <c r="BR406" s="176">
        <f t="shared" si="544"/>
        <v>7000</v>
      </c>
      <c r="BS406" s="176">
        <f t="shared" si="544"/>
        <v>47500</v>
      </c>
      <c r="BT406" s="176">
        <f t="shared" si="544"/>
        <v>11000</v>
      </c>
      <c r="BU406" s="176">
        <f t="shared" si="544"/>
        <v>16500</v>
      </c>
      <c r="BV406" s="176">
        <f t="shared" si="544"/>
        <v>27000</v>
      </c>
      <c r="BW406" s="176">
        <f t="shared" si="544"/>
        <v>24000</v>
      </c>
      <c r="BX406" s="176">
        <f t="shared" si="544"/>
        <v>15000</v>
      </c>
      <c r="BY406" s="176">
        <f t="shared" si="544"/>
        <v>33000</v>
      </c>
      <c r="BZ406" s="176">
        <f t="shared" si="544"/>
        <v>0</v>
      </c>
      <c r="CA406" s="176">
        <f t="shared" si="544"/>
        <v>0</v>
      </c>
      <c r="CB406" s="980">
        <f t="shared" si="424"/>
        <v>232000</v>
      </c>
      <c r="CC406" s="2858"/>
      <c r="CD406" s="176">
        <f t="shared" ref="CD406:CO406" si="545">+CD407+CD411</f>
        <v>30000</v>
      </c>
      <c r="CE406" s="176">
        <f t="shared" si="545"/>
        <v>27000</v>
      </c>
      <c r="CF406" s="176">
        <f t="shared" si="545"/>
        <v>0</v>
      </c>
      <c r="CG406" s="176">
        <f t="shared" si="545"/>
        <v>60000</v>
      </c>
      <c r="CH406" s="176">
        <f t="shared" si="545"/>
        <v>0</v>
      </c>
      <c r="CI406" s="176">
        <f t="shared" si="545"/>
        <v>54000</v>
      </c>
      <c r="CJ406" s="176">
        <f t="shared" si="545"/>
        <v>105000.09</v>
      </c>
      <c r="CK406" s="176">
        <f t="shared" si="545"/>
        <v>0</v>
      </c>
      <c r="CL406" s="176">
        <f t="shared" si="545"/>
        <v>54000</v>
      </c>
      <c r="CM406" s="176">
        <f t="shared" si="545"/>
        <v>45000.09</v>
      </c>
      <c r="CN406" s="176">
        <f t="shared" si="545"/>
        <v>0</v>
      </c>
      <c r="CO406" s="176">
        <f t="shared" si="545"/>
        <v>0</v>
      </c>
      <c r="CP406" s="981">
        <f t="shared" si="426"/>
        <v>375000.17999999993</v>
      </c>
      <c r="CQ406" s="2858"/>
      <c r="CR406" s="176">
        <f t="shared" ref="CR406:DC406" si="546">+CR407+CR411</f>
        <v>0</v>
      </c>
      <c r="CS406" s="176">
        <f t="shared" si="546"/>
        <v>45000.09</v>
      </c>
      <c r="CT406" s="176">
        <f t="shared" si="546"/>
        <v>0</v>
      </c>
      <c r="CU406" s="176">
        <f t="shared" si="546"/>
        <v>0</v>
      </c>
      <c r="CV406" s="176">
        <f t="shared" si="546"/>
        <v>45000.09</v>
      </c>
      <c r="CW406" s="176">
        <f t="shared" si="546"/>
        <v>0</v>
      </c>
      <c r="CX406" s="176">
        <f t="shared" si="546"/>
        <v>110000</v>
      </c>
      <c r="CY406" s="176">
        <f t="shared" si="546"/>
        <v>0</v>
      </c>
      <c r="CZ406" s="176">
        <f t="shared" si="546"/>
        <v>45000.09</v>
      </c>
      <c r="DA406" s="176">
        <f t="shared" si="546"/>
        <v>0</v>
      </c>
      <c r="DB406" s="176">
        <f t="shared" si="546"/>
        <v>0</v>
      </c>
      <c r="DC406" s="176">
        <f t="shared" si="546"/>
        <v>44999.549999999996</v>
      </c>
      <c r="DD406" s="979">
        <f t="shared" si="428"/>
        <v>289999.82</v>
      </c>
      <c r="DE406" s="2858"/>
      <c r="DF406" s="176">
        <f>+DF407+DF411</f>
        <v>0</v>
      </c>
      <c r="DG406" s="176">
        <f>+DG407+DG411</f>
        <v>0</v>
      </c>
      <c r="DH406" s="176">
        <f>+DH407+DH411</f>
        <v>0</v>
      </c>
      <c r="DI406" s="3082">
        <f>+DI407+DI411</f>
        <v>0</v>
      </c>
      <c r="DJ406" s="3135">
        <f t="shared" si="534"/>
        <v>915000</v>
      </c>
      <c r="DL406" s="3182">
        <f>+AN406-DJ406</f>
        <v>0</v>
      </c>
      <c r="DN406" s="2723" t="s">
        <v>1175</v>
      </c>
      <c r="DO406" s="2724" t="s">
        <v>1175</v>
      </c>
      <c r="DP406" s="2724"/>
      <c r="DQ406" s="2724" t="s">
        <v>1175</v>
      </c>
      <c r="DR406" s="2724" t="str">
        <f t="shared" si="446"/>
        <v>3</v>
      </c>
      <c r="DS406" s="2858"/>
      <c r="DT406" s="2858"/>
    </row>
    <row r="407" spans="2:124" s="153" customFormat="1" ht="30" outlineLevel="3">
      <c r="B407" s="2840"/>
      <c r="C407" s="397"/>
      <c r="D407" s="2949" t="s">
        <v>995</v>
      </c>
      <c r="E407" s="704"/>
      <c r="F407" s="2949"/>
      <c r="G407" s="395"/>
      <c r="H407" s="1249" t="s">
        <v>996</v>
      </c>
      <c r="I407" s="536"/>
      <c r="J407" s="399"/>
      <c r="K407" s="1037"/>
      <c r="L407" s="851"/>
      <c r="M407" s="851"/>
      <c r="N407" s="402"/>
      <c r="O407" s="402"/>
      <c r="P407" s="402"/>
      <c r="Q407" s="402"/>
      <c r="R407" s="402"/>
      <c r="S407" s="402"/>
      <c r="T407" s="402"/>
      <c r="U407" s="402"/>
      <c r="V407" s="1037"/>
      <c r="W407" s="837"/>
      <c r="X407" s="851"/>
      <c r="Y407" s="851"/>
      <c r="Z407" s="851"/>
      <c r="AA407" s="851"/>
      <c r="AB407" s="399"/>
      <c r="AC407" s="1037"/>
      <c r="AD407" s="2840"/>
      <c r="AE407" s="397"/>
      <c r="AF407" s="397"/>
      <c r="AG407" s="397"/>
      <c r="AH407" s="398"/>
      <c r="AI407" s="1458">
        <f>SUM(AI408:AI410)+AI419</f>
        <v>450000</v>
      </c>
      <c r="AJ407" s="680"/>
      <c r="AK407" s="1037"/>
      <c r="AL407" s="1458">
        <f>+SUM(AL408:AL410)+AL419</f>
        <v>450000</v>
      </c>
      <c r="AM407" s="1458"/>
      <c r="AN407" s="398">
        <f t="shared" si="528"/>
        <v>450000</v>
      </c>
      <c r="AO407" s="1037"/>
      <c r="AP407" s="1458">
        <f t="shared" ref="AP407:AY407" si="547">+AP408</f>
        <v>0</v>
      </c>
      <c r="AQ407" s="1458">
        <f t="shared" si="547"/>
        <v>0</v>
      </c>
      <c r="AR407" s="1458">
        <f t="shared" si="547"/>
        <v>0</v>
      </c>
      <c r="AS407" s="1458">
        <f t="shared" si="547"/>
        <v>0</v>
      </c>
      <c r="AT407" s="1458">
        <f t="shared" si="547"/>
        <v>0</v>
      </c>
      <c r="AU407" s="1458">
        <f t="shared" si="547"/>
        <v>0</v>
      </c>
      <c r="AV407" s="1458">
        <f t="shared" si="547"/>
        <v>0</v>
      </c>
      <c r="AW407" s="1458">
        <f t="shared" si="547"/>
        <v>0</v>
      </c>
      <c r="AX407" s="1458">
        <f t="shared" si="547"/>
        <v>0</v>
      </c>
      <c r="AY407" s="1458">
        <f t="shared" si="547"/>
        <v>0</v>
      </c>
      <c r="AZ407" s="398">
        <f>+SUM(AP407:AY407)</f>
        <v>0</v>
      </c>
      <c r="BA407" s="1037"/>
      <c r="BB407" s="1458">
        <f>+BB408+BB409+BB410+BB419</f>
        <v>0</v>
      </c>
      <c r="BC407" s="1458">
        <f t="shared" ref="BC407:BM407" si="548">+BC408+BC409+BC410+BC419</f>
        <v>0</v>
      </c>
      <c r="BD407" s="1458">
        <f t="shared" si="548"/>
        <v>0</v>
      </c>
      <c r="BE407" s="1458">
        <f t="shared" si="548"/>
        <v>0</v>
      </c>
      <c r="BF407" s="1458">
        <f t="shared" si="548"/>
        <v>0</v>
      </c>
      <c r="BG407" s="1458">
        <f t="shared" si="548"/>
        <v>0</v>
      </c>
      <c r="BH407" s="1458">
        <f t="shared" si="548"/>
        <v>0</v>
      </c>
      <c r="BI407" s="1458">
        <f t="shared" si="548"/>
        <v>0</v>
      </c>
      <c r="BJ407" s="1458">
        <f t="shared" si="548"/>
        <v>0</v>
      </c>
      <c r="BK407" s="1458">
        <f t="shared" si="548"/>
        <v>0</v>
      </c>
      <c r="BL407" s="1458">
        <f t="shared" si="548"/>
        <v>0</v>
      </c>
      <c r="BM407" s="1458">
        <f t="shared" si="548"/>
        <v>0</v>
      </c>
      <c r="BN407" s="398">
        <f>SUM(BB407:BM407)</f>
        <v>0</v>
      </c>
      <c r="BO407" s="1037"/>
      <c r="BP407" s="1458">
        <f t="shared" ref="BP407:CA407" si="549">+BP408+BP409+BP410+BP419</f>
        <v>0</v>
      </c>
      <c r="BQ407" s="1458">
        <f t="shared" si="549"/>
        <v>6000</v>
      </c>
      <c r="BR407" s="1458">
        <f t="shared" si="549"/>
        <v>7000</v>
      </c>
      <c r="BS407" s="1458">
        <f t="shared" si="549"/>
        <v>8500</v>
      </c>
      <c r="BT407" s="1458">
        <f t="shared" si="549"/>
        <v>11000</v>
      </c>
      <c r="BU407" s="1458">
        <f t="shared" si="549"/>
        <v>4500</v>
      </c>
      <c r="BV407" s="1458">
        <f t="shared" si="549"/>
        <v>15000</v>
      </c>
      <c r="BW407" s="1458">
        <f t="shared" si="549"/>
        <v>6000</v>
      </c>
      <c r="BX407" s="1458">
        <f t="shared" si="549"/>
        <v>0</v>
      </c>
      <c r="BY407" s="1458">
        <f t="shared" si="549"/>
        <v>12000</v>
      </c>
      <c r="BZ407" s="1458">
        <f t="shared" si="549"/>
        <v>0</v>
      </c>
      <c r="CA407" s="1458">
        <f t="shared" si="549"/>
        <v>0</v>
      </c>
      <c r="CB407" s="398">
        <f>SUM(BP407:CA407)</f>
        <v>70000</v>
      </c>
      <c r="CC407" s="1037"/>
      <c r="CD407" s="1458">
        <f t="shared" ref="CD407:CO407" si="550">+CD408+CD409+CD410+CD419</f>
        <v>0</v>
      </c>
      <c r="CE407" s="1458">
        <f t="shared" si="550"/>
        <v>0</v>
      </c>
      <c r="CF407" s="1458">
        <f t="shared" si="550"/>
        <v>0</v>
      </c>
      <c r="CG407" s="1458">
        <f t="shared" si="550"/>
        <v>0</v>
      </c>
      <c r="CH407" s="1458">
        <f t="shared" si="550"/>
        <v>0</v>
      </c>
      <c r="CI407" s="1458">
        <f t="shared" si="550"/>
        <v>0</v>
      </c>
      <c r="CJ407" s="1458">
        <f t="shared" si="550"/>
        <v>45000.09</v>
      </c>
      <c r="CK407" s="1458">
        <f t="shared" si="550"/>
        <v>0</v>
      </c>
      <c r="CL407" s="1458">
        <f t="shared" si="550"/>
        <v>0</v>
      </c>
      <c r="CM407" s="1458">
        <f t="shared" si="550"/>
        <v>45000.09</v>
      </c>
      <c r="CN407" s="1458">
        <f t="shared" si="550"/>
        <v>0</v>
      </c>
      <c r="CO407" s="1458">
        <f t="shared" si="550"/>
        <v>0</v>
      </c>
      <c r="CP407" s="398">
        <f>SUM(CD407:CO407)</f>
        <v>90000.18</v>
      </c>
      <c r="CQ407" s="1037"/>
      <c r="CR407" s="1458">
        <f t="shared" ref="CR407:DC407" si="551">+CR408+CR409+CR410+CR419</f>
        <v>0</v>
      </c>
      <c r="CS407" s="1458">
        <f t="shared" si="551"/>
        <v>45000.09</v>
      </c>
      <c r="CT407" s="1458">
        <f t="shared" si="551"/>
        <v>0</v>
      </c>
      <c r="CU407" s="1458">
        <f t="shared" si="551"/>
        <v>0</v>
      </c>
      <c r="CV407" s="1458">
        <f t="shared" si="551"/>
        <v>45000.09</v>
      </c>
      <c r="CW407" s="1458">
        <f t="shared" si="551"/>
        <v>0</v>
      </c>
      <c r="CX407" s="1458">
        <f t="shared" si="551"/>
        <v>110000</v>
      </c>
      <c r="CY407" s="1458">
        <f t="shared" si="551"/>
        <v>0</v>
      </c>
      <c r="CZ407" s="1458">
        <f t="shared" si="551"/>
        <v>45000.09</v>
      </c>
      <c r="DA407" s="1458">
        <f t="shared" si="551"/>
        <v>0</v>
      </c>
      <c r="DB407" s="1458">
        <f t="shared" si="551"/>
        <v>0</v>
      </c>
      <c r="DC407" s="1458">
        <f t="shared" si="551"/>
        <v>44999.549999999996</v>
      </c>
      <c r="DD407" s="398">
        <f>SUM(CR407:DC407)</f>
        <v>289999.82</v>
      </c>
      <c r="DE407" s="1037"/>
      <c r="DF407" s="1458">
        <f>+DF408+DF409+DF410+DF419</f>
        <v>0</v>
      </c>
      <c r="DG407" s="1458">
        <f>+DG408+DG409+DG410+DG419</f>
        <v>0</v>
      </c>
      <c r="DH407" s="1458">
        <f>+DH408+DH409+DH410+DH419</f>
        <v>0</v>
      </c>
      <c r="DI407" s="3087">
        <f>SUM(DF407:DH407)</f>
        <v>0</v>
      </c>
      <c r="DJ407" s="3153">
        <f>+AZ407+BN407+CB407+CP407+DD407+DI407</f>
        <v>450000</v>
      </c>
      <c r="DL407" s="3180">
        <f>+AN407-DJ407</f>
        <v>0</v>
      </c>
      <c r="DN407" s="2725"/>
      <c r="DO407" s="2728"/>
      <c r="DP407" s="2728"/>
      <c r="DQ407" s="2728"/>
      <c r="DR407" s="2728"/>
      <c r="DS407" s="1037"/>
      <c r="DT407" s="1037"/>
    </row>
    <row r="408" spans="2:124" ht="90.5" customHeight="1" outlineLevel="5">
      <c r="B408" s="711"/>
      <c r="C408" s="182"/>
      <c r="D408" s="2946" t="s">
        <v>997</v>
      </c>
      <c r="E408" s="159"/>
      <c r="F408" s="2946"/>
      <c r="G408" s="702" t="s">
        <v>1279</v>
      </c>
      <c r="H408" s="1547" t="s">
        <v>1599</v>
      </c>
      <c r="I408" s="703" t="s">
        <v>1600</v>
      </c>
      <c r="J408" s="177" t="s">
        <v>1601</v>
      </c>
      <c r="L408" s="364"/>
      <c r="M408" s="364"/>
      <c r="N408" s="367"/>
      <c r="O408" s="367"/>
      <c r="P408" s="367"/>
      <c r="Q408" s="367"/>
      <c r="R408" s="367"/>
      <c r="S408" s="367"/>
      <c r="T408" s="367"/>
      <c r="U408" s="367"/>
      <c r="W408" s="853" t="s">
        <v>763</v>
      </c>
      <c r="X408" s="853" t="s">
        <v>1075</v>
      </c>
      <c r="Y408" s="2513" t="s">
        <v>1187</v>
      </c>
      <c r="Z408" s="853" t="s">
        <v>1602</v>
      </c>
      <c r="AA408" s="853">
        <v>6</v>
      </c>
      <c r="AB408" s="1749"/>
      <c r="AD408" s="711" t="s">
        <v>1280</v>
      </c>
      <c r="AE408" s="712">
        <v>1</v>
      </c>
      <c r="AF408" s="712">
        <v>6</v>
      </c>
      <c r="AG408" s="712"/>
      <c r="AH408" s="1442">
        <v>5000</v>
      </c>
      <c r="AI408" s="1442">
        <f>+AE408*AF408*AH408</f>
        <v>30000</v>
      </c>
      <c r="AJ408" s="1749"/>
      <c r="AL408" s="1752">
        <f>+AI408</f>
        <v>30000</v>
      </c>
      <c r="AM408" s="1752"/>
      <c r="AN408" s="1752">
        <f t="shared" si="528"/>
        <v>30000</v>
      </c>
      <c r="AP408" s="1455">
        <v>0</v>
      </c>
      <c r="AQ408" s="1455">
        <v>0</v>
      </c>
      <c r="AR408" s="1455">
        <v>0</v>
      </c>
      <c r="AS408" s="1455">
        <v>0</v>
      </c>
      <c r="AT408" s="1455">
        <v>0</v>
      </c>
      <c r="AU408" s="1455">
        <v>0</v>
      </c>
      <c r="AV408" s="1455">
        <v>0</v>
      </c>
      <c r="AW408" s="1455">
        <v>0</v>
      </c>
      <c r="AX408" s="1455">
        <v>0</v>
      </c>
      <c r="AY408" s="1455">
        <v>0</v>
      </c>
      <c r="AZ408" s="1455">
        <f t="shared" si="420"/>
        <v>0</v>
      </c>
      <c r="BB408" s="1455">
        <v>0</v>
      </c>
      <c r="BC408" s="1455">
        <v>0</v>
      </c>
      <c r="BD408" s="1455">
        <v>0</v>
      </c>
      <c r="BE408" s="1455"/>
      <c r="BF408" s="1455">
        <v>0</v>
      </c>
      <c r="BG408" s="1455">
        <v>0</v>
      </c>
      <c r="BH408" s="1455">
        <v>0</v>
      </c>
      <c r="BI408" s="1455"/>
      <c r="BJ408" s="1455">
        <v>0</v>
      </c>
      <c r="BK408" s="1455">
        <v>0</v>
      </c>
      <c r="BL408" s="1455">
        <v>0</v>
      </c>
      <c r="BM408" s="1455"/>
      <c r="BN408" s="1455">
        <f t="shared" si="422"/>
        <v>0</v>
      </c>
      <c r="BP408" s="1455"/>
      <c r="BQ408" s="1455">
        <f>+$AI$408*20%</f>
        <v>6000</v>
      </c>
      <c r="BR408" s="1455">
        <f>+$AI$408*10%</f>
        <v>3000</v>
      </c>
      <c r="BS408" s="1455">
        <f>+$AI$408*15%</f>
        <v>4500</v>
      </c>
      <c r="BT408" s="1455">
        <f>+$AI$408*10%</f>
        <v>3000</v>
      </c>
      <c r="BU408" s="1455">
        <f>+$AI$408*15%</f>
        <v>4500</v>
      </c>
      <c r="BV408" s="1455">
        <f>+$AI$408*30%</f>
        <v>9000</v>
      </c>
      <c r="BW408" s="1455"/>
      <c r="BX408" s="1455">
        <v>0</v>
      </c>
      <c r="BY408" s="1455"/>
      <c r="BZ408" s="1455"/>
      <c r="CA408" s="1455"/>
      <c r="CB408" s="1566">
        <f t="shared" si="424"/>
        <v>30000</v>
      </c>
      <c r="CD408" s="1455">
        <v>0</v>
      </c>
      <c r="CE408" s="1455">
        <v>0</v>
      </c>
      <c r="CF408" s="1455"/>
      <c r="CG408" s="1455">
        <v>0</v>
      </c>
      <c r="CH408" s="1455">
        <v>0</v>
      </c>
      <c r="CI408" s="1455"/>
      <c r="CJ408" s="1455">
        <v>0</v>
      </c>
      <c r="CK408" s="1455">
        <v>0</v>
      </c>
      <c r="CL408" s="1455">
        <v>0</v>
      </c>
      <c r="CM408" s="1455">
        <v>0</v>
      </c>
      <c r="CN408" s="1455">
        <v>0</v>
      </c>
      <c r="CO408" s="1455">
        <v>0</v>
      </c>
      <c r="CP408" s="1566">
        <f t="shared" si="426"/>
        <v>0</v>
      </c>
      <c r="CR408" s="1455">
        <v>0</v>
      </c>
      <c r="CS408" s="1455">
        <v>0</v>
      </c>
      <c r="CT408" s="1455">
        <v>0</v>
      </c>
      <c r="CU408" s="1455">
        <v>0</v>
      </c>
      <c r="CV408" s="1455">
        <v>0</v>
      </c>
      <c r="CW408" s="1455">
        <v>0</v>
      </c>
      <c r="CX408" s="1455">
        <v>0</v>
      </c>
      <c r="CY408" s="1455">
        <v>0</v>
      </c>
      <c r="CZ408" s="1455">
        <v>0</v>
      </c>
      <c r="DA408" s="1455">
        <v>0</v>
      </c>
      <c r="DB408" s="1455">
        <v>0</v>
      </c>
      <c r="DC408" s="1455">
        <v>0</v>
      </c>
      <c r="DD408" s="1455">
        <f t="shared" si="428"/>
        <v>0</v>
      </c>
      <c r="DF408" s="1455">
        <v>0</v>
      </c>
      <c r="DG408" s="1455">
        <v>0</v>
      </c>
      <c r="DH408" s="1455">
        <v>0</v>
      </c>
      <c r="DI408" s="1455">
        <f t="shared" si="429"/>
        <v>0</v>
      </c>
      <c r="DJ408" s="3174">
        <f>+AZ408+BN408+CB408+CP408+DD408+DI408</f>
        <v>30000</v>
      </c>
      <c r="DL408" s="3180">
        <f>+AN408-DJ408</f>
        <v>0</v>
      </c>
      <c r="DN408" s="2780" t="s">
        <v>1415</v>
      </c>
      <c r="DO408" s="2775" t="s">
        <v>1416</v>
      </c>
      <c r="DP408" s="2775" t="s">
        <v>1124</v>
      </c>
      <c r="DQ408" s="2775" t="s">
        <v>4</v>
      </c>
      <c r="DR408" s="2775" t="str">
        <f t="shared" si="446"/>
        <v>3</v>
      </c>
      <c r="DS408" s="1037"/>
      <c r="DT408" s="1037"/>
    </row>
    <row r="409" spans="2:124" ht="45" outlineLevel="5">
      <c r="B409" s="711"/>
      <c r="C409" s="182"/>
      <c r="D409" s="2946" t="s">
        <v>1000</v>
      </c>
      <c r="E409" s="159"/>
      <c r="F409" s="2946"/>
      <c r="G409" s="702"/>
      <c r="H409" s="1547" t="s">
        <v>1603</v>
      </c>
      <c r="I409" s="703"/>
      <c r="J409" s="177"/>
      <c r="L409" s="364"/>
      <c r="M409" s="364"/>
      <c r="N409" s="367"/>
      <c r="O409" s="367"/>
      <c r="P409" s="367"/>
      <c r="Q409" s="367"/>
      <c r="R409" s="367"/>
      <c r="S409" s="367"/>
      <c r="T409" s="367"/>
      <c r="U409" s="367"/>
      <c r="W409" s="853" t="s">
        <v>763</v>
      </c>
      <c r="X409" s="853" t="s">
        <v>1075</v>
      </c>
      <c r="Y409" s="2513" t="s">
        <v>1187</v>
      </c>
      <c r="Z409" s="853" t="s">
        <v>1604</v>
      </c>
      <c r="AA409" s="853">
        <v>8</v>
      </c>
      <c r="AB409" s="1749"/>
      <c r="AD409" s="711" t="s">
        <v>1280</v>
      </c>
      <c r="AE409" s="712">
        <v>1</v>
      </c>
      <c r="AF409" s="712">
        <v>8</v>
      </c>
      <c r="AG409" s="712"/>
      <c r="AH409" s="1442">
        <v>5000</v>
      </c>
      <c r="AI409" s="1442">
        <f>+AE409*AF409*AH409</f>
        <v>40000</v>
      </c>
      <c r="AJ409" s="1749"/>
      <c r="AL409" s="1752">
        <f>+AI409</f>
        <v>40000</v>
      </c>
      <c r="AM409" s="1752"/>
      <c r="AN409" s="1752">
        <f>+AL409+AM409</f>
        <v>40000</v>
      </c>
      <c r="AP409" s="1455"/>
      <c r="AQ409" s="1455"/>
      <c r="AR409" s="1455"/>
      <c r="AS409" s="1455"/>
      <c r="AT409" s="1455"/>
      <c r="AU409" s="1455"/>
      <c r="AV409" s="1455"/>
      <c r="AW409" s="1455"/>
      <c r="AX409" s="1455"/>
      <c r="AY409" s="1455"/>
      <c r="AZ409" s="1455">
        <f t="shared" si="420"/>
        <v>0</v>
      </c>
      <c r="BB409" s="1455"/>
      <c r="BC409" s="1455"/>
      <c r="BD409" s="1455"/>
      <c r="BE409" s="1455"/>
      <c r="BF409" s="1455"/>
      <c r="BG409" s="1455"/>
      <c r="BH409" s="1455"/>
      <c r="BI409" s="1455"/>
      <c r="BJ409" s="1455"/>
      <c r="BK409" s="1455"/>
      <c r="BL409" s="1455"/>
      <c r="BM409" s="1455"/>
      <c r="BN409" s="1455">
        <f t="shared" si="422"/>
        <v>0</v>
      </c>
      <c r="BP409" s="1455"/>
      <c r="BQ409" s="1455"/>
      <c r="BR409" s="1455">
        <f>+$AI$409*0.1</f>
        <v>4000</v>
      </c>
      <c r="BS409" s="1455">
        <f>+$AI$409*0.1</f>
        <v>4000</v>
      </c>
      <c r="BT409" s="1455">
        <f>+$AI$409*0.2</f>
        <v>8000</v>
      </c>
      <c r="BU409" s="1455"/>
      <c r="BV409" s="1455">
        <f>+$AI$409*0.15</f>
        <v>6000</v>
      </c>
      <c r="BW409" s="1455">
        <f>+$AI$409*0.15</f>
        <v>6000</v>
      </c>
      <c r="BX409" s="1455"/>
      <c r="BY409" s="1455">
        <f>+$AI$409*0.3</f>
        <v>12000</v>
      </c>
      <c r="BZ409" s="1455"/>
      <c r="CA409" s="1455"/>
      <c r="CB409" s="1566">
        <f t="shared" si="424"/>
        <v>40000</v>
      </c>
      <c r="CD409" s="1455"/>
      <c r="CE409" s="1455"/>
      <c r="CF409" s="1455"/>
      <c r="CG409" s="1455"/>
      <c r="CH409" s="1455"/>
      <c r="CI409" s="1455"/>
      <c r="CJ409" s="1455"/>
      <c r="CK409" s="1455"/>
      <c r="CL409" s="1455"/>
      <c r="CM409" s="1455"/>
      <c r="CN409" s="1455"/>
      <c r="CO409" s="1455"/>
      <c r="CP409" s="1455">
        <f>SUM(CD409:CO409)</f>
        <v>0</v>
      </c>
      <c r="CR409" s="1455"/>
      <c r="CS409" s="1455"/>
      <c r="CT409" s="1455"/>
      <c r="CU409" s="1455"/>
      <c r="CV409" s="1455"/>
      <c r="CW409" s="1455"/>
      <c r="CX409" s="1455"/>
      <c r="CY409" s="1455"/>
      <c r="CZ409" s="1455"/>
      <c r="DA409" s="1455"/>
      <c r="DB409" s="1455"/>
      <c r="DC409" s="1455"/>
      <c r="DD409" s="1455">
        <f t="shared" si="428"/>
        <v>0</v>
      </c>
      <c r="DF409" s="1455"/>
      <c r="DG409" s="1455"/>
      <c r="DH409" s="1455"/>
      <c r="DI409" s="1455">
        <f>SUM(DF409:DH409)</f>
        <v>0</v>
      </c>
      <c r="DJ409" s="3174">
        <f t="shared" si="534"/>
        <v>40000</v>
      </c>
      <c r="DL409" s="3180">
        <f t="shared" si="535"/>
        <v>0</v>
      </c>
      <c r="DN409" s="2780" t="s">
        <v>1175</v>
      </c>
      <c r="DO409" s="2775" t="s">
        <v>1175</v>
      </c>
      <c r="DP409" s="2775"/>
      <c r="DQ409" s="2775" t="s">
        <v>1175</v>
      </c>
      <c r="DR409" s="2775" t="str">
        <f t="shared" si="446"/>
        <v>3</v>
      </c>
      <c r="DS409" s="1037"/>
      <c r="DT409" s="1037"/>
    </row>
    <row r="410" spans="2:124" ht="98" customHeight="1" outlineLevel="5">
      <c r="B410" s="711"/>
      <c r="C410" s="182"/>
      <c r="D410" s="2946" t="s">
        <v>1002</v>
      </c>
      <c r="E410" s="159"/>
      <c r="F410" s="2946"/>
      <c r="G410" s="702" t="s">
        <v>1279</v>
      </c>
      <c r="H410" s="1547" t="s">
        <v>1003</v>
      </c>
      <c r="I410" s="703" t="s">
        <v>1600</v>
      </c>
      <c r="J410" s="177" t="s">
        <v>1605</v>
      </c>
      <c r="L410" s="364"/>
      <c r="M410" s="364"/>
      <c r="N410" s="367"/>
      <c r="O410" s="367"/>
      <c r="P410" s="367"/>
      <c r="Q410" s="367"/>
      <c r="R410" s="367"/>
      <c r="S410" s="367"/>
      <c r="T410" s="367"/>
      <c r="U410" s="367"/>
      <c r="W410" s="853" t="s">
        <v>853</v>
      </c>
      <c r="X410" s="853" t="s">
        <v>1075</v>
      </c>
      <c r="Y410" s="2515" t="s">
        <v>1561</v>
      </c>
      <c r="Z410" s="853" t="s">
        <v>1606</v>
      </c>
      <c r="AA410" s="2516" t="s">
        <v>1607</v>
      </c>
      <c r="AB410" s="177"/>
      <c r="AD410" s="711" t="s">
        <v>1280</v>
      </c>
      <c r="AE410" s="712">
        <v>5</v>
      </c>
      <c r="AF410" s="712">
        <v>18</v>
      </c>
      <c r="AG410" s="712"/>
      <c r="AH410" s="1442">
        <v>3000</v>
      </c>
      <c r="AI410" s="1442">
        <f>+AE410*AF410*AH410</f>
        <v>270000</v>
      </c>
      <c r="AJ410" s="1749" t="s">
        <v>1608</v>
      </c>
      <c r="AL410" s="1752">
        <f>+AI410</f>
        <v>270000</v>
      </c>
      <c r="AM410" s="1752"/>
      <c r="AN410" s="1752">
        <f t="shared" si="528"/>
        <v>270000</v>
      </c>
      <c r="AP410" s="1455">
        <v>0</v>
      </c>
      <c r="AQ410" s="1455">
        <v>0</v>
      </c>
      <c r="AR410" s="1455">
        <v>0</v>
      </c>
      <c r="AS410" s="1455">
        <v>0</v>
      </c>
      <c r="AT410" s="1455">
        <v>0</v>
      </c>
      <c r="AU410" s="1455">
        <v>0</v>
      </c>
      <c r="AV410" s="1455">
        <v>0</v>
      </c>
      <c r="AW410" s="1455">
        <v>0</v>
      </c>
      <c r="AX410" s="1455">
        <v>0</v>
      </c>
      <c r="AY410" s="1455">
        <v>0</v>
      </c>
      <c r="AZ410" s="1566">
        <f t="shared" si="420"/>
        <v>0</v>
      </c>
      <c r="BB410" s="1455">
        <v>0</v>
      </c>
      <c r="BC410" s="1455">
        <v>0</v>
      </c>
      <c r="BD410" s="1455">
        <v>0</v>
      </c>
      <c r="BE410" s="1455">
        <v>0</v>
      </c>
      <c r="BF410" s="1455">
        <v>0</v>
      </c>
      <c r="BG410" s="1455">
        <v>0</v>
      </c>
      <c r="BH410" s="1455">
        <v>0</v>
      </c>
      <c r="BI410" s="1455">
        <v>0</v>
      </c>
      <c r="BJ410" s="1455">
        <v>0</v>
      </c>
      <c r="BK410" s="1455">
        <v>0</v>
      </c>
      <c r="BL410" s="1455">
        <v>0</v>
      </c>
      <c r="BM410" s="1455">
        <v>0</v>
      </c>
      <c r="BN410" s="1566">
        <f t="shared" si="422"/>
        <v>0</v>
      </c>
      <c r="BP410" s="1455">
        <v>0</v>
      </c>
      <c r="BQ410" s="1455">
        <v>0</v>
      </c>
      <c r="BR410" s="1455">
        <v>0</v>
      </c>
      <c r="BS410" s="1455">
        <v>0</v>
      </c>
      <c r="BT410" s="1455">
        <v>0</v>
      </c>
      <c r="BU410" s="1455">
        <v>0</v>
      </c>
      <c r="BV410" s="1455">
        <v>0</v>
      </c>
      <c r="BW410" s="1455">
        <v>0</v>
      </c>
      <c r="BX410" s="1455">
        <v>0</v>
      </c>
      <c r="BY410" s="1455">
        <v>0</v>
      </c>
      <c r="BZ410" s="1455"/>
      <c r="CA410" s="1455">
        <v>0</v>
      </c>
      <c r="CB410" s="1566">
        <f t="shared" si="424"/>
        <v>0</v>
      </c>
      <c r="CD410" s="1455">
        <v>0</v>
      </c>
      <c r="CE410" s="1455">
        <v>0</v>
      </c>
      <c r="CF410" s="1455"/>
      <c r="CG410" s="1455">
        <v>0</v>
      </c>
      <c r="CH410" s="1455">
        <v>0</v>
      </c>
      <c r="CI410" s="1752">
        <v>0</v>
      </c>
      <c r="CJ410" s="1752">
        <f>+$AI$410*16.6667%</f>
        <v>45000.09</v>
      </c>
      <c r="CK410" s="1752">
        <v>0</v>
      </c>
      <c r="CL410" s="1752">
        <v>0</v>
      </c>
      <c r="CM410" s="1752">
        <f>+$AI$410*16.6667%</f>
        <v>45000.09</v>
      </c>
      <c r="CN410" s="1455"/>
      <c r="CO410" s="1455">
        <v>0</v>
      </c>
      <c r="CP410" s="1566">
        <f t="shared" si="426"/>
        <v>90000.18</v>
      </c>
      <c r="CR410" s="1455">
        <v>0</v>
      </c>
      <c r="CS410" s="1752">
        <f>+$AI$410*16.6667%</f>
        <v>45000.09</v>
      </c>
      <c r="CT410" s="1752"/>
      <c r="CU410" s="1752"/>
      <c r="CV410" s="1752">
        <f>+$AI$410*16.6667%</f>
        <v>45000.09</v>
      </c>
      <c r="CW410" s="1752">
        <v>0</v>
      </c>
      <c r="CX410" s="1752">
        <v>0</v>
      </c>
      <c r="CY410" s="1752">
        <v>0</v>
      </c>
      <c r="CZ410" s="1752">
        <f>+$AI$410*16.6667%</f>
        <v>45000.09</v>
      </c>
      <c r="DA410" s="1752">
        <v>0</v>
      </c>
      <c r="DB410" s="1752">
        <v>0</v>
      </c>
      <c r="DC410" s="1752">
        <f>+$AI$410*16.6667%-0.54</f>
        <v>44999.549999999996</v>
      </c>
      <c r="DD410" s="1566">
        <f>SUM(CR410:DC410)</f>
        <v>179999.81999999998</v>
      </c>
      <c r="DF410" s="1455">
        <v>0</v>
      </c>
      <c r="DG410" s="1455">
        <v>0</v>
      </c>
      <c r="DH410" s="1455">
        <v>0</v>
      </c>
      <c r="DI410" s="1566">
        <f t="shared" si="429"/>
        <v>0</v>
      </c>
      <c r="DJ410" s="3174">
        <f t="shared" si="534"/>
        <v>270000</v>
      </c>
      <c r="DL410" s="3180">
        <f t="shared" si="535"/>
        <v>0</v>
      </c>
      <c r="DN410" s="2780" t="s">
        <v>1180</v>
      </c>
      <c r="DO410" s="2736" t="s">
        <v>1181</v>
      </c>
      <c r="DP410" s="2736" t="s">
        <v>1117</v>
      </c>
      <c r="DQ410" s="2736" t="s">
        <v>4</v>
      </c>
      <c r="DR410" s="2736" t="str">
        <f t="shared" si="446"/>
        <v>3</v>
      </c>
      <c r="DS410" s="1037"/>
      <c r="DT410" s="1037"/>
    </row>
    <row r="411" spans="2:124" s="153" customFormat="1" ht="45" outlineLevel="3">
      <c r="B411" s="2840"/>
      <c r="C411" s="397"/>
      <c r="D411" s="2949" t="s">
        <v>1004</v>
      </c>
      <c r="E411" s="704"/>
      <c r="F411" s="2949"/>
      <c r="G411" s="395"/>
      <c r="H411" s="1249" t="s">
        <v>1005</v>
      </c>
      <c r="I411" s="536"/>
      <c r="J411" s="399" t="s">
        <v>1556</v>
      </c>
      <c r="K411" s="1037"/>
      <c r="L411" s="851" t="e">
        <f>'1_MdR'!#REF!</f>
        <v>#REF!</v>
      </c>
      <c r="M411" s="851" t="e">
        <f>'1_MdR'!#REF!</f>
        <v>#REF!</v>
      </c>
      <c r="N411" s="402" t="e">
        <f>'1_MdR'!#REF!</f>
        <v>#REF!</v>
      </c>
      <c r="O411" s="402" t="e">
        <f>'1_MdR'!#REF!</f>
        <v>#REF!</v>
      </c>
      <c r="P411" s="402" t="e">
        <f>'1_MdR'!#REF!</f>
        <v>#REF!</v>
      </c>
      <c r="Q411" s="402" t="e">
        <f>'1_MdR'!#REF!</f>
        <v>#REF!</v>
      </c>
      <c r="R411" s="402" t="e">
        <f>'1_MdR'!#REF!</f>
        <v>#REF!</v>
      </c>
      <c r="S411" s="402" t="e">
        <f>'1_MdR'!#REF!</f>
        <v>#REF!</v>
      </c>
      <c r="T411" s="402" t="e">
        <f>'1_MdR'!#REF!</f>
        <v>#REF!</v>
      </c>
      <c r="U411" s="402" t="e">
        <f>'1_MdR'!#REF!</f>
        <v>#REF!</v>
      </c>
      <c r="V411" s="1037"/>
      <c r="W411" s="851"/>
      <c r="X411" s="851"/>
      <c r="Y411" s="851"/>
      <c r="Z411" s="851"/>
      <c r="AA411" s="851"/>
      <c r="AB411" s="399"/>
      <c r="AC411" s="1037"/>
      <c r="AD411" s="2840"/>
      <c r="AE411" s="397"/>
      <c r="AF411" s="397"/>
      <c r="AG411" s="397"/>
      <c r="AH411" s="398"/>
      <c r="AI411" s="1458">
        <f>+AI412+AI417+AI418</f>
        <v>465000</v>
      </c>
      <c r="AJ411" s="680"/>
      <c r="AK411" s="1037"/>
      <c r="AL411" s="1458">
        <f>+AL412+AL417+AL418</f>
        <v>465000</v>
      </c>
      <c r="AM411" s="1458">
        <f>+AM412+AM417+AM418</f>
        <v>0</v>
      </c>
      <c r="AN411" s="398">
        <f>+AL411+AM411</f>
        <v>465000</v>
      </c>
      <c r="AO411" s="1037"/>
      <c r="AP411" s="1458">
        <f t="shared" ref="AP411:AY411" si="552">+AP412+AP417+AP418</f>
        <v>0</v>
      </c>
      <c r="AQ411" s="1458">
        <f t="shared" si="552"/>
        <v>0</v>
      </c>
      <c r="AR411" s="1458">
        <f t="shared" si="552"/>
        <v>0</v>
      </c>
      <c r="AS411" s="1458">
        <f t="shared" si="552"/>
        <v>0</v>
      </c>
      <c r="AT411" s="1458">
        <f t="shared" si="552"/>
        <v>0</v>
      </c>
      <c r="AU411" s="1458">
        <f t="shared" si="552"/>
        <v>0</v>
      </c>
      <c r="AV411" s="1458">
        <f t="shared" si="552"/>
        <v>0</v>
      </c>
      <c r="AW411" s="1458">
        <f t="shared" si="552"/>
        <v>0</v>
      </c>
      <c r="AX411" s="1458">
        <f t="shared" si="552"/>
        <v>0</v>
      </c>
      <c r="AY411" s="1458">
        <f t="shared" si="552"/>
        <v>0</v>
      </c>
      <c r="AZ411" s="398">
        <f t="shared" si="420"/>
        <v>0</v>
      </c>
      <c r="BA411" s="1037"/>
      <c r="BB411" s="1458">
        <f>+BB412+BB417+BB418</f>
        <v>0</v>
      </c>
      <c r="BC411" s="1458">
        <f t="shared" ref="BC411:BM411" si="553">+BC412+BC417+BC418</f>
        <v>0</v>
      </c>
      <c r="BD411" s="1458">
        <f t="shared" si="553"/>
        <v>0</v>
      </c>
      <c r="BE411" s="1458">
        <f t="shared" si="553"/>
        <v>0</v>
      </c>
      <c r="BF411" s="1458">
        <f t="shared" si="553"/>
        <v>0</v>
      </c>
      <c r="BG411" s="1458">
        <f t="shared" si="553"/>
        <v>0</v>
      </c>
      <c r="BH411" s="1458">
        <f t="shared" si="553"/>
        <v>0</v>
      </c>
      <c r="BI411" s="1458">
        <f t="shared" si="553"/>
        <v>0</v>
      </c>
      <c r="BJ411" s="1458">
        <f t="shared" si="553"/>
        <v>0</v>
      </c>
      <c r="BK411" s="1458">
        <f t="shared" si="553"/>
        <v>0</v>
      </c>
      <c r="BL411" s="1458">
        <f t="shared" si="553"/>
        <v>0</v>
      </c>
      <c r="BM411" s="1458">
        <f t="shared" si="553"/>
        <v>18000</v>
      </c>
      <c r="BN411" s="398">
        <f t="shared" si="422"/>
        <v>18000</v>
      </c>
      <c r="BO411" s="1037"/>
      <c r="BP411" s="1458">
        <f t="shared" ref="BP411:CA411" si="554">+BP412+BP417+BP418</f>
        <v>15000</v>
      </c>
      <c r="BQ411" s="1458">
        <f t="shared" si="554"/>
        <v>30000</v>
      </c>
      <c r="BR411" s="1458">
        <f t="shared" si="554"/>
        <v>0</v>
      </c>
      <c r="BS411" s="1458">
        <f t="shared" si="554"/>
        <v>39000</v>
      </c>
      <c r="BT411" s="1458">
        <f t="shared" si="554"/>
        <v>0</v>
      </c>
      <c r="BU411" s="1458">
        <f t="shared" si="554"/>
        <v>12000</v>
      </c>
      <c r="BV411" s="1458">
        <f t="shared" si="554"/>
        <v>12000</v>
      </c>
      <c r="BW411" s="1458">
        <f t="shared" si="554"/>
        <v>18000</v>
      </c>
      <c r="BX411" s="1458">
        <f t="shared" si="554"/>
        <v>15000</v>
      </c>
      <c r="BY411" s="1458">
        <f t="shared" si="554"/>
        <v>21000</v>
      </c>
      <c r="BZ411" s="1458">
        <f t="shared" si="554"/>
        <v>0</v>
      </c>
      <c r="CA411" s="1458">
        <f t="shared" si="554"/>
        <v>0</v>
      </c>
      <c r="CB411" s="398">
        <f>SUM(BP411:CA411)</f>
        <v>162000</v>
      </c>
      <c r="CC411" s="1037"/>
      <c r="CD411" s="1458">
        <f t="shared" ref="CD411:CO411" si="555">+CD412+CD417+CD418</f>
        <v>30000</v>
      </c>
      <c r="CE411" s="1458">
        <f t="shared" si="555"/>
        <v>27000</v>
      </c>
      <c r="CF411" s="1458">
        <f t="shared" si="555"/>
        <v>0</v>
      </c>
      <c r="CG411" s="1458">
        <f t="shared" si="555"/>
        <v>60000</v>
      </c>
      <c r="CH411" s="1458">
        <f t="shared" si="555"/>
        <v>0</v>
      </c>
      <c r="CI411" s="1458">
        <f t="shared" si="555"/>
        <v>54000</v>
      </c>
      <c r="CJ411" s="1458">
        <f t="shared" si="555"/>
        <v>60000</v>
      </c>
      <c r="CK411" s="1458">
        <f t="shared" si="555"/>
        <v>0</v>
      </c>
      <c r="CL411" s="1458">
        <f t="shared" si="555"/>
        <v>54000</v>
      </c>
      <c r="CM411" s="1458">
        <f t="shared" si="555"/>
        <v>0</v>
      </c>
      <c r="CN411" s="1458">
        <f t="shared" si="555"/>
        <v>0</v>
      </c>
      <c r="CO411" s="1458">
        <f t="shared" si="555"/>
        <v>0</v>
      </c>
      <c r="CP411" s="398">
        <f t="shared" si="426"/>
        <v>285000</v>
      </c>
      <c r="CQ411" s="1037"/>
      <c r="CR411" s="1458">
        <f t="shared" ref="CR411:DC411" si="556">+CR412+CR417+CR418</f>
        <v>0</v>
      </c>
      <c r="CS411" s="1458">
        <f t="shared" si="556"/>
        <v>0</v>
      </c>
      <c r="CT411" s="1458">
        <f t="shared" si="556"/>
        <v>0</v>
      </c>
      <c r="CU411" s="1458">
        <f t="shared" si="556"/>
        <v>0</v>
      </c>
      <c r="CV411" s="1458">
        <f t="shared" si="556"/>
        <v>0</v>
      </c>
      <c r="CW411" s="1458">
        <f t="shared" si="556"/>
        <v>0</v>
      </c>
      <c r="CX411" s="1458">
        <f t="shared" si="556"/>
        <v>0</v>
      </c>
      <c r="CY411" s="1458">
        <f t="shared" si="556"/>
        <v>0</v>
      </c>
      <c r="CZ411" s="1458">
        <f t="shared" si="556"/>
        <v>0</v>
      </c>
      <c r="DA411" s="1458">
        <f t="shared" si="556"/>
        <v>0</v>
      </c>
      <c r="DB411" s="1458">
        <f t="shared" si="556"/>
        <v>0</v>
      </c>
      <c r="DC411" s="1458">
        <f t="shared" si="556"/>
        <v>0</v>
      </c>
      <c r="DD411" s="398">
        <f>SUM(CR411:DC411)</f>
        <v>0</v>
      </c>
      <c r="DE411" s="1037"/>
      <c r="DF411" s="1458">
        <f>+DF412+DF417+DF418</f>
        <v>0</v>
      </c>
      <c r="DG411" s="1458">
        <f>+DG412+DG417+DG418</f>
        <v>0</v>
      </c>
      <c r="DH411" s="1458">
        <f>+DH412+DH417+DH418</f>
        <v>0</v>
      </c>
      <c r="DI411" s="3087">
        <f t="shared" si="429"/>
        <v>0</v>
      </c>
      <c r="DJ411" s="3153">
        <f>+AZ411+BN411+CB411+CP411+DD411+DI411</f>
        <v>465000</v>
      </c>
      <c r="DL411" s="3180">
        <f>+AN411-DJ411</f>
        <v>0</v>
      </c>
      <c r="DN411" s="2725" t="s">
        <v>1175</v>
      </c>
      <c r="DO411" s="2728" t="s">
        <v>1175</v>
      </c>
      <c r="DP411" s="2728"/>
      <c r="DQ411" s="2728" t="s">
        <v>1175</v>
      </c>
      <c r="DR411" s="2728" t="str">
        <f t="shared" si="446"/>
        <v>3</v>
      </c>
      <c r="DS411" s="1037"/>
      <c r="DT411" s="1037"/>
    </row>
    <row r="412" spans="2:124" s="881" customFormat="1" ht="30" outlineLevel="4">
      <c r="B412" s="711"/>
      <c r="C412" s="182"/>
      <c r="D412" s="2953" t="s">
        <v>1609</v>
      </c>
      <c r="E412" s="580"/>
      <c r="F412" s="2953"/>
      <c r="G412" s="107" t="s">
        <v>1279</v>
      </c>
      <c r="H412" s="2698" t="s">
        <v>1610</v>
      </c>
      <c r="I412" s="611"/>
      <c r="J412" s="103"/>
      <c r="K412" s="1037"/>
      <c r="L412" s="611" t="s">
        <v>1357</v>
      </c>
      <c r="M412" s="361"/>
      <c r="N412" s="361"/>
      <c r="O412" s="361"/>
      <c r="P412" s="361"/>
      <c r="Q412" s="361"/>
      <c r="R412" s="361"/>
      <c r="S412" s="361"/>
      <c r="T412" s="361"/>
      <c r="U412" s="361"/>
      <c r="V412" s="1037"/>
      <c r="W412" s="858"/>
      <c r="X412" s="853"/>
      <c r="Y412" s="2513"/>
      <c r="Z412" s="858"/>
      <c r="AA412" s="858"/>
      <c r="AB412" s="1749"/>
      <c r="AC412" s="1037"/>
      <c r="AD412" s="711"/>
      <c r="AE412" s="712"/>
      <c r="AF412" s="179"/>
      <c r="AG412" s="179"/>
      <c r="AH412" s="618"/>
      <c r="AI412" s="1032">
        <f>SUM(AI413:AI416)</f>
        <v>180000</v>
      </c>
      <c r="AJ412" s="1267"/>
      <c r="AK412" s="1037"/>
      <c r="AL412" s="1032">
        <f>SUM(AL413:AL416)</f>
        <v>180000</v>
      </c>
      <c r="AM412" s="1032">
        <f>SUM(AM413:AM416)</f>
        <v>0</v>
      </c>
      <c r="AN412" s="1032">
        <f t="shared" si="528"/>
        <v>180000</v>
      </c>
      <c r="AO412" s="1037"/>
      <c r="AP412" s="1032">
        <f t="shared" ref="AP412:AY412" si="557">SUM(AP413:AP416)</f>
        <v>0</v>
      </c>
      <c r="AQ412" s="1032">
        <f t="shared" si="557"/>
        <v>0</v>
      </c>
      <c r="AR412" s="1032">
        <f t="shared" si="557"/>
        <v>0</v>
      </c>
      <c r="AS412" s="1032">
        <f t="shared" si="557"/>
        <v>0</v>
      </c>
      <c r="AT412" s="1032">
        <f t="shared" si="557"/>
        <v>0</v>
      </c>
      <c r="AU412" s="1032">
        <f t="shared" si="557"/>
        <v>0</v>
      </c>
      <c r="AV412" s="1032">
        <f t="shared" si="557"/>
        <v>0</v>
      </c>
      <c r="AW412" s="1032">
        <f t="shared" si="557"/>
        <v>0</v>
      </c>
      <c r="AX412" s="1032">
        <f t="shared" si="557"/>
        <v>0</v>
      </c>
      <c r="AY412" s="1032">
        <f t="shared" si="557"/>
        <v>0</v>
      </c>
      <c r="AZ412" s="2011">
        <f t="shared" si="420"/>
        <v>0</v>
      </c>
      <c r="BA412" s="1037"/>
      <c r="BB412" s="1032">
        <f t="shared" ref="BB412:BM412" si="558">SUM(BB413:BB416)</f>
        <v>0</v>
      </c>
      <c r="BC412" s="1048">
        <f t="shared" si="558"/>
        <v>0</v>
      </c>
      <c r="BD412" s="1048">
        <f t="shared" si="558"/>
        <v>0</v>
      </c>
      <c r="BE412" s="1048">
        <f t="shared" si="558"/>
        <v>0</v>
      </c>
      <c r="BF412" s="1048">
        <f t="shared" si="558"/>
        <v>0</v>
      </c>
      <c r="BG412" s="1048">
        <f t="shared" si="558"/>
        <v>0</v>
      </c>
      <c r="BH412" s="1048">
        <f t="shared" si="558"/>
        <v>0</v>
      </c>
      <c r="BI412" s="1048">
        <f t="shared" si="558"/>
        <v>0</v>
      </c>
      <c r="BJ412" s="1048">
        <f t="shared" si="558"/>
        <v>0</v>
      </c>
      <c r="BK412" s="1048">
        <f t="shared" si="558"/>
        <v>0</v>
      </c>
      <c r="BL412" s="1048">
        <f t="shared" si="558"/>
        <v>0</v>
      </c>
      <c r="BM412" s="1048">
        <f t="shared" si="558"/>
        <v>18000</v>
      </c>
      <c r="BN412" s="2011">
        <f t="shared" si="422"/>
        <v>18000</v>
      </c>
      <c r="BO412" s="1037"/>
      <c r="BP412" s="1048">
        <f>SUM(BP413:BP416)</f>
        <v>15000</v>
      </c>
      <c r="BQ412" s="1048">
        <f t="shared" ref="BQ412:CA412" si="559">SUM(BQ413:BQ416)</f>
        <v>30000</v>
      </c>
      <c r="BR412" s="1048">
        <f t="shared" si="559"/>
        <v>0</v>
      </c>
      <c r="BS412" s="1048">
        <f t="shared" si="559"/>
        <v>39000</v>
      </c>
      <c r="BT412" s="1048">
        <f t="shared" si="559"/>
        <v>0</v>
      </c>
      <c r="BU412" s="1048">
        <f t="shared" si="559"/>
        <v>12000</v>
      </c>
      <c r="BV412" s="1048">
        <f t="shared" si="559"/>
        <v>12000</v>
      </c>
      <c r="BW412" s="1048">
        <f t="shared" si="559"/>
        <v>18000</v>
      </c>
      <c r="BX412" s="1048">
        <f t="shared" si="559"/>
        <v>15000</v>
      </c>
      <c r="BY412" s="1048">
        <f>SUM(BY413:BY416)</f>
        <v>21000</v>
      </c>
      <c r="BZ412" s="1048">
        <f>SUM(BZ413:BZ416)</f>
        <v>0</v>
      </c>
      <c r="CA412" s="1048">
        <f t="shared" si="559"/>
        <v>0</v>
      </c>
      <c r="CB412" s="2011">
        <f t="shared" si="424"/>
        <v>162000</v>
      </c>
      <c r="CC412" s="1037"/>
      <c r="CD412" s="1032">
        <f t="shared" ref="CD412:CO412" si="560">SUM(CD413:CD416)</f>
        <v>0</v>
      </c>
      <c r="CE412" s="1032">
        <f t="shared" si="560"/>
        <v>0</v>
      </c>
      <c r="CF412" s="1032">
        <f t="shared" si="560"/>
        <v>0</v>
      </c>
      <c r="CG412" s="1032">
        <f t="shared" si="560"/>
        <v>0</v>
      </c>
      <c r="CH412" s="1032">
        <f t="shared" si="560"/>
        <v>0</v>
      </c>
      <c r="CI412" s="1032">
        <f t="shared" si="560"/>
        <v>0</v>
      </c>
      <c r="CJ412" s="1032">
        <f t="shared" si="560"/>
        <v>0</v>
      </c>
      <c r="CK412" s="1032">
        <f t="shared" si="560"/>
        <v>0</v>
      </c>
      <c r="CL412" s="1032">
        <f t="shared" si="560"/>
        <v>0</v>
      </c>
      <c r="CM412" s="1032">
        <f t="shared" si="560"/>
        <v>0</v>
      </c>
      <c r="CN412" s="1032">
        <f t="shared" si="560"/>
        <v>0</v>
      </c>
      <c r="CO412" s="1032">
        <f t="shared" si="560"/>
        <v>0</v>
      </c>
      <c r="CP412" s="2014">
        <f t="shared" si="426"/>
        <v>0</v>
      </c>
      <c r="CQ412" s="1037"/>
      <c r="CR412" s="1032">
        <f t="shared" ref="CR412:DC412" si="561">SUM(CR413:CR416)</f>
        <v>0</v>
      </c>
      <c r="CS412" s="1032">
        <f t="shared" si="561"/>
        <v>0</v>
      </c>
      <c r="CT412" s="1032">
        <f t="shared" si="561"/>
        <v>0</v>
      </c>
      <c r="CU412" s="1032">
        <f t="shared" si="561"/>
        <v>0</v>
      </c>
      <c r="CV412" s="1032">
        <f t="shared" si="561"/>
        <v>0</v>
      </c>
      <c r="CW412" s="1032">
        <f t="shared" si="561"/>
        <v>0</v>
      </c>
      <c r="CX412" s="1032">
        <f t="shared" si="561"/>
        <v>0</v>
      </c>
      <c r="CY412" s="1032">
        <f t="shared" si="561"/>
        <v>0</v>
      </c>
      <c r="CZ412" s="1032">
        <f t="shared" si="561"/>
        <v>0</v>
      </c>
      <c r="DA412" s="1032">
        <f t="shared" si="561"/>
        <v>0</v>
      </c>
      <c r="DB412" s="1032">
        <f t="shared" si="561"/>
        <v>0</v>
      </c>
      <c r="DC412" s="1032">
        <f t="shared" si="561"/>
        <v>0</v>
      </c>
      <c r="DD412" s="995">
        <f t="shared" si="428"/>
        <v>0</v>
      </c>
      <c r="DE412" s="1037"/>
      <c r="DF412" s="1032">
        <f>SUM(DF413:DF416)</f>
        <v>0</v>
      </c>
      <c r="DG412" s="1032">
        <f>SUM(DG413:DG416)</f>
        <v>0</v>
      </c>
      <c r="DH412" s="1032">
        <f>SUM(DH413:DH416)</f>
        <v>0</v>
      </c>
      <c r="DI412" s="1032">
        <f>SUM(DI413:DI416)</f>
        <v>0</v>
      </c>
      <c r="DJ412" s="3158">
        <f t="shared" si="534"/>
        <v>180000</v>
      </c>
      <c r="DK412" s="108"/>
      <c r="DL412" s="3180">
        <f t="shared" si="535"/>
        <v>0</v>
      </c>
      <c r="DN412" s="2716" t="s">
        <v>1175</v>
      </c>
      <c r="DO412" s="2740" t="s">
        <v>1175</v>
      </c>
      <c r="DP412" s="2740"/>
      <c r="DQ412" s="2740" t="s">
        <v>1175</v>
      </c>
      <c r="DR412" s="2740" t="str">
        <f t="shared" si="446"/>
        <v>3</v>
      </c>
      <c r="DS412" s="1037"/>
      <c r="DT412" s="1037"/>
    </row>
    <row r="413" spans="2:124" s="881" customFormat="1" ht="15" outlineLevel="5">
      <c r="B413" s="711"/>
      <c r="C413" s="182"/>
      <c r="D413" s="2953" t="s">
        <v>1006</v>
      </c>
      <c r="E413" s="580"/>
      <c r="F413" s="2953"/>
      <c r="G413" s="107" t="s">
        <v>1279</v>
      </c>
      <c r="H413" s="2705" t="s">
        <v>1007</v>
      </c>
      <c r="I413" s="611"/>
      <c r="J413" s="103"/>
      <c r="K413" s="1037"/>
      <c r="L413" s="611"/>
      <c r="M413" s="361"/>
      <c r="N413" s="361"/>
      <c r="O413" s="361"/>
      <c r="P413" s="361"/>
      <c r="Q413" s="361"/>
      <c r="R413" s="361"/>
      <c r="S413" s="361"/>
      <c r="T413" s="361"/>
      <c r="U413" s="361"/>
      <c r="V413" s="1037"/>
      <c r="W413" s="858"/>
      <c r="X413" s="858"/>
      <c r="Y413" s="2513"/>
      <c r="Z413" s="858"/>
      <c r="AA413" s="858"/>
      <c r="AB413" s="1749"/>
      <c r="AC413" s="1037"/>
      <c r="AD413" s="711"/>
      <c r="AE413" s="712"/>
      <c r="AF413" s="179"/>
      <c r="AG413" s="179"/>
      <c r="AH413" s="618"/>
      <c r="AI413" s="1032">
        <f>AE413*AH413</f>
        <v>0</v>
      </c>
      <c r="AJ413" s="1267"/>
      <c r="AK413" s="1037"/>
      <c r="AL413" s="1032">
        <f t="shared" ref="AL413:AL419" si="562">+AI413</f>
        <v>0</v>
      </c>
      <c r="AM413" s="1032"/>
      <c r="AN413" s="1041">
        <f t="shared" si="528"/>
        <v>0</v>
      </c>
      <c r="AO413" s="1037"/>
      <c r="AP413" s="986"/>
      <c r="AQ413" s="986"/>
      <c r="AR413" s="986"/>
      <c r="AS413" s="986"/>
      <c r="AT413" s="986"/>
      <c r="AU413" s="986"/>
      <c r="AV413" s="986"/>
      <c r="AW413" s="986"/>
      <c r="AX413" s="986"/>
      <c r="AY413" s="986"/>
      <c r="AZ413" s="2011">
        <f t="shared" si="420"/>
        <v>0</v>
      </c>
      <c r="BA413" s="1037"/>
      <c r="BB413" s="986"/>
      <c r="BC413" s="1015"/>
      <c r="BD413" s="1015"/>
      <c r="BE413" s="1015"/>
      <c r="BF413" s="1015"/>
      <c r="BG413" s="1015"/>
      <c r="BH413" s="1015"/>
      <c r="BI413" s="1015"/>
      <c r="BJ413" s="1015"/>
      <c r="BK413" s="1015"/>
      <c r="BL413" s="1015"/>
      <c r="BM413" s="1015"/>
      <c r="BN413" s="2011">
        <f t="shared" si="422"/>
        <v>0</v>
      </c>
      <c r="BO413" s="1037"/>
      <c r="BP413" s="1015"/>
      <c r="BQ413" s="1015"/>
      <c r="BR413" s="1015"/>
      <c r="BS413" s="1015"/>
      <c r="BT413" s="1015"/>
      <c r="BU413" s="1015"/>
      <c r="BV413" s="1015"/>
      <c r="BW413" s="1015"/>
      <c r="BX413" s="1015"/>
      <c r="BY413" s="1015"/>
      <c r="BZ413" s="1015"/>
      <c r="CA413" s="1015"/>
      <c r="CB413" s="2011">
        <f t="shared" si="424"/>
        <v>0</v>
      </c>
      <c r="CC413" s="1037"/>
      <c r="CD413" s="986"/>
      <c r="CE413" s="986"/>
      <c r="CF413" s="986"/>
      <c r="CG413" s="986"/>
      <c r="CH413" s="986"/>
      <c r="CI413" s="986"/>
      <c r="CJ413" s="986"/>
      <c r="CK413" s="986"/>
      <c r="CL413" s="986"/>
      <c r="CM413" s="986"/>
      <c r="CN413" s="986"/>
      <c r="CO413" s="986"/>
      <c r="CP413" s="2014">
        <f t="shared" si="426"/>
        <v>0</v>
      </c>
      <c r="CQ413" s="1037"/>
      <c r="CR413" s="986"/>
      <c r="CS413" s="986"/>
      <c r="CT413" s="986"/>
      <c r="CU413" s="986"/>
      <c r="CV413" s="986"/>
      <c r="CW413" s="986"/>
      <c r="CX413" s="986"/>
      <c r="CY413" s="986"/>
      <c r="CZ413" s="986"/>
      <c r="DA413" s="986"/>
      <c r="DB413" s="986"/>
      <c r="DC413" s="986"/>
      <c r="DD413" s="995">
        <f t="shared" si="428"/>
        <v>0</v>
      </c>
      <c r="DE413" s="1037"/>
      <c r="DF413" s="986"/>
      <c r="DG413" s="986"/>
      <c r="DH413" s="986"/>
      <c r="DI413" s="3085">
        <f t="shared" si="429"/>
        <v>0</v>
      </c>
      <c r="DJ413" s="3158">
        <f t="shared" si="534"/>
        <v>0</v>
      </c>
      <c r="DK413" s="108"/>
      <c r="DL413" s="3180">
        <f t="shared" si="535"/>
        <v>0</v>
      </c>
      <c r="DN413" s="2716" t="s">
        <v>1175</v>
      </c>
      <c r="DO413" s="2740" t="s">
        <v>1175</v>
      </c>
      <c r="DP413" s="2740"/>
      <c r="DQ413" s="2740" t="s">
        <v>1175</v>
      </c>
      <c r="DR413" s="2740" t="str">
        <f t="shared" si="446"/>
        <v>3</v>
      </c>
      <c r="DS413" s="1037"/>
      <c r="DT413" s="1037"/>
    </row>
    <row r="414" spans="2:124" s="881" customFormat="1" ht="45" outlineLevel="5">
      <c r="B414" s="711"/>
      <c r="C414" s="182"/>
      <c r="D414" s="2953" t="s">
        <v>1008</v>
      </c>
      <c r="E414" s="580"/>
      <c r="F414" s="2953"/>
      <c r="G414" s="107" t="s">
        <v>1279</v>
      </c>
      <c r="H414" s="2705" t="s">
        <v>1009</v>
      </c>
      <c r="I414" s="611"/>
      <c r="J414" s="103"/>
      <c r="K414" s="1037"/>
      <c r="L414" s="611"/>
      <c r="M414" s="361"/>
      <c r="N414" s="361"/>
      <c r="O414" s="361"/>
      <c r="P414" s="361"/>
      <c r="Q414" s="361"/>
      <c r="R414" s="361"/>
      <c r="S414" s="361"/>
      <c r="T414" s="361"/>
      <c r="U414" s="361"/>
      <c r="V414" s="1037"/>
      <c r="W414" s="858" t="s">
        <v>763</v>
      </c>
      <c r="X414" s="858" t="s">
        <v>1075</v>
      </c>
      <c r="Y414" s="2513" t="s">
        <v>1187</v>
      </c>
      <c r="Z414" s="853">
        <v>38</v>
      </c>
      <c r="AA414" s="858"/>
      <c r="AB414" s="1749"/>
      <c r="AC414" s="1037"/>
      <c r="AD414" s="711" t="s">
        <v>1280</v>
      </c>
      <c r="AE414" s="1050">
        <v>1</v>
      </c>
      <c r="AF414" s="1050">
        <v>1</v>
      </c>
      <c r="AG414" s="179"/>
      <c r="AH414" s="618">
        <v>60000</v>
      </c>
      <c r="AI414" s="1032">
        <f>AE414*AF414*AH414</f>
        <v>60000</v>
      </c>
      <c r="AJ414" s="1267"/>
      <c r="AK414" s="1037"/>
      <c r="AL414" s="1032">
        <f t="shared" si="562"/>
        <v>60000</v>
      </c>
      <c r="AM414" s="1032"/>
      <c r="AN414" s="1041">
        <f t="shared" si="528"/>
        <v>60000</v>
      </c>
      <c r="AO414" s="1037"/>
      <c r="AP414" s="986">
        <v>0</v>
      </c>
      <c r="AQ414" s="986">
        <v>0</v>
      </c>
      <c r="AR414" s="986">
        <v>0</v>
      </c>
      <c r="AS414" s="986">
        <v>0</v>
      </c>
      <c r="AT414" s="986">
        <v>0</v>
      </c>
      <c r="AU414" s="986">
        <v>0</v>
      </c>
      <c r="AV414" s="986">
        <v>0</v>
      </c>
      <c r="AW414" s="986">
        <v>0</v>
      </c>
      <c r="AX414" s="986">
        <v>0</v>
      </c>
      <c r="AY414" s="986">
        <v>0</v>
      </c>
      <c r="AZ414" s="2011">
        <f t="shared" si="420"/>
        <v>0</v>
      </c>
      <c r="BA414" s="1037"/>
      <c r="BB414" s="986">
        <v>0</v>
      </c>
      <c r="BC414" s="1015"/>
      <c r="BD414" s="1015"/>
      <c r="BE414" s="1015"/>
      <c r="BF414" s="1015"/>
      <c r="BG414" s="1015"/>
      <c r="BH414" s="1015"/>
      <c r="BI414" s="1015"/>
      <c r="BJ414" s="1015"/>
      <c r="BK414" s="1015"/>
      <c r="BL414" s="1015"/>
      <c r="BM414" s="1015">
        <f>+$AH$414*0.15</f>
        <v>9000</v>
      </c>
      <c r="BN414" s="2011">
        <f t="shared" si="422"/>
        <v>9000</v>
      </c>
      <c r="BO414" s="1037"/>
      <c r="BP414" s="1015">
        <f>+$AH$414*0.25</f>
        <v>15000</v>
      </c>
      <c r="BQ414" s="1015">
        <f>+$AH$414*0.3</f>
        <v>18000</v>
      </c>
      <c r="BR414" s="1015"/>
      <c r="BS414" s="1015">
        <f>+$AH$414*0.3</f>
        <v>18000</v>
      </c>
      <c r="BT414" s="1015"/>
      <c r="BU414" s="1015"/>
      <c r="BV414" s="1015"/>
      <c r="BW414" s="1015"/>
      <c r="BX414" s="1015"/>
      <c r="BY414" s="1015"/>
      <c r="BZ414" s="1015">
        <v>0</v>
      </c>
      <c r="CA414" s="1015">
        <v>0</v>
      </c>
      <c r="CB414" s="2011">
        <f t="shared" si="424"/>
        <v>51000</v>
      </c>
      <c r="CC414" s="1037"/>
      <c r="CD414" s="986">
        <v>0</v>
      </c>
      <c r="CE414" s="986">
        <v>0</v>
      </c>
      <c r="CF414" s="986">
        <v>0</v>
      </c>
      <c r="CG414" s="986">
        <v>0</v>
      </c>
      <c r="CH414" s="986">
        <v>0</v>
      </c>
      <c r="CI414" s="986">
        <v>0</v>
      </c>
      <c r="CJ414" s="986">
        <v>0</v>
      </c>
      <c r="CK414" s="986">
        <v>0</v>
      </c>
      <c r="CL414" s="986">
        <v>0</v>
      </c>
      <c r="CM414" s="986">
        <v>0</v>
      </c>
      <c r="CN414" s="986">
        <v>0</v>
      </c>
      <c r="CO414" s="986">
        <v>0</v>
      </c>
      <c r="CP414" s="2014">
        <f t="shared" si="426"/>
        <v>0</v>
      </c>
      <c r="CQ414" s="1037"/>
      <c r="CR414" s="986">
        <v>0</v>
      </c>
      <c r="CS414" s="986">
        <v>0</v>
      </c>
      <c r="CT414" s="986">
        <v>0</v>
      </c>
      <c r="CU414" s="986">
        <v>0</v>
      </c>
      <c r="CV414" s="986">
        <v>0</v>
      </c>
      <c r="CW414" s="986">
        <v>0</v>
      </c>
      <c r="CX414" s="986">
        <v>0</v>
      </c>
      <c r="CY414" s="986">
        <v>0</v>
      </c>
      <c r="CZ414" s="986">
        <v>0</v>
      </c>
      <c r="DA414" s="986">
        <v>0</v>
      </c>
      <c r="DB414" s="986">
        <v>0</v>
      </c>
      <c r="DC414" s="986">
        <v>0</v>
      </c>
      <c r="DD414" s="995">
        <f t="shared" si="428"/>
        <v>0</v>
      </c>
      <c r="DE414" s="1037"/>
      <c r="DF414" s="986">
        <v>0</v>
      </c>
      <c r="DG414" s="986">
        <v>0</v>
      </c>
      <c r="DH414" s="986">
        <v>0</v>
      </c>
      <c r="DI414" s="3085">
        <f t="shared" si="429"/>
        <v>0</v>
      </c>
      <c r="DJ414" s="3158">
        <f t="shared" si="534"/>
        <v>60000</v>
      </c>
      <c r="DK414" s="108"/>
      <c r="DL414" s="3180">
        <f t="shared" si="535"/>
        <v>0</v>
      </c>
      <c r="DN414" s="2716" t="s">
        <v>1180</v>
      </c>
      <c r="DO414" s="2736" t="s">
        <v>1181</v>
      </c>
      <c r="DP414" s="2736" t="s">
        <v>1117</v>
      </c>
      <c r="DQ414" s="2736" t="s">
        <v>4</v>
      </c>
      <c r="DR414" s="2736" t="str">
        <f t="shared" si="446"/>
        <v>3</v>
      </c>
      <c r="DS414" s="1037"/>
      <c r="DT414" s="1037"/>
    </row>
    <row r="415" spans="2:124" s="881" customFormat="1" ht="45" outlineLevel="5">
      <c r="B415" s="711"/>
      <c r="C415" s="182"/>
      <c r="D415" s="2953" t="s">
        <v>1010</v>
      </c>
      <c r="E415" s="580"/>
      <c r="F415" s="2953"/>
      <c r="G415" s="107" t="s">
        <v>1279</v>
      </c>
      <c r="H415" s="2705" t="s">
        <v>1011</v>
      </c>
      <c r="I415" s="611"/>
      <c r="J415" s="103"/>
      <c r="K415" s="1037"/>
      <c r="L415" s="611"/>
      <c r="M415" s="361"/>
      <c r="N415" s="361"/>
      <c r="O415" s="361"/>
      <c r="P415" s="361"/>
      <c r="Q415" s="361"/>
      <c r="R415" s="361"/>
      <c r="S415" s="361"/>
      <c r="T415" s="361"/>
      <c r="U415" s="361"/>
      <c r="V415" s="1037"/>
      <c r="W415" s="858" t="s">
        <v>763</v>
      </c>
      <c r="X415" s="858" t="s">
        <v>1075</v>
      </c>
      <c r="Y415" s="2513" t="s">
        <v>1187</v>
      </c>
      <c r="Z415" s="853">
        <v>39</v>
      </c>
      <c r="AA415" s="858"/>
      <c r="AB415" s="1749"/>
      <c r="AC415" s="1037"/>
      <c r="AD415" s="711" t="s">
        <v>1280</v>
      </c>
      <c r="AE415" s="1050">
        <v>1</v>
      </c>
      <c r="AF415" s="1050">
        <v>1</v>
      </c>
      <c r="AG415" s="179"/>
      <c r="AH415" s="618">
        <v>60000</v>
      </c>
      <c r="AI415" s="1032">
        <f>AE415*AF415*AH415</f>
        <v>60000</v>
      </c>
      <c r="AJ415" s="1267"/>
      <c r="AK415" s="1037"/>
      <c r="AL415" s="1032">
        <f t="shared" si="562"/>
        <v>60000</v>
      </c>
      <c r="AM415" s="1032"/>
      <c r="AN415" s="1041">
        <f t="shared" si="528"/>
        <v>60000</v>
      </c>
      <c r="AO415" s="1037"/>
      <c r="AP415" s="986">
        <v>0</v>
      </c>
      <c r="AQ415" s="986">
        <v>0</v>
      </c>
      <c r="AR415" s="986">
        <v>0</v>
      </c>
      <c r="AS415" s="986">
        <v>0</v>
      </c>
      <c r="AT415" s="986">
        <v>0</v>
      </c>
      <c r="AU415" s="986">
        <v>0</v>
      </c>
      <c r="AV415" s="986">
        <v>0</v>
      </c>
      <c r="AW415" s="986">
        <v>0</v>
      </c>
      <c r="AX415" s="986">
        <v>0</v>
      </c>
      <c r="AY415" s="986">
        <v>0</v>
      </c>
      <c r="AZ415" s="2011">
        <f t="shared" si="420"/>
        <v>0</v>
      </c>
      <c r="BA415" s="1037"/>
      <c r="BB415" s="986">
        <v>0</v>
      </c>
      <c r="BC415" s="1015"/>
      <c r="BD415" s="1015"/>
      <c r="BE415" s="1015"/>
      <c r="BF415" s="1015"/>
      <c r="BG415" s="1015"/>
      <c r="BH415" s="1015"/>
      <c r="BI415" s="1015"/>
      <c r="BJ415" s="1015"/>
      <c r="BK415" s="1015"/>
      <c r="BL415" s="1015"/>
      <c r="BM415" s="1015">
        <f>+$AH$415*0.15</f>
        <v>9000</v>
      </c>
      <c r="BN415" s="2011">
        <f t="shared" si="422"/>
        <v>9000</v>
      </c>
      <c r="BO415" s="1037"/>
      <c r="BP415" s="1015"/>
      <c r="BQ415" s="1015">
        <f>+$AH$415*0.2</f>
        <v>12000</v>
      </c>
      <c r="BR415" s="1015"/>
      <c r="BS415" s="1015">
        <f>+$AH$415*0.2</f>
        <v>12000</v>
      </c>
      <c r="BT415" s="1015"/>
      <c r="BU415" s="1015"/>
      <c r="BV415" s="1015">
        <f>+$AH$415*0.2</f>
        <v>12000</v>
      </c>
      <c r="BW415" s="1015"/>
      <c r="BX415" s="1015">
        <f>+$AH$415*0.25</f>
        <v>15000</v>
      </c>
      <c r="BY415" s="1015"/>
      <c r="BZ415" s="1015">
        <v>0</v>
      </c>
      <c r="CA415" s="1015">
        <v>0</v>
      </c>
      <c r="CB415" s="2011">
        <f t="shared" si="424"/>
        <v>51000</v>
      </c>
      <c r="CC415" s="1037"/>
      <c r="CD415" s="986">
        <v>0</v>
      </c>
      <c r="CE415" s="986">
        <v>0</v>
      </c>
      <c r="CF415" s="986">
        <v>0</v>
      </c>
      <c r="CG415" s="986">
        <v>0</v>
      </c>
      <c r="CH415" s="986">
        <v>0</v>
      </c>
      <c r="CI415" s="986">
        <v>0</v>
      </c>
      <c r="CJ415" s="986">
        <v>0</v>
      </c>
      <c r="CK415" s="986">
        <v>0</v>
      </c>
      <c r="CL415" s="986">
        <v>0</v>
      </c>
      <c r="CM415" s="986">
        <v>0</v>
      </c>
      <c r="CN415" s="986">
        <v>0</v>
      </c>
      <c r="CO415" s="986">
        <v>0</v>
      </c>
      <c r="CP415" s="2014">
        <f t="shared" si="426"/>
        <v>0</v>
      </c>
      <c r="CQ415" s="1037"/>
      <c r="CR415" s="986">
        <v>0</v>
      </c>
      <c r="CS415" s="986">
        <v>0</v>
      </c>
      <c r="CT415" s="986">
        <v>0</v>
      </c>
      <c r="CU415" s="986">
        <v>0</v>
      </c>
      <c r="CV415" s="986">
        <v>0</v>
      </c>
      <c r="CW415" s="986">
        <v>0</v>
      </c>
      <c r="CX415" s="986">
        <v>0</v>
      </c>
      <c r="CY415" s="986">
        <v>0</v>
      </c>
      <c r="CZ415" s="986">
        <v>0</v>
      </c>
      <c r="DA415" s="986">
        <v>0</v>
      </c>
      <c r="DB415" s="986">
        <v>0</v>
      </c>
      <c r="DC415" s="986">
        <v>0</v>
      </c>
      <c r="DD415" s="995">
        <f t="shared" si="428"/>
        <v>0</v>
      </c>
      <c r="DE415" s="1037"/>
      <c r="DF415" s="986">
        <v>0</v>
      </c>
      <c r="DG415" s="986">
        <v>0</v>
      </c>
      <c r="DH415" s="986">
        <v>0</v>
      </c>
      <c r="DI415" s="3085">
        <f t="shared" si="429"/>
        <v>0</v>
      </c>
      <c r="DJ415" s="3158">
        <f t="shared" si="534"/>
        <v>60000</v>
      </c>
      <c r="DK415" s="108"/>
      <c r="DL415" s="3180">
        <f t="shared" si="535"/>
        <v>0</v>
      </c>
      <c r="DN415" s="2716" t="s">
        <v>1180</v>
      </c>
      <c r="DO415" s="2730" t="s">
        <v>1181</v>
      </c>
      <c r="DP415" s="2736" t="s">
        <v>1117</v>
      </c>
      <c r="DQ415" s="2730" t="s">
        <v>4</v>
      </c>
      <c r="DR415" s="2730" t="str">
        <f t="shared" si="446"/>
        <v>3</v>
      </c>
      <c r="DS415" s="1037"/>
      <c r="DT415" s="1037"/>
    </row>
    <row r="416" spans="2:124" s="881" customFormat="1" ht="45" outlineLevel="5">
      <c r="B416" s="711"/>
      <c r="C416" s="182"/>
      <c r="D416" s="2953" t="s">
        <v>1012</v>
      </c>
      <c r="E416" s="580"/>
      <c r="F416" s="2953"/>
      <c r="G416" s="107" t="s">
        <v>1279</v>
      </c>
      <c r="H416" s="2705" t="s">
        <v>1013</v>
      </c>
      <c r="I416" s="611"/>
      <c r="J416" s="103"/>
      <c r="K416" s="1037"/>
      <c r="L416" s="611"/>
      <c r="M416" s="361"/>
      <c r="N416" s="361"/>
      <c r="O416" s="361"/>
      <c r="P416" s="361"/>
      <c r="Q416" s="361"/>
      <c r="R416" s="361"/>
      <c r="S416" s="361"/>
      <c r="T416" s="361"/>
      <c r="U416" s="361"/>
      <c r="V416" s="1037"/>
      <c r="W416" s="858" t="s">
        <v>763</v>
      </c>
      <c r="X416" s="858" t="s">
        <v>1075</v>
      </c>
      <c r="Y416" s="2513" t="s">
        <v>1187</v>
      </c>
      <c r="Z416" s="853">
        <v>40</v>
      </c>
      <c r="AA416" s="858"/>
      <c r="AB416" s="1749"/>
      <c r="AC416" s="1037"/>
      <c r="AD416" s="711" t="s">
        <v>1280</v>
      </c>
      <c r="AE416" s="1050">
        <v>1</v>
      </c>
      <c r="AF416" s="1050">
        <v>12</v>
      </c>
      <c r="AG416" s="179"/>
      <c r="AH416" s="618">
        <v>5000</v>
      </c>
      <c r="AI416" s="1032">
        <f>AE416*AF416*AH416</f>
        <v>60000</v>
      </c>
      <c r="AJ416" s="1267"/>
      <c r="AK416" s="1037"/>
      <c r="AL416" s="1032">
        <f t="shared" si="562"/>
        <v>60000</v>
      </c>
      <c r="AM416" s="1032"/>
      <c r="AN416" s="1041">
        <f t="shared" si="528"/>
        <v>60000</v>
      </c>
      <c r="AO416" s="1037"/>
      <c r="AP416" s="986">
        <v>0</v>
      </c>
      <c r="AQ416" s="986">
        <v>0</v>
      </c>
      <c r="AR416" s="986">
        <v>0</v>
      </c>
      <c r="AS416" s="986">
        <v>0</v>
      </c>
      <c r="AT416" s="986">
        <v>0</v>
      </c>
      <c r="AU416" s="986">
        <v>0</v>
      </c>
      <c r="AV416" s="986">
        <v>0</v>
      </c>
      <c r="AW416" s="986">
        <v>0</v>
      </c>
      <c r="AX416" s="986">
        <v>0</v>
      </c>
      <c r="AY416" s="986">
        <v>0</v>
      </c>
      <c r="AZ416" s="2011">
        <f t="shared" si="420"/>
        <v>0</v>
      </c>
      <c r="BA416" s="1037"/>
      <c r="BB416" s="986">
        <v>0</v>
      </c>
      <c r="BC416" s="1015"/>
      <c r="BD416" s="1015"/>
      <c r="BE416" s="1015"/>
      <c r="BF416" s="1015"/>
      <c r="BG416" s="1015"/>
      <c r="BH416" s="1015"/>
      <c r="BI416" s="1015"/>
      <c r="BJ416" s="1015"/>
      <c r="BK416" s="1015"/>
      <c r="BL416" s="1015"/>
      <c r="BM416" s="1015"/>
      <c r="BN416" s="2011">
        <f t="shared" si="422"/>
        <v>0</v>
      </c>
      <c r="BO416" s="1037"/>
      <c r="BP416" s="1015"/>
      <c r="BQ416" s="1015"/>
      <c r="BR416" s="1015"/>
      <c r="BS416" s="1015">
        <f>+$AI$416*0.15</f>
        <v>9000</v>
      </c>
      <c r="BT416" s="1015"/>
      <c r="BU416" s="1015">
        <f>+$AI$416*0.2</f>
        <v>12000</v>
      </c>
      <c r="BV416" s="1015"/>
      <c r="BW416" s="1015">
        <f>+$AI$416*0.3</f>
        <v>18000</v>
      </c>
      <c r="BX416" s="1015"/>
      <c r="BY416" s="1015">
        <f>+$AI$416*0.35</f>
        <v>21000</v>
      </c>
      <c r="BZ416" s="1015"/>
      <c r="CA416" s="1015"/>
      <c r="CB416" s="2011">
        <f t="shared" si="424"/>
        <v>60000</v>
      </c>
      <c r="CC416" s="1037"/>
      <c r="CD416" s="1015"/>
      <c r="CE416" s="1015"/>
      <c r="CF416" s="986">
        <v>0</v>
      </c>
      <c r="CG416" s="986">
        <v>0</v>
      </c>
      <c r="CH416" s="986">
        <v>0</v>
      </c>
      <c r="CI416" s="986">
        <v>0</v>
      </c>
      <c r="CJ416" s="986">
        <v>0</v>
      </c>
      <c r="CK416" s="986">
        <v>0</v>
      </c>
      <c r="CL416" s="986">
        <v>0</v>
      </c>
      <c r="CM416" s="986">
        <v>0</v>
      </c>
      <c r="CN416" s="986">
        <v>0</v>
      </c>
      <c r="CO416" s="986">
        <v>0</v>
      </c>
      <c r="CP416" s="2014">
        <f t="shared" si="426"/>
        <v>0</v>
      </c>
      <c r="CQ416" s="1037"/>
      <c r="CR416" s="986">
        <v>0</v>
      </c>
      <c r="CS416" s="986">
        <v>0</v>
      </c>
      <c r="CT416" s="986">
        <v>0</v>
      </c>
      <c r="CU416" s="986">
        <v>0</v>
      </c>
      <c r="CV416" s="986">
        <v>0</v>
      </c>
      <c r="CW416" s="986">
        <v>0</v>
      </c>
      <c r="CX416" s="986">
        <v>0</v>
      </c>
      <c r="CY416" s="986">
        <v>0</v>
      </c>
      <c r="CZ416" s="986">
        <v>0</v>
      </c>
      <c r="DA416" s="986">
        <v>0</v>
      </c>
      <c r="DB416" s="986">
        <v>0</v>
      </c>
      <c r="DC416" s="986">
        <v>0</v>
      </c>
      <c r="DD416" s="995">
        <f t="shared" si="428"/>
        <v>0</v>
      </c>
      <c r="DE416" s="1037"/>
      <c r="DF416" s="986">
        <v>0</v>
      </c>
      <c r="DG416" s="986">
        <v>0</v>
      </c>
      <c r="DH416" s="986">
        <v>0</v>
      </c>
      <c r="DI416" s="3085">
        <f t="shared" si="429"/>
        <v>0</v>
      </c>
      <c r="DJ416" s="3158">
        <f t="shared" si="534"/>
        <v>60000</v>
      </c>
      <c r="DK416" s="108"/>
      <c r="DL416" s="3180">
        <f t="shared" si="535"/>
        <v>0</v>
      </c>
      <c r="DN416" s="2716" t="s">
        <v>1180</v>
      </c>
      <c r="DO416" s="2730" t="s">
        <v>1181</v>
      </c>
      <c r="DP416" s="2736" t="s">
        <v>1117</v>
      </c>
      <c r="DQ416" s="2730" t="s">
        <v>4</v>
      </c>
      <c r="DR416" s="2730" t="str">
        <f t="shared" si="446"/>
        <v>3</v>
      </c>
      <c r="DS416" s="1037"/>
      <c r="DT416" s="1037"/>
    </row>
    <row r="417" spans="2:124" s="881" customFormat="1" ht="60" outlineLevel="4">
      <c r="B417" s="711"/>
      <c r="C417" s="182"/>
      <c r="D417" s="2953" t="s">
        <v>1014</v>
      </c>
      <c r="E417" s="580"/>
      <c r="F417" s="2953"/>
      <c r="G417" s="107" t="s">
        <v>1279</v>
      </c>
      <c r="H417" s="2698" t="s">
        <v>1015</v>
      </c>
      <c r="I417" s="611"/>
      <c r="J417" s="103"/>
      <c r="K417" s="1037"/>
      <c r="L417" s="611" t="s">
        <v>1611</v>
      </c>
      <c r="M417" s="361"/>
      <c r="N417" s="361"/>
      <c r="O417" s="361"/>
      <c r="P417" s="361"/>
      <c r="Q417" s="361"/>
      <c r="R417" s="361"/>
      <c r="S417" s="361"/>
      <c r="T417" s="361"/>
      <c r="U417" s="361"/>
      <c r="V417" s="1037"/>
      <c r="W417" s="853" t="s">
        <v>853</v>
      </c>
      <c r="X417" s="853" t="s">
        <v>1075</v>
      </c>
      <c r="Y417" s="2515" t="s">
        <v>1561</v>
      </c>
      <c r="Z417" s="853" t="s">
        <v>1612</v>
      </c>
      <c r="AA417" s="2513"/>
      <c r="AB417" s="1749"/>
      <c r="AC417" s="1037"/>
      <c r="AD417" s="711" t="s">
        <v>1613</v>
      </c>
      <c r="AE417" s="712">
        <v>9</v>
      </c>
      <c r="AF417" s="179"/>
      <c r="AG417" s="179"/>
      <c r="AH417" s="618">
        <v>15000</v>
      </c>
      <c r="AI417" s="1032">
        <f>AE417*AH417</f>
        <v>135000</v>
      </c>
      <c r="AJ417" s="1267" t="s">
        <v>1614</v>
      </c>
      <c r="AK417" s="1037"/>
      <c r="AL417" s="1032">
        <f t="shared" si="562"/>
        <v>135000</v>
      </c>
      <c r="AM417" s="1032"/>
      <c r="AN417" s="1041">
        <f t="shared" si="528"/>
        <v>135000</v>
      </c>
      <c r="AO417" s="1037"/>
      <c r="AP417" s="986">
        <v>0</v>
      </c>
      <c r="AQ417" s="986">
        <v>0</v>
      </c>
      <c r="AR417" s="986">
        <v>0</v>
      </c>
      <c r="AS417" s="986">
        <v>0</v>
      </c>
      <c r="AT417" s="986">
        <v>0</v>
      </c>
      <c r="AU417" s="986">
        <v>0</v>
      </c>
      <c r="AV417" s="986">
        <v>0</v>
      </c>
      <c r="AW417" s="986">
        <v>0</v>
      </c>
      <c r="AX417" s="986">
        <v>0</v>
      </c>
      <c r="AY417" s="986">
        <v>0</v>
      </c>
      <c r="AZ417" s="2011">
        <f t="shared" si="420"/>
        <v>0</v>
      </c>
      <c r="BA417" s="1037"/>
      <c r="BB417" s="986">
        <v>0</v>
      </c>
      <c r="BC417" s="986">
        <v>0</v>
      </c>
      <c r="BD417" s="986">
        <v>0</v>
      </c>
      <c r="BE417" s="986">
        <v>0</v>
      </c>
      <c r="BF417" s="986">
        <v>0</v>
      </c>
      <c r="BG417" s="986">
        <v>0</v>
      </c>
      <c r="BH417" s="986">
        <v>0</v>
      </c>
      <c r="BI417" s="986">
        <v>0</v>
      </c>
      <c r="BJ417" s="986">
        <v>0</v>
      </c>
      <c r="BK417" s="986">
        <v>0</v>
      </c>
      <c r="BL417" s="986">
        <v>0</v>
      </c>
      <c r="BM417" s="986">
        <v>0</v>
      </c>
      <c r="BN417" s="2011">
        <f t="shared" si="422"/>
        <v>0</v>
      </c>
      <c r="BO417" s="1037"/>
      <c r="BP417" s="1015">
        <v>0</v>
      </c>
      <c r="BQ417" s="1015">
        <v>0</v>
      </c>
      <c r="BR417" s="1015"/>
      <c r="BS417" s="1015">
        <f>+$AI$417*0%</f>
        <v>0</v>
      </c>
      <c r="BT417" s="1015">
        <f>+$AI$417*0%</f>
        <v>0</v>
      </c>
      <c r="BU417" s="1015">
        <f>+$AI$417*0%</f>
        <v>0</v>
      </c>
      <c r="BV417" s="1015"/>
      <c r="BW417" s="1015">
        <f>+$AI$417*0%</f>
        <v>0</v>
      </c>
      <c r="BX417" s="1015">
        <f>+$AI$417*0%</f>
        <v>0</v>
      </c>
      <c r="BY417" s="1015"/>
      <c r="BZ417" s="1015"/>
      <c r="CA417" s="1015">
        <f>+$AI$417*0%</f>
        <v>0</v>
      </c>
      <c r="CB417" s="2011">
        <f t="shared" si="424"/>
        <v>0</v>
      </c>
      <c r="CC417" s="1037"/>
      <c r="CD417" s="1015"/>
      <c r="CE417" s="1015">
        <f>+$AI$417*20%</f>
        <v>27000</v>
      </c>
      <c r="CF417" s="1015">
        <v>0</v>
      </c>
      <c r="CG417" s="1015">
        <v>0</v>
      </c>
      <c r="CH417" s="1015"/>
      <c r="CI417" s="1015">
        <f>+$AI$417*40%</f>
        <v>54000</v>
      </c>
      <c r="CJ417" s="1015">
        <v>0</v>
      </c>
      <c r="CK417" s="1015">
        <v>0</v>
      </c>
      <c r="CL417" s="1015">
        <f>+$AI$417*40%</f>
        <v>54000</v>
      </c>
      <c r="CM417" s="1015">
        <v>0</v>
      </c>
      <c r="CN417" s="1015">
        <v>0</v>
      </c>
      <c r="CO417" s="1015">
        <v>0</v>
      </c>
      <c r="CP417" s="2014">
        <f t="shared" si="426"/>
        <v>135000</v>
      </c>
      <c r="CQ417" s="1037"/>
      <c r="CR417" s="986">
        <v>0</v>
      </c>
      <c r="CS417" s="986">
        <v>0</v>
      </c>
      <c r="CT417" s="986">
        <v>0</v>
      </c>
      <c r="CU417" s="986">
        <v>0</v>
      </c>
      <c r="CV417" s="986">
        <v>0</v>
      </c>
      <c r="CW417" s="986">
        <v>0</v>
      </c>
      <c r="CX417" s="986">
        <v>0</v>
      </c>
      <c r="CY417" s="986">
        <v>0</v>
      </c>
      <c r="CZ417" s="986">
        <v>0</v>
      </c>
      <c r="DA417" s="986">
        <v>0</v>
      </c>
      <c r="DB417" s="986">
        <v>0</v>
      </c>
      <c r="DC417" s="986">
        <v>0</v>
      </c>
      <c r="DD417" s="995">
        <f t="shared" si="428"/>
        <v>0</v>
      </c>
      <c r="DE417" s="1037"/>
      <c r="DF417" s="986">
        <v>0</v>
      </c>
      <c r="DG417" s="986">
        <v>0</v>
      </c>
      <c r="DH417" s="986">
        <v>0</v>
      </c>
      <c r="DI417" s="3085">
        <f t="shared" si="429"/>
        <v>0</v>
      </c>
      <c r="DJ417" s="3158">
        <f t="shared" si="534"/>
        <v>135000</v>
      </c>
      <c r="DK417" s="108"/>
      <c r="DL417" s="3180">
        <f t="shared" si="535"/>
        <v>0</v>
      </c>
      <c r="DN417" s="2716" t="s">
        <v>1180</v>
      </c>
      <c r="DO417" s="2730" t="s">
        <v>1181</v>
      </c>
      <c r="DP417" s="2736" t="s">
        <v>1117</v>
      </c>
      <c r="DQ417" s="2730" t="s">
        <v>4</v>
      </c>
      <c r="DR417" s="2730" t="str">
        <f t="shared" si="446"/>
        <v>3</v>
      </c>
      <c r="DS417" s="1037"/>
      <c r="DT417" s="1037"/>
    </row>
    <row r="418" spans="2:124" s="881" customFormat="1" ht="75" outlineLevel="4">
      <c r="B418" s="711"/>
      <c r="C418" s="182"/>
      <c r="D418" s="2953" t="s">
        <v>1016</v>
      </c>
      <c r="E418" s="580"/>
      <c r="F418" s="2953"/>
      <c r="G418" s="107"/>
      <c r="H418" s="2698" t="s">
        <v>1017</v>
      </c>
      <c r="I418" s="611"/>
      <c r="J418" s="103"/>
      <c r="K418" s="1037"/>
      <c r="L418" s="611"/>
      <c r="M418" s="361"/>
      <c r="N418" s="361"/>
      <c r="O418" s="361"/>
      <c r="P418" s="361"/>
      <c r="Q418" s="361"/>
      <c r="R418" s="361"/>
      <c r="S418" s="361"/>
      <c r="T418" s="361"/>
      <c r="U418" s="361"/>
      <c r="V418" s="1037"/>
      <c r="W418" s="853" t="s">
        <v>853</v>
      </c>
      <c r="X418" s="853" t="s">
        <v>1075</v>
      </c>
      <c r="Y418" s="2934" t="s">
        <v>1596</v>
      </c>
      <c r="Z418" s="853">
        <v>96</v>
      </c>
      <c r="AA418" s="858"/>
      <c r="AB418" s="2518"/>
      <c r="AC418" s="1037"/>
      <c r="AD418" s="711" t="s">
        <v>1179</v>
      </c>
      <c r="AE418" s="712">
        <v>1</v>
      </c>
      <c r="AF418" s="179"/>
      <c r="AG418" s="179"/>
      <c r="AH418" s="618">
        <v>150000</v>
      </c>
      <c r="AI418" s="1032">
        <f>AE418*AH418</f>
        <v>150000</v>
      </c>
      <c r="AJ418" s="1267"/>
      <c r="AK418" s="1037"/>
      <c r="AL418" s="1032">
        <f t="shared" si="562"/>
        <v>150000</v>
      </c>
      <c r="AM418" s="1032"/>
      <c r="AN418" s="1041">
        <f t="shared" si="528"/>
        <v>150000</v>
      </c>
      <c r="AO418" s="1037"/>
      <c r="AP418" s="986">
        <v>0</v>
      </c>
      <c r="AQ418" s="986">
        <v>0</v>
      </c>
      <c r="AR418" s="986">
        <v>0</v>
      </c>
      <c r="AS418" s="986">
        <v>0</v>
      </c>
      <c r="AT418" s="986">
        <v>0</v>
      </c>
      <c r="AU418" s="986">
        <v>0</v>
      </c>
      <c r="AV418" s="986">
        <v>0</v>
      </c>
      <c r="AW418" s="986">
        <v>0</v>
      </c>
      <c r="AX418" s="986">
        <v>0</v>
      </c>
      <c r="AY418" s="986">
        <v>0</v>
      </c>
      <c r="AZ418" s="2011">
        <f t="shared" si="420"/>
        <v>0</v>
      </c>
      <c r="BA418" s="1037"/>
      <c r="BB418" s="986">
        <v>0</v>
      </c>
      <c r="BC418" s="986">
        <v>0</v>
      </c>
      <c r="BD418" s="986">
        <v>0</v>
      </c>
      <c r="BE418" s="986">
        <v>0</v>
      </c>
      <c r="BF418" s="986">
        <v>0</v>
      </c>
      <c r="BG418" s="986">
        <v>0</v>
      </c>
      <c r="BH418" s="986">
        <v>0</v>
      </c>
      <c r="BI418" s="986">
        <v>0</v>
      </c>
      <c r="BJ418" s="986">
        <v>0</v>
      </c>
      <c r="BK418" s="986">
        <v>0</v>
      </c>
      <c r="BL418" s="986">
        <v>0</v>
      </c>
      <c r="BM418" s="986">
        <v>0</v>
      </c>
      <c r="BN418" s="2011">
        <f t="shared" si="422"/>
        <v>0</v>
      </c>
      <c r="BO418" s="1037"/>
      <c r="BP418" s="1015">
        <v>0</v>
      </c>
      <c r="BQ418" s="1015">
        <v>0</v>
      </c>
      <c r="BR418" s="1015">
        <v>0</v>
      </c>
      <c r="BS418" s="1015">
        <v>0</v>
      </c>
      <c r="BT418" s="1015">
        <v>0</v>
      </c>
      <c r="BU418" s="1015">
        <v>0</v>
      </c>
      <c r="BV418" s="1015">
        <v>0</v>
      </c>
      <c r="BW418" s="1015">
        <v>0</v>
      </c>
      <c r="BX418" s="1015">
        <v>0</v>
      </c>
      <c r="BY418" s="1015"/>
      <c r="BZ418" s="1015"/>
      <c r="CA418" s="1015"/>
      <c r="CB418" s="2011">
        <f t="shared" si="424"/>
        <v>0</v>
      </c>
      <c r="CC418" s="1037"/>
      <c r="CD418" s="1015">
        <f>+$AI$418*20%</f>
        <v>30000</v>
      </c>
      <c r="CE418" s="1015"/>
      <c r="CF418" s="1015"/>
      <c r="CG418" s="1015">
        <f>+$AI$418*40%</f>
        <v>60000</v>
      </c>
      <c r="CH418" s="1015">
        <v>0</v>
      </c>
      <c r="CI418" s="1015"/>
      <c r="CJ418" s="1015">
        <f>+$AI$418*40%</f>
        <v>60000</v>
      </c>
      <c r="CK418" s="1015">
        <v>0</v>
      </c>
      <c r="CL418" s="1015"/>
      <c r="CM418" s="1015"/>
      <c r="CN418" s="1015">
        <v>0</v>
      </c>
      <c r="CO418" s="1015">
        <v>0</v>
      </c>
      <c r="CP418" s="2014">
        <f t="shared" si="426"/>
        <v>150000</v>
      </c>
      <c r="CQ418" s="1037"/>
      <c r="CR418" s="1015"/>
      <c r="CS418" s="986"/>
      <c r="CT418" s="986"/>
      <c r="CU418" s="1015"/>
      <c r="CV418" s="986">
        <v>0</v>
      </c>
      <c r="CW418" s="986">
        <v>0</v>
      </c>
      <c r="CX418" s="986">
        <v>0</v>
      </c>
      <c r="CY418" s="986">
        <v>0</v>
      </c>
      <c r="CZ418" s="986">
        <v>0</v>
      </c>
      <c r="DA418" s="986">
        <v>0</v>
      </c>
      <c r="DB418" s="986">
        <v>0</v>
      </c>
      <c r="DC418" s="986">
        <v>0</v>
      </c>
      <c r="DD418" s="995">
        <f t="shared" si="428"/>
        <v>0</v>
      </c>
      <c r="DE418" s="1037"/>
      <c r="DF418" s="986">
        <v>0</v>
      </c>
      <c r="DG418" s="986">
        <v>0</v>
      </c>
      <c r="DH418" s="986">
        <v>0</v>
      </c>
      <c r="DI418" s="3085">
        <f t="shared" si="429"/>
        <v>0</v>
      </c>
      <c r="DJ418" s="3158">
        <f t="shared" si="534"/>
        <v>150000</v>
      </c>
      <c r="DK418" s="108"/>
      <c r="DL418" s="3180">
        <f t="shared" si="535"/>
        <v>0</v>
      </c>
      <c r="DN418" s="2716" t="s">
        <v>1180</v>
      </c>
      <c r="DO418" s="2730" t="s">
        <v>1181</v>
      </c>
      <c r="DP418" s="2736" t="s">
        <v>1117</v>
      </c>
      <c r="DQ418" s="2730" t="s">
        <v>4</v>
      </c>
      <c r="DR418" s="2730" t="str">
        <f t="shared" si="446"/>
        <v>3</v>
      </c>
      <c r="DS418" s="1037"/>
      <c r="DT418" s="1037"/>
    </row>
    <row r="419" spans="2:124" ht="15" outlineLevel="3">
      <c r="B419" s="711"/>
      <c r="C419" s="182"/>
      <c r="D419" s="2953" t="s">
        <v>1615</v>
      </c>
      <c r="E419" s="580"/>
      <c r="F419" s="2953"/>
      <c r="G419" s="107"/>
      <c r="H419" s="2698" t="s">
        <v>965</v>
      </c>
      <c r="I419" s="611"/>
      <c r="J419" s="103"/>
      <c r="L419" s="611"/>
      <c r="M419" s="367"/>
      <c r="N419" s="367"/>
      <c r="O419" s="367"/>
      <c r="P419" s="367"/>
      <c r="Q419" s="367"/>
      <c r="R419" s="367"/>
      <c r="S419" s="367"/>
      <c r="T419" s="367"/>
      <c r="U419" s="367"/>
      <c r="W419" s="853"/>
      <c r="X419" s="853"/>
      <c r="Y419" s="2935"/>
      <c r="Z419" s="853"/>
      <c r="AA419" s="853"/>
      <c r="AB419" s="2518"/>
      <c r="AD419" s="711"/>
      <c r="AE419" s="712">
        <v>1</v>
      </c>
      <c r="AF419" s="179"/>
      <c r="AG419" s="179"/>
      <c r="AH419" s="1128">
        <v>110000</v>
      </c>
      <c r="AI419" s="1032">
        <f>AE419*AH419</f>
        <v>110000</v>
      </c>
      <c r="AJ419" s="1399"/>
      <c r="AL419" s="1032">
        <f t="shared" si="562"/>
        <v>110000</v>
      </c>
      <c r="AM419" s="1048"/>
      <c r="AN419" s="1041">
        <f t="shared" si="528"/>
        <v>110000</v>
      </c>
      <c r="AP419" s="986">
        <v>0</v>
      </c>
      <c r="AQ419" s="986">
        <v>0</v>
      </c>
      <c r="AR419" s="986">
        <v>0</v>
      </c>
      <c r="AS419" s="986">
        <v>0</v>
      </c>
      <c r="AT419" s="986">
        <v>0</v>
      </c>
      <c r="AU419" s="986">
        <v>0</v>
      </c>
      <c r="AV419" s="986">
        <v>0</v>
      </c>
      <c r="AW419" s="986">
        <v>0</v>
      </c>
      <c r="AX419" s="986">
        <v>0</v>
      </c>
      <c r="AY419" s="986">
        <v>0</v>
      </c>
      <c r="AZ419" s="2011">
        <f>SUM(AP419:AY419)</f>
        <v>0</v>
      </c>
      <c r="BB419" s="986">
        <v>0</v>
      </c>
      <c r="BC419" s="986">
        <v>0</v>
      </c>
      <c r="BD419" s="986">
        <v>0</v>
      </c>
      <c r="BE419" s="986">
        <v>0</v>
      </c>
      <c r="BF419" s="986">
        <v>0</v>
      </c>
      <c r="BG419" s="986">
        <v>0</v>
      </c>
      <c r="BH419" s="986">
        <v>0</v>
      </c>
      <c r="BI419" s="986">
        <v>0</v>
      </c>
      <c r="BJ419" s="986">
        <v>0</v>
      </c>
      <c r="BK419" s="986">
        <v>0</v>
      </c>
      <c r="BL419" s="986">
        <v>0</v>
      </c>
      <c r="BM419" s="986">
        <v>0</v>
      </c>
      <c r="BN419" s="2011">
        <f>SUM(BB419:BM419)</f>
        <v>0</v>
      </c>
      <c r="BP419" s="1015">
        <v>0</v>
      </c>
      <c r="BQ419" s="1015">
        <v>0</v>
      </c>
      <c r="BR419" s="1015">
        <v>0</v>
      </c>
      <c r="BS419" s="1015">
        <v>0</v>
      </c>
      <c r="BT419" s="1015">
        <v>0</v>
      </c>
      <c r="BU419" s="1015">
        <v>0</v>
      </c>
      <c r="BV419" s="1015">
        <v>0</v>
      </c>
      <c r="BW419" s="1015">
        <v>0</v>
      </c>
      <c r="BX419" s="1015">
        <v>0</v>
      </c>
      <c r="BY419" s="1015"/>
      <c r="BZ419" s="1015">
        <v>0</v>
      </c>
      <c r="CA419" s="1015">
        <v>0</v>
      </c>
      <c r="CB419" s="2011">
        <f>SUM(BP419:CA419)</f>
        <v>0</v>
      </c>
      <c r="CD419" s="986">
        <v>0</v>
      </c>
      <c r="CE419" s="986">
        <v>0</v>
      </c>
      <c r="CF419" s="986">
        <v>0</v>
      </c>
      <c r="CG419" s="986">
        <v>0</v>
      </c>
      <c r="CH419" s="986">
        <v>0</v>
      </c>
      <c r="CI419" s="986">
        <v>0</v>
      </c>
      <c r="CJ419" s="986">
        <v>0</v>
      </c>
      <c r="CK419" s="986">
        <v>0</v>
      </c>
      <c r="CL419" s="986">
        <v>0</v>
      </c>
      <c r="CM419" s="1015"/>
      <c r="CN419" s="1015">
        <v>0</v>
      </c>
      <c r="CO419" s="986">
        <v>0</v>
      </c>
      <c r="CP419" s="2011">
        <f t="shared" si="426"/>
        <v>0</v>
      </c>
      <c r="CR419" s="986">
        <v>0</v>
      </c>
      <c r="CS419" s="986">
        <v>0</v>
      </c>
      <c r="CT419" s="986">
        <v>0</v>
      </c>
      <c r="CU419" s="986">
        <v>0</v>
      </c>
      <c r="CV419" s="986">
        <v>0</v>
      </c>
      <c r="CW419" s="986">
        <v>0</v>
      </c>
      <c r="CX419" s="986">
        <f>+$AI$419</f>
        <v>110000</v>
      </c>
      <c r="CY419" s="986">
        <v>0</v>
      </c>
      <c r="CZ419" s="986">
        <v>0</v>
      </c>
      <c r="DA419" s="986">
        <v>0</v>
      </c>
      <c r="DB419" s="1015">
        <v>0</v>
      </c>
      <c r="DC419" s="986">
        <v>0</v>
      </c>
      <c r="DD419" s="2011">
        <f t="shared" si="428"/>
        <v>110000</v>
      </c>
      <c r="DF419" s="986">
        <v>0</v>
      </c>
      <c r="DG419" s="1015">
        <v>0</v>
      </c>
      <c r="DH419" s="986">
        <v>0</v>
      </c>
      <c r="DI419" s="2008">
        <f>SUM(DF419:DH419)</f>
        <v>0</v>
      </c>
      <c r="DJ419" s="3158">
        <f t="shared" si="534"/>
        <v>110000</v>
      </c>
      <c r="DL419" s="3180">
        <f t="shared" si="535"/>
        <v>0</v>
      </c>
      <c r="DN419" s="2716"/>
      <c r="DO419" s="2730"/>
      <c r="DP419" s="2736"/>
      <c r="DQ419" s="2730"/>
      <c r="DR419" s="2730" t="str">
        <f t="shared" si="446"/>
        <v>3</v>
      </c>
      <c r="DS419" s="1037"/>
      <c r="DT419" s="1037"/>
    </row>
    <row r="420" spans="2:124" s="881" customFormat="1" ht="15" outlineLevel="2">
      <c r="B420" s="711"/>
      <c r="C420" s="182"/>
      <c r="D420" s="2953"/>
      <c r="E420" s="580"/>
      <c r="F420" s="2953"/>
      <c r="G420" s="107"/>
      <c r="H420" s="2698"/>
      <c r="I420" s="611"/>
      <c r="J420" s="103"/>
      <c r="K420" s="1037"/>
      <c r="L420" s="611"/>
      <c r="M420" s="361"/>
      <c r="N420" s="361"/>
      <c r="O420" s="361"/>
      <c r="P420" s="361"/>
      <c r="Q420" s="361"/>
      <c r="R420" s="361"/>
      <c r="S420" s="361"/>
      <c r="T420" s="361"/>
      <c r="U420" s="361"/>
      <c r="V420" s="1037"/>
      <c r="W420" s="853" t="s">
        <v>853</v>
      </c>
      <c r="X420" s="853" t="s">
        <v>1075</v>
      </c>
      <c r="Y420" s="2513"/>
      <c r="Z420" s="858"/>
      <c r="AA420" s="858"/>
      <c r="AB420" s="178"/>
      <c r="AC420" s="1037"/>
      <c r="AD420" s="711"/>
      <c r="AE420" s="712"/>
      <c r="AF420" s="179"/>
      <c r="AG420" s="179"/>
      <c r="AH420" s="618"/>
      <c r="AI420" s="1032"/>
      <c r="AJ420" s="1267"/>
      <c r="AK420" s="1037"/>
      <c r="AL420" s="1032"/>
      <c r="AM420" s="1032"/>
      <c r="AN420" s="1041">
        <f t="shared" si="528"/>
        <v>0</v>
      </c>
      <c r="AO420" s="1037"/>
      <c r="AP420" s="986"/>
      <c r="AQ420" s="986"/>
      <c r="AR420" s="986"/>
      <c r="AS420" s="986"/>
      <c r="AT420" s="986"/>
      <c r="AU420" s="986"/>
      <c r="AV420" s="986"/>
      <c r="AW420" s="986"/>
      <c r="AX420" s="986"/>
      <c r="AY420" s="986"/>
      <c r="AZ420" s="2011">
        <f t="shared" si="420"/>
        <v>0</v>
      </c>
      <c r="BA420" s="1037"/>
      <c r="BB420" s="986"/>
      <c r="BC420" s="986"/>
      <c r="BD420" s="986"/>
      <c r="BE420" s="986"/>
      <c r="BF420" s="986"/>
      <c r="BG420" s="986"/>
      <c r="BH420" s="986"/>
      <c r="BI420" s="986"/>
      <c r="BJ420" s="986"/>
      <c r="BK420" s="986"/>
      <c r="BL420" s="986"/>
      <c r="BM420" s="986"/>
      <c r="BN420" s="2011">
        <f t="shared" si="422"/>
        <v>0</v>
      </c>
      <c r="BO420" s="1037"/>
      <c r="BP420" s="986"/>
      <c r="BQ420" s="986"/>
      <c r="BR420" s="986"/>
      <c r="BS420" s="986"/>
      <c r="BT420" s="986"/>
      <c r="BU420" s="986"/>
      <c r="BV420" s="986"/>
      <c r="BW420" s="986"/>
      <c r="BX420" s="986"/>
      <c r="BY420" s="986"/>
      <c r="BZ420" s="986"/>
      <c r="CA420" s="986"/>
      <c r="CB420" s="2011">
        <f t="shared" si="424"/>
        <v>0</v>
      </c>
      <c r="CC420" s="1037"/>
      <c r="CD420" s="986"/>
      <c r="CE420" s="986"/>
      <c r="CF420" s="986"/>
      <c r="CG420" s="986"/>
      <c r="CH420" s="986"/>
      <c r="CI420" s="986"/>
      <c r="CJ420" s="986"/>
      <c r="CK420" s="986"/>
      <c r="CL420" s="986"/>
      <c r="CM420" s="986"/>
      <c r="CN420" s="986"/>
      <c r="CO420" s="986"/>
      <c r="CP420" s="2014">
        <f t="shared" si="426"/>
        <v>0</v>
      </c>
      <c r="CQ420" s="1037"/>
      <c r="CR420" s="986"/>
      <c r="CS420" s="986"/>
      <c r="CT420" s="986"/>
      <c r="CU420" s="986"/>
      <c r="CV420" s="986"/>
      <c r="CW420" s="986"/>
      <c r="CX420" s="986"/>
      <c r="CY420" s="986"/>
      <c r="CZ420" s="986"/>
      <c r="DA420" s="986"/>
      <c r="DB420" s="986"/>
      <c r="DC420" s="986"/>
      <c r="DD420" s="995">
        <f t="shared" si="428"/>
        <v>0</v>
      </c>
      <c r="DE420" s="1037"/>
      <c r="DF420" s="986"/>
      <c r="DG420" s="986"/>
      <c r="DH420" s="986"/>
      <c r="DI420" s="3085">
        <f t="shared" si="429"/>
        <v>0</v>
      </c>
      <c r="DJ420" s="3158">
        <f t="shared" si="534"/>
        <v>0</v>
      </c>
      <c r="DK420" s="108"/>
      <c r="DL420" s="3180">
        <f>+AN420-DJ420</f>
        <v>0</v>
      </c>
      <c r="DN420" s="2716" t="s">
        <v>1175</v>
      </c>
      <c r="DO420" s="2739" t="s">
        <v>1175</v>
      </c>
      <c r="DP420" s="2739"/>
      <c r="DQ420" s="2739" t="s">
        <v>1175</v>
      </c>
      <c r="DR420" s="2739" t="str">
        <f t="shared" si="446"/>
        <v/>
      </c>
      <c r="DS420" s="1037"/>
      <c r="DT420" s="1037"/>
    </row>
    <row r="421" spans="2:124" s="153" customFormat="1" ht="15" outlineLevel="1">
      <c r="B421" s="426"/>
      <c r="C421" s="425"/>
      <c r="D421" s="2944" t="s">
        <v>570</v>
      </c>
      <c r="E421" s="582"/>
      <c r="F421" s="2944"/>
      <c r="G421" s="428"/>
      <c r="H421" s="545" t="s">
        <v>54</v>
      </c>
      <c r="I421" s="545"/>
      <c r="J421" s="427"/>
      <c r="K421" s="1037"/>
      <c r="L421" s="425"/>
      <c r="M421" s="425"/>
      <c r="N421" s="430"/>
      <c r="O421" s="430"/>
      <c r="P421" s="430"/>
      <c r="Q421" s="430"/>
      <c r="R421" s="430"/>
      <c r="S421" s="430"/>
      <c r="T421" s="430"/>
      <c r="U421" s="430"/>
      <c r="V421" s="1037"/>
      <c r="W421" s="850"/>
      <c r="X421" s="850"/>
      <c r="Y421" s="850"/>
      <c r="Z421" s="850"/>
      <c r="AA421" s="850"/>
      <c r="AB421" s="431"/>
      <c r="AC421" s="1037"/>
      <c r="AD421" s="426"/>
      <c r="AE421" s="425"/>
      <c r="AF421" s="425"/>
      <c r="AG421" s="425"/>
      <c r="AH421" s="433"/>
      <c r="AI421" s="433">
        <f>+AI422</f>
        <v>3325000</v>
      </c>
      <c r="AJ421" s="685"/>
      <c r="AK421" s="1037"/>
      <c r="AL421" s="433">
        <f>+AL422</f>
        <v>3325000</v>
      </c>
      <c r="AM421" s="433">
        <f>+AM422</f>
        <v>0</v>
      </c>
      <c r="AN421" s="433">
        <f t="shared" si="528"/>
        <v>3325000</v>
      </c>
      <c r="AO421" s="1037"/>
      <c r="AP421" s="977">
        <f t="shared" ref="AP421:DH421" si="563">+AP422</f>
        <v>0</v>
      </c>
      <c r="AQ421" s="977">
        <f t="shared" si="563"/>
        <v>0</v>
      </c>
      <c r="AR421" s="977">
        <f t="shared" si="563"/>
        <v>0</v>
      </c>
      <c r="AS421" s="977">
        <f t="shared" si="563"/>
        <v>0</v>
      </c>
      <c r="AT421" s="977">
        <f t="shared" si="563"/>
        <v>0</v>
      </c>
      <c r="AU421" s="977">
        <f t="shared" si="563"/>
        <v>0</v>
      </c>
      <c r="AV421" s="977">
        <f t="shared" si="563"/>
        <v>0</v>
      </c>
      <c r="AW421" s="977">
        <f t="shared" si="563"/>
        <v>0</v>
      </c>
      <c r="AX421" s="977">
        <f t="shared" si="563"/>
        <v>0</v>
      </c>
      <c r="AY421" s="977">
        <f t="shared" si="563"/>
        <v>0</v>
      </c>
      <c r="AZ421" s="977">
        <f t="shared" si="420"/>
        <v>0</v>
      </c>
      <c r="BA421" s="1037"/>
      <c r="BB421" s="977">
        <f t="shared" si="563"/>
        <v>0</v>
      </c>
      <c r="BC421" s="977">
        <f t="shared" si="563"/>
        <v>0</v>
      </c>
      <c r="BD421" s="977">
        <f t="shared" si="563"/>
        <v>0</v>
      </c>
      <c r="BE421" s="977">
        <f t="shared" si="563"/>
        <v>0</v>
      </c>
      <c r="BF421" s="977">
        <f t="shared" si="563"/>
        <v>0</v>
      </c>
      <c r="BG421" s="977">
        <f t="shared" si="563"/>
        <v>0</v>
      </c>
      <c r="BH421" s="977">
        <f t="shared" si="563"/>
        <v>0</v>
      </c>
      <c r="BI421" s="977">
        <f t="shared" si="563"/>
        <v>6000</v>
      </c>
      <c r="BJ421" s="977">
        <f t="shared" si="563"/>
        <v>0</v>
      </c>
      <c r="BK421" s="977">
        <f t="shared" si="563"/>
        <v>0</v>
      </c>
      <c r="BL421" s="977">
        <f t="shared" si="563"/>
        <v>0</v>
      </c>
      <c r="BM421" s="977">
        <f t="shared" si="563"/>
        <v>0</v>
      </c>
      <c r="BN421" s="977">
        <f t="shared" si="422"/>
        <v>6000</v>
      </c>
      <c r="BO421" s="1037"/>
      <c r="BP421" s="977">
        <f t="shared" si="563"/>
        <v>22000</v>
      </c>
      <c r="BQ421" s="977">
        <f t="shared" si="563"/>
        <v>0</v>
      </c>
      <c r="BR421" s="977">
        <f t="shared" si="563"/>
        <v>10500</v>
      </c>
      <c r="BS421" s="977">
        <f t="shared" si="563"/>
        <v>19000</v>
      </c>
      <c r="BT421" s="977">
        <f t="shared" si="563"/>
        <v>0</v>
      </c>
      <c r="BU421" s="977">
        <f t="shared" si="563"/>
        <v>0</v>
      </c>
      <c r="BV421" s="977">
        <f t="shared" si="563"/>
        <v>0</v>
      </c>
      <c r="BW421" s="977">
        <f t="shared" si="563"/>
        <v>0</v>
      </c>
      <c r="BX421" s="977">
        <f t="shared" si="563"/>
        <v>0</v>
      </c>
      <c r="BY421" s="977">
        <f t="shared" si="563"/>
        <v>0</v>
      </c>
      <c r="BZ421" s="977">
        <f t="shared" si="563"/>
        <v>0</v>
      </c>
      <c r="CA421" s="977">
        <f t="shared" si="563"/>
        <v>0</v>
      </c>
      <c r="CB421" s="977">
        <f t="shared" si="424"/>
        <v>51500</v>
      </c>
      <c r="CC421" s="1037"/>
      <c r="CD421" s="977">
        <f t="shared" si="563"/>
        <v>0</v>
      </c>
      <c r="CE421" s="977">
        <f t="shared" si="563"/>
        <v>489000</v>
      </c>
      <c r="CF421" s="977">
        <f t="shared" si="563"/>
        <v>0</v>
      </c>
      <c r="CG421" s="977">
        <f t="shared" si="563"/>
        <v>0</v>
      </c>
      <c r="CH421" s="977">
        <f t="shared" si="563"/>
        <v>326000</v>
      </c>
      <c r="CI421" s="977">
        <f t="shared" si="563"/>
        <v>0</v>
      </c>
      <c r="CJ421" s="977">
        <f t="shared" si="563"/>
        <v>0</v>
      </c>
      <c r="CK421" s="977">
        <f t="shared" si="563"/>
        <v>326000</v>
      </c>
      <c r="CL421" s="977">
        <f t="shared" si="563"/>
        <v>0</v>
      </c>
      <c r="CM421" s="977">
        <f t="shared" si="563"/>
        <v>0</v>
      </c>
      <c r="CN421" s="977">
        <f t="shared" si="563"/>
        <v>326000</v>
      </c>
      <c r="CO421" s="977">
        <f t="shared" si="563"/>
        <v>0</v>
      </c>
      <c r="CP421" s="978">
        <f t="shared" si="426"/>
        <v>1467000</v>
      </c>
      <c r="CQ421" s="1037"/>
      <c r="CR421" s="977">
        <f t="shared" si="563"/>
        <v>0</v>
      </c>
      <c r="CS421" s="977">
        <f t="shared" si="563"/>
        <v>326000</v>
      </c>
      <c r="CT421" s="977">
        <f t="shared" si="563"/>
        <v>0</v>
      </c>
      <c r="CU421" s="977">
        <f t="shared" si="563"/>
        <v>0</v>
      </c>
      <c r="CV421" s="977">
        <f t="shared" si="563"/>
        <v>326000</v>
      </c>
      <c r="CW421" s="977">
        <f t="shared" si="563"/>
        <v>0</v>
      </c>
      <c r="CX421" s="977">
        <f t="shared" si="563"/>
        <v>7500</v>
      </c>
      <c r="CY421" s="977">
        <f t="shared" si="563"/>
        <v>326000</v>
      </c>
      <c r="CZ421" s="977">
        <f t="shared" si="563"/>
        <v>0</v>
      </c>
      <c r="DA421" s="977">
        <f t="shared" si="563"/>
        <v>0</v>
      </c>
      <c r="DB421" s="977">
        <f t="shared" si="563"/>
        <v>326000</v>
      </c>
      <c r="DC421" s="977">
        <f t="shared" si="563"/>
        <v>0</v>
      </c>
      <c r="DD421" s="976">
        <f t="shared" si="428"/>
        <v>1311500</v>
      </c>
      <c r="DE421" s="1037"/>
      <c r="DF421" s="977">
        <f t="shared" si="563"/>
        <v>489000</v>
      </c>
      <c r="DG421" s="977">
        <f t="shared" si="563"/>
        <v>0</v>
      </c>
      <c r="DH421" s="977">
        <f t="shared" si="563"/>
        <v>0</v>
      </c>
      <c r="DI421" s="3090">
        <f t="shared" si="429"/>
        <v>489000</v>
      </c>
      <c r="DJ421" s="3145">
        <f t="shared" si="534"/>
        <v>3325000</v>
      </c>
      <c r="DL421" s="3180">
        <f t="shared" si="535"/>
        <v>0</v>
      </c>
      <c r="DN421" s="2721" t="s">
        <v>1175</v>
      </c>
      <c r="DO421" s="2722" t="s">
        <v>1175</v>
      </c>
      <c r="DP421" s="2722"/>
      <c r="DQ421" s="2722" t="s">
        <v>1175</v>
      </c>
      <c r="DR421" s="2722" t="str">
        <f t="shared" si="446"/>
        <v>3</v>
      </c>
      <c r="DS421" s="1037"/>
      <c r="DT421" s="1037"/>
    </row>
    <row r="422" spans="2:124" s="153" customFormat="1" ht="21" customHeight="1" outlineLevel="2">
      <c r="B422" s="106"/>
      <c r="C422" s="172"/>
      <c r="D422" s="2945" t="s">
        <v>571</v>
      </c>
      <c r="E422" s="704"/>
      <c r="F422" s="2945"/>
      <c r="G422" s="171"/>
      <c r="H422" s="2773" t="s">
        <v>1018</v>
      </c>
      <c r="I422" s="538"/>
      <c r="J422" s="106" t="s">
        <v>1556</v>
      </c>
      <c r="K422" s="1037"/>
      <c r="L422" s="358" t="str">
        <f>'1_MdR'!C68</f>
        <v>Informes</v>
      </c>
      <c r="M422" s="358">
        <f>'1_MdR'!D68</f>
        <v>0</v>
      </c>
      <c r="N422" s="358">
        <f>'1_MdR'!E68</f>
        <v>2021</v>
      </c>
      <c r="O422" s="358" t="str">
        <f>'1_MdR'!G68</f>
        <v>-</v>
      </c>
      <c r="P422" s="358" t="str">
        <f>'1_MdR'!H68</f>
        <v>-</v>
      </c>
      <c r="Q422" s="358" t="str">
        <f>'1_MdR'!I68</f>
        <v>-</v>
      </c>
      <c r="R422" s="358">
        <f>'1_MdR'!J68</f>
        <v>0</v>
      </c>
      <c r="S422" s="358">
        <f>'1_MdR'!K68</f>
        <v>1</v>
      </c>
      <c r="T422" s="358">
        <f>'1_MdR'!L68</f>
        <v>1</v>
      </c>
      <c r="U422" s="358">
        <f>'1_MdR'!M68</f>
        <v>2</v>
      </c>
      <c r="V422" s="1037"/>
      <c r="W422" s="358"/>
      <c r="X422" s="358"/>
      <c r="Y422" s="358"/>
      <c r="Z422" s="358"/>
      <c r="AA422" s="358"/>
      <c r="AB422" s="106"/>
      <c r="AC422" s="1037"/>
      <c r="AD422" s="106"/>
      <c r="AE422" s="172"/>
      <c r="AF422" s="172"/>
      <c r="AG422" s="172"/>
      <c r="AH422" s="176"/>
      <c r="AI422" s="176">
        <f>+AI423+AI424+AI437+AI438</f>
        <v>3325000</v>
      </c>
      <c r="AJ422" s="176"/>
      <c r="AK422" s="1037"/>
      <c r="AL422" s="176">
        <f>+AL423+AL424+AL437+AL438</f>
        <v>3325000</v>
      </c>
      <c r="AM422" s="176">
        <f>+AM423+AM424+AM437</f>
        <v>0</v>
      </c>
      <c r="AN422" s="176">
        <f t="shared" si="528"/>
        <v>3325000</v>
      </c>
      <c r="AO422" s="1037"/>
      <c r="AP422" s="176">
        <f t="shared" ref="AP422:AY422" si="564">+AP423+AP424+AP437</f>
        <v>0</v>
      </c>
      <c r="AQ422" s="176">
        <f t="shared" si="564"/>
        <v>0</v>
      </c>
      <c r="AR422" s="176">
        <f t="shared" si="564"/>
        <v>0</v>
      </c>
      <c r="AS422" s="176">
        <f t="shared" si="564"/>
        <v>0</v>
      </c>
      <c r="AT422" s="176">
        <f t="shared" si="564"/>
        <v>0</v>
      </c>
      <c r="AU422" s="176">
        <f t="shared" si="564"/>
        <v>0</v>
      </c>
      <c r="AV422" s="176">
        <f t="shared" si="564"/>
        <v>0</v>
      </c>
      <c r="AW422" s="176">
        <f t="shared" si="564"/>
        <v>0</v>
      </c>
      <c r="AX422" s="176">
        <f t="shared" si="564"/>
        <v>0</v>
      </c>
      <c r="AY422" s="176">
        <f t="shared" si="564"/>
        <v>0</v>
      </c>
      <c r="AZ422" s="176">
        <f t="shared" si="420"/>
        <v>0</v>
      </c>
      <c r="BA422" s="1037"/>
      <c r="BB422" s="176">
        <f t="shared" ref="BB422:BM422" si="565">+BB423+BB424+BB437</f>
        <v>0</v>
      </c>
      <c r="BC422" s="176">
        <f t="shared" si="565"/>
        <v>0</v>
      </c>
      <c r="BD422" s="176">
        <f t="shared" si="565"/>
        <v>0</v>
      </c>
      <c r="BE422" s="176">
        <f t="shared" si="565"/>
        <v>0</v>
      </c>
      <c r="BF422" s="176">
        <f t="shared" si="565"/>
        <v>0</v>
      </c>
      <c r="BG422" s="176">
        <f t="shared" si="565"/>
        <v>0</v>
      </c>
      <c r="BH422" s="176">
        <f t="shared" si="565"/>
        <v>0</v>
      </c>
      <c r="BI422" s="176">
        <f t="shared" si="565"/>
        <v>6000</v>
      </c>
      <c r="BJ422" s="176">
        <f t="shared" si="565"/>
        <v>0</v>
      </c>
      <c r="BK422" s="176">
        <f t="shared" si="565"/>
        <v>0</v>
      </c>
      <c r="BL422" s="176">
        <f t="shared" si="565"/>
        <v>0</v>
      </c>
      <c r="BM422" s="176">
        <f t="shared" si="565"/>
        <v>0</v>
      </c>
      <c r="BN422" s="176">
        <f t="shared" si="422"/>
        <v>6000</v>
      </c>
      <c r="BO422" s="1037"/>
      <c r="BP422" s="176">
        <f>+BP423+BP424+BP437+BP438</f>
        <v>22000</v>
      </c>
      <c r="BQ422" s="176">
        <f t="shared" ref="BQ422:CA422" si="566">+BQ423+BQ424+BQ437+BQ438</f>
        <v>0</v>
      </c>
      <c r="BR422" s="176">
        <f t="shared" si="566"/>
        <v>10500</v>
      </c>
      <c r="BS422" s="176">
        <f t="shared" si="566"/>
        <v>19000</v>
      </c>
      <c r="BT422" s="176">
        <f t="shared" si="566"/>
        <v>0</v>
      </c>
      <c r="BU422" s="176">
        <f t="shared" si="566"/>
        <v>0</v>
      </c>
      <c r="BV422" s="176">
        <f t="shared" si="566"/>
        <v>0</v>
      </c>
      <c r="BW422" s="176">
        <f t="shared" si="566"/>
        <v>0</v>
      </c>
      <c r="BX422" s="176">
        <f t="shared" si="566"/>
        <v>0</v>
      </c>
      <c r="BY422" s="176">
        <f t="shared" si="566"/>
        <v>0</v>
      </c>
      <c r="BZ422" s="176">
        <f t="shared" si="566"/>
        <v>0</v>
      </c>
      <c r="CA422" s="176">
        <f t="shared" si="566"/>
        <v>0</v>
      </c>
      <c r="CB422" s="176">
        <f t="shared" si="424"/>
        <v>51500</v>
      </c>
      <c r="CC422" s="1037"/>
      <c r="CD422" s="176">
        <f t="shared" ref="CD422" si="567">+CD423+CD424+CD437+CD438</f>
        <v>0</v>
      </c>
      <c r="CE422" s="176">
        <f t="shared" ref="CE422" si="568">+CE423+CE424+CE437+CE438</f>
        <v>489000</v>
      </c>
      <c r="CF422" s="176">
        <f t="shared" ref="CF422" si="569">+CF423+CF424+CF437+CF438</f>
        <v>0</v>
      </c>
      <c r="CG422" s="176">
        <f t="shared" ref="CG422" si="570">+CG423+CG424+CG437+CG438</f>
        <v>0</v>
      </c>
      <c r="CH422" s="176">
        <f t="shared" ref="CH422" si="571">+CH423+CH424+CH437+CH438</f>
        <v>326000</v>
      </c>
      <c r="CI422" s="176">
        <f t="shared" ref="CI422" si="572">+CI423+CI424+CI437+CI438</f>
        <v>0</v>
      </c>
      <c r="CJ422" s="176">
        <f t="shared" ref="CJ422" si="573">+CJ423+CJ424+CJ437+CJ438</f>
        <v>0</v>
      </c>
      <c r="CK422" s="176">
        <f t="shared" ref="CK422" si="574">+CK423+CK424+CK437+CK438</f>
        <v>326000</v>
      </c>
      <c r="CL422" s="176">
        <f t="shared" ref="CL422" si="575">+CL423+CL424+CL437+CL438</f>
        <v>0</v>
      </c>
      <c r="CM422" s="176">
        <f t="shared" ref="CM422" si="576">+CM423+CM424+CM437+CM438</f>
        <v>0</v>
      </c>
      <c r="CN422" s="176">
        <f t="shared" ref="CN422" si="577">+CN423+CN424+CN437+CN438</f>
        <v>326000</v>
      </c>
      <c r="CO422" s="176">
        <f t="shared" ref="CO422" si="578">+CO423+CO424+CO437+CO438</f>
        <v>0</v>
      </c>
      <c r="CP422" s="176">
        <f t="shared" si="426"/>
        <v>1467000</v>
      </c>
      <c r="CQ422" s="1037"/>
      <c r="CR422" s="176">
        <f t="shared" ref="CR422" si="579">+CR423+CR424+CR437+CR438</f>
        <v>0</v>
      </c>
      <c r="CS422" s="176">
        <f t="shared" ref="CS422" si="580">+CS423+CS424+CS437+CS438</f>
        <v>326000</v>
      </c>
      <c r="CT422" s="176">
        <f t="shared" ref="CT422" si="581">+CT423+CT424+CT437+CT438</f>
        <v>0</v>
      </c>
      <c r="CU422" s="176">
        <f t="shared" ref="CU422" si="582">+CU423+CU424+CU437+CU438</f>
        <v>0</v>
      </c>
      <c r="CV422" s="176">
        <f t="shared" ref="CV422" si="583">+CV423+CV424+CV437+CV438</f>
        <v>326000</v>
      </c>
      <c r="CW422" s="176">
        <f t="shared" ref="CW422" si="584">+CW423+CW424+CW437+CW438</f>
        <v>0</v>
      </c>
      <c r="CX422" s="176">
        <f t="shared" ref="CX422" si="585">+CX423+CX424+CX437+CX438</f>
        <v>7500</v>
      </c>
      <c r="CY422" s="176">
        <f t="shared" ref="CY422" si="586">+CY423+CY424+CY437+CY438</f>
        <v>326000</v>
      </c>
      <c r="CZ422" s="176">
        <f t="shared" ref="CZ422" si="587">+CZ423+CZ424+CZ437+CZ438</f>
        <v>0</v>
      </c>
      <c r="DA422" s="176">
        <f t="shared" ref="DA422" si="588">+DA423+DA424+DA437+DA438</f>
        <v>0</v>
      </c>
      <c r="DB422" s="176">
        <f t="shared" ref="DB422" si="589">+DB423+DB424+DB437+DB438</f>
        <v>326000</v>
      </c>
      <c r="DC422" s="176">
        <f t="shared" ref="DC422" si="590">+DC423+DC424+DC437+DC438</f>
        <v>0</v>
      </c>
      <c r="DD422" s="176">
        <f t="shared" si="428"/>
        <v>1311500</v>
      </c>
      <c r="DE422" s="1037"/>
      <c r="DF422" s="176">
        <f t="shared" ref="DF422" si="591">+DF423+DF424+DF437+DF438</f>
        <v>489000</v>
      </c>
      <c r="DG422" s="176">
        <f t="shared" ref="DG422" si="592">+DG423+DG424+DG437+DG438</f>
        <v>0</v>
      </c>
      <c r="DH422" s="176">
        <f t="shared" ref="DH422" si="593">+DH423+DH424+DH437+DH438</f>
        <v>0</v>
      </c>
      <c r="DI422" s="3082">
        <f t="shared" si="429"/>
        <v>489000</v>
      </c>
      <c r="DJ422" s="3154">
        <f>+AZ422+BN422+CB422+CP422+DD422+DI422</f>
        <v>3325000</v>
      </c>
      <c r="DL422" s="3180">
        <f t="shared" si="535"/>
        <v>0</v>
      </c>
      <c r="DN422" s="2723" t="s">
        <v>1175</v>
      </c>
      <c r="DO422" s="2724" t="s">
        <v>1175</v>
      </c>
      <c r="DP422" s="2724"/>
      <c r="DQ422" s="2724" t="s">
        <v>1175</v>
      </c>
      <c r="DR422" s="2724" t="str">
        <f t="shared" si="446"/>
        <v>3</v>
      </c>
      <c r="DS422" s="1037"/>
      <c r="DT422" s="1037"/>
    </row>
    <row r="423" spans="2:124" ht="45" outlineLevel="3">
      <c r="B423" s="711"/>
      <c r="C423" s="182"/>
      <c r="D423" s="2953" t="s">
        <v>1019</v>
      </c>
      <c r="E423" s="580"/>
      <c r="F423" s="2953"/>
      <c r="G423" s="107" t="s">
        <v>1279</v>
      </c>
      <c r="H423" s="544" t="s">
        <v>1020</v>
      </c>
      <c r="I423" s="533"/>
      <c r="J423" s="103"/>
      <c r="L423" s="364"/>
      <c r="M423" s="364"/>
      <c r="N423" s="364"/>
      <c r="O423" s="364"/>
      <c r="P423" s="364"/>
      <c r="Q423" s="364"/>
      <c r="R423" s="364"/>
      <c r="S423" s="364"/>
      <c r="T423" s="364"/>
      <c r="U423" s="364"/>
      <c r="W423" s="853" t="s">
        <v>763</v>
      </c>
      <c r="X423" s="858" t="s">
        <v>1075</v>
      </c>
      <c r="Y423" s="2513" t="s">
        <v>1187</v>
      </c>
      <c r="Z423" s="2781">
        <v>41</v>
      </c>
      <c r="AA423" s="853"/>
      <c r="AB423" s="177"/>
      <c r="AD423" s="711" t="s">
        <v>1179</v>
      </c>
      <c r="AE423" s="712">
        <v>1</v>
      </c>
      <c r="AF423" s="179"/>
      <c r="AG423" s="179"/>
      <c r="AH423" s="1047">
        <v>40000</v>
      </c>
      <c r="AI423" s="1032">
        <f>+AH423*AE423</f>
        <v>40000</v>
      </c>
      <c r="AJ423" s="1530" t="s">
        <v>1616</v>
      </c>
      <c r="AL423" s="1032">
        <f>+AI423</f>
        <v>40000</v>
      </c>
      <c r="AM423" s="1032">
        <v>0</v>
      </c>
      <c r="AN423" s="355">
        <f t="shared" si="528"/>
        <v>40000</v>
      </c>
      <c r="AP423" s="986">
        <v>0</v>
      </c>
      <c r="AQ423" s="986">
        <v>0</v>
      </c>
      <c r="AR423" s="986">
        <v>0</v>
      </c>
      <c r="AS423" s="986">
        <v>0</v>
      </c>
      <c r="AT423" s="986">
        <v>0</v>
      </c>
      <c r="AU423" s="986">
        <v>0</v>
      </c>
      <c r="AV423" s="986">
        <v>0</v>
      </c>
      <c r="AW423" s="986">
        <v>0</v>
      </c>
      <c r="AX423" s="986">
        <v>0</v>
      </c>
      <c r="AY423" s="986">
        <v>0</v>
      </c>
      <c r="AZ423" s="2011">
        <f t="shared" si="420"/>
        <v>0</v>
      </c>
      <c r="BB423" s="986">
        <v>0</v>
      </c>
      <c r="BC423" s="986">
        <v>0</v>
      </c>
      <c r="BD423" s="986">
        <v>0</v>
      </c>
      <c r="BE423" s="1015">
        <v>0</v>
      </c>
      <c r="BF423" s="1015"/>
      <c r="BG423" s="1015"/>
      <c r="BH423" s="1015"/>
      <c r="BI423" s="1015">
        <f>+$AI$423*15%</f>
        <v>6000</v>
      </c>
      <c r="BJ423" s="1015"/>
      <c r="BK423" s="1015"/>
      <c r="BL423" s="1015"/>
      <c r="BM423" s="1015"/>
      <c r="BN423" s="2011">
        <f t="shared" si="422"/>
        <v>6000</v>
      </c>
      <c r="BP423" s="1015">
        <f>+$AI$423*55%</f>
        <v>22000</v>
      </c>
      <c r="BQ423" s="1015"/>
      <c r="BR423" s="1015"/>
      <c r="BS423" s="1015">
        <f>+$AI$423*30%</f>
        <v>12000</v>
      </c>
      <c r="BT423" s="986">
        <v>0</v>
      </c>
      <c r="BU423" s="986">
        <v>0</v>
      </c>
      <c r="BV423" s="986">
        <v>0</v>
      </c>
      <c r="BW423" s="986">
        <v>0</v>
      </c>
      <c r="BX423" s="986">
        <v>0</v>
      </c>
      <c r="BY423" s="986">
        <v>0</v>
      </c>
      <c r="BZ423" s="986">
        <v>0</v>
      </c>
      <c r="CA423" s="986">
        <v>0</v>
      </c>
      <c r="CB423" s="2011">
        <f t="shared" si="424"/>
        <v>34000</v>
      </c>
      <c r="CD423" s="986">
        <v>0</v>
      </c>
      <c r="CE423" s="986">
        <v>0</v>
      </c>
      <c r="CF423" s="986">
        <v>0</v>
      </c>
      <c r="CG423" s="986">
        <v>0</v>
      </c>
      <c r="CH423" s="986">
        <v>0</v>
      </c>
      <c r="CI423" s="986">
        <v>0</v>
      </c>
      <c r="CJ423" s="986">
        <v>0</v>
      </c>
      <c r="CK423" s="986">
        <v>0</v>
      </c>
      <c r="CL423" s="986">
        <v>0</v>
      </c>
      <c r="CM423" s="986">
        <v>0</v>
      </c>
      <c r="CN423" s="986">
        <v>0</v>
      </c>
      <c r="CO423" s="986">
        <v>0</v>
      </c>
      <c r="CP423" s="2014">
        <f t="shared" si="426"/>
        <v>0</v>
      </c>
      <c r="CR423" s="986">
        <v>0</v>
      </c>
      <c r="CS423" s="986">
        <v>0</v>
      </c>
      <c r="CT423" s="986">
        <v>0</v>
      </c>
      <c r="CU423" s="986">
        <v>0</v>
      </c>
      <c r="CV423" s="986">
        <v>0</v>
      </c>
      <c r="CW423" s="986">
        <v>0</v>
      </c>
      <c r="CX423" s="986">
        <v>0</v>
      </c>
      <c r="CY423" s="986">
        <v>0</v>
      </c>
      <c r="CZ423" s="986">
        <v>0</v>
      </c>
      <c r="DA423" s="986">
        <v>0</v>
      </c>
      <c r="DB423" s="986">
        <v>0</v>
      </c>
      <c r="DC423" s="986">
        <v>0</v>
      </c>
      <c r="DD423" s="1498">
        <f t="shared" si="428"/>
        <v>0</v>
      </c>
      <c r="DF423" s="986">
        <v>0</v>
      </c>
      <c r="DG423" s="986">
        <v>0</v>
      </c>
      <c r="DH423" s="986">
        <v>0</v>
      </c>
      <c r="DI423" s="1498">
        <f t="shared" si="429"/>
        <v>0</v>
      </c>
      <c r="DJ423" s="3142">
        <f t="shared" si="534"/>
        <v>40000</v>
      </c>
      <c r="DL423" s="3180">
        <f t="shared" si="535"/>
        <v>0</v>
      </c>
      <c r="DN423" s="2749" t="s">
        <v>1180</v>
      </c>
      <c r="DO423" s="2736" t="s">
        <v>1181</v>
      </c>
      <c r="DP423" s="2736" t="s">
        <v>1117</v>
      </c>
      <c r="DQ423" s="2736" t="s">
        <v>4</v>
      </c>
      <c r="DR423" s="2736" t="str">
        <f t="shared" si="446"/>
        <v>3</v>
      </c>
      <c r="DS423" s="1037"/>
      <c r="DT423" s="1037"/>
    </row>
    <row r="424" spans="2:124" s="153" customFormat="1" ht="15" outlineLevel="3">
      <c r="B424" s="2840"/>
      <c r="C424" s="397"/>
      <c r="D424" s="2949" t="s">
        <v>1021</v>
      </c>
      <c r="E424" s="704"/>
      <c r="F424" s="2949"/>
      <c r="G424" s="395"/>
      <c r="H424" s="1249" t="s">
        <v>1022</v>
      </c>
      <c r="I424" s="536"/>
      <c r="J424" s="399"/>
      <c r="K424" s="1037"/>
      <c r="L424" s="851"/>
      <c r="M424" s="851"/>
      <c r="N424" s="402"/>
      <c r="O424" s="402"/>
      <c r="P424" s="402"/>
      <c r="Q424" s="402"/>
      <c r="R424" s="402"/>
      <c r="S424" s="402"/>
      <c r="T424" s="402"/>
      <c r="U424" s="402"/>
      <c r="V424" s="1037"/>
      <c r="W424" s="851"/>
      <c r="X424" s="851"/>
      <c r="Y424" s="851"/>
      <c r="Z424" s="851"/>
      <c r="AA424" s="851"/>
      <c r="AB424" s="399"/>
      <c r="AC424" s="1037"/>
      <c r="AD424" s="2840"/>
      <c r="AE424" s="397"/>
      <c r="AF424" s="397"/>
      <c r="AG424" s="397"/>
      <c r="AH424" s="398"/>
      <c r="AI424" s="1458">
        <f>SUM(AI425:AI436)</f>
        <v>3260000</v>
      </c>
      <c r="AJ424" s="680"/>
      <c r="AK424" s="1037"/>
      <c r="AL424" s="1458">
        <f>SUM(AL425:AL436)</f>
        <v>3260000</v>
      </c>
      <c r="AM424" s="1458">
        <f>SUM(AM425:AM436)</f>
        <v>0</v>
      </c>
      <c r="AN424" s="398">
        <f t="shared" si="528"/>
        <v>3260000</v>
      </c>
      <c r="AO424" s="1037"/>
      <c r="AP424" s="1458">
        <f t="shared" ref="AP424:AY424" si="594">SUM(AP425:AP436)</f>
        <v>0</v>
      </c>
      <c r="AQ424" s="1458">
        <f t="shared" si="594"/>
        <v>0</v>
      </c>
      <c r="AR424" s="1458">
        <f t="shared" si="594"/>
        <v>0</v>
      </c>
      <c r="AS424" s="1458">
        <f t="shared" si="594"/>
        <v>0</v>
      </c>
      <c r="AT424" s="1458">
        <f t="shared" si="594"/>
        <v>0</v>
      </c>
      <c r="AU424" s="1458">
        <f t="shared" si="594"/>
        <v>0</v>
      </c>
      <c r="AV424" s="1458">
        <f t="shared" si="594"/>
        <v>0</v>
      </c>
      <c r="AW424" s="1458">
        <f t="shared" si="594"/>
        <v>0</v>
      </c>
      <c r="AX424" s="1458">
        <f t="shared" si="594"/>
        <v>0</v>
      </c>
      <c r="AY424" s="1458">
        <f t="shared" si="594"/>
        <v>0</v>
      </c>
      <c r="AZ424" s="398">
        <f t="shared" si="420"/>
        <v>0</v>
      </c>
      <c r="BA424" s="1037"/>
      <c r="BB424" s="1458">
        <f t="shared" ref="BB424:BM424" si="595">SUM(BB425:BB436)</f>
        <v>0</v>
      </c>
      <c r="BC424" s="1458">
        <f t="shared" si="595"/>
        <v>0</v>
      </c>
      <c r="BD424" s="1458">
        <f t="shared" si="595"/>
        <v>0</v>
      </c>
      <c r="BE424" s="1458">
        <f t="shared" si="595"/>
        <v>0</v>
      </c>
      <c r="BF424" s="1458">
        <f t="shared" si="595"/>
        <v>0</v>
      </c>
      <c r="BG424" s="1458">
        <f t="shared" si="595"/>
        <v>0</v>
      </c>
      <c r="BH424" s="1458">
        <f t="shared" si="595"/>
        <v>0</v>
      </c>
      <c r="BI424" s="1458">
        <f t="shared" si="595"/>
        <v>0</v>
      </c>
      <c r="BJ424" s="1458">
        <f t="shared" si="595"/>
        <v>0</v>
      </c>
      <c r="BK424" s="1458">
        <f t="shared" si="595"/>
        <v>0</v>
      </c>
      <c r="BL424" s="1458">
        <f t="shared" si="595"/>
        <v>0</v>
      </c>
      <c r="BM424" s="1458">
        <f t="shared" si="595"/>
        <v>0</v>
      </c>
      <c r="BN424" s="398">
        <f t="shared" si="422"/>
        <v>0</v>
      </c>
      <c r="BO424" s="1037"/>
      <c r="BP424" s="1458">
        <f t="shared" ref="BP424:CA424" si="596">SUM(BP425:BP436)</f>
        <v>0</v>
      </c>
      <c r="BQ424" s="1458">
        <f t="shared" si="596"/>
        <v>0</v>
      </c>
      <c r="BR424" s="1458">
        <f t="shared" si="596"/>
        <v>0</v>
      </c>
      <c r="BS424" s="1458">
        <f t="shared" si="596"/>
        <v>0</v>
      </c>
      <c r="BT424" s="1458">
        <f t="shared" si="596"/>
        <v>0</v>
      </c>
      <c r="BU424" s="1458">
        <f t="shared" si="596"/>
        <v>0</v>
      </c>
      <c r="BV424" s="1458">
        <f t="shared" si="596"/>
        <v>0</v>
      </c>
      <c r="BW424" s="1458">
        <f t="shared" si="596"/>
        <v>0</v>
      </c>
      <c r="BX424" s="1458">
        <f t="shared" si="596"/>
        <v>0</v>
      </c>
      <c r="BY424" s="1458">
        <f t="shared" si="596"/>
        <v>0</v>
      </c>
      <c r="BZ424" s="1458">
        <f t="shared" si="596"/>
        <v>0</v>
      </c>
      <c r="CA424" s="1458">
        <f t="shared" si="596"/>
        <v>0</v>
      </c>
      <c r="CB424" s="398">
        <f t="shared" si="424"/>
        <v>0</v>
      </c>
      <c r="CC424" s="1037"/>
      <c r="CD424" s="1458">
        <f t="shared" ref="CD424:CO424" si="597">SUM(CD425:CD436)</f>
        <v>0</v>
      </c>
      <c r="CE424" s="1458">
        <f t="shared" si="597"/>
        <v>489000</v>
      </c>
      <c r="CF424" s="1458">
        <f t="shared" si="597"/>
        <v>0</v>
      </c>
      <c r="CG424" s="1458">
        <f t="shared" si="597"/>
        <v>0</v>
      </c>
      <c r="CH424" s="1458">
        <f t="shared" si="597"/>
        <v>326000</v>
      </c>
      <c r="CI424" s="1458">
        <f t="shared" si="597"/>
        <v>0</v>
      </c>
      <c r="CJ424" s="1458">
        <f t="shared" si="597"/>
        <v>0</v>
      </c>
      <c r="CK424" s="1458">
        <f t="shared" si="597"/>
        <v>326000</v>
      </c>
      <c r="CL424" s="1458">
        <f t="shared" si="597"/>
        <v>0</v>
      </c>
      <c r="CM424" s="1458">
        <f t="shared" si="597"/>
        <v>0</v>
      </c>
      <c r="CN424" s="1458">
        <f t="shared" si="597"/>
        <v>326000</v>
      </c>
      <c r="CO424" s="1458">
        <f t="shared" si="597"/>
        <v>0</v>
      </c>
      <c r="CP424" s="398">
        <f t="shared" si="426"/>
        <v>1467000</v>
      </c>
      <c r="CQ424" s="1037"/>
      <c r="CR424" s="1458">
        <f t="shared" ref="CR424:DC424" si="598">SUM(CR425:CR436)</f>
        <v>0</v>
      </c>
      <c r="CS424" s="1458">
        <f t="shared" si="598"/>
        <v>326000</v>
      </c>
      <c r="CT424" s="1458">
        <f t="shared" si="598"/>
        <v>0</v>
      </c>
      <c r="CU424" s="1458">
        <f t="shared" si="598"/>
        <v>0</v>
      </c>
      <c r="CV424" s="1458">
        <f t="shared" si="598"/>
        <v>326000</v>
      </c>
      <c r="CW424" s="1458">
        <f t="shared" si="598"/>
        <v>0</v>
      </c>
      <c r="CX424" s="1458">
        <f t="shared" si="598"/>
        <v>0</v>
      </c>
      <c r="CY424" s="1458">
        <f t="shared" si="598"/>
        <v>326000</v>
      </c>
      <c r="CZ424" s="1458">
        <f t="shared" si="598"/>
        <v>0</v>
      </c>
      <c r="DA424" s="1458">
        <f t="shared" si="598"/>
        <v>0</v>
      </c>
      <c r="DB424" s="1458">
        <f t="shared" si="598"/>
        <v>326000</v>
      </c>
      <c r="DC424" s="1458">
        <f t="shared" si="598"/>
        <v>0</v>
      </c>
      <c r="DD424" s="398">
        <f t="shared" si="428"/>
        <v>1304000</v>
      </c>
      <c r="DE424" s="1037"/>
      <c r="DF424" s="1458">
        <f>SUM(DF425:DF436)</f>
        <v>489000</v>
      </c>
      <c r="DG424" s="1458">
        <f>SUM(DG425:DG436)</f>
        <v>0</v>
      </c>
      <c r="DH424" s="1458">
        <f>SUM(DH425:DH436)</f>
        <v>0</v>
      </c>
      <c r="DI424" s="3087">
        <f t="shared" si="429"/>
        <v>489000</v>
      </c>
      <c r="DJ424" s="3153">
        <f t="shared" si="534"/>
        <v>3260000</v>
      </c>
      <c r="DL424" s="3180">
        <f t="shared" si="535"/>
        <v>0</v>
      </c>
      <c r="DN424" s="2725" t="s">
        <v>1175</v>
      </c>
      <c r="DO424" s="2728" t="s">
        <v>1175</v>
      </c>
      <c r="DP424" s="2728"/>
      <c r="DQ424" s="2728" t="s">
        <v>1175</v>
      </c>
      <c r="DR424" s="2728" t="str">
        <f t="shared" si="446"/>
        <v>3</v>
      </c>
      <c r="DS424" s="1037"/>
      <c r="DT424" s="1037"/>
    </row>
    <row r="425" spans="2:124" ht="30" outlineLevel="4">
      <c r="B425" s="711"/>
      <c r="C425" s="182"/>
      <c r="D425" s="2953" t="s">
        <v>1023</v>
      </c>
      <c r="E425" s="580"/>
      <c r="F425" s="2953"/>
      <c r="G425" s="107" t="s">
        <v>1279</v>
      </c>
      <c r="H425" s="544" t="s">
        <v>1024</v>
      </c>
      <c r="I425" s="533"/>
      <c r="J425" s="103"/>
      <c r="L425" s="364"/>
      <c r="M425" s="364"/>
      <c r="N425" s="364"/>
      <c r="O425" s="364"/>
      <c r="P425" s="364"/>
      <c r="Q425" s="364"/>
      <c r="R425" s="364"/>
      <c r="S425" s="364"/>
      <c r="T425" s="364"/>
      <c r="U425" s="364"/>
      <c r="W425" s="3799" t="s">
        <v>853</v>
      </c>
      <c r="X425" s="3799" t="s">
        <v>1075</v>
      </c>
      <c r="Y425" s="4011" t="s">
        <v>1561</v>
      </c>
      <c r="Z425" s="3799" t="s">
        <v>1617</v>
      </c>
      <c r="AA425" s="3799"/>
      <c r="AB425" s="3897"/>
      <c r="AD425" s="711" t="s">
        <v>1179</v>
      </c>
      <c r="AE425" s="712">
        <v>1</v>
      </c>
      <c r="AF425" s="179"/>
      <c r="AG425" s="179"/>
      <c r="AH425" s="1047">
        <v>400000</v>
      </c>
      <c r="AI425" s="1032">
        <f t="shared" ref="AI425:AI436" si="599">+AH425*AE425</f>
        <v>400000</v>
      </c>
      <c r="AJ425" s="1530"/>
      <c r="AL425" s="1032">
        <f t="shared" ref="AL425:AL438" si="600">+AI425</f>
        <v>400000</v>
      </c>
      <c r="AM425" s="1032">
        <v>0</v>
      </c>
      <c r="AN425" s="355">
        <f t="shared" si="528"/>
        <v>400000</v>
      </c>
      <c r="AP425" s="986">
        <v>0</v>
      </c>
      <c r="AQ425" s="986">
        <v>0</v>
      </c>
      <c r="AR425" s="986">
        <v>0</v>
      </c>
      <c r="AS425" s="986">
        <v>0</v>
      </c>
      <c r="AT425" s="986">
        <v>0</v>
      </c>
      <c r="AU425" s="986">
        <v>0</v>
      </c>
      <c r="AV425" s="986">
        <v>0</v>
      </c>
      <c r="AW425" s="986">
        <v>0</v>
      </c>
      <c r="AX425" s="986">
        <v>0</v>
      </c>
      <c r="AY425" s="986">
        <v>0</v>
      </c>
      <c r="AZ425" s="2011">
        <f t="shared" si="420"/>
        <v>0</v>
      </c>
      <c r="BB425" s="986">
        <v>0</v>
      </c>
      <c r="BC425" s="986">
        <v>0</v>
      </c>
      <c r="BD425" s="986">
        <v>0</v>
      </c>
      <c r="BE425" s="986">
        <v>0</v>
      </c>
      <c r="BF425" s="986">
        <v>0</v>
      </c>
      <c r="BG425" s="986">
        <v>0</v>
      </c>
      <c r="BH425" s="986">
        <v>0</v>
      </c>
      <c r="BI425" s="986">
        <v>0</v>
      </c>
      <c r="BJ425" s="986">
        <v>0</v>
      </c>
      <c r="BK425" s="986">
        <v>0</v>
      </c>
      <c r="BL425" s="986">
        <v>0</v>
      </c>
      <c r="BM425" s="986">
        <v>0</v>
      </c>
      <c r="BN425" s="2011">
        <f t="shared" si="422"/>
        <v>0</v>
      </c>
      <c r="BP425" s="986">
        <v>0</v>
      </c>
      <c r="BQ425" s="986">
        <v>0</v>
      </c>
      <c r="BR425" s="986"/>
      <c r="BS425" s="986">
        <v>0</v>
      </c>
      <c r="BT425" s="986">
        <v>0</v>
      </c>
      <c r="BU425" s="986">
        <v>0</v>
      </c>
      <c r="BV425" s="1015"/>
      <c r="BW425" s="1015">
        <v>0</v>
      </c>
      <c r="BX425" s="1015"/>
      <c r="BY425" s="1015"/>
      <c r="BZ425" s="1015"/>
      <c r="CA425" s="1015"/>
      <c r="CB425" s="2026">
        <f t="shared" si="424"/>
        <v>0</v>
      </c>
      <c r="CD425" s="1015"/>
      <c r="CE425" s="1015">
        <f>+$AI$425*15%</f>
        <v>60000</v>
      </c>
      <c r="CF425" s="1015"/>
      <c r="CG425" s="1015"/>
      <c r="CH425" s="1015">
        <f>+$AI$425*10%</f>
        <v>40000</v>
      </c>
      <c r="CI425" s="1015"/>
      <c r="CJ425" s="1015"/>
      <c r="CK425" s="1015">
        <f>+$AI$425*10%</f>
        <v>40000</v>
      </c>
      <c r="CL425" s="1015">
        <v>0</v>
      </c>
      <c r="CM425" s="1015"/>
      <c r="CN425" s="1015">
        <f>+$AI$425*10%</f>
        <v>40000</v>
      </c>
      <c r="CO425" s="1015">
        <v>0</v>
      </c>
      <c r="CP425" s="2035">
        <f t="shared" si="426"/>
        <v>180000</v>
      </c>
      <c r="CR425" s="1015"/>
      <c r="CS425" s="1015">
        <f>+$AI$425*10%</f>
        <v>40000</v>
      </c>
      <c r="CT425" s="1015"/>
      <c r="CU425" s="1015"/>
      <c r="CV425" s="1015">
        <f>+$AI$425*10%</f>
        <v>40000</v>
      </c>
      <c r="CW425" s="1015">
        <v>0</v>
      </c>
      <c r="CX425" s="1015"/>
      <c r="CY425" s="1015">
        <f>+$AI$425*10%</f>
        <v>40000</v>
      </c>
      <c r="CZ425" s="1015"/>
      <c r="DA425" s="1015">
        <v>0</v>
      </c>
      <c r="DB425" s="1015">
        <f t="shared" ref="DB425:DB436" si="601">+AI425*10%</f>
        <v>40000</v>
      </c>
      <c r="DC425" s="1015">
        <v>0</v>
      </c>
      <c r="DD425" s="2017">
        <f t="shared" si="428"/>
        <v>160000</v>
      </c>
      <c r="DF425" s="1015">
        <f>+$AI$425*15%</f>
        <v>60000</v>
      </c>
      <c r="DG425" s="1015"/>
      <c r="DH425" s="1015">
        <v>0</v>
      </c>
      <c r="DI425" s="1498">
        <f t="shared" si="429"/>
        <v>60000</v>
      </c>
      <c r="DJ425" s="3142">
        <f t="shared" si="534"/>
        <v>400000</v>
      </c>
      <c r="DL425" s="3180">
        <f t="shared" si="535"/>
        <v>0</v>
      </c>
      <c r="DN425" s="2749" t="s">
        <v>1180</v>
      </c>
      <c r="DO425" s="2736" t="s">
        <v>1181</v>
      </c>
      <c r="DP425" s="2736" t="s">
        <v>1117</v>
      </c>
      <c r="DQ425" s="2736" t="s">
        <v>4</v>
      </c>
      <c r="DR425" s="2736" t="str">
        <f t="shared" si="446"/>
        <v>3</v>
      </c>
      <c r="DS425" s="1037"/>
      <c r="DT425" s="1037"/>
    </row>
    <row r="426" spans="2:124" ht="15" outlineLevel="4">
      <c r="B426" s="711"/>
      <c r="C426" s="182"/>
      <c r="D426" s="2953" t="s">
        <v>1025</v>
      </c>
      <c r="E426" s="580"/>
      <c r="F426" s="2953"/>
      <c r="G426" s="107" t="s">
        <v>1279</v>
      </c>
      <c r="H426" s="544" t="s">
        <v>1026</v>
      </c>
      <c r="I426" s="533"/>
      <c r="J426" s="103"/>
      <c r="L426" s="364"/>
      <c r="M426" s="364"/>
      <c r="N426" s="364"/>
      <c r="O426" s="364"/>
      <c r="P426" s="364"/>
      <c r="Q426" s="364"/>
      <c r="R426" s="364"/>
      <c r="S426" s="364"/>
      <c r="T426" s="364"/>
      <c r="U426" s="364"/>
      <c r="W426" s="3800"/>
      <c r="X426" s="3800"/>
      <c r="Y426" s="4012"/>
      <c r="Z426" s="3800"/>
      <c r="AA426" s="3800"/>
      <c r="AB426" s="3898"/>
      <c r="AD426" s="711" t="s">
        <v>1179</v>
      </c>
      <c r="AE426" s="712">
        <v>1</v>
      </c>
      <c r="AF426" s="179"/>
      <c r="AG426" s="179"/>
      <c r="AH426" s="1047">
        <v>200000</v>
      </c>
      <c r="AI426" s="1032">
        <f t="shared" si="599"/>
        <v>200000</v>
      </c>
      <c r="AJ426" s="1530"/>
      <c r="AL426" s="1032">
        <f t="shared" si="600"/>
        <v>200000</v>
      </c>
      <c r="AM426" s="1032">
        <v>0</v>
      </c>
      <c r="AN426" s="355">
        <f t="shared" si="528"/>
        <v>200000</v>
      </c>
      <c r="AP426" s="986">
        <v>0</v>
      </c>
      <c r="AQ426" s="986">
        <v>0</v>
      </c>
      <c r="AR426" s="986">
        <v>0</v>
      </c>
      <c r="AS426" s="986">
        <v>0</v>
      </c>
      <c r="AT426" s="986">
        <v>0</v>
      </c>
      <c r="AU426" s="986">
        <v>0</v>
      </c>
      <c r="AV426" s="986">
        <v>0</v>
      </c>
      <c r="AW426" s="986">
        <v>0</v>
      </c>
      <c r="AX426" s="986">
        <v>0</v>
      </c>
      <c r="AY426" s="986">
        <v>0</v>
      </c>
      <c r="AZ426" s="2011">
        <f t="shared" si="420"/>
        <v>0</v>
      </c>
      <c r="BB426" s="986">
        <v>0</v>
      </c>
      <c r="BC426" s="986">
        <v>0</v>
      </c>
      <c r="BD426" s="986">
        <v>0</v>
      </c>
      <c r="BE426" s="986">
        <v>0</v>
      </c>
      <c r="BF426" s="986">
        <v>0</v>
      </c>
      <c r="BG426" s="986">
        <v>0</v>
      </c>
      <c r="BH426" s="986">
        <v>0</v>
      </c>
      <c r="BI426" s="986">
        <v>0</v>
      </c>
      <c r="BJ426" s="986">
        <v>0</v>
      </c>
      <c r="BK426" s="986">
        <v>0</v>
      </c>
      <c r="BL426" s="986">
        <v>0</v>
      </c>
      <c r="BM426" s="986">
        <v>0</v>
      </c>
      <c r="BN426" s="2011">
        <f t="shared" si="422"/>
        <v>0</v>
      </c>
      <c r="BP426" s="986">
        <v>0</v>
      </c>
      <c r="BQ426" s="986">
        <v>0</v>
      </c>
      <c r="BR426" s="986"/>
      <c r="BS426" s="986">
        <v>0</v>
      </c>
      <c r="BT426" s="986">
        <v>0</v>
      </c>
      <c r="BU426" s="986">
        <v>0</v>
      </c>
      <c r="BV426" s="1015"/>
      <c r="BW426" s="1015">
        <v>0</v>
      </c>
      <c r="BX426" s="1015"/>
      <c r="BY426" s="1015"/>
      <c r="BZ426" s="1015"/>
      <c r="CA426" s="1015"/>
      <c r="CB426" s="2026">
        <f t="shared" si="424"/>
        <v>0</v>
      </c>
      <c r="CD426" s="1015"/>
      <c r="CE426" s="1015">
        <f>+$AI$426*15%</f>
        <v>30000</v>
      </c>
      <c r="CF426" s="1015"/>
      <c r="CG426" s="1015"/>
      <c r="CH426" s="1015">
        <f>+$AI$426*10%</f>
        <v>20000</v>
      </c>
      <c r="CI426" s="1015"/>
      <c r="CJ426" s="1015"/>
      <c r="CK426" s="1015">
        <f>+$AI$426*10%</f>
        <v>20000</v>
      </c>
      <c r="CL426" s="1015">
        <v>0</v>
      </c>
      <c r="CM426" s="1015"/>
      <c r="CN426" s="1015">
        <f>+$AI$426*10%</f>
        <v>20000</v>
      </c>
      <c r="CO426" s="1015">
        <v>0</v>
      </c>
      <c r="CP426" s="2035">
        <f t="shared" si="426"/>
        <v>90000</v>
      </c>
      <c r="CR426" s="1015"/>
      <c r="CS426" s="1015">
        <f>+$AI$426*10%</f>
        <v>20000</v>
      </c>
      <c r="CT426" s="1015"/>
      <c r="CU426" s="1015"/>
      <c r="CV426" s="1015">
        <f>+$AI$426*10%</f>
        <v>20000</v>
      </c>
      <c r="CW426" s="1015">
        <v>0</v>
      </c>
      <c r="CX426" s="1015"/>
      <c r="CY426" s="1015">
        <f>+$AI$426*10%</f>
        <v>20000</v>
      </c>
      <c r="CZ426" s="1015"/>
      <c r="DA426" s="1015">
        <v>0</v>
      </c>
      <c r="DB426" s="1015">
        <f t="shared" si="601"/>
        <v>20000</v>
      </c>
      <c r="DC426" s="1015">
        <v>0</v>
      </c>
      <c r="DD426" s="2017">
        <f t="shared" si="428"/>
        <v>80000</v>
      </c>
      <c r="DF426" s="1015">
        <f>+$AI$426*15%</f>
        <v>30000</v>
      </c>
      <c r="DG426" s="1015"/>
      <c r="DH426" s="1015">
        <v>0</v>
      </c>
      <c r="DI426" s="1498">
        <f t="shared" si="429"/>
        <v>30000</v>
      </c>
      <c r="DJ426" s="3142">
        <f t="shared" si="534"/>
        <v>200000</v>
      </c>
      <c r="DL426" s="3180">
        <f t="shared" si="535"/>
        <v>0</v>
      </c>
      <c r="DN426" s="2749" t="s">
        <v>1180</v>
      </c>
      <c r="DO426" s="2730" t="s">
        <v>1181</v>
      </c>
      <c r="DP426" s="2730" t="s">
        <v>1117</v>
      </c>
      <c r="DQ426" s="2730" t="s">
        <v>4</v>
      </c>
      <c r="DR426" s="2730" t="str">
        <f t="shared" si="446"/>
        <v>3</v>
      </c>
      <c r="DS426" s="1037"/>
      <c r="DT426" s="1037"/>
    </row>
    <row r="427" spans="2:124" ht="60" outlineLevel="4">
      <c r="B427" s="711"/>
      <c r="C427" s="182"/>
      <c r="D427" s="2953" t="s">
        <v>1027</v>
      </c>
      <c r="E427" s="580"/>
      <c r="F427" s="2953"/>
      <c r="G427" s="107" t="s">
        <v>1279</v>
      </c>
      <c r="H427" s="544" t="s">
        <v>1028</v>
      </c>
      <c r="I427" s="533"/>
      <c r="J427" s="103"/>
      <c r="L427" s="364"/>
      <c r="M427" s="364"/>
      <c r="N427" s="364"/>
      <c r="O427" s="364"/>
      <c r="P427" s="364"/>
      <c r="Q427" s="364"/>
      <c r="R427" s="364"/>
      <c r="S427" s="364"/>
      <c r="T427" s="364"/>
      <c r="U427" s="364"/>
      <c r="W427" s="3800"/>
      <c r="X427" s="3800"/>
      <c r="Y427" s="4012"/>
      <c r="Z427" s="3800"/>
      <c r="AA427" s="3800"/>
      <c r="AB427" s="3898"/>
      <c r="AD427" s="711" t="s">
        <v>1179</v>
      </c>
      <c r="AE427" s="712">
        <v>1</v>
      </c>
      <c r="AF427" s="179"/>
      <c r="AG427" s="179"/>
      <c r="AH427" s="1047">
        <v>150000</v>
      </c>
      <c r="AI427" s="1032">
        <f t="shared" si="599"/>
        <v>150000</v>
      </c>
      <c r="AJ427" s="1530"/>
      <c r="AL427" s="1032">
        <f t="shared" si="600"/>
        <v>150000</v>
      </c>
      <c r="AM427" s="1032">
        <v>0</v>
      </c>
      <c r="AN427" s="355">
        <f t="shared" si="528"/>
        <v>150000</v>
      </c>
      <c r="AP427" s="986">
        <v>0</v>
      </c>
      <c r="AQ427" s="986">
        <v>0</v>
      </c>
      <c r="AR427" s="986">
        <v>0</v>
      </c>
      <c r="AS427" s="986">
        <v>0</v>
      </c>
      <c r="AT427" s="986">
        <v>0</v>
      </c>
      <c r="AU427" s="986">
        <v>0</v>
      </c>
      <c r="AV427" s="986">
        <v>0</v>
      </c>
      <c r="AW427" s="986">
        <v>0</v>
      </c>
      <c r="AX427" s="986">
        <v>0</v>
      </c>
      <c r="AY427" s="986">
        <v>0</v>
      </c>
      <c r="AZ427" s="2011">
        <f t="shared" si="420"/>
        <v>0</v>
      </c>
      <c r="BB427" s="986">
        <v>0</v>
      </c>
      <c r="BC427" s="986">
        <v>0</v>
      </c>
      <c r="BD427" s="986">
        <v>0</v>
      </c>
      <c r="BE427" s="986">
        <v>0</v>
      </c>
      <c r="BF427" s="986">
        <v>0</v>
      </c>
      <c r="BG427" s="986">
        <v>0</v>
      </c>
      <c r="BH427" s="986">
        <v>0</v>
      </c>
      <c r="BI427" s="986">
        <v>0</v>
      </c>
      <c r="BJ427" s="986">
        <v>0</v>
      </c>
      <c r="BK427" s="986">
        <v>0</v>
      </c>
      <c r="BL427" s="986">
        <v>0</v>
      </c>
      <c r="BM427" s="986">
        <v>0</v>
      </c>
      <c r="BN427" s="2011">
        <f t="shared" si="422"/>
        <v>0</v>
      </c>
      <c r="BP427" s="986">
        <v>0</v>
      </c>
      <c r="BQ427" s="986">
        <v>0</v>
      </c>
      <c r="BR427" s="986"/>
      <c r="BS427" s="986">
        <v>0</v>
      </c>
      <c r="BT427" s="986">
        <v>0</v>
      </c>
      <c r="BU427" s="986">
        <v>0</v>
      </c>
      <c r="BV427" s="1015"/>
      <c r="BW427" s="1015">
        <v>0</v>
      </c>
      <c r="BX427" s="1015"/>
      <c r="BY427" s="1015"/>
      <c r="BZ427" s="1015"/>
      <c r="CA427" s="1015"/>
      <c r="CB427" s="2026">
        <f t="shared" si="424"/>
        <v>0</v>
      </c>
      <c r="CD427" s="1015"/>
      <c r="CE427" s="1015">
        <f>+$AI$427*15%</f>
        <v>22500</v>
      </c>
      <c r="CF427" s="1015"/>
      <c r="CG427" s="1015"/>
      <c r="CH427" s="1015">
        <f>+$AI$427*10%</f>
        <v>15000</v>
      </c>
      <c r="CI427" s="1015"/>
      <c r="CJ427" s="1015"/>
      <c r="CK427" s="1015">
        <f>+$AI$427*10%</f>
        <v>15000</v>
      </c>
      <c r="CL427" s="1015">
        <v>0</v>
      </c>
      <c r="CM427" s="1015"/>
      <c r="CN427" s="1015">
        <f>+$AI$427*10%</f>
        <v>15000</v>
      </c>
      <c r="CO427" s="1015">
        <v>0</v>
      </c>
      <c r="CP427" s="2035">
        <f t="shared" si="426"/>
        <v>67500</v>
      </c>
      <c r="CR427" s="1015"/>
      <c r="CS427" s="1015">
        <f>+$AI$427*10%</f>
        <v>15000</v>
      </c>
      <c r="CT427" s="1015"/>
      <c r="CU427" s="1015"/>
      <c r="CV427" s="1015">
        <f>+$AI$427*10%</f>
        <v>15000</v>
      </c>
      <c r="CW427" s="1015">
        <v>0</v>
      </c>
      <c r="CX427" s="1015"/>
      <c r="CY427" s="1015">
        <f>+$AI$427*10%</f>
        <v>15000</v>
      </c>
      <c r="CZ427" s="1015"/>
      <c r="DA427" s="1015">
        <v>0</v>
      </c>
      <c r="DB427" s="1015">
        <f t="shared" si="601"/>
        <v>15000</v>
      </c>
      <c r="DC427" s="1015">
        <v>0</v>
      </c>
      <c r="DD427" s="2017">
        <f t="shared" si="428"/>
        <v>60000</v>
      </c>
      <c r="DF427" s="1015">
        <f>+$AI$427*15%</f>
        <v>22500</v>
      </c>
      <c r="DG427" s="1015"/>
      <c r="DH427" s="1015">
        <v>0</v>
      </c>
      <c r="DI427" s="1498">
        <f t="shared" si="429"/>
        <v>22500</v>
      </c>
      <c r="DJ427" s="3142">
        <f t="shared" si="534"/>
        <v>150000</v>
      </c>
      <c r="DL427" s="3180">
        <f t="shared" si="535"/>
        <v>0</v>
      </c>
      <c r="DN427" s="2749" t="s">
        <v>1180</v>
      </c>
      <c r="DO427" s="2730" t="s">
        <v>1181</v>
      </c>
      <c r="DP427" s="2730" t="s">
        <v>1117</v>
      </c>
      <c r="DQ427" s="2730" t="s">
        <v>4</v>
      </c>
      <c r="DR427" s="2730" t="str">
        <f t="shared" si="446"/>
        <v>3</v>
      </c>
      <c r="DS427" s="1037"/>
      <c r="DT427" s="1037"/>
    </row>
    <row r="428" spans="2:124" ht="15" outlineLevel="4">
      <c r="B428" s="711"/>
      <c r="C428" s="182"/>
      <c r="D428" s="2953" t="s">
        <v>1029</v>
      </c>
      <c r="E428" s="580"/>
      <c r="F428" s="2953"/>
      <c r="G428" s="107" t="s">
        <v>1279</v>
      </c>
      <c r="H428" s="544" t="s">
        <v>1030</v>
      </c>
      <c r="I428" s="533"/>
      <c r="J428" s="103"/>
      <c r="L428" s="364"/>
      <c r="M428" s="364"/>
      <c r="N428" s="364"/>
      <c r="O428" s="364"/>
      <c r="P428" s="364"/>
      <c r="Q428" s="364"/>
      <c r="R428" s="364"/>
      <c r="S428" s="364"/>
      <c r="T428" s="364"/>
      <c r="U428" s="364"/>
      <c r="W428" s="3800"/>
      <c r="X428" s="3800"/>
      <c r="Y428" s="4012"/>
      <c r="Z428" s="3800"/>
      <c r="AA428" s="3800"/>
      <c r="AB428" s="3898"/>
      <c r="AD428" s="711" t="s">
        <v>1179</v>
      </c>
      <c r="AE428" s="712">
        <v>1</v>
      </c>
      <c r="AF428" s="179"/>
      <c r="AG428" s="179"/>
      <c r="AH428" s="1047">
        <v>800000</v>
      </c>
      <c r="AI428" s="1032">
        <f t="shared" si="599"/>
        <v>800000</v>
      </c>
      <c r="AJ428" s="1530"/>
      <c r="AL428" s="1032">
        <f t="shared" si="600"/>
        <v>800000</v>
      </c>
      <c r="AM428" s="1032">
        <v>0</v>
      </c>
      <c r="AN428" s="355">
        <f t="shared" si="528"/>
        <v>800000</v>
      </c>
      <c r="AP428" s="986">
        <v>0</v>
      </c>
      <c r="AQ428" s="986">
        <v>0</v>
      </c>
      <c r="AR428" s="986">
        <v>0</v>
      </c>
      <c r="AS428" s="986">
        <v>0</v>
      </c>
      <c r="AT428" s="986">
        <v>0</v>
      </c>
      <c r="AU428" s="986">
        <v>0</v>
      </c>
      <c r="AV428" s="986">
        <v>0</v>
      </c>
      <c r="AW428" s="986">
        <v>0</v>
      </c>
      <c r="AX428" s="986">
        <v>0</v>
      </c>
      <c r="AY428" s="986">
        <v>0</v>
      </c>
      <c r="AZ428" s="2011">
        <f t="shared" si="420"/>
        <v>0</v>
      </c>
      <c r="BB428" s="986">
        <v>0</v>
      </c>
      <c r="BC428" s="986">
        <v>0</v>
      </c>
      <c r="BD428" s="986">
        <v>0</v>
      </c>
      <c r="BE428" s="986">
        <v>0</v>
      </c>
      <c r="BF428" s="986">
        <v>0</v>
      </c>
      <c r="BG428" s="986">
        <v>0</v>
      </c>
      <c r="BH428" s="986">
        <v>0</v>
      </c>
      <c r="BI428" s="986">
        <v>0</v>
      </c>
      <c r="BJ428" s="986">
        <v>0</v>
      </c>
      <c r="BK428" s="986">
        <v>0</v>
      </c>
      <c r="BL428" s="986">
        <v>0</v>
      </c>
      <c r="BM428" s="986">
        <v>0</v>
      </c>
      <c r="BN428" s="2011">
        <f t="shared" si="422"/>
        <v>0</v>
      </c>
      <c r="BP428" s="986">
        <v>0</v>
      </c>
      <c r="BQ428" s="986">
        <v>0</v>
      </c>
      <c r="BR428" s="986"/>
      <c r="BS428" s="986">
        <v>0</v>
      </c>
      <c r="BT428" s="986">
        <v>0</v>
      </c>
      <c r="BU428" s="986">
        <v>0</v>
      </c>
      <c r="BV428" s="1015"/>
      <c r="BW428" s="1015">
        <v>0</v>
      </c>
      <c r="BX428" s="1015"/>
      <c r="BY428" s="1015"/>
      <c r="BZ428" s="1015"/>
      <c r="CA428" s="1015"/>
      <c r="CB428" s="2026">
        <f t="shared" si="424"/>
        <v>0</v>
      </c>
      <c r="CD428" s="1015"/>
      <c r="CE428" s="1015">
        <f>+$AI$428*15%</f>
        <v>120000</v>
      </c>
      <c r="CF428" s="1015"/>
      <c r="CG428" s="1015"/>
      <c r="CH428" s="1015">
        <f>+$AI$428*10%</f>
        <v>80000</v>
      </c>
      <c r="CI428" s="1015"/>
      <c r="CJ428" s="1015"/>
      <c r="CK428" s="1015">
        <f>+$AI$428*10%</f>
        <v>80000</v>
      </c>
      <c r="CL428" s="1015">
        <v>0</v>
      </c>
      <c r="CM428" s="1015"/>
      <c r="CN428" s="1015">
        <f>+$AI$428*10%</f>
        <v>80000</v>
      </c>
      <c r="CO428" s="1015">
        <v>0</v>
      </c>
      <c r="CP428" s="2035">
        <f t="shared" si="426"/>
        <v>360000</v>
      </c>
      <c r="CR428" s="1015"/>
      <c r="CS428" s="1015">
        <f>+$AI$428*10%</f>
        <v>80000</v>
      </c>
      <c r="CT428" s="1015"/>
      <c r="CU428" s="1015"/>
      <c r="CV428" s="1015">
        <f>+$AI$428*10%</f>
        <v>80000</v>
      </c>
      <c r="CW428" s="1015">
        <v>0</v>
      </c>
      <c r="CX428" s="1015"/>
      <c r="CY428" s="1015">
        <f>+$AI$428*10%</f>
        <v>80000</v>
      </c>
      <c r="CZ428" s="1015"/>
      <c r="DA428" s="1015">
        <v>0</v>
      </c>
      <c r="DB428" s="1015">
        <f t="shared" si="601"/>
        <v>80000</v>
      </c>
      <c r="DC428" s="1015">
        <v>0</v>
      </c>
      <c r="DD428" s="2017">
        <f t="shared" si="428"/>
        <v>320000</v>
      </c>
      <c r="DF428" s="1015">
        <f>+$AI$428*15%</f>
        <v>120000</v>
      </c>
      <c r="DG428" s="1015"/>
      <c r="DH428" s="1015">
        <v>0</v>
      </c>
      <c r="DI428" s="1498">
        <f t="shared" si="429"/>
        <v>120000</v>
      </c>
      <c r="DJ428" s="3142">
        <f t="shared" si="534"/>
        <v>800000</v>
      </c>
      <c r="DL428" s="3180">
        <f t="shared" si="535"/>
        <v>0</v>
      </c>
      <c r="DN428" s="2749" t="s">
        <v>1180</v>
      </c>
      <c r="DO428" s="2730" t="s">
        <v>1181</v>
      </c>
      <c r="DP428" s="2730" t="s">
        <v>1117</v>
      </c>
      <c r="DQ428" s="2730" t="s">
        <v>4</v>
      </c>
      <c r="DR428" s="2730" t="str">
        <f t="shared" si="446"/>
        <v>3</v>
      </c>
      <c r="DS428" s="1037"/>
      <c r="DT428" s="1037"/>
    </row>
    <row r="429" spans="2:124" ht="15" outlineLevel="4">
      <c r="B429" s="711"/>
      <c r="C429" s="182"/>
      <c r="D429" s="2953" t="s">
        <v>1031</v>
      </c>
      <c r="E429" s="580"/>
      <c r="F429" s="2953"/>
      <c r="G429" s="107" t="s">
        <v>1279</v>
      </c>
      <c r="H429" s="544" t="s">
        <v>1032</v>
      </c>
      <c r="I429" s="533"/>
      <c r="J429" s="103"/>
      <c r="L429" s="364"/>
      <c r="M429" s="364"/>
      <c r="N429" s="364"/>
      <c r="O429" s="364"/>
      <c r="P429" s="364"/>
      <c r="Q429" s="364"/>
      <c r="R429" s="364"/>
      <c r="S429" s="364"/>
      <c r="T429" s="364"/>
      <c r="U429" s="364"/>
      <c r="W429" s="3800"/>
      <c r="X429" s="3800"/>
      <c r="Y429" s="4012"/>
      <c r="Z429" s="3800"/>
      <c r="AA429" s="3800"/>
      <c r="AB429" s="3898"/>
      <c r="AD429" s="711" t="s">
        <v>1179</v>
      </c>
      <c r="AE429" s="712">
        <v>1</v>
      </c>
      <c r="AF429" s="179"/>
      <c r="AG429" s="179"/>
      <c r="AH429" s="1047">
        <v>300000</v>
      </c>
      <c r="AI429" s="1032">
        <f t="shared" si="599"/>
        <v>300000</v>
      </c>
      <c r="AJ429" s="1530"/>
      <c r="AL429" s="1032">
        <f t="shared" si="600"/>
        <v>300000</v>
      </c>
      <c r="AM429" s="1032">
        <v>0</v>
      </c>
      <c r="AN429" s="355">
        <f t="shared" si="528"/>
        <v>300000</v>
      </c>
      <c r="AP429" s="986">
        <v>0</v>
      </c>
      <c r="AQ429" s="986">
        <v>0</v>
      </c>
      <c r="AR429" s="986">
        <v>0</v>
      </c>
      <c r="AS429" s="986">
        <v>0</v>
      </c>
      <c r="AT429" s="986">
        <v>0</v>
      </c>
      <c r="AU429" s="986">
        <v>0</v>
      </c>
      <c r="AV429" s="986">
        <v>0</v>
      </c>
      <c r="AW429" s="986">
        <v>0</v>
      </c>
      <c r="AX429" s="986">
        <v>0</v>
      </c>
      <c r="AY429" s="986">
        <v>0</v>
      </c>
      <c r="AZ429" s="2011">
        <f t="shared" si="420"/>
        <v>0</v>
      </c>
      <c r="BB429" s="986">
        <v>0</v>
      </c>
      <c r="BC429" s="986">
        <v>0</v>
      </c>
      <c r="BD429" s="986">
        <v>0</v>
      </c>
      <c r="BE429" s="986">
        <v>0</v>
      </c>
      <c r="BF429" s="986">
        <v>0</v>
      </c>
      <c r="BG429" s="986">
        <v>0</v>
      </c>
      <c r="BH429" s="986">
        <v>0</v>
      </c>
      <c r="BI429" s="986">
        <v>0</v>
      </c>
      <c r="BJ429" s="986">
        <v>0</v>
      </c>
      <c r="BK429" s="986">
        <v>0</v>
      </c>
      <c r="BL429" s="986">
        <v>0</v>
      </c>
      <c r="BM429" s="986">
        <v>0</v>
      </c>
      <c r="BN429" s="2011">
        <f t="shared" si="422"/>
        <v>0</v>
      </c>
      <c r="BP429" s="986">
        <v>0</v>
      </c>
      <c r="BQ429" s="986">
        <v>0</v>
      </c>
      <c r="BR429" s="986"/>
      <c r="BS429" s="986">
        <v>0</v>
      </c>
      <c r="BT429" s="986">
        <v>0</v>
      </c>
      <c r="BU429" s="986">
        <v>0</v>
      </c>
      <c r="BV429" s="1015"/>
      <c r="BW429" s="1015">
        <v>0</v>
      </c>
      <c r="BX429" s="1015"/>
      <c r="BY429" s="1015"/>
      <c r="BZ429" s="1015"/>
      <c r="CA429" s="1015"/>
      <c r="CB429" s="2026">
        <f t="shared" si="424"/>
        <v>0</v>
      </c>
      <c r="CD429" s="1015"/>
      <c r="CE429" s="1015">
        <f>+$AI$429*15%</f>
        <v>45000</v>
      </c>
      <c r="CF429" s="1015"/>
      <c r="CG429" s="1015"/>
      <c r="CH429" s="1015">
        <f>+$AI$429*10%</f>
        <v>30000</v>
      </c>
      <c r="CI429" s="1015"/>
      <c r="CJ429" s="1015"/>
      <c r="CK429" s="1015">
        <f>+$AI$429*10%</f>
        <v>30000</v>
      </c>
      <c r="CL429" s="1015">
        <v>0</v>
      </c>
      <c r="CM429" s="1015"/>
      <c r="CN429" s="1015">
        <f>+$AI$429*10%</f>
        <v>30000</v>
      </c>
      <c r="CO429" s="1015">
        <v>0</v>
      </c>
      <c r="CP429" s="2035">
        <f t="shared" si="426"/>
        <v>135000</v>
      </c>
      <c r="CR429" s="1015"/>
      <c r="CS429" s="1015">
        <f>+$AI$429*10%</f>
        <v>30000</v>
      </c>
      <c r="CT429" s="1015"/>
      <c r="CU429" s="1015"/>
      <c r="CV429" s="1015">
        <f>+$AI$429*10%</f>
        <v>30000</v>
      </c>
      <c r="CW429" s="1015">
        <v>0</v>
      </c>
      <c r="CX429" s="1015"/>
      <c r="CY429" s="1015">
        <f>+$AI$429*10%</f>
        <v>30000</v>
      </c>
      <c r="CZ429" s="1015"/>
      <c r="DA429" s="1015">
        <v>0</v>
      </c>
      <c r="DB429" s="1015">
        <f t="shared" si="601"/>
        <v>30000</v>
      </c>
      <c r="DC429" s="1015">
        <v>0</v>
      </c>
      <c r="DD429" s="2017">
        <f t="shared" si="428"/>
        <v>120000</v>
      </c>
      <c r="DF429" s="1015">
        <f>+$AI$429*15%</f>
        <v>45000</v>
      </c>
      <c r="DG429" s="1015"/>
      <c r="DH429" s="1015">
        <v>0</v>
      </c>
      <c r="DI429" s="1498">
        <f t="shared" si="429"/>
        <v>45000</v>
      </c>
      <c r="DJ429" s="3142">
        <f t="shared" si="534"/>
        <v>300000</v>
      </c>
      <c r="DL429" s="3180">
        <f t="shared" si="535"/>
        <v>0</v>
      </c>
      <c r="DN429" s="2749" t="s">
        <v>1180</v>
      </c>
      <c r="DO429" s="2730" t="s">
        <v>1181</v>
      </c>
      <c r="DP429" s="2730" t="s">
        <v>1117</v>
      </c>
      <c r="DQ429" s="2730" t="s">
        <v>4</v>
      </c>
      <c r="DR429" s="2730" t="str">
        <f t="shared" si="446"/>
        <v>3</v>
      </c>
      <c r="DS429" s="1037"/>
      <c r="DT429" s="1037"/>
    </row>
    <row r="430" spans="2:124" ht="15" outlineLevel="4">
      <c r="B430" s="711"/>
      <c r="C430" s="182"/>
      <c r="D430" s="2953" t="s">
        <v>1033</v>
      </c>
      <c r="E430" s="580"/>
      <c r="F430" s="2953"/>
      <c r="G430" s="107" t="s">
        <v>1279</v>
      </c>
      <c r="H430" s="544" t="s">
        <v>1034</v>
      </c>
      <c r="I430" s="533"/>
      <c r="J430" s="103"/>
      <c r="L430" s="364"/>
      <c r="M430" s="364"/>
      <c r="N430" s="364"/>
      <c r="O430" s="364"/>
      <c r="P430" s="364"/>
      <c r="Q430" s="364"/>
      <c r="R430" s="364"/>
      <c r="S430" s="364"/>
      <c r="T430" s="364"/>
      <c r="U430" s="364"/>
      <c r="W430" s="3800"/>
      <c r="X430" s="3800"/>
      <c r="Y430" s="4012"/>
      <c r="Z430" s="3800"/>
      <c r="AA430" s="3800"/>
      <c r="AB430" s="3898"/>
      <c r="AD430" s="711" t="s">
        <v>1179</v>
      </c>
      <c r="AE430" s="712">
        <v>1</v>
      </c>
      <c r="AF430" s="179"/>
      <c r="AG430" s="179"/>
      <c r="AH430" s="1047">
        <v>400000</v>
      </c>
      <c r="AI430" s="1032">
        <f t="shared" si="599"/>
        <v>400000</v>
      </c>
      <c r="AJ430" s="1530"/>
      <c r="AL430" s="1032">
        <f t="shared" si="600"/>
        <v>400000</v>
      </c>
      <c r="AM430" s="1032">
        <v>0</v>
      </c>
      <c r="AN430" s="355">
        <f t="shared" si="528"/>
        <v>400000</v>
      </c>
      <c r="AP430" s="986">
        <v>0</v>
      </c>
      <c r="AQ430" s="986">
        <v>0</v>
      </c>
      <c r="AR430" s="986">
        <v>0</v>
      </c>
      <c r="AS430" s="986">
        <v>0</v>
      </c>
      <c r="AT430" s="986">
        <v>0</v>
      </c>
      <c r="AU430" s="986">
        <v>0</v>
      </c>
      <c r="AV430" s="986">
        <v>0</v>
      </c>
      <c r="AW430" s="986">
        <v>0</v>
      </c>
      <c r="AX430" s="986">
        <v>0</v>
      </c>
      <c r="AY430" s="986">
        <v>0</v>
      </c>
      <c r="AZ430" s="2011">
        <f t="shared" si="420"/>
        <v>0</v>
      </c>
      <c r="BB430" s="986">
        <v>0</v>
      </c>
      <c r="BC430" s="986">
        <v>0</v>
      </c>
      <c r="BD430" s="986">
        <v>0</v>
      </c>
      <c r="BE430" s="986">
        <v>0</v>
      </c>
      <c r="BF430" s="986">
        <v>0</v>
      </c>
      <c r="BG430" s="986">
        <v>0</v>
      </c>
      <c r="BH430" s="986">
        <v>0</v>
      </c>
      <c r="BI430" s="986">
        <v>0</v>
      </c>
      <c r="BJ430" s="986">
        <v>0</v>
      </c>
      <c r="BK430" s="986">
        <v>0</v>
      </c>
      <c r="BL430" s="986">
        <v>0</v>
      </c>
      <c r="BM430" s="986">
        <v>0</v>
      </c>
      <c r="BN430" s="2011">
        <f t="shared" si="422"/>
        <v>0</v>
      </c>
      <c r="BP430" s="986">
        <v>0</v>
      </c>
      <c r="BQ430" s="986">
        <v>0</v>
      </c>
      <c r="BR430" s="986"/>
      <c r="BS430" s="986">
        <v>0</v>
      </c>
      <c r="BT430" s="986">
        <v>0</v>
      </c>
      <c r="BU430" s="986">
        <v>0</v>
      </c>
      <c r="BV430" s="1015"/>
      <c r="BW430" s="1015">
        <v>0</v>
      </c>
      <c r="BX430" s="1015"/>
      <c r="BY430" s="1015"/>
      <c r="BZ430" s="1015"/>
      <c r="CA430" s="1015"/>
      <c r="CB430" s="2026">
        <f t="shared" si="424"/>
        <v>0</v>
      </c>
      <c r="CD430" s="1015"/>
      <c r="CE430" s="1015">
        <f>+$AI$430*15%</f>
        <v>60000</v>
      </c>
      <c r="CF430" s="1015"/>
      <c r="CG430" s="1015"/>
      <c r="CH430" s="1015">
        <f>+$AI$430*10%</f>
        <v>40000</v>
      </c>
      <c r="CI430" s="1015"/>
      <c r="CJ430" s="1015"/>
      <c r="CK430" s="1015">
        <f>+$AI$430*10%</f>
        <v>40000</v>
      </c>
      <c r="CL430" s="1015">
        <v>0</v>
      </c>
      <c r="CM430" s="1015"/>
      <c r="CN430" s="1015">
        <f>+$AI$430*10%</f>
        <v>40000</v>
      </c>
      <c r="CO430" s="1015">
        <v>0</v>
      </c>
      <c r="CP430" s="2035">
        <f t="shared" si="426"/>
        <v>180000</v>
      </c>
      <c r="CR430" s="1015"/>
      <c r="CS430" s="1015">
        <f>+$AI$430*10%</f>
        <v>40000</v>
      </c>
      <c r="CT430" s="1015"/>
      <c r="CU430" s="1015"/>
      <c r="CV430" s="1015">
        <f>+$AI$430*10%</f>
        <v>40000</v>
      </c>
      <c r="CW430" s="1015">
        <v>0</v>
      </c>
      <c r="CX430" s="1015"/>
      <c r="CY430" s="1015">
        <f>+$AI$430*10%</f>
        <v>40000</v>
      </c>
      <c r="CZ430" s="1015"/>
      <c r="DA430" s="1015">
        <v>0</v>
      </c>
      <c r="DB430" s="1015">
        <f t="shared" si="601"/>
        <v>40000</v>
      </c>
      <c r="DC430" s="1015">
        <v>0</v>
      </c>
      <c r="DD430" s="2017">
        <f t="shared" si="428"/>
        <v>160000</v>
      </c>
      <c r="DF430" s="1015">
        <f>+$AI$430*15%</f>
        <v>60000</v>
      </c>
      <c r="DG430" s="1015"/>
      <c r="DH430" s="1015">
        <v>0</v>
      </c>
      <c r="DI430" s="1498">
        <f t="shared" si="429"/>
        <v>60000</v>
      </c>
      <c r="DJ430" s="3142">
        <f t="shared" si="534"/>
        <v>400000</v>
      </c>
      <c r="DL430" s="3180">
        <f t="shared" si="535"/>
        <v>0</v>
      </c>
      <c r="DN430" s="2749" t="s">
        <v>1180</v>
      </c>
      <c r="DO430" s="2730" t="s">
        <v>1181</v>
      </c>
      <c r="DP430" s="2730" t="s">
        <v>1117</v>
      </c>
      <c r="DQ430" s="2730" t="s">
        <v>4</v>
      </c>
      <c r="DR430" s="2730" t="str">
        <f t="shared" si="446"/>
        <v>3</v>
      </c>
      <c r="DS430" s="1037"/>
      <c r="DT430" s="1037"/>
    </row>
    <row r="431" spans="2:124" ht="15" outlineLevel="4">
      <c r="B431" s="711"/>
      <c r="C431" s="182"/>
      <c r="D431" s="2953" t="s">
        <v>1035</v>
      </c>
      <c r="E431" s="580"/>
      <c r="F431" s="2953"/>
      <c r="G431" s="107" t="s">
        <v>1279</v>
      </c>
      <c r="H431" s="544" t="s">
        <v>1036</v>
      </c>
      <c r="I431" s="533"/>
      <c r="J431" s="103"/>
      <c r="L431" s="364"/>
      <c r="M431" s="364"/>
      <c r="N431" s="364"/>
      <c r="O431" s="364"/>
      <c r="P431" s="364"/>
      <c r="Q431" s="364"/>
      <c r="R431" s="364"/>
      <c r="S431" s="364"/>
      <c r="T431" s="364"/>
      <c r="U431" s="364"/>
      <c r="W431" s="3800"/>
      <c r="X431" s="3800"/>
      <c r="Y431" s="4012"/>
      <c r="Z431" s="3800"/>
      <c r="AA431" s="3800"/>
      <c r="AB431" s="3898"/>
      <c r="AD431" s="711" t="s">
        <v>1179</v>
      </c>
      <c r="AE431" s="712">
        <v>1</v>
      </c>
      <c r="AF431" s="179"/>
      <c r="AG431" s="179"/>
      <c r="AH431" s="1047">
        <v>50000</v>
      </c>
      <c r="AI431" s="1032">
        <f t="shared" si="599"/>
        <v>50000</v>
      </c>
      <c r="AJ431" s="1530"/>
      <c r="AL431" s="1032">
        <f t="shared" si="600"/>
        <v>50000</v>
      </c>
      <c r="AM431" s="1032">
        <v>0</v>
      </c>
      <c r="AN431" s="355">
        <f t="shared" si="528"/>
        <v>50000</v>
      </c>
      <c r="AP431" s="986">
        <v>0</v>
      </c>
      <c r="AQ431" s="986">
        <v>0</v>
      </c>
      <c r="AR431" s="986">
        <v>0</v>
      </c>
      <c r="AS431" s="986">
        <v>0</v>
      </c>
      <c r="AT431" s="986">
        <v>0</v>
      </c>
      <c r="AU431" s="986">
        <v>0</v>
      </c>
      <c r="AV431" s="986">
        <v>0</v>
      </c>
      <c r="AW431" s="986">
        <v>0</v>
      </c>
      <c r="AX431" s="986">
        <v>0</v>
      </c>
      <c r="AY431" s="986">
        <v>0</v>
      </c>
      <c r="AZ431" s="2011">
        <f t="shared" si="420"/>
        <v>0</v>
      </c>
      <c r="BB431" s="986">
        <v>0</v>
      </c>
      <c r="BC431" s="986">
        <v>0</v>
      </c>
      <c r="BD431" s="986">
        <v>0</v>
      </c>
      <c r="BE431" s="986">
        <v>0</v>
      </c>
      <c r="BF431" s="986">
        <v>0</v>
      </c>
      <c r="BG431" s="986">
        <v>0</v>
      </c>
      <c r="BH431" s="986">
        <v>0</v>
      </c>
      <c r="BI431" s="986">
        <v>0</v>
      </c>
      <c r="BJ431" s="986">
        <v>0</v>
      </c>
      <c r="BK431" s="986">
        <v>0</v>
      </c>
      <c r="BL431" s="986">
        <v>0</v>
      </c>
      <c r="BM431" s="986">
        <v>0</v>
      </c>
      <c r="BN431" s="2011">
        <f t="shared" si="422"/>
        <v>0</v>
      </c>
      <c r="BP431" s="986">
        <v>0</v>
      </c>
      <c r="BQ431" s="986">
        <v>0</v>
      </c>
      <c r="BR431" s="986"/>
      <c r="BS431" s="986">
        <v>0</v>
      </c>
      <c r="BT431" s="986">
        <v>0</v>
      </c>
      <c r="BU431" s="986">
        <v>0</v>
      </c>
      <c r="BV431" s="1015"/>
      <c r="BW431" s="1015">
        <v>0</v>
      </c>
      <c r="BX431" s="1015"/>
      <c r="BY431" s="1015"/>
      <c r="BZ431" s="1015"/>
      <c r="CA431" s="1015"/>
      <c r="CB431" s="2026">
        <f t="shared" si="424"/>
        <v>0</v>
      </c>
      <c r="CD431" s="1015"/>
      <c r="CE431" s="1015">
        <f>+$AI$431*15%</f>
        <v>7500</v>
      </c>
      <c r="CF431" s="1015"/>
      <c r="CG431" s="1015"/>
      <c r="CH431" s="1015">
        <f>+$AI$431*10%</f>
        <v>5000</v>
      </c>
      <c r="CI431" s="1015"/>
      <c r="CJ431" s="1015"/>
      <c r="CK431" s="1015">
        <f>+$AI$431*10%</f>
        <v>5000</v>
      </c>
      <c r="CL431" s="1015">
        <v>0</v>
      </c>
      <c r="CM431" s="1015"/>
      <c r="CN431" s="1015">
        <f>+$AI$431*10%</f>
        <v>5000</v>
      </c>
      <c r="CO431" s="1015">
        <v>0</v>
      </c>
      <c r="CP431" s="2035">
        <f t="shared" si="426"/>
        <v>22500</v>
      </c>
      <c r="CR431" s="1015"/>
      <c r="CS431" s="1015">
        <f>+$AI$431*10%</f>
        <v>5000</v>
      </c>
      <c r="CT431" s="1015"/>
      <c r="CU431" s="1015"/>
      <c r="CV431" s="1015">
        <f>+$AI$431*10%</f>
        <v>5000</v>
      </c>
      <c r="CW431" s="1015">
        <v>0</v>
      </c>
      <c r="CX431" s="1015"/>
      <c r="CY431" s="1015">
        <f>+$AI$431*10%</f>
        <v>5000</v>
      </c>
      <c r="CZ431" s="1015"/>
      <c r="DA431" s="1015">
        <v>0</v>
      </c>
      <c r="DB431" s="1015">
        <f t="shared" si="601"/>
        <v>5000</v>
      </c>
      <c r="DC431" s="1015">
        <v>0</v>
      </c>
      <c r="DD431" s="2017">
        <f t="shared" si="428"/>
        <v>20000</v>
      </c>
      <c r="DF431" s="1015">
        <f>+$AI$431*15%</f>
        <v>7500</v>
      </c>
      <c r="DG431" s="1015"/>
      <c r="DH431" s="1015">
        <v>0</v>
      </c>
      <c r="DI431" s="1498">
        <f t="shared" si="429"/>
        <v>7500</v>
      </c>
      <c r="DJ431" s="3142">
        <f t="shared" si="534"/>
        <v>50000</v>
      </c>
      <c r="DL431" s="3180">
        <f t="shared" si="535"/>
        <v>0</v>
      </c>
      <c r="DN431" s="2749" t="s">
        <v>1180</v>
      </c>
      <c r="DO431" s="2730" t="s">
        <v>1181</v>
      </c>
      <c r="DP431" s="2730" t="s">
        <v>1117</v>
      </c>
      <c r="DQ431" s="2730" t="s">
        <v>4</v>
      </c>
      <c r="DR431" s="2730" t="str">
        <f t="shared" si="446"/>
        <v>3</v>
      </c>
      <c r="DS431" s="1037"/>
      <c r="DT431" s="1037"/>
    </row>
    <row r="432" spans="2:124" ht="15" outlineLevel="4">
      <c r="B432" s="711"/>
      <c r="C432" s="182"/>
      <c r="D432" s="2953" t="s">
        <v>1037</v>
      </c>
      <c r="E432" s="580"/>
      <c r="F432" s="2953"/>
      <c r="G432" s="107" t="s">
        <v>1279</v>
      </c>
      <c r="H432" s="544" t="s">
        <v>1038</v>
      </c>
      <c r="I432" s="533"/>
      <c r="J432" s="103"/>
      <c r="L432" s="364"/>
      <c r="M432" s="364"/>
      <c r="N432" s="364"/>
      <c r="O432" s="364"/>
      <c r="P432" s="364"/>
      <c r="Q432" s="364"/>
      <c r="R432" s="364"/>
      <c r="S432" s="364"/>
      <c r="T432" s="364"/>
      <c r="U432" s="364"/>
      <c r="W432" s="3800"/>
      <c r="X432" s="3800"/>
      <c r="Y432" s="4012"/>
      <c r="Z432" s="3800"/>
      <c r="AA432" s="3800"/>
      <c r="AB432" s="3898"/>
      <c r="AD432" s="711" t="s">
        <v>1179</v>
      </c>
      <c r="AE432" s="712">
        <v>1</v>
      </c>
      <c r="AF432" s="179"/>
      <c r="AG432" s="179"/>
      <c r="AH432" s="1047">
        <v>100000</v>
      </c>
      <c r="AI432" s="1032">
        <f t="shared" si="599"/>
        <v>100000</v>
      </c>
      <c r="AJ432" s="1530"/>
      <c r="AL432" s="1032">
        <f t="shared" si="600"/>
        <v>100000</v>
      </c>
      <c r="AM432" s="1032">
        <v>0</v>
      </c>
      <c r="AN432" s="355">
        <f t="shared" si="528"/>
        <v>100000</v>
      </c>
      <c r="AP432" s="986">
        <v>0</v>
      </c>
      <c r="AQ432" s="986">
        <v>0</v>
      </c>
      <c r="AR432" s="986">
        <v>0</v>
      </c>
      <c r="AS432" s="986">
        <v>0</v>
      </c>
      <c r="AT432" s="986">
        <v>0</v>
      </c>
      <c r="AU432" s="986">
        <v>0</v>
      </c>
      <c r="AV432" s="986">
        <v>0</v>
      </c>
      <c r="AW432" s="986">
        <v>0</v>
      </c>
      <c r="AX432" s="986">
        <v>0</v>
      </c>
      <c r="AY432" s="986">
        <v>0</v>
      </c>
      <c r="AZ432" s="2011">
        <f t="shared" si="420"/>
        <v>0</v>
      </c>
      <c r="BB432" s="986">
        <v>0</v>
      </c>
      <c r="BC432" s="986">
        <v>0</v>
      </c>
      <c r="BD432" s="986">
        <v>0</v>
      </c>
      <c r="BE432" s="986">
        <v>0</v>
      </c>
      <c r="BF432" s="986">
        <v>0</v>
      </c>
      <c r="BG432" s="986">
        <v>0</v>
      </c>
      <c r="BH432" s="986">
        <v>0</v>
      </c>
      <c r="BI432" s="986">
        <v>0</v>
      </c>
      <c r="BJ432" s="986">
        <v>0</v>
      </c>
      <c r="BK432" s="986">
        <v>0</v>
      </c>
      <c r="BL432" s="986">
        <v>0</v>
      </c>
      <c r="BM432" s="986">
        <v>0</v>
      </c>
      <c r="BN432" s="2011">
        <f t="shared" si="422"/>
        <v>0</v>
      </c>
      <c r="BP432" s="986">
        <v>0</v>
      </c>
      <c r="BQ432" s="986">
        <v>0</v>
      </c>
      <c r="BR432" s="986"/>
      <c r="BS432" s="986">
        <v>0</v>
      </c>
      <c r="BT432" s="986">
        <v>0</v>
      </c>
      <c r="BU432" s="986">
        <v>0</v>
      </c>
      <c r="BV432" s="1015"/>
      <c r="BW432" s="1015">
        <v>0</v>
      </c>
      <c r="BX432" s="1015"/>
      <c r="BY432" s="1015"/>
      <c r="BZ432" s="1015"/>
      <c r="CA432" s="1015"/>
      <c r="CB432" s="2026">
        <f t="shared" si="424"/>
        <v>0</v>
      </c>
      <c r="CD432" s="1015"/>
      <c r="CE432" s="1015">
        <f>+$AI$432*15%</f>
        <v>15000</v>
      </c>
      <c r="CF432" s="1015"/>
      <c r="CG432" s="1015"/>
      <c r="CH432" s="1015">
        <f>+$AI$432*10%</f>
        <v>10000</v>
      </c>
      <c r="CI432" s="1015"/>
      <c r="CJ432" s="1015"/>
      <c r="CK432" s="1015">
        <f>+$AI$432*10%</f>
        <v>10000</v>
      </c>
      <c r="CL432" s="1015">
        <v>0</v>
      </c>
      <c r="CM432" s="1015"/>
      <c r="CN432" s="1015">
        <f>+$AI$432*10%</f>
        <v>10000</v>
      </c>
      <c r="CO432" s="1015">
        <v>0</v>
      </c>
      <c r="CP432" s="2035">
        <f t="shared" si="426"/>
        <v>45000</v>
      </c>
      <c r="CR432" s="1015"/>
      <c r="CS432" s="1015">
        <f>+$AI$432*10%</f>
        <v>10000</v>
      </c>
      <c r="CT432" s="1015"/>
      <c r="CU432" s="1015"/>
      <c r="CV432" s="1015">
        <f>+$AI$432*10%</f>
        <v>10000</v>
      </c>
      <c r="CW432" s="1015">
        <v>0</v>
      </c>
      <c r="CX432" s="1015"/>
      <c r="CY432" s="1015">
        <f>+$AI$432*10%</f>
        <v>10000</v>
      </c>
      <c r="CZ432" s="1015"/>
      <c r="DA432" s="1015">
        <v>0</v>
      </c>
      <c r="DB432" s="1015">
        <f t="shared" si="601"/>
        <v>10000</v>
      </c>
      <c r="DC432" s="1015">
        <v>0</v>
      </c>
      <c r="DD432" s="2017">
        <f t="shared" si="428"/>
        <v>40000</v>
      </c>
      <c r="DF432" s="1015">
        <f>+$AI$432*15%</f>
        <v>15000</v>
      </c>
      <c r="DG432" s="1015"/>
      <c r="DH432" s="1015">
        <v>0</v>
      </c>
      <c r="DI432" s="1498">
        <f t="shared" si="429"/>
        <v>15000</v>
      </c>
      <c r="DJ432" s="3142">
        <f t="shared" si="534"/>
        <v>100000</v>
      </c>
      <c r="DL432" s="3180">
        <f t="shared" si="535"/>
        <v>0</v>
      </c>
      <c r="DN432" s="2749" t="s">
        <v>1180</v>
      </c>
      <c r="DO432" s="2730" t="s">
        <v>1181</v>
      </c>
      <c r="DP432" s="2730" t="s">
        <v>1117</v>
      </c>
      <c r="DQ432" s="2730" t="s">
        <v>4</v>
      </c>
      <c r="DR432" s="2730" t="str">
        <f t="shared" si="446"/>
        <v>3</v>
      </c>
      <c r="DS432" s="1037"/>
      <c r="DT432" s="1037"/>
    </row>
    <row r="433" spans="2:124" ht="30" outlineLevel="4">
      <c r="B433" s="711"/>
      <c r="C433" s="182"/>
      <c r="D433" s="2953" t="s">
        <v>1039</v>
      </c>
      <c r="E433" s="580"/>
      <c r="F433" s="2953"/>
      <c r="G433" s="107" t="s">
        <v>1279</v>
      </c>
      <c r="H433" s="544" t="s">
        <v>1040</v>
      </c>
      <c r="I433" s="533"/>
      <c r="J433" s="103"/>
      <c r="L433" s="364"/>
      <c r="M433" s="364"/>
      <c r="N433" s="364"/>
      <c r="O433" s="364"/>
      <c r="P433" s="364"/>
      <c r="Q433" s="364"/>
      <c r="R433" s="364"/>
      <c r="S433" s="364"/>
      <c r="T433" s="364"/>
      <c r="U433" s="364"/>
      <c r="W433" s="3800"/>
      <c r="X433" s="3800"/>
      <c r="Y433" s="4012"/>
      <c r="Z433" s="3800"/>
      <c r="AA433" s="3800"/>
      <c r="AB433" s="3898"/>
      <c r="AD433" s="711" t="s">
        <v>1179</v>
      </c>
      <c r="AE433" s="712">
        <v>1</v>
      </c>
      <c r="AF433" s="179"/>
      <c r="AG433" s="179"/>
      <c r="AH433" s="1047">
        <v>170000</v>
      </c>
      <c r="AI433" s="1032">
        <f t="shared" si="599"/>
        <v>170000</v>
      </c>
      <c r="AJ433" s="1530"/>
      <c r="AL433" s="1032">
        <f t="shared" si="600"/>
        <v>170000</v>
      </c>
      <c r="AM433" s="1032">
        <v>0</v>
      </c>
      <c r="AN433" s="355">
        <f t="shared" si="528"/>
        <v>170000</v>
      </c>
      <c r="AP433" s="986">
        <v>0</v>
      </c>
      <c r="AQ433" s="986">
        <v>0</v>
      </c>
      <c r="AR433" s="986">
        <v>0</v>
      </c>
      <c r="AS433" s="986">
        <v>0</v>
      </c>
      <c r="AT433" s="986">
        <v>0</v>
      </c>
      <c r="AU433" s="986">
        <v>0</v>
      </c>
      <c r="AV433" s="986">
        <v>0</v>
      </c>
      <c r="AW433" s="986">
        <v>0</v>
      </c>
      <c r="AX433" s="986">
        <v>0</v>
      </c>
      <c r="AY433" s="986">
        <v>0</v>
      </c>
      <c r="AZ433" s="2011">
        <f t="shared" si="420"/>
        <v>0</v>
      </c>
      <c r="BB433" s="986">
        <v>0</v>
      </c>
      <c r="BC433" s="986">
        <v>0</v>
      </c>
      <c r="BD433" s="986">
        <v>0</v>
      </c>
      <c r="BE433" s="986">
        <v>0</v>
      </c>
      <c r="BF433" s="986">
        <v>0</v>
      </c>
      <c r="BG433" s="986">
        <v>0</v>
      </c>
      <c r="BH433" s="986">
        <v>0</v>
      </c>
      <c r="BI433" s="986">
        <v>0</v>
      </c>
      <c r="BJ433" s="986">
        <v>0</v>
      </c>
      <c r="BK433" s="986">
        <v>0</v>
      </c>
      <c r="BL433" s="986">
        <v>0</v>
      </c>
      <c r="BM433" s="986">
        <v>0</v>
      </c>
      <c r="BN433" s="2011">
        <f t="shared" si="422"/>
        <v>0</v>
      </c>
      <c r="BP433" s="986">
        <v>0</v>
      </c>
      <c r="BQ433" s="986">
        <v>0</v>
      </c>
      <c r="BR433" s="986"/>
      <c r="BS433" s="986">
        <v>0</v>
      </c>
      <c r="BT433" s="986">
        <v>0</v>
      </c>
      <c r="BU433" s="986">
        <v>0</v>
      </c>
      <c r="BV433" s="1015"/>
      <c r="BW433" s="1015">
        <v>0</v>
      </c>
      <c r="BX433" s="1015"/>
      <c r="BY433" s="1015"/>
      <c r="BZ433" s="1015"/>
      <c r="CA433" s="1015"/>
      <c r="CB433" s="2026">
        <f t="shared" si="424"/>
        <v>0</v>
      </c>
      <c r="CD433" s="1015"/>
      <c r="CE433" s="1015">
        <f>+$AI$433*15%</f>
        <v>25500</v>
      </c>
      <c r="CF433" s="1015"/>
      <c r="CG433" s="1015"/>
      <c r="CH433" s="1015">
        <f>+$AI$433*10%</f>
        <v>17000</v>
      </c>
      <c r="CI433" s="1015"/>
      <c r="CJ433" s="1015"/>
      <c r="CK433" s="1015">
        <f>+$AI$433*10%</f>
        <v>17000</v>
      </c>
      <c r="CL433" s="1015">
        <v>0</v>
      </c>
      <c r="CM433" s="1015"/>
      <c r="CN433" s="1015">
        <f>+$AI$433*10%</f>
        <v>17000</v>
      </c>
      <c r="CO433" s="1015">
        <v>0</v>
      </c>
      <c r="CP433" s="2035">
        <f t="shared" si="426"/>
        <v>76500</v>
      </c>
      <c r="CR433" s="1015"/>
      <c r="CS433" s="1015">
        <f>+$AI$433*10%</f>
        <v>17000</v>
      </c>
      <c r="CT433" s="1015"/>
      <c r="CU433" s="1015"/>
      <c r="CV433" s="1015">
        <f>+$AI$433*10%</f>
        <v>17000</v>
      </c>
      <c r="CW433" s="1015">
        <v>0</v>
      </c>
      <c r="CX433" s="1015"/>
      <c r="CY433" s="1015">
        <f>+$AI$433*10%</f>
        <v>17000</v>
      </c>
      <c r="CZ433" s="1015"/>
      <c r="DA433" s="1015">
        <v>0</v>
      </c>
      <c r="DB433" s="1015">
        <f t="shared" si="601"/>
        <v>17000</v>
      </c>
      <c r="DC433" s="1015">
        <v>0</v>
      </c>
      <c r="DD433" s="2017">
        <f t="shared" si="428"/>
        <v>68000</v>
      </c>
      <c r="DF433" s="1015">
        <f>+$AI$433*15%</f>
        <v>25500</v>
      </c>
      <c r="DG433" s="1015"/>
      <c r="DH433" s="1015">
        <v>0</v>
      </c>
      <c r="DI433" s="1498">
        <f t="shared" si="429"/>
        <v>25500</v>
      </c>
      <c r="DJ433" s="3142">
        <f t="shared" si="534"/>
        <v>170000</v>
      </c>
      <c r="DL433" s="3180">
        <f t="shared" si="535"/>
        <v>0</v>
      </c>
      <c r="DN433" s="2749" t="s">
        <v>1180</v>
      </c>
      <c r="DO433" s="2730" t="s">
        <v>1181</v>
      </c>
      <c r="DP433" s="2730" t="s">
        <v>1117</v>
      </c>
      <c r="DQ433" s="2730" t="s">
        <v>4</v>
      </c>
      <c r="DR433" s="2730" t="str">
        <f t="shared" si="446"/>
        <v>3</v>
      </c>
      <c r="DS433" s="1037"/>
      <c r="DT433" s="1037"/>
    </row>
    <row r="434" spans="2:124" ht="15" outlineLevel="4">
      <c r="B434" s="711"/>
      <c r="C434" s="182"/>
      <c r="D434" s="2953" t="s">
        <v>1041</v>
      </c>
      <c r="E434" s="580"/>
      <c r="F434" s="2953"/>
      <c r="G434" s="107" t="s">
        <v>1279</v>
      </c>
      <c r="H434" s="544" t="s">
        <v>1042</v>
      </c>
      <c r="I434" s="533"/>
      <c r="J434" s="103"/>
      <c r="L434" s="364"/>
      <c r="M434" s="364"/>
      <c r="N434" s="364"/>
      <c r="O434" s="364"/>
      <c r="P434" s="364"/>
      <c r="Q434" s="364"/>
      <c r="R434" s="364"/>
      <c r="S434" s="364"/>
      <c r="T434" s="364"/>
      <c r="U434" s="364"/>
      <c r="W434" s="3800"/>
      <c r="X434" s="3800"/>
      <c r="Y434" s="4012"/>
      <c r="Z434" s="3800"/>
      <c r="AA434" s="3800"/>
      <c r="AB434" s="3898"/>
      <c r="AD434" s="711" t="s">
        <v>1179</v>
      </c>
      <c r="AE434" s="712">
        <v>1</v>
      </c>
      <c r="AF434" s="179"/>
      <c r="AG434" s="179"/>
      <c r="AH434" s="1047">
        <v>100000</v>
      </c>
      <c r="AI434" s="1032">
        <f t="shared" si="599"/>
        <v>100000</v>
      </c>
      <c r="AJ434" s="1530"/>
      <c r="AL434" s="1032">
        <f t="shared" si="600"/>
        <v>100000</v>
      </c>
      <c r="AM434" s="1032">
        <v>0</v>
      </c>
      <c r="AN434" s="355">
        <f t="shared" si="528"/>
        <v>100000</v>
      </c>
      <c r="AP434" s="986">
        <v>0</v>
      </c>
      <c r="AQ434" s="986">
        <v>0</v>
      </c>
      <c r="AR434" s="986">
        <v>0</v>
      </c>
      <c r="AS434" s="986">
        <v>0</v>
      </c>
      <c r="AT434" s="986">
        <v>0</v>
      </c>
      <c r="AU434" s="986">
        <v>0</v>
      </c>
      <c r="AV434" s="986">
        <v>0</v>
      </c>
      <c r="AW434" s="986">
        <v>0</v>
      </c>
      <c r="AX434" s="986">
        <v>0</v>
      </c>
      <c r="AY434" s="986">
        <v>0</v>
      </c>
      <c r="AZ434" s="2011">
        <f t="shared" si="420"/>
        <v>0</v>
      </c>
      <c r="BB434" s="986">
        <v>0</v>
      </c>
      <c r="BC434" s="986">
        <v>0</v>
      </c>
      <c r="BD434" s="986">
        <v>0</v>
      </c>
      <c r="BE434" s="986">
        <v>0</v>
      </c>
      <c r="BF434" s="986">
        <v>0</v>
      </c>
      <c r="BG434" s="986">
        <v>0</v>
      </c>
      <c r="BH434" s="986">
        <v>0</v>
      </c>
      <c r="BI434" s="986">
        <v>0</v>
      </c>
      <c r="BJ434" s="986">
        <v>0</v>
      </c>
      <c r="BK434" s="986">
        <v>0</v>
      </c>
      <c r="BL434" s="986">
        <v>0</v>
      </c>
      <c r="BM434" s="986">
        <v>0</v>
      </c>
      <c r="BN434" s="2011">
        <f t="shared" si="422"/>
        <v>0</v>
      </c>
      <c r="BP434" s="986">
        <v>0</v>
      </c>
      <c r="BQ434" s="986">
        <v>0</v>
      </c>
      <c r="BR434" s="986"/>
      <c r="BS434" s="986">
        <v>0</v>
      </c>
      <c r="BT434" s="986">
        <v>0</v>
      </c>
      <c r="BU434" s="986">
        <v>0</v>
      </c>
      <c r="BV434" s="1015"/>
      <c r="BW434" s="1015">
        <v>0</v>
      </c>
      <c r="BX434" s="1015"/>
      <c r="BY434" s="1015"/>
      <c r="BZ434" s="1015"/>
      <c r="CA434" s="1015"/>
      <c r="CB434" s="2026">
        <f t="shared" si="424"/>
        <v>0</v>
      </c>
      <c r="CD434" s="1015"/>
      <c r="CE434" s="1015">
        <f>+$AI$434*15%</f>
        <v>15000</v>
      </c>
      <c r="CF434" s="1015"/>
      <c r="CG434" s="1015"/>
      <c r="CH434" s="1015">
        <f>+$AI$434*10%</f>
        <v>10000</v>
      </c>
      <c r="CI434" s="1015"/>
      <c r="CJ434" s="1015"/>
      <c r="CK434" s="1015">
        <f>+$AI$434*10%</f>
        <v>10000</v>
      </c>
      <c r="CL434" s="1015">
        <v>0</v>
      </c>
      <c r="CM434" s="1015"/>
      <c r="CN434" s="1015">
        <f>+$AI$434*10%</f>
        <v>10000</v>
      </c>
      <c r="CO434" s="1015">
        <v>0</v>
      </c>
      <c r="CP434" s="2035">
        <f t="shared" si="426"/>
        <v>45000</v>
      </c>
      <c r="CR434" s="1015"/>
      <c r="CS434" s="1015">
        <f>+$AI$434*10%</f>
        <v>10000</v>
      </c>
      <c r="CT434" s="1015"/>
      <c r="CU434" s="1015"/>
      <c r="CV434" s="1015">
        <f>+$AI$434*10%</f>
        <v>10000</v>
      </c>
      <c r="CW434" s="1015">
        <v>0</v>
      </c>
      <c r="CX434" s="1015"/>
      <c r="CY434" s="1015">
        <f>+$AI$434*10%</f>
        <v>10000</v>
      </c>
      <c r="CZ434" s="1015"/>
      <c r="DA434" s="1015">
        <v>0</v>
      </c>
      <c r="DB434" s="1015">
        <f t="shared" si="601"/>
        <v>10000</v>
      </c>
      <c r="DC434" s="1015">
        <v>0</v>
      </c>
      <c r="DD434" s="2017">
        <f t="shared" si="428"/>
        <v>40000</v>
      </c>
      <c r="DF434" s="1015">
        <f>+$AI$434*15%</f>
        <v>15000</v>
      </c>
      <c r="DG434" s="1015"/>
      <c r="DH434" s="1015">
        <v>0</v>
      </c>
      <c r="DI434" s="1498">
        <f t="shared" si="429"/>
        <v>15000</v>
      </c>
      <c r="DJ434" s="3142">
        <f t="shared" si="534"/>
        <v>100000</v>
      </c>
      <c r="DL434" s="3180">
        <f t="shared" si="535"/>
        <v>0</v>
      </c>
      <c r="DN434" s="2749" t="s">
        <v>1180</v>
      </c>
      <c r="DO434" s="2730" t="s">
        <v>1181</v>
      </c>
      <c r="DP434" s="2730" t="s">
        <v>1117</v>
      </c>
      <c r="DQ434" s="2730" t="s">
        <v>4</v>
      </c>
      <c r="DR434" s="2730" t="str">
        <f t="shared" si="446"/>
        <v>3</v>
      </c>
      <c r="DS434" s="1037"/>
      <c r="DT434" s="1037"/>
    </row>
    <row r="435" spans="2:124" ht="15" outlineLevel="4">
      <c r="B435" s="711"/>
      <c r="C435" s="182"/>
      <c r="D435" s="2953" t="s">
        <v>1043</v>
      </c>
      <c r="E435" s="580"/>
      <c r="F435" s="2953"/>
      <c r="G435" s="107" t="s">
        <v>1279</v>
      </c>
      <c r="H435" s="544" t="s">
        <v>1044</v>
      </c>
      <c r="I435" s="533"/>
      <c r="J435" s="103"/>
      <c r="L435" s="364"/>
      <c r="M435" s="364"/>
      <c r="N435" s="364"/>
      <c r="O435" s="364"/>
      <c r="P435" s="364"/>
      <c r="Q435" s="364"/>
      <c r="R435" s="364"/>
      <c r="S435" s="364"/>
      <c r="T435" s="364"/>
      <c r="U435" s="364"/>
      <c r="W435" s="3800"/>
      <c r="X435" s="3800"/>
      <c r="Y435" s="4012"/>
      <c r="Z435" s="3800"/>
      <c r="AA435" s="3800"/>
      <c r="AB435" s="3898"/>
      <c r="AD435" s="711" t="s">
        <v>1179</v>
      </c>
      <c r="AE435" s="712">
        <v>1</v>
      </c>
      <c r="AF435" s="179"/>
      <c r="AG435" s="179"/>
      <c r="AH435" s="1047">
        <v>40000</v>
      </c>
      <c r="AI435" s="1032">
        <f t="shared" si="599"/>
        <v>40000</v>
      </c>
      <c r="AJ435" s="1530"/>
      <c r="AL435" s="1032">
        <f t="shared" si="600"/>
        <v>40000</v>
      </c>
      <c r="AM435" s="1032">
        <v>0</v>
      </c>
      <c r="AN435" s="355">
        <f t="shared" si="528"/>
        <v>40000</v>
      </c>
      <c r="AP435" s="986">
        <v>0</v>
      </c>
      <c r="AQ435" s="986">
        <v>0</v>
      </c>
      <c r="AR435" s="986">
        <v>0</v>
      </c>
      <c r="AS435" s="986">
        <v>0</v>
      </c>
      <c r="AT435" s="986">
        <v>0</v>
      </c>
      <c r="AU435" s="986">
        <v>0</v>
      </c>
      <c r="AV435" s="986">
        <v>0</v>
      </c>
      <c r="AW435" s="986">
        <v>0</v>
      </c>
      <c r="AX435" s="986">
        <v>0</v>
      </c>
      <c r="AY435" s="986">
        <v>0</v>
      </c>
      <c r="AZ435" s="2011">
        <f t="shared" si="420"/>
        <v>0</v>
      </c>
      <c r="BB435" s="986">
        <v>0</v>
      </c>
      <c r="BC435" s="986">
        <v>0</v>
      </c>
      <c r="BD435" s="986">
        <v>0</v>
      </c>
      <c r="BE435" s="986">
        <v>0</v>
      </c>
      <c r="BF435" s="986">
        <v>0</v>
      </c>
      <c r="BG435" s="986">
        <v>0</v>
      </c>
      <c r="BH435" s="986">
        <v>0</v>
      </c>
      <c r="BI435" s="986">
        <v>0</v>
      </c>
      <c r="BJ435" s="986">
        <v>0</v>
      </c>
      <c r="BK435" s="986">
        <v>0</v>
      </c>
      <c r="BL435" s="986">
        <v>0</v>
      </c>
      <c r="BM435" s="986">
        <v>0</v>
      </c>
      <c r="BN435" s="2011">
        <f t="shared" si="422"/>
        <v>0</v>
      </c>
      <c r="BP435" s="986">
        <v>0</v>
      </c>
      <c r="BQ435" s="986">
        <v>0</v>
      </c>
      <c r="BR435" s="986"/>
      <c r="BS435" s="986">
        <v>0</v>
      </c>
      <c r="BT435" s="986">
        <v>0</v>
      </c>
      <c r="BU435" s="986">
        <v>0</v>
      </c>
      <c r="BV435" s="1015"/>
      <c r="BW435" s="1015">
        <v>0</v>
      </c>
      <c r="BX435" s="1015"/>
      <c r="BY435" s="1015"/>
      <c r="BZ435" s="1015"/>
      <c r="CA435" s="1015"/>
      <c r="CB435" s="2026">
        <f t="shared" si="424"/>
        <v>0</v>
      </c>
      <c r="CD435" s="1015"/>
      <c r="CE435" s="1015">
        <f>+$AI$435*15%</f>
        <v>6000</v>
      </c>
      <c r="CF435" s="1015"/>
      <c r="CG435" s="1015"/>
      <c r="CH435" s="1015">
        <f>+$AI$435*10%</f>
        <v>4000</v>
      </c>
      <c r="CI435" s="1015"/>
      <c r="CJ435" s="1015"/>
      <c r="CK435" s="1015">
        <f>+$AI$435*10%</f>
        <v>4000</v>
      </c>
      <c r="CL435" s="1015">
        <v>0</v>
      </c>
      <c r="CM435" s="1015"/>
      <c r="CN435" s="1015">
        <f>+$AI$435*10%</f>
        <v>4000</v>
      </c>
      <c r="CO435" s="1015">
        <v>0</v>
      </c>
      <c r="CP435" s="2035">
        <f t="shared" si="426"/>
        <v>18000</v>
      </c>
      <c r="CR435" s="1015"/>
      <c r="CS435" s="1015">
        <f>+$AI$435*10%</f>
        <v>4000</v>
      </c>
      <c r="CT435" s="1015"/>
      <c r="CU435" s="1015"/>
      <c r="CV435" s="1015">
        <f>+$AI$435*10%</f>
        <v>4000</v>
      </c>
      <c r="CW435" s="1015">
        <v>0</v>
      </c>
      <c r="CX435" s="1015"/>
      <c r="CY435" s="1015">
        <f>+$AI$435*10%</f>
        <v>4000</v>
      </c>
      <c r="CZ435" s="1015"/>
      <c r="DA435" s="1015">
        <v>0</v>
      </c>
      <c r="DB435" s="1015">
        <f t="shared" si="601"/>
        <v>4000</v>
      </c>
      <c r="DC435" s="1015">
        <v>0</v>
      </c>
      <c r="DD435" s="2017">
        <f t="shared" si="428"/>
        <v>16000</v>
      </c>
      <c r="DF435" s="1015">
        <f>+$AI$435*15%</f>
        <v>6000</v>
      </c>
      <c r="DG435" s="1015"/>
      <c r="DH435" s="1015">
        <v>0</v>
      </c>
      <c r="DI435" s="1498">
        <f t="shared" si="429"/>
        <v>6000</v>
      </c>
      <c r="DJ435" s="3142">
        <f t="shared" si="534"/>
        <v>40000</v>
      </c>
      <c r="DL435" s="3180">
        <f t="shared" si="535"/>
        <v>0</v>
      </c>
      <c r="DN435" s="2749" t="s">
        <v>1180</v>
      </c>
      <c r="DO435" s="2730" t="s">
        <v>1181</v>
      </c>
      <c r="DP435" s="2730" t="s">
        <v>1117</v>
      </c>
      <c r="DQ435" s="2730" t="s">
        <v>4</v>
      </c>
      <c r="DR435" s="2730" t="str">
        <f t="shared" si="446"/>
        <v>3</v>
      </c>
      <c r="DS435" s="1037"/>
      <c r="DT435" s="1037"/>
    </row>
    <row r="436" spans="2:124" ht="15" outlineLevel="4">
      <c r="B436" s="711"/>
      <c r="C436" s="182"/>
      <c r="D436" s="2953" t="s">
        <v>1045</v>
      </c>
      <c r="E436" s="580"/>
      <c r="F436" s="2953"/>
      <c r="G436" s="107" t="s">
        <v>1279</v>
      </c>
      <c r="H436" s="544" t="s">
        <v>1046</v>
      </c>
      <c r="I436" s="533"/>
      <c r="J436" s="103"/>
      <c r="L436" s="364"/>
      <c r="M436" s="364"/>
      <c r="N436" s="364"/>
      <c r="O436" s="364"/>
      <c r="P436" s="364"/>
      <c r="Q436" s="364"/>
      <c r="R436" s="364"/>
      <c r="S436" s="364"/>
      <c r="T436" s="364"/>
      <c r="U436" s="364"/>
      <c r="W436" s="3801"/>
      <c r="X436" s="3801"/>
      <c r="Y436" s="4013"/>
      <c r="Z436" s="3801"/>
      <c r="AA436" s="3801"/>
      <c r="AB436" s="3899"/>
      <c r="AD436" s="711" t="s">
        <v>1179</v>
      </c>
      <c r="AE436" s="712">
        <v>1</v>
      </c>
      <c r="AF436" s="179"/>
      <c r="AG436" s="179"/>
      <c r="AH436" s="1047">
        <v>550000</v>
      </c>
      <c r="AI436" s="1032">
        <f t="shared" si="599"/>
        <v>550000</v>
      </c>
      <c r="AJ436" s="1530"/>
      <c r="AL436" s="1032">
        <f t="shared" si="600"/>
        <v>550000</v>
      </c>
      <c r="AM436" s="1032">
        <v>0</v>
      </c>
      <c r="AN436" s="355">
        <f t="shared" si="528"/>
        <v>550000</v>
      </c>
      <c r="AP436" s="986">
        <v>0</v>
      </c>
      <c r="AQ436" s="986">
        <v>0</v>
      </c>
      <c r="AR436" s="986">
        <v>0</v>
      </c>
      <c r="AS436" s="986">
        <v>0</v>
      </c>
      <c r="AT436" s="986">
        <v>0</v>
      </c>
      <c r="AU436" s="986">
        <v>0</v>
      </c>
      <c r="AV436" s="986">
        <v>0</v>
      </c>
      <c r="AW436" s="986">
        <v>0</v>
      </c>
      <c r="AX436" s="986">
        <v>0</v>
      </c>
      <c r="AY436" s="986">
        <v>0</v>
      </c>
      <c r="AZ436" s="2011">
        <f t="shared" si="420"/>
        <v>0</v>
      </c>
      <c r="BB436" s="986">
        <v>0</v>
      </c>
      <c r="BC436" s="986">
        <v>0</v>
      </c>
      <c r="BD436" s="986">
        <v>0</v>
      </c>
      <c r="BE436" s="986">
        <v>0</v>
      </c>
      <c r="BF436" s="986">
        <v>0</v>
      </c>
      <c r="BG436" s="986">
        <v>0</v>
      </c>
      <c r="BH436" s="986">
        <v>0</v>
      </c>
      <c r="BI436" s="986">
        <v>0</v>
      </c>
      <c r="BJ436" s="986">
        <v>0</v>
      </c>
      <c r="BK436" s="986">
        <v>0</v>
      </c>
      <c r="BL436" s="986">
        <v>0</v>
      </c>
      <c r="BM436" s="986">
        <v>0</v>
      </c>
      <c r="BN436" s="2011">
        <f t="shared" si="422"/>
        <v>0</v>
      </c>
      <c r="BP436" s="986">
        <v>0</v>
      </c>
      <c r="BQ436" s="986">
        <v>0</v>
      </c>
      <c r="BR436" s="986"/>
      <c r="BS436" s="986">
        <v>0</v>
      </c>
      <c r="BT436" s="986">
        <v>0</v>
      </c>
      <c r="BU436" s="986">
        <v>0</v>
      </c>
      <c r="BV436" s="1015"/>
      <c r="BW436" s="1015">
        <v>0</v>
      </c>
      <c r="BX436" s="1015"/>
      <c r="BY436" s="1015"/>
      <c r="BZ436" s="1015"/>
      <c r="CA436" s="1015"/>
      <c r="CB436" s="2026">
        <f t="shared" si="424"/>
        <v>0</v>
      </c>
      <c r="CD436" s="1015"/>
      <c r="CE436" s="1015">
        <f>+$AI$436*15%</f>
        <v>82500</v>
      </c>
      <c r="CF436" s="1015"/>
      <c r="CG436" s="1015"/>
      <c r="CH436" s="1015">
        <f>+$AI$436*10%</f>
        <v>55000</v>
      </c>
      <c r="CI436" s="1015"/>
      <c r="CJ436" s="1015"/>
      <c r="CK436" s="1015">
        <f>+$AI$436*10%</f>
        <v>55000</v>
      </c>
      <c r="CL436" s="1015">
        <v>0</v>
      </c>
      <c r="CM436" s="1015"/>
      <c r="CN436" s="1015">
        <f>+$AI$436*10%</f>
        <v>55000</v>
      </c>
      <c r="CO436" s="1015">
        <v>0</v>
      </c>
      <c r="CP436" s="2035">
        <f t="shared" si="426"/>
        <v>247500</v>
      </c>
      <c r="CR436" s="1015"/>
      <c r="CS436" s="1015">
        <f>+$AI$436*10%</f>
        <v>55000</v>
      </c>
      <c r="CT436" s="1015"/>
      <c r="CU436" s="1015"/>
      <c r="CV436" s="1015">
        <f>+$AI$436*10%</f>
        <v>55000</v>
      </c>
      <c r="CW436" s="1015">
        <v>0</v>
      </c>
      <c r="CX436" s="1015"/>
      <c r="CY436" s="1015">
        <f>+$AI$436*10%</f>
        <v>55000</v>
      </c>
      <c r="CZ436" s="1015"/>
      <c r="DA436" s="1015">
        <v>0</v>
      </c>
      <c r="DB436" s="1015">
        <f t="shared" si="601"/>
        <v>55000</v>
      </c>
      <c r="DC436" s="1015">
        <v>0</v>
      </c>
      <c r="DD436" s="2017">
        <f t="shared" si="428"/>
        <v>220000</v>
      </c>
      <c r="DF436" s="1015">
        <f>+$AI$436*15%</f>
        <v>82500</v>
      </c>
      <c r="DG436" s="1015"/>
      <c r="DH436" s="1015">
        <v>0</v>
      </c>
      <c r="DI436" s="1498">
        <f t="shared" si="429"/>
        <v>82500</v>
      </c>
      <c r="DJ436" s="3142">
        <f t="shared" si="534"/>
        <v>550000</v>
      </c>
      <c r="DL436" s="3180">
        <f t="shared" si="535"/>
        <v>0</v>
      </c>
      <c r="DN436" s="2749" t="s">
        <v>1180</v>
      </c>
      <c r="DO436" s="2730" t="s">
        <v>1181</v>
      </c>
      <c r="DP436" s="2730" t="s">
        <v>1117</v>
      </c>
      <c r="DQ436" s="2730" t="s">
        <v>4</v>
      </c>
      <c r="DR436" s="2730" t="str">
        <f t="shared" si="446"/>
        <v>3</v>
      </c>
      <c r="DS436" s="1037"/>
      <c r="DT436" s="1037"/>
    </row>
    <row r="437" spans="2:124" ht="15" outlineLevel="3">
      <c r="B437" s="711"/>
      <c r="C437" s="182"/>
      <c r="D437" s="2953" t="s">
        <v>1047</v>
      </c>
      <c r="E437" s="580"/>
      <c r="F437" s="2953"/>
      <c r="G437" s="107"/>
      <c r="H437" s="1547" t="s">
        <v>965</v>
      </c>
      <c r="I437" s="533"/>
      <c r="J437" s="103"/>
      <c r="L437" s="364"/>
      <c r="M437" s="364"/>
      <c r="N437" s="364"/>
      <c r="O437" s="364"/>
      <c r="P437" s="364"/>
      <c r="Q437" s="364"/>
      <c r="R437" s="364"/>
      <c r="S437" s="364"/>
      <c r="T437" s="364"/>
      <c r="U437" s="364"/>
      <c r="W437" s="1481"/>
      <c r="X437" s="853"/>
      <c r="Y437" s="2517"/>
      <c r="Z437" s="2781"/>
      <c r="AA437" s="853"/>
      <c r="AB437" s="159"/>
      <c r="AD437" s="711" t="s">
        <v>1179</v>
      </c>
      <c r="AE437" s="712">
        <v>1</v>
      </c>
      <c r="AF437" s="179"/>
      <c r="AG437" s="179"/>
      <c r="AH437" s="1047">
        <f>25000-17500</f>
        <v>7500</v>
      </c>
      <c r="AI437" s="1032">
        <f>+AH437*AE437</f>
        <v>7500</v>
      </c>
      <c r="AJ437" s="1530"/>
      <c r="AL437" s="1032">
        <f t="shared" si="600"/>
        <v>7500</v>
      </c>
      <c r="AM437" s="1032"/>
      <c r="AN437" s="355">
        <f t="shared" si="528"/>
        <v>7500</v>
      </c>
      <c r="AP437" s="986">
        <v>0</v>
      </c>
      <c r="AQ437" s="986">
        <v>0</v>
      </c>
      <c r="AR437" s="986">
        <v>0</v>
      </c>
      <c r="AS437" s="986">
        <v>0</v>
      </c>
      <c r="AT437" s="986">
        <v>0</v>
      </c>
      <c r="AU437" s="986">
        <v>0</v>
      </c>
      <c r="AV437" s="986">
        <v>0</v>
      </c>
      <c r="AW437" s="986">
        <v>0</v>
      </c>
      <c r="AX437" s="986">
        <v>0</v>
      </c>
      <c r="AY437" s="986">
        <v>0</v>
      </c>
      <c r="AZ437" s="2011">
        <f t="shared" si="420"/>
        <v>0</v>
      </c>
      <c r="BB437" s="986">
        <v>0</v>
      </c>
      <c r="BC437" s="986">
        <v>0</v>
      </c>
      <c r="BD437" s="986">
        <v>0</v>
      </c>
      <c r="BE437" s="986">
        <v>0</v>
      </c>
      <c r="BF437" s="986">
        <v>0</v>
      </c>
      <c r="BG437" s="986">
        <v>0</v>
      </c>
      <c r="BH437" s="986">
        <v>0</v>
      </c>
      <c r="BI437" s="986">
        <v>0</v>
      </c>
      <c r="BJ437" s="986">
        <v>0</v>
      </c>
      <c r="BK437" s="986">
        <v>0</v>
      </c>
      <c r="BL437" s="986">
        <v>0</v>
      </c>
      <c r="BM437" s="986">
        <v>0</v>
      </c>
      <c r="BN437" s="2011">
        <f t="shared" si="422"/>
        <v>0</v>
      </c>
      <c r="BP437" s="986">
        <v>0</v>
      </c>
      <c r="BQ437" s="986">
        <v>0</v>
      </c>
      <c r="BR437" s="986"/>
      <c r="BS437" s="986">
        <v>0</v>
      </c>
      <c r="BT437" s="986">
        <v>0</v>
      </c>
      <c r="BU437" s="986">
        <v>0</v>
      </c>
      <c r="BV437" s="1015"/>
      <c r="BW437" s="1015">
        <v>0</v>
      </c>
      <c r="BX437" s="1015"/>
      <c r="BY437" s="1015">
        <v>0</v>
      </c>
      <c r="BZ437" s="1015">
        <v>0</v>
      </c>
      <c r="CA437" s="1015">
        <v>0</v>
      </c>
      <c r="CB437" s="2026">
        <f t="shared" si="424"/>
        <v>0</v>
      </c>
      <c r="CD437" s="1015">
        <v>0</v>
      </c>
      <c r="CE437" s="1015">
        <v>0</v>
      </c>
      <c r="CF437" s="1015">
        <v>0</v>
      </c>
      <c r="CG437" s="1015">
        <v>0</v>
      </c>
      <c r="CH437" s="1015">
        <v>0</v>
      </c>
      <c r="CI437" s="1015">
        <v>0</v>
      </c>
      <c r="CJ437" s="1015">
        <v>0</v>
      </c>
      <c r="CK437" s="1015">
        <v>0</v>
      </c>
      <c r="CL437" s="1015">
        <v>0</v>
      </c>
      <c r="CM437" s="1015">
        <v>0</v>
      </c>
      <c r="CN437" s="1015">
        <v>0</v>
      </c>
      <c r="CO437" s="1015">
        <v>0</v>
      </c>
      <c r="CP437" s="2035">
        <f t="shared" si="426"/>
        <v>0</v>
      </c>
      <c r="CR437" s="1015">
        <v>0</v>
      </c>
      <c r="CS437" s="1015">
        <v>0</v>
      </c>
      <c r="CT437" s="1015">
        <v>0</v>
      </c>
      <c r="CU437" s="1015">
        <v>0</v>
      </c>
      <c r="CV437" s="1015">
        <v>0</v>
      </c>
      <c r="CW437" s="1015">
        <v>0</v>
      </c>
      <c r="CX437" s="1015">
        <f>+$AI$437</f>
        <v>7500</v>
      </c>
      <c r="CY437" s="1015">
        <v>0</v>
      </c>
      <c r="CZ437" s="1015">
        <v>0</v>
      </c>
      <c r="DA437" s="1015">
        <v>0</v>
      </c>
      <c r="DB437" s="1015">
        <v>0</v>
      </c>
      <c r="DC437" s="1015">
        <v>0</v>
      </c>
      <c r="DD437" s="2017">
        <f t="shared" si="428"/>
        <v>7500</v>
      </c>
      <c r="DF437" s="1015">
        <v>0</v>
      </c>
      <c r="DG437" s="1015">
        <v>0</v>
      </c>
      <c r="DH437" s="1015">
        <v>0</v>
      </c>
      <c r="DI437" s="1498">
        <f t="shared" si="429"/>
        <v>0</v>
      </c>
      <c r="DJ437" s="3142">
        <f t="shared" si="534"/>
        <v>7500</v>
      </c>
      <c r="DL437" s="3180">
        <f t="shared" si="535"/>
        <v>0</v>
      </c>
      <c r="DN437" s="2749" t="s">
        <v>1180</v>
      </c>
      <c r="DO437" s="2730" t="s">
        <v>1181</v>
      </c>
      <c r="DP437" s="2730" t="s">
        <v>1117</v>
      </c>
      <c r="DQ437" s="2730" t="s">
        <v>4</v>
      </c>
      <c r="DR437" s="2730" t="str">
        <f t="shared" si="446"/>
        <v>3</v>
      </c>
      <c r="DS437" s="1037"/>
      <c r="DT437" s="1037"/>
    </row>
    <row r="438" spans="2:124" ht="45" outlineLevel="2">
      <c r="B438" s="711"/>
      <c r="C438" s="182"/>
      <c r="D438" s="2953" t="s">
        <v>1618</v>
      </c>
      <c r="E438" s="580"/>
      <c r="F438" s="2953"/>
      <c r="G438" s="107"/>
      <c r="H438" s="2698" t="s">
        <v>1619</v>
      </c>
      <c r="I438" s="533"/>
      <c r="J438" s="103"/>
      <c r="L438" s="364"/>
      <c r="M438" s="364"/>
      <c r="N438" s="365"/>
      <c r="O438" s="365"/>
      <c r="P438" s="365"/>
      <c r="Q438" s="365"/>
      <c r="R438" s="365"/>
      <c r="S438" s="365"/>
      <c r="T438" s="365"/>
      <c r="U438" s="365"/>
      <c r="W438" s="853" t="s">
        <v>763</v>
      </c>
      <c r="X438" s="853" t="s">
        <v>1075</v>
      </c>
      <c r="Y438" s="2513" t="s">
        <v>1187</v>
      </c>
      <c r="Z438" s="853">
        <v>112</v>
      </c>
      <c r="AA438" s="853"/>
      <c r="AB438" s="181"/>
      <c r="AD438" s="711" t="s">
        <v>1179</v>
      </c>
      <c r="AE438" s="712">
        <v>1</v>
      </c>
      <c r="AF438" s="179"/>
      <c r="AG438" s="179"/>
      <c r="AH438" s="1032">
        <v>17500</v>
      </c>
      <c r="AI438" s="1032">
        <f>+AH438*AE438</f>
        <v>17500</v>
      </c>
      <c r="AJ438" s="1530"/>
      <c r="AL438" s="1032">
        <f t="shared" si="600"/>
        <v>17500</v>
      </c>
      <c r="AM438" s="1032"/>
      <c r="AN438" s="1041">
        <f t="shared" si="528"/>
        <v>17500</v>
      </c>
      <c r="AP438" s="986"/>
      <c r="AQ438" s="986"/>
      <c r="AR438" s="986"/>
      <c r="AS438" s="986"/>
      <c r="AT438" s="986"/>
      <c r="AU438" s="986"/>
      <c r="AV438" s="986"/>
      <c r="AW438" s="986"/>
      <c r="AX438" s="986"/>
      <c r="AY438" s="986"/>
      <c r="AZ438" s="2011">
        <f t="shared" si="420"/>
        <v>0</v>
      </c>
      <c r="BB438" s="986"/>
      <c r="BC438" s="986"/>
      <c r="BD438" s="986"/>
      <c r="BE438" s="986"/>
      <c r="BF438" s="986"/>
      <c r="BG438" s="986"/>
      <c r="BH438" s="986"/>
      <c r="BI438" s="986"/>
      <c r="BJ438" s="986"/>
      <c r="BK438" s="986"/>
      <c r="BL438" s="986"/>
      <c r="BM438" s="986"/>
      <c r="BN438" s="2011">
        <f t="shared" si="422"/>
        <v>0</v>
      </c>
      <c r="BP438" s="986"/>
      <c r="BQ438" s="986"/>
      <c r="BR438" s="986">
        <f>+$AI$438*0.6</f>
        <v>10500</v>
      </c>
      <c r="BS438" s="986">
        <f>+$AI$438*0.4</f>
        <v>7000</v>
      </c>
      <c r="BT438" s="986"/>
      <c r="BU438" s="986"/>
      <c r="BV438" s="986"/>
      <c r="BW438" s="986"/>
      <c r="BX438" s="986"/>
      <c r="BY438" s="986"/>
      <c r="BZ438" s="986"/>
      <c r="CA438" s="986"/>
      <c r="CB438" s="2011">
        <f t="shared" si="424"/>
        <v>17500</v>
      </c>
      <c r="CD438" s="986"/>
      <c r="CE438" s="986"/>
      <c r="CF438" s="986"/>
      <c r="CG438" s="986"/>
      <c r="CH438" s="986"/>
      <c r="CI438" s="986"/>
      <c r="CJ438" s="986"/>
      <c r="CK438" s="986"/>
      <c r="CL438" s="986"/>
      <c r="CM438" s="986"/>
      <c r="CN438" s="986"/>
      <c r="CO438" s="986"/>
      <c r="CP438" s="2014">
        <f t="shared" si="426"/>
        <v>0</v>
      </c>
      <c r="CR438" s="986"/>
      <c r="CS438" s="986"/>
      <c r="CT438" s="986"/>
      <c r="CU438" s="986"/>
      <c r="CV438" s="986"/>
      <c r="CW438" s="986"/>
      <c r="CX438" s="986"/>
      <c r="CY438" s="986"/>
      <c r="CZ438" s="986"/>
      <c r="DA438" s="986"/>
      <c r="DB438" s="986"/>
      <c r="DC438" s="986"/>
      <c r="DD438" s="1498">
        <f t="shared" si="428"/>
        <v>0</v>
      </c>
      <c r="DF438" s="986"/>
      <c r="DG438" s="986"/>
      <c r="DH438" s="986"/>
      <c r="DI438" s="1498">
        <f t="shared" si="429"/>
        <v>0</v>
      </c>
      <c r="DJ438" s="3142">
        <f t="shared" si="534"/>
        <v>17500</v>
      </c>
      <c r="DL438" s="3180">
        <f t="shared" si="535"/>
        <v>0</v>
      </c>
      <c r="DN438" s="2749" t="s">
        <v>1175</v>
      </c>
      <c r="DO438" s="2742" t="s">
        <v>1175</v>
      </c>
      <c r="DP438" s="2742"/>
      <c r="DQ438" s="2742" t="s">
        <v>1175</v>
      </c>
      <c r="DR438" s="2742" t="str">
        <f t="shared" si="446"/>
        <v>3</v>
      </c>
      <c r="DS438" s="1037"/>
      <c r="DT438" s="1037"/>
    </row>
    <row r="439" spans="2:124" s="153" customFormat="1" ht="15" outlineLevel="1">
      <c r="B439" s="426"/>
      <c r="C439" s="425"/>
      <c r="D439" s="2944" t="s">
        <v>572</v>
      </c>
      <c r="E439" s="582"/>
      <c r="F439" s="2944"/>
      <c r="G439" s="428"/>
      <c r="H439" s="545" t="s">
        <v>58</v>
      </c>
      <c r="I439" s="545"/>
      <c r="J439" s="427"/>
      <c r="K439" s="1037"/>
      <c r="L439" s="425"/>
      <c r="M439" s="425"/>
      <c r="N439" s="430"/>
      <c r="O439" s="430"/>
      <c r="P439" s="430"/>
      <c r="Q439" s="430"/>
      <c r="R439" s="430"/>
      <c r="S439" s="430"/>
      <c r="T439" s="430"/>
      <c r="U439" s="430"/>
      <c r="V439" s="1037"/>
      <c r="W439" s="850"/>
      <c r="X439" s="850"/>
      <c r="Y439" s="850"/>
      <c r="Z439" s="850"/>
      <c r="AA439" s="850"/>
      <c r="AB439" s="431"/>
      <c r="AC439" s="1037"/>
      <c r="AD439" s="426"/>
      <c r="AE439" s="425"/>
      <c r="AF439" s="425"/>
      <c r="AG439" s="425"/>
      <c r="AH439" s="433"/>
      <c r="AI439" s="433">
        <f>+AI441</f>
        <v>1057000</v>
      </c>
      <c r="AJ439" s="685"/>
      <c r="AK439" s="1037"/>
      <c r="AL439" s="433">
        <f>+AL440</f>
        <v>1057000</v>
      </c>
      <c r="AM439" s="433">
        <f>+AM441</f>
        <v>0</v>
      </c>
      <c r="AN439" s="433">
        <f t="shared" si="528"/>
        <v>1057000</v>
      </c>
      <c r="AO439" s="1037"/>
      <c r="AP439" s="977">
        <f>+AP441+AP444</f>
        <v>0</v>
      </c>
      <c r="AQ439" s="977">
        <f t="shared" ref="AQ439:AY439" si="602">+AQ441+AQ444</f>
        <v>0</v>
      </c>
      <c r="AR439" s="977">
        <f t="shared" si="602"/>
        <v>0</v>
      </c>
      <c r="AS439" s="977">
        <f t="shared" si="602"/>
        <v>0</v>
      </c>
      <c r="AT439" s="977">
        <f t="shared" si="602"/>
        <v>0</v>
      </c>
      <c r="AU439" s="977">
        <f t="shared" si="602"/>
        <v>0</v>
      </c>
      <c r="AV439" s="977">
        <f t="shared" si="602"/>
        <v>0</v>
      </c>
      <c r="AW439" s="977">
        <f t="shared" si="602"/>
        <v>0</v>
      </c>
      <c r="AX439" s="977">
        <f t="shared" si="602"/>
        <v>0</v>
      </c>
      <c r="AY439" s="977">
        <f t="shared" si="602"/>
        <v>0</v>
      </c>
      <c r="AZ439" s="977">
        <f>+SUM(AP439:AY439)</f>
        <v>0</v>
      </c>
      <c r="BA439" s="1037">
        <f>+BA441</f>
        <v>0</v>
      </c>
      <c r="BB439" s="977">
        <f>+BB440</f>
        <v>0</v>
      </c>
      <c r="BC439" s="977">
        <f t="shared" ref="BC439:BM439" si="603">+BC440</f>
        <v>0</v>
      </c>
      <c r="BD439" s="977">
        <f t="shared" si="603"/>
        <v>0</v>
      </c>
      <c r="BE439" s="977">
        <f t="shared" si="603"/>
        <v>0</v>
      </c>
      <c r="BF439" s="977">
        <f t="shared" si="603"/>
        <v>0</v>
      </c>
      <c r="BG439" s="977">
        <f t="shared" si="603"/>
        <v>0</v>
      </c>
      <c r="BH439" s="977">
        <f t="shared" si="603"/>
        <v>0</v>
      </c>
      <c r="BI439" s="977">
        <f t="shared" si="603"/>
        <v>0</v>
      </c>
      <c r="BJ439" s="977">
        <f t="shared" si="603"/>
        <v>0</v>
      </c>
      <c r="BK439" s="977">
        <f t="shared" si="603"/>
        <v>0</v>
      </c>
      <c r="BL439" s="977">
        <f t="shared" si="603"/>
        <v>0</v>
      </c>
      <c r="BM439" s="977">
        <f t="shared" si="603"/>
        <v>0</v>
      </c>
      <c r="BN439" s="977">
        <f t="shared" si="422"/>
        <v>0</v>
      </c>
      <c r="BO439" s="1037">
        <f>+BO441</f>
        <v>0</v>
      </c>
      <c r="BP439" s="977">
        <f t="shared" ref="BP439:CA440" si="604">+BP440</f>
        <v>0</v>
      </c>
      <c r="BQ439" s="977">
        <f t="shared" si="604"/>
        <v>0</v>
      </c>
      <c r="BR439" s="977">
        <f t="shared" si="604"/>
        <v>0</v>
      </c>
      <c r="BS439" s="977">
        <f t="shared" si="604"/>
        <v>0</v>
      </c>
      <c r="BT439" s="977">
        <f t="shared" si="604"/>
        <v>0</v>
      </c>
      <c r="BU439" s="977">
        <f t="shared" si="604"/>
        <v>0</v>
      </c>
      <c r="BV439" s="977">
        <f t="shared" si="604"/>
        <v>0</v>
      </c>
      <c r="BW439" s="977">
        <f t="shared" si="604"/>
        <v>0</v>
      </c>
      <c r="BX439" s="977">
        <f t="shared" si="604"/>
        <v>0</v>
      </c>
      <c r="BY439" s="977">
        <f t="shared" si="604"/>
        <v>0</v>
      </c>
      <c r="BZ439" s="977">
        <f t="shared" si="604"/>
        <v>5400</v>
      </c>
      <c r="CA439" s="977">
        <f t="shared" si="604"/>
        <v>0</v>
      </c>
      <c r="CB439" s="977">
        <f>SUM(BP439:CA439)</f>
        <v>5400</v>
      </c>
      <c r="CC439" s="1037">
        <f>+CC441</f>
        <v>0</v>
      </c>
      <c r="CD439" s="977">
        <f t="shared" ref="CD439:CO440" si="605">+CD440</f>
        <v>0</v>
      </c>
      <c r="CE439" s="977">
        <f t="shared" si="605"/>
        <v>163380</v>
      </c>
      <c r="CF439" s="977">
        <f t="shared" si="605"/>
        <v>0</v>
      </c>
      <c r="CG439" s="977">
        <f t="shared" si="605"/>
        <v>74760</v>
      </c>
      <c r="CH439" s="977">
        <f t="shared" si="605"/>
        <v>63700</v>
      </c>
      <c r="CI439" s="977">
        <f t="shared" si="605"/>
        <v>0</v>
      </c>
      <c r="CJ439" s="977">
        <f t="shared" si="605"/>
        <v>74760</v>
      </c>
      <c r="CK439" s="977">
        <f t="shared" si="605"/>
        <v>63700</v>
      </c>
      <c r="CL439" s="977">
        <f t="shared" si="605"/>
        <v>0</v>
      </c>
      <c r="CM439" s="977">
        <f t="shared" si="605"/>
        <v>109800</v>
      </c>
      <c r="CN439" s="977">
        <f t="shared" si="605"/>
        <v>0</v>
      </c>
      <c r="CO439" s="977">
        <f t="shared" si="605"/>
        <v>0</v>
      </c>
      <c r="CP439" s="977">
        <f>SUM(CD439:CO439)</f>
        <v>550100</v>
      </c>
      <c r="CQ439" s="1037">
        <f>+CQ441</f>
        <v>0</v>
      </c>
      <c r="CR439" s="977">
        <f t="shared" ref="CR439:DC440" si="606">+CR440</f>
        <v>0</v>
      </c>
      <c r="CS439" s="977">
        <f t="shared" si="606"/>
        <v>109800</v>
      </c>
      <c r="CT439" s="977">
        <f t="shared" si="606"/>
        <v>0</v>
      </c>
      <c r="CU439" s="977">
        <f t="shared" si="606"/>
        <v>0</v>
      </c>
      <c r="CV439" s="977">
        <f t="shared" si="606"/>
        <v>0</v>
      </c>
      <c r="CW439" s="977">
        <f t="shared" si="606"/>
        <v>109800</v>
      </c>
      <c r="CX439" s="977">
        <f t="shared" si="606"/>
        <v>0</v>
      </c>
      <c r="CY439" s="977">
        <f t="shared" si="606"/>
        <v>0</v>
      </c>
      <c r="CZ439" s="977">
        <f t="shared" si="606"/>
        <v>0</v>
      </c>
      <c r="DA439" s="977">
        <f t="shared" si="606"/>
        <v>172100</v>
      </c>
      <c r="DB439" s="977">
        <f t="shared" si="606"/>
        <v>0</v>
      </c>
      <c r="DC439" s="977">
        <f t="shared" si="606"/>
        <v>0</v>
      </c>
      <c r="DD439" s="977">
        <f>SUM(CR439:DC439)</f>
        <v>391700</v>
      </c>
      <c r="DE439" s="1037">
        <f>+DE441</f>
        <v>0</v>
      </c>
      <c r="DF439" s="977">
        <f t="shared" ref="DF439:DH440" si="607">+DF440</f>
        <v>109800</v>
      </c>
      <c r="DG439" s="977">
        <f t="shared" si="607"/>
        <v>0</v>
      </c>
      <c r="DH439" s="977">
        <f t="shared" si="607"/>
        <v>0</v>
      </c>
      <c r="DI439" s="3090">
        <f>+SUM(DF439:DH439)</f>
        <v>109800</v>
      </c>
      <c r="DJ439" s="3145">
        <f t="shared" si="534"/>
        <v>1057000</v>
      </c>
      <c r="DL439" s="3180">
        <f>+AN439-DJ439</f>
        <v>0</v>
      </c>
      <c r="DN439" s="2721" t="s">
        <v>1175</v>
      </c>
      <c r="DO439" s="2722" t="s">
        <v>1175</v>
      </c>
      <c r="DP439" s="2722"/>
      <c r="DQ439" s="2722" t="s">
        <v>1175</v>
      </c>
      <c r="DR439" s="2722" t="str">
        <f t="shared" si="446"/>
        <v>3</v>
      </c>
      <c r="DS439" s="1037"/>
      <c r="DT439" s="1037"/>
    </row>
    <row r="440" spans="2:124" s="153" customFormat="1" ht="30" outlineLevel="2">
      <c r="B440" s="106"/>
      <c r="C440" s="172"/>
      <c r="D440" s="2945" t="s">
        <v>573</v>
      </c>
      <c r="E440" s="704"/>
      <c r="F440" s="2945"/>
      <c r="G440" s="171"/>
      <c r="H440" s="2773" t="s">
        <v>1048</v>
      </c>
      <c r="I440" s="538"/>
      <c r="J440" s="106"/>
      <c r="K440" s="1037"/>
      <c r="L440" s="358"/>
      <c r="M440" s="358"/>
      <c r="N440" s="358"/>
      <c r="O440" s="358"/>
      <c r="P440" s="358"/>
      <c r="Q440" s="358"/>
      <c r="R440" s="358"/>
      <c r="S440" s="358"/>
      <c r="T440" s="358"/>
      <c r="U440" s="358"/>
      <c r="V440" s="1037"/>
      <c r="W440" s="358"/>
      <c r="X440" s="358"/>
      <c r="Y440" s="358"/>
      <c r="Z440" s="358"/>
      <c r="AA440" s="358"/>
      <c r="AB440" s="106"/>
      <c r="AC440" s="1037"/>
      <c r="AD440" s="106"/>
      <c r="AE440" s="172"/>
      <c r="AF440" s="172"/>
      <c r="AG440" s="172"/>
      <c r="AH440" s="176"/>
      <c r="AI440" s="176">
        <f>+AI441</f>
        <v>1057000</v>
      </c>
      <c r="AJ440" s="686"/>
      <c r="AK440" s="1037"/>
      <c r="AL440" s="176">
        <f>+SUM(AL443+AL444)</f>
        <v>1057000</v>
      </c>
      <c r="AM440" s="176"/>
      <c r="AN440" s="176">
        <f t="shared" si="528"/>
        <v>1057000</v>
      </c>
      <c r="AO440" s="1037"/>
      <c r="AP440" s="176">
        <f>+AP441+AP444</f>
        <v>0</v>
      </c>
      <c r="AQ440" s="176">
        <f t="shared" ref="AQ440:AY440" si="608">+AQ441+AQ444</f>
        <v>0</v>
      </c>
      <c r="AR440" s="176">
        <f t="shared" si="608"/>
        <v>0</v>
      </c>
      <c r="AS440" s="176">
        <f t="shared" si="608"/>
        <v>0</v>
      </c>
      <c r="AT440" s="176">
        <f t="shared" si="608"/>
        <v>0</v>
      </c>
      <c r="AU440" s="176">
        <f t="shared" si="608"/>
        <v>0</v>
      </c>
      <c r="AV440" s="176">
        <f t="shared" si="608"/>
        <v>0</v>
      </c>
      <c r="AW440" s="176">
        <f t="shared" si="608"/>
        <v>0</v>
      </c>
      <c r="AX440" s="176">
        <f t="shared" si="608"/>
        <v>0</v>
      </c>
      <c r="AY440" s="176">
        <f t="shared" si="608"/>
        <v>0</v>
      </c>
      <c r="AZ440" s="176">
        <f t="shared" si="420"/>
        <v>0</v>
      </c>
      <c r="BA440" s="1037"/>
      <c r="BB440" s="176">
        <f t="shared" ref="BB440:BM440" si="609">+BB441</f>
        <v>0</v>
      </c>
      <c r="BC440" s="176">
        <f t="shared" si="609"/>
        <v>0</v>
      </c>
      <c r="BD440" s="176">
        <f t="shared" si="609"/>
        <v>0</v>
      </c>
      <c r="BE440" s="176">
        <f t="shared" si="609"/>
        <v>0</v>
      </c>
      <c r="BF440" s="176">
        <f t="shared" si="609"/>
        <v>0</v>
      </c>
      <c r="BG440" s="176">
        <f t="shared" si="609"/>
        <v>0</v>
      </c>
      <c r="BH440" s="176">
        <f t="shared" si="609"/>
        <v>0</v>
      </c>
      <c r="BI440" s="176">
        <f t="shared" si="609"/>
        <v>0</v>
      </c>
      <c r="BJ440" s="176">
        <f t="shared" si="609"/>
        <v>0</v>
      </c>
      <c r="BK440" s="176">
        <f t="shared" si="609"/>
        <v>0</v>
      </c>
      <c r="BL440" s="176">
        <f t="shared" si="609"/>
        <v>0</v>
      </c>
      <c r="BM440" s="176">
        <f t="shared" si="609"/>
        <v>0</v>
      </c>
      <c r="BN440" s="176">
        <f t="shared" si="422"/>
        <v>0</v>
      </c>
      <c r="BO440" s="1037"/>
      <c r="BP440" s="176">
        <f t="shared" si="604"/>
        <v>0</v>
      </c>
      <c r="BQ440" s="176">
        <f t="shared" si="604"/>
        <v>0</v>
      </c>
      <c r="BR440" s="176">
        <f t="shared" si="604"/>
        <v>0</v>
      </c>
      <c r="BS440" s="176">
        <f t="shared" si="604"/>
        <v>0</v>
      </c>
      <c r="BT440" s="176">
        <f t="shared" si="604"/>
        <v>0</v>
      </c>
      <c r="BU440" s="176">
        <f t="shared" si="604"/>
        <v>0</v>
      </c>
      <c r="BV440" s="176">
        <f t="shared" si="604"/>
        <v>0</v>
      </c>
      <c r="BW440" s="176">
        <f t="shared" si="604"/>
        <v>0</v>
      </c>
      <c r="BX440" s="176">
        <f t="shared" si="604"/>
        <v>0</v>
      </c>
      <c r="BY440" s="176">
        <f t="shared" si="604"/>
        <v>0</v>
      </c>
      <c r="BZ440" s="176">
        <f t="shared" si="604"/>
        <v>5400</v>
      </c>
      <c r="CA440" s="176">
        <f t="shared" si="604"/>
        <v>0</v>
      </c>
      <c r="CB440" s="176">
        <f>SUM(BP440:CA440)</f>
        <v>5400</v>
      </c>
      <c r="CC440" s="1037"/>
      <c r="CD440" s="176">
        <f t="shared" si="605"/>
        <v>0</v>
      </c>
      <c r="CE440" s="176">
        <f t="shared" si="605"/>
        <v>163380</v>
      </c>
      <c r="CF440" s="176">
        <f t="shared" si="605"/>
        <v>0</v>
      </c>
      <c r="CG440" s="176">
        <f t="shared" si="605"/>
        <v>74760</v>
      </c>
      <c r="CH440" s="176">
        <f t="shared" si="605"/>
        <v>63700</v>
      </c>
      <c r="CI440" s="176">
        <f t="shared" si="605"/>
        <v>0</v>
      </c>
      <c r="CJ440" s="176">
        <f t="shared" si="605"/>
        <v>74760</v>
      </c>
      <c r="CK440" s="176">
        <f t="shared" si="605"/>
        <v>63700</v>
      </c>
      <c r="CL440" s="176">
        <f t="shared" si="605"/>
        <v>0</v>
      </c>
      <c r="CM440" s="176">
        <f t="shared" si="605"/>
        <v>109800</v>
      </c>
      <c r="CN440" s="176">
        <f t="shared" si="605"/>
        <v>0</v>
      </c>
      <c r="CO440" s="176">
        <f t="shared" si="605"/>
        <v>0</v>
      </c>
      <c r="CP440" s="176">
        <f>SUM(CD440:CO440)</f>
        <v>550100</v>
      </c>
      <c r="CQ440" s="1037"/>
      <c r="CR440" s="176">
        <f t="shared" si="606"/>
        <v>0</v>
      </c>
      <c r="CS440" s="176">
        <f t="shared" si="606"/>
        <v>109800</v>
      </c>
      <c r="CT440" s="176">
        <f t="shared" si="606"/>
        <v>0</v>
      </c>
      <c r="CU440" s="176">
        <f t="shared" si="606"/>
        <v>0</v>
      </c>
      <c r="CV440" s="176">
        <f t="shared" si="606"/>
        <v>0</v>
      </c>
      <c r="CW440" s="176">
        <f t="shared" si="606"/>
        <v>109800</v>
      </c>
      <c r="CX440" s="176">
        <f t="shared" si="606"/>
        <v>0</v>
      </c>
      <c r="CY440" s="176">
        <f t="shared" si="606"/>
        <v>0</v>
      </c>
      <c r="CZ440" s="176">
        <f t="shared" si="606"/>
        <v>0</v>
      </c>
      <c r="DA440" s="176">
        <f t="shared" si="606"/>
        <v>172100</v>
      </c>
      <c r="DB440" s="176">
        <f t="shared" si="606"/>
        <v>0</v>
      </c>
      <c r="DC440" s="176">
        <f t="shared" si="606"/>
        <v>0</v>
      </c>
      <c r="DD440" s="176">
        <f>SUM(CR440:DC440)</f>
        <v>391700</v>
      </c>
      <c r="DE440" s="1037"/>
      <c r="DF440" s="176">
        <f t="shared" si="607"/>
        <v>109800</v>
      </c>
      <c r="DG440" s="176">
        <f t="shared" si="607"/>
        <v>0</v>
      </c>
      <c r="DH440" s="176">
        <f t="shared" si="607"/>
        <v>0</v>
      </c>
      <c r="DI440" s="3082">
        <f>SUM(DF440:DH440)</f>
        <v>109800</v>
      </c>
      <c r="DJ440" s="3154">
        <f>+AZ440+BN440+CB440+CP440+DD440+DI440</f>
        <v>1057000</v>
      </c>
      <c r="DL440" s="3180">
        <f t="shared" si="535"/>
        <v>0</v>
      </c>
      <c r="DN440" s="2723"/>
      <c r="DO440" s="2724"/>
      <c r="DP440" s="2724"/>
      <c r="DQ440" s="2724"/>
      <c r="DR440" s="2724" t="str">
        <f t="shared" si="446"/>
        <v>3</v>
      </c>
      <c r="DS440" s="1037"/>
      <c r="DT440" s="1037"/>
    </row>
    <row r="441" spans="2:124" s="153" customFormat="1" ht="38.5" customHeight="1" outlineLevel="3" collapsed="1">
      <c r="B441" s="2840"/>
      <c r="C441" s="397"/>
      <c r="D441" s="2949" t="s">
        <v>1049</v>
      </c>
      <c r="E441" s="704"/>
      <c r="F441" s="2949"/>
      <c r="G441" s="395"/>
      <c r="H441" s="1249" t="s">
        <v>1050</v>
      </c>
      <c r="I441" s="536"/>
      <c r="J441" s="399" t="s">
        <v>1556</v>
      </c>
      <c r="K441" s="1037"/>
      <c r="L441" s="851" t="str">
        <f>'1_MdR'!C70</f>
        <v>Informe</v>
      </c>
      <c r="M441" s="851">
        <f>'1_MdR'!D70</f>
        <v>0</v>
      </c>
      <c r="N441" s="402">
        <f>'1_MdR'!E70</f>
        <v>2021</v>
      </c>
      <c r="O441" s="402" t="str">
        <f>'1_MdR'!G70</f>
        <v>-</v>
      </c>
      <c r="P441" s="402" t="e">
        <f>'1_MdR'!#REF!</f>
        <v>#REF!</v>
      </c>
      <c r="Q441" s="402" t="str">
        <f>'1_MdR'!H70</f>
        <v>-</v>
      </c>
      <c r="R441" s="402">
        <f>'1_MdR'!J70</f>
        <v>1</v>
      </c>
      <c r="S441" s="402">
        <f>'1_MdR'!K70</f>
        <v>1</v>
      </c>
      <c r="T441" s="402">
        <f>'1_MdR'!L70</f>
        <v>1</v>
      </c>
      <c r="U441" s="402">
        <f>'1_MdR'!M70</f>
        <v>3</v>
      </c>
      <c r="V441" s="1037"/>
      <c r="W441" s="851"/>
      <c r="X441" s="851"/>
      <c r="Y441" s="851"/>
      <c r="Z441" s="851"/>
      <c r="AA441" s="851"/>
      <c r="AB441" s="399"/>
      <c r="AC441" s="1037"/>
      <c r="AD441" s="2840"/>
      <c r="AE441" s="397"/>
      <c r="AF441" s="397"/>
      <c r="AG441" s="397"/>
      <c r="AH441" s="398"/>
      <c r="AI441" s="1458">
        <f>+AI443+AI444</f>
        <v>1057000</v>
      </c>
      <c r="AJ441" s="680"/>
      <c r="AK441" s="1037"/>
      <c r="AL441" s="1458">
        <f>+AL443+AL444</f>
        <v>1057000</v>
      </c>
      <c r="AM441" s="1458">
        <f>+AM443+AM444</f>
        <v>0</v>
      </c>
      <c r="AN441" s="398">
        <f t="shared" si="528"/>
        <v>1057000</v>
      </c>
      <c r="AO441" s="1037"/>
      <c r="AP441" s="1458">
        <f t="shared" ref="AP441:BM441" si="610">+AP443+AP444</f>
        <v>0</v>
      </c>
      <c r="AQ441" s="1458">
        <f t="shared" si="610"/>
        <v>0</v>
      </c>
      <c r="AR441" s="1458">
        <f t="shared" si="610"/>
        <v>0</v>
      </c>
      <c r="AS441" s="1458">
        <f t="shared" si="610"/>
        <v>0</v>
      </c>
      <c r="AT441" s="1458">
        <f t="shared" si="610"/>
        <v>0</v>
      </c>
      <c r="AU441" s="1458">
        <f t="shared" si="610"/>
        <v>0</v>
      </c>
      <c r="AV441" s="1458">
        <f t="shared" si="610"/>
        <v>0</v>
      </c>
      <c r="AW441" s="1458">
        <f t="shared" si="610"/>
        <v>0</v>
      </c>
      <c r="AX441" s="1458">
        <f t="shared" si="610"/>
        <v>0</v>
      </c>
      <c r="AY441" s="1458">
        <f t="shared" si="610"/>
        <v>0</v>
      </c>
      <c r="AZ441" s="398">
        <f t="shared" si="610"/>
        <v>0</v>
      </c>
      <c r="BA441" s="1037">
        <f t="shared" si="610"/>
        <v>0</v>
      </c>
      <c r="BB441" s="1458">
        <f t="shared" si="610"/>
        <v>0</v>
      </c>
      <c r="BC441" s="1458">
        <f t="shared" si="610"/>
        <v>0</v>
      </c>
      <c r="BD441" s="1458">
        <f t="shared" si="610"/>
        <v>0</v>
      </c>
      <c r="BE441" s="1458">
        <f t="shared" si="610"/>
        <v>0</v>
      </c>
      <c r="BF441" s="1458">
        <f t="shared" si="610"/>
        <v>0</v>
      </c>
      <c r="BG441" s="1458">
        <f t="shared" si="610"/>
        <v>0</v>
      </c>
      <c r="BH441" s="1458">
        <f t="shared" si="610"/>
        <v>0</v>
      </c>
      <c r="BI441" s="1458">
        <f t="shared" si="610"/>
        <v>0</v>
      </c>
      <c r="BJ441" s="1458">
        <f t="shared" si="610"/>
        <v>0</v>
      </c>
      <c r="BK441" s="1458">
        <f t="shared" si="610"/>
        <v>0</v>
      </c>
      <c r="BL441" s="1458">
        <f t="shared" si="610"/>
        <v>0</v>
      </c>
      <c r="BM441" s="1458">
        <f t="shared" si="610"/>
        <v>0</v>
      </c>
      <c r="BN441" s="398">
        <f>SUM(BB441:BM441)</f>
        <v>0</v>
      </c>
      <c r="BO441" s="1037">
        <f t="shared" ref="BO441:CA441" si="611">+BO443+BO444</f>
        <v>0</v>
      </c>
      <c r="BP441" s="1458">
        <f t="shared" si="611"/>
        <v>0</v>
      </c>
      <c r="BQ441" s="1458">
        <f t="shared" si="611"/>
        <v>0</v>
      </c>
      <c r="BR441" s="1458">
        <f t="shared" si="611"/>
        <v>0</v>
      </c>
      <c r="BS441" s="1458">
        <f t="shared" si="611"/>
        <v>0</v>
      </c>
      <c r="BT441" s="1458">
        <f t="shared" si="611"/>
        <v>0</v>
      </c>
      <c r="BU441" s="1458">
        <f t="shared" si="611"/>
        <v>0</v>
      </c>
      <c r="BV441" s="1458">
        <f t="shared" si="611"/>
        <v>0</v>
      </c>
      <c r="BW441" s="1458">
        <f t="shared" si="611"/>
        <v>0</v>
      </c>
      <c r="BX441" s="1458">
        <f t="shared" si="611"/>
        <v>0</v>
      </c>
      <c r="BY441" s="1458">
        <f t="shared" si="611"/>
        <v>0</v>
      </c>
      <c r="BZ441" s="1458">
        <f t="shared" si="611"/>
        <v>5400</v>
      </c>
      <c r="CA441" s="1458">
        <f t="shared" si="611"/>
        <v>0</v>
      </c>
      <c r="CB441" s="398">
        <f>SUM(BP441:CA441)</f>
        <v>5400</v>
      </c>
      <c r="CC441" s="1037">
        <f t="shared" ref="CC441:CO441" si="612">+CC443+CC444</f>
        <v>0</v>
      </c>
      <c r="CD441" s="1458">
        <f t="shared" si="612"/>
        <v>0</v>
      </c>
      <c r="CE441" s="1458">
        <f t="shared" si="612"/>
        <v>163380</v>
      </c>
      <c r="CF441" s="1458">
        <f t="shared" si="612"/>
        <v>0</v>
      </c>
      <c r="CG441" s="1458">
        <f t="shared" si="612"/>
        <v>74760</v>
      </c>
      <c r="CH441" s="1458">
        <f t="shared" si="612"/>
        <v>63700</v>
      </c>
      <c r="CI441" s="1458">
        <f t="shared" si="612"/>
        <v>0</v>
      </c>
      <c r="CJ441" s="1458">
        <f t="shared" si="612"/>
        <v>74760</v>
      </c>
      <c r="CK441" s="1458">
        <f t="shared" si="612"/>
        <v>63700</v>
      </c>
      <c r="CL441" s="1458">
        <f t="shared" si="612"/>
        <v>0</v>
      </c>
      <c r="CM441" s="1458">
        <f t="shared" si="612"/>
        <v>109800</v>
      </c>
      <c r="CN441" s="1458">
        <f t="shared" si="612"/>
        <v>0</v>
      </c>
      <c r="CO441" s="1458">
        <f t="shared" si="612"/>
        <v>0</v>
      </c>
      <c r="CP441" s="398">
        <f>SUM(CD441:CO441)</f>
        <v>550100</v>
      </c>
      <c r="CQ441" s="1037">
        <f t="shared" ref="CQ441:DC441" si="613">+CQ443+CQ444</f>
        <v>0</v>
      </c>
      <c r="CR441" s="1458">
        <f t="shared" si="613"/>
        <v>0</v>
      </c>
      <c r="CS441" s="1458">
        <f t="shared" si="613"/>
        <v>109800</v>
      </c>
      <c r="CT441" s="1458">
        <f t="shared" si="613"/>
        <v>0</v>
      </c>
      <c r="CU441" s="1458">
        <f t="shared" si="613"/>
        <v>0</v>
      </c>
      <c r="CV441" s="1458">
        <f t="shared" si="613"/>
        <v>0</v>
      </c>
      <c r="CW441" s="1458">
        <f t="shared" si="613"/>
        <v>109800</v>
      </c>
      <c r="CX441" s="1458">
        <f t="shared" si="613"/>
        <v>0</v>
      </c>
      <c r="CY441" s="1458">
        <f t="shared" si="613"/>
        <v>0</v>
      </c>
      <c r="CZ441" s="1458">
        <f t="shared" si="613"/>
        <v>0</v>
      </c>
      <c r="DA441" s="1458">
        <f t="shared" si="613"/>
        <v>172100</v>
      </c>
      <c r="DB441" s="1458">
        <f t="shared" si="613"/>
        <v>0</v>
      </c>
      <c r="DC441" s="1458">
        <f t="shared" si="613"/>
        <v>0</v>
      </c>
      <c r="DD441" s="398">
        <f>SUM(CR441:DC441)</f>
        <v>391700</v>
      </c>
      <c r="DE441" s="1037">
        <f>+DE443+DE444</f>
        <v>0</v>
      </c>
      <c r="DF441" s="1458">
        <f>+DF443+DF444</f>
        <v>109800</v>
      </c>
      <c r="DG441" s="1458">
        <f>+DG443+DG444</f>
        <v>0</v>
      </c>
      <c r="DH441" s="1458">
        <f>+DH443+DH444</f>
        <v>0</v>
      </c>
      <c r="DI441" s="3087">
        <f>+SUM(DF441:DH441)</f>
        <v>109800</v>
      </c>
      <c r="DJ441" s="3153">
        <f>+AZ441+BN441+CB441+CP441+DD441+DI441</f>
        <v>1057000</v>
      </c>
      <c r="DL441" s="3180">
        <f t="shared" si="535"/>
        <v>0</v>
      </c>
      <c r="DN441" s="2725" t="s">
        <v>1175</v>
      </c>
      <c r="DO441" s="2728" t="s">
        <v>1175</v>
      </c>
      <c r="DP441" s="2728"/>
      <c r="DQ441" s="2728" t="s">
        <v>1175</v>
      </c>
      <c r="DR441" s="2728" t="str">
        <f t="shared" si="446"/>
        <v>3</v>
      </c>
      <c r="DS441" s="1037"/>
      <c r="DT441" s="1037"/>
    </row>
    <row r="442" spans="2:124" ht="15" outlineLevel="4">
      <c r="B442" s="1562"/>
      <c r="C442" s="2913"/>
      <c r="D442" s="2946" t="s">
        <v>1620</v>
      </c>
      <c r="E442" s="159"/>
      <c r="F442" s="2946"/>
      <c r="G442" s="702"/>
      <c r="H442" s="2782" t="s">
        <v>1621</v>
      </c>
      <c r="I442" s="703"/>
      <c r="J442" s="177"/>
      <c r="L442" s="364"/>
      <c r="M442" s="364"/>
      <c r="N442" s="364"/>
      <c r="O442" s="364"/>
      <c r="P442" s="364"/>
      <c r="Q442" s="364"/>
      <c r="R442" s="364"/>
      <c r="S442" s="364"/>
      <c r="T442" s="364"/>
      <c r="U442" s="364"/>
      <c r="W442" s="853"/>
      <c r="X442" s="853"/>
      <c r="Y442" s="853"/>
      <c r="Z442" s="853"/>
      <c r="AA442" s="853"/>
      <c r="AB442" s="436"/>
      <c r="AD442" s="1562"/>
      <c r="AE442" s="1751"/>
      <c r="AF442" s="159"/>
      <c r="AG442" s="159"/>
      <c r="AH442" s="355"/>
      <c r="AI442" s="355"/>
      <c r="AJ442" s="693"/>
      <c r="AL442" s="355"/>
      <c r="AM442" s="355"/>
      <c r="AN442" s="355"/>
      <c r="AP442" s="1033"/>
      <c r="AQ442" s="1033"/>
      <c r="AR442" s="1033"/>
      <c r="AS442" s="1033"/>
      <c r="AT442" s="1033"/>
      <c r="AU442" s="1033"/>
      <c r="AV442" s="1033"/>
      <c r="AW442" s="1033"/>
      <c r="AX442" s="1033"/>
      <c r="AY442" s="1033"/>
      <c r="AZ442" s="1294"/>
      <c r="BB442" s="1033"/>
      <c r="BC442" s="1033"/>
      <c r="BD442" s="1033"/>
      <c r="BE442" s="1033"/>
      <c r="BF442" s="1033"/>
      <c r="BG442" s="1033"/>
      <c r="BH442" s="1033"/>
      <c r="BI442" s="1033"/>
      <c r="BJ442" s="1001"/>
      <c r="BK442" s="1033"/>
      <c r="BL442" s="1033"/>
      <c r="BM442" s="1033"/>
      <c r="BN442" s="1294"/>
      <c r="BP442" s="1033"/>
      <c r="BQ442" s="1033"/>
      <c r="BR442" s="1033"/>
      <c r="BS442" s="1033"/>
      <c r="BT442" s="1033"/>
      <c r="BU442" s="1033"/>
      <c r="BV442" s="1033"/>
      <c r="BW442" s="1033"/>
      <c r="BX442" s="1033"/>
      <c r="BY442" s="1033"/>
      <c r="BZ442" s="1033"/>
      <c r="CA442" s="1033"/>
      <c r="CB442" s="1294"/>
      <c r="CD442" s="1033"/>
      <c r="CE442" s="1033"/>
      <c r="CF442" s="1033"/>
      <c r="CG442" s="1033"/>
      <c r="CH442" s="1033"/>
      <c r="CI442" s="1033"/>
      <c r="CJ442" s="1033"/>
      <c r="CK442" s="1033"/>
      <c r="CL442" s="1033"/>
      <c r="CM442" s="1033"/>
      <c r="CN442" s="1033"/>
      <c r="CO442" s="1033"/>
      <c r="CP442" s="1744"/>
      <c r="CR442" s="1033"/>
      <c r="CS442" s="1033"/>
      <c r="CT442" s="1033"/>
      <c r="CU442" s="1033"/>
      <c r="CV442" s="1033"/>
      <c r="CW442" s="1033"/>
      <c r="CX442" s="1033"/>
      <c r="CY442" s="1033"/>
      <c r="CZ442" s="1033"/>
      <c r="DA442" s="1033"/>
      <c r="DB442" s="1033"/>
      <c r="DC442" s="1033"/>
      <c r="DD442" s="1468"/>
      <c r="DF442" s="1033"/>
      <c r="DG442" s="1033"/>
      <c r="DH442" s="1033"/>
      <c r="DI442" s="3086"/>
      <c r="DJ442" s="3141"/>
      <c r="DL442" s="3180"/>
      <c r="DN442" s="2716"/>
      <c r="DO442" s="2736"/>
      <c r="DP442" s="2736"/>
      <c r="DQ442" s="2736"/>
      <c r="DR442" s="2736"/>
      <c r="DS442" s="1037"/>
      <c r="DT442" s="1037"/>
    </row>
    <row r="443" spans="2:124" ht="75" outlineLevel="4">
      <c r="B443" s="1562"/>
      <c r="C443" s="2913"/>
      <c r="D443" s="2946" t="s">
        <v>1051</v>
      </c>
      <c r="E443" s="159"/>
      <c r="F443" s="2946"/>
      <c r="G443" s="702"/>
      <c r="H443" s="2782" t="s">
        <v>1052</v>
      </c>
      <c r="I443" s="703"/>
      <c r="J443" s="177"/>
      <c r="L443" s="364"/>
      <c r="M443" s="364"/>
      <c r="N443" s="364"/>
      <c r="O443" s="364"/>
      <c r="P443" s="364"/>
      <c r="Q443" s="364"/>
      <c r="R443" s="364"/>
      <c r="S443" s="364"/>
      <c r="T443" s="364"/>
      <c r="U443" s="364"/>
      <c r="W443" s="853" t="s">
        <v>802</v>
      </c>
      <c r="X443" s="858" t="s">
        <v>1075</v>
      </c>
      <c r="Y443" s="2934" t="s">
        <v>1596</v>
      </c>
      <c r="Z443" s="704" t="s">
        <v>1053</v>
      </c>
      <c r="AA443" s="853"/>
      <c r="AB443" s="436"/>
      <c r="AD443" s="1562" t="s">
        <v>1179</v>
      </c>
      <c r="AE443" s="1751">
        <v>1</v>
      </c>
      <c r="AF443" s="159"/>
      <c r="AG443" s="159"/>
      <c r="AH443" s="355">
        <v>623000</v>
      </c>
      <c r="AI443" s="355">
        <f>+AE443*AH443</f>
        <v>623000</v>
      </c>
      <c r="AJ443" s="693"/>
      <c r="AL443" s="355">
        <f>+AI443</f>
        <v>623000</v>
      </c>
      <c r="AM443" s="355"/>
      <c r="AN443" s="355">
        <f>+AL443+AM443</f>
        <v>623000</v>
      </c>
      <c r="AP443" s="1033">
        <v>0</v>
      </c>
      <c r="AQ443" s="1033">
        <v>0</v>
      </c>
      <c r="AR443" s="1033">
        <v>0</v>
      </c>
      <c r="AS443" s="1033">
        <v>0</v>
      </c>
      <c r="AT443" s="1033">
        <v>0</v>
      </c>
      <c r="AU443" s="1033">
        <v>0</v>
      </c>
      <c r="AV443" s="1033">
        <v>0</v>
      </c>
      <c r="AW443" s="1033">
        <v>0</v>
      </c>
      <c r="AX443" s="1033">
        <v>0</v>
      </c>
      <c r="AY443" s="1033">
        <v>0</v>
      </c>
      <c r="AZ443" s="1294">
        <f t="shared" ref="AZ443:AZ448" si="614">SUM(AP443:AY443)</f>
        <v>0</v>
      </c>
      <c r="BB443" s="1033">
        <v>0</v>
      </c>
      <c r="BC443" s="1033">
        <v>0</v>
      </c>
      <c r="BD443" s="1033">
        <v>0</v>
      </c>
      <c r="BE443" s="1033">
        <v>0</v>
      </c>
      <c r="BF443" s="1033">
        <v>0</v>
      </c>
      <c r="BG443" s="1033"/>
      <c r="BH443" s="1033">
        <v>0</v>
      </c>
      <c r="BI443" s="1033">
        <v>0</v>
      </c>
      <c r="BJ443" s="1033"/>
      <c r="BK443" s="1033">
        <v>0</v>
      </c>
      <c r="BL443" s="1033">
        <v>0</v>
      </c>
      <c r="BM443" s="1033">
        <v>0</v>
      </c>
      <c r="BN443" s="1294">
        <f t="shared" ref="BN443:BN451" si="615">SUM(BB443:BM443)</f>
        <v>0</v>
      </c>
      <c r="BP443" s="1033"/>
      <c r="BQ443" s="1033"/>
      <c r="BR443" s="1033"/>
      <c r="BS443" s="1033">
        <v>0</v>
      </c>
      <c r="BT443" s="1033"/>
      <c r="BU443" s="1033"/>
      <c r="BV443" s="1033"/>
      <c r="BW443" s="1033"/>
      <c r="BX443" s="1033"/>
      <c r="BY443" s="1033">
        <v>0</v>
      </c>
      <c r="BZ443" s="1033"/>
      <c r="CA443" s="1033"/>
      <c r="CB443" s="1294">
        <f t="shared" ref="CB443:CB449" si="616">SUM(BP443:CA443)</f>
        <v>0</v>
      </c>
      <c r="CD443" s="1033"/>
      <c r="CE443" s="1033">
        <f>+$AI$443*16%</f>
        <v>99680</v>
      </c>
      <c r="CF443" s="1033"/>
      <c r="CG443" s="1033">
        <f>+$AI$443*12%</f>
        <v>74760</v>
      </c>
      <c r="CH443" s="1033"/>
      <c r="CI443" s="1033"/>
      <c r="CJ443" s="1033">
        <f>+$AI$443*12%</f>
        <v>74760</v>
      </c>
      <c r="CK443" s="1033">
        <v>0</v>
      </c>
      <c r="CL443" s="1033"/>
      <c r="CM443" s="1033">
        <f>+$AI$443*10%</f>
        <v>62300</v>
      </c>
      <c r="CN443" s="1033"/>
      <c r="CO443" s="1033">
        <v>0</v>
      </c>
      <c r="CP443" s="1744">
        <f t="shared" ref="CP443:CP451" si="617">SUM(CD443:CO443)</f>
        <v>311500</v>
      </c>
      <c r="CR443" s="1033"/>
      <c r="CS443" s="1033">
        <f>+$AI$443*10%</f>
        <v>62300</v>
      </c>
      <c r="CT443" s="1033"/>
      <c r="CU443" s="1033">
        <v>0</v>
      </c>
      <c r="CV443" s="1033"/>
      <c r="CW443" s="1033">
        <f>+$AI$443*10%</f>
        <v>62300</v>
      </c>
      <c r="CX443" s="1033"/>
      <c r="CY443" s="1033">
        <v>0</v>
      </c>
      <c r="CZ443" s="1033"/>
      <c r="DA443" s="1033">
        <f>+$AI$443*20%</f>
        <v>124600</v>
      </c>
      <c r="DB443" s="1033"/>
      <c r="DC443" s="1033">
        <v>0</v>
      </c>
      <c r="DD443" s="1468">
        <f t="shared" ref="DD443:DD449" si="618">SUM(CR443:DC443)</f>
        <v>249200</v>
      </c>
      <c r="DF443" s="1033">
        <f>+$AI$443*10%</f>
        <v>62300</v>
      </c>
      <c r="DG443" s="1033"/>
      <c r="DH443" s="1033"/>
      <c r="DI443" s="3086">
        <f t="shared" ref="DI443:DI449" si="619">SUM(DF443:DH443)</f>
        <v>62300</v>
      </c>
      <c r="DJ443" s="3141">
        <f t="shared" si="534"/>
        <v>623000</v>
      </c>
      <c r="DL443" s="3180">
        <f t="shared" si="535"/>
        <v>0</v>
      </c>
      <c r="DN443" s="2716" t="s">
        <v>1283</v>
      </c>
      <c r="DO443" s="2736" t="s">
        <v>1284</v>
      </c>
      <c r="DP443" s="2736" t="s">
        <v>1117</v>
      </c>
      <c r="DQ443" s="2736" t="s">
        <v>4</v>
      </c>
      <c r="DR443" s="2736" t="str">
        <f t="shared" ref="DR443:DR451" si="620">MID(D443,1,1)</f>
        <v>3</v>
      </c>
      <c r="DS443" s="1037"/>
      <c r="DT443" s="1037"/>
    </row>
    <row r="444" spans="2:124" s="153" customFormat="1" ht="45" outlineLevel="3">
      <c r="B444" s="2840"/>
      <c r="C444" s="397"/>
      <c r="D444" s="2949" t="s">
        <v>1054</v>
      </c>
      <c r="E444" s="704"/>
      <c r="F444" s="2949"/>
      <c r="G444" s="395"/>
      <c r="H444" s="1249" t="s">
        <v>1055</v>
      </c>
      <c r="I444" s="536"/>
      <c r="J444" s="399" t="s">
        <v>1556</v>
      </c>
      <c r="K444" s="1037"/>
      <c r="L444" s="851" t="e">
        <f>'1_MdR'!#REF!</f>
        <v>#REF!</v>
      </c>
      <c r="M444" s="851" t="e">
        <f>'1_MdR'!#REF!</f>
        <v>#REF!</v>
      </c>
      <c r="N444" s="402" t="e">
        <f>'1_MdR'!#REF!</f>
        <v>#REF!</v>
      </c>
      <c r="O444" s="402" t="e">
        <f>'1_MdR'!#REF!</f>
        <v>#REF!</v>
      </c>
      <c r="P444" s="402" t="e">
        <f>'1_MdR'!#REF!</f>
        <v>#REF!</v>
      </c>
      <c r="Q444" s="402" t="e">
        <f>'1_MdR'!#REF!</f>
        <v>#REF!</v>
      </c>
      <c r="R444" s="402" t="e">
        <f>'1_MdR'!#REF!</f>
        <v>#REF!</v>
      </c>
      <c r="S444" s="402" t="e">
        <f>'1_MdR'!#REF!</f>
        <v>#REF!</v>
      </c>
      <c r="T444" s="402" t="e">
        <f>'1_MdR'!#REF!</f>
        <v>#REF!</v>
      </c>
      <c r="U444" s="402" t="e">
        <f>'1_MdR'!#REF!</f>
        <v>#REF!</v>
      </c>
      <c r="V444" s="1037"/>
      <c r="W444" s="851"/>
      <c r="X444" s="851"/>
      <c r="Y444" s="851"/>
      <c r="Z444" s="851"/>
      <c r="AA444" s="851"/>
      <c r="AB444" s="399"/>
      <c r="AC444" s="1037"/>
      <c r="AD444" s="2840"/>
      <c r="AE444" s="397"/>
      <c r="AF444" s="397"/>
      <c r="AG444" s="397"/>
      <c r="AH444" s="398"/>
      <c r="AI444" s="1458">
        <f>SUM(AI445:AI448)</f>
        <v>434000</v>
      </c>
      <c r="AJ444" s="680"/>
      <c r="AK444" s="1037"/>
      <c r="AL444" s="1458">
        <f>SUM(AL445:AL448)</f>
        <v>434000</v>
      </c>
      <c r="AM444" s="1458">
        <f>SUM(AM445:AM448)</f>
        <v>0</v>
      </c>
      <c r="AN444" s="398">
        <f>+AL444+AM444</f>
        <v>434000</v>
      </c>
      <c r="AO444" s="1037"/>
      <c r="AP444" s="1458">
        <f t="shared" ref="AP444:AY444" si="621">SUM(AP445:AP448)</f>
        <v>0</v>
      </c>
      <c r="AQ444" s="1458">
        <f t="shared" si="621"/>
        <v>0</v>
      </c>
      <c r="AR444" s="1458">
        <f t="shared" si="621"/>
        <v>0</v>
      </c>
      <c r="AS444" s="1458">
        <f t="shared" si="621"/>
        <v>0</v>
      </c>
      <c r="AT444" s="1458">
        <f t="shared" si="621"/>
        <v>0</v>
      </c>
      <c r="AU444" s="1458">
        <f t="shared" si="621"/>
        <v>0</v>
      </c>
      <c r="AV444" s="1458">
        <f t="shared" si="621"/>
        <v>0</v>
      </c>
      <c r="AW444" s="1458">
        <f t="shared" si="621"/>
        <v>0</v>
      </c>
      <c r="AX444" s="1458">
        <f t="shared" si="621"/>
        <v>0</v>
      </c>
      <c r="AY444" s="1458">
        <f t="shared" si="621"/>
        <v>0</v>
      </c>
      <c r="AZ444" s="398">
        <f t="shared" si="614"/>
        <v>0</v>
      </c>
      <c r="BA444" s="1037"/>
      <c r="BB444" s="1458">
        <f t="shared" ref="BB444:BM444" si="622">SUM(BB445:BB448)</f>
        <v>0</v>
      </c>
      <c r="BC444" s="1458">
        <f t="shared" si="622"/>
        <v>0</v>
      </c>
      <c r="BD444" s="1458">
        <f t="shared" si="622"/>
        <v>0</v>
      </c>
      <c r="BE444" s="1458">
        <f t="shared" si="622"/>
        <v>0</v>
      </c>
      <c r="BF444" s="1458">
        <f t="shared" si="622"/>
        <v>0</v>
      </c>
      <c r="BG444" s="1458">
        <f t="shared" si="622"/>
        <v>0</v>
      </c>
      <c r="BH444" s="1458">
        <f t="shared" si="622"/>
        <v>0</v>
      </c>
      <c r="BI444" s="1458">
        <f t="shared" si="622"/>
        <v>0</v>
      </c>
      <c r="BJ444" s="1458">
        <f t="shared" si="622"/>
        <v>0</v>
      </c>
      <c r="BK444" s="1458">
        <f t="shared" si="622"/>
        <v>0</v>
      </c>
      <c r="BL444" s="1458">
        <f t="shared" si="622"/>
        <v>0</v>
      </c>
      <c r="BM444" s="1458">
        <f t="shared" si="622"/>
        <v>0</v>
      </c>
      <c r="BN444" s="398">
        <f t="shared" si="615"/>
        <v>0</v>
      </c>
      <c r="BO444" s="1037"/>
      <c r="BP444" s="1458">
        <f t="shared" ref="BP444:CA444" si="623">SUM(BP445:BP448)</f>
        <v>0</v>
      </c>
      <c r="BQ444" s="1458">
        <f t="shared" si="623"/>
        <v>0</v>
      </c>
      <c r="BR444" s="1458">
        <f>SUM(BR445:BR448)</f>
        <v>0</v>
      </c>
      <c r="BS444" s="1458">
        <f t="shared" si="623"/>
        <v>0</v>
      </c>
      <c r="BT444" s="1458">
        <f t="shared" si="623"/>
        <v>0</v>
      </c>
      <c r="BU444" s="1458">
        <f t="shared" si="623"/>
        <v>0</v>
      </c>
      <c r="BV444" s="1458">
        <f t="shared" si="623"/>
        <v>0</v>
      </c>
      <c r="BW444" s="1458">
        <f t="shared" si="623"/>
        <v>0</v>
      </c>
      <c r="BX444" s="1458">
        <f t="shared" si="623"/>
        <v>0</v>
      </c>
      <c r="BY444" s="1458">
        <f t="shared" si="623"/>
        <v>0</v>
      </c>
      <c r="BZ444" s="1458">
        <f t="shared" si="623"/>
        <v>5400</v>
      </c>
      <c r="CA444" s="1458">
        <f t="shared" si="623"/>
        <v>0</v>
      </c>
      <c r="CB444" s="398">
        <f t="shared" si="616"/>
        <v>5400</v>
      </c>
      <c r="CC444" s="1037"/>
      <c r="CD444" s="1458">
        <f t="shared" ref="CD444:CO444" si="624">SUM(CD445:CD448)</f>
        <v>0</v>
      </c>
      <c r="CE444" s="1458">
        <f t="shared" si="624"/>
        <v>63700</v>
      </c>
      <c r="CF444" s="1458">
        <f t="shared" si="624"/>
        <v>0</v>
      </c>
      <c r="CG444" s="1458">
        <f t="shared" si="624"/>
        <v>0</v>
      </c>
      <c r="CH444" s="1458">
        <f>SUM(CH445:CH448)</f>
        <v>63700</v>
      </c>
      <c r="CI444" s="1458">
        <f t="shared" si="624"/>
        <v>0</v>
      </c>
      <c r="CJ444" s="1458">
        <f t="shared" si="624"/>
        <v>0</v>
      </c>
      <c r="CK444" s="1458">
        <f t="shared" si="624"/>
        <v>63700</v>
      </c>
      <c r="CL444" s="1458">
        <f t="shared" si="624"/>
        <v>0</v>
      </c>
      <c r="CM444" s="1458">
        <f t="shared" si="624"/>
        <v>47500</v>
      </c>
      <c r="CN444" s="1458">
        <f t="shared" si="624"/>
        <v>0</v>
      </c>
      <c r="CO444" s="1458">
        <f t="shared" si="624"/>
        <v>0</v>
      </c>
      <c r="CP444" s="398">
        <f t="shared" si="617"/>
        <v>238600</v>
      </c>
      <c r="CQ444" s="1037"/>
      <c r="CR444" s="1458">
        <f t="shared" ref="CR444:DC444" si="625">SUM(CR445:CR448)</f>
        <v>0</v>
      </c>
      <c r="CS444" s="1458">
        <f t="shared" si="625"/>
        <v>47500</v>
      </c>
      <c r="CT444" s="1458">
        <f t="shared" si="625"/>
        <v>0</v>
      </c>
      <c r="CU444" s="1458">
        <f t="shared" si="625"/>
        <v>0</v>
      </c>
      <c r="CV444" s="1458">
        <f t="shared" si="625"/>
        <v>0</v>
      </c>
      <c r="CW444" s="1458">
        <f t="shared" si="625"/>
        <v>47500</v>
      </c>
      <c r="CX444" s="1458">
        <f t="shared" si="625"/>
        <v>0</v>
      </c>
      <c r="CY444" s="1458">
        <f t="shared" si="625"/>
        <v>0</v>
      </c>
      <c r="CZ444" s="1458">
        <f t="shared" si="625"/>
        <v>0</v>
      </c>
      <c r="DA444" s="1458">
        <f t="shared" si="625"/>
        <v>47500</v>
      </c>
      <c r="DB444" s="1458">
        <f t="shared" si="625"/>
        <v>0</v>
      </c>
      <c r="DC444" s="1458">
        <f t="shared" si="625"/>
        <v>0</v>
      </c>
      <c r="DD444" s="398">
        <f t="shared" si="618"/>
        <v>142500</v>
      </c>
      <c r="DE444" s="1037"/>
      <c r="DF444" s="1458">
        <f>SUM(DF445:DF448)</f>
        <v>47500</v>
      </c>
      <c r="DG444" s="1458">
        <f>SUM(DG445:DG448)</f>
        <v>0</v>
      </c>
      <c r="DH444" s="1458">
        <f>SUM(DH445:DH448)</f>
        <v>0</v>
      </c>
      <c r="DI444" s="3087">
        <f t="shared" si="619"/>
        <v>47500</v>
      </c>
      <c r="DJ444" s="3153">
        <f>+AZ444+BN444+CB444+CP444+DD444+DI444</f>
        <v>434000</v>
      </c>
      <c r="DL444" s="3180">
        <f t="shared" si="535"/>
        <v>0</v>
      </c>
      <c r="DN444" s="2725" t="s">
        <v>1175</v>
      </c>
      <c r="DO444" s="2728" t="s">
        <v>1175</v>
      </c>
      <c r="DP444" s="2728"/>
      <c r="DQ444" s="2728" t="s">
        <v>1175</v>
      </c>
      <c r="DR444" s="2728" t="str">
        <f t="shared" si="620"/>
        <v>3</v>
      </c>
      <c r="DS444" s="1037"/>
      <c r="DT444" s="1037"/>
    </row>
    <row r="445" spans="2:124" ht="57" customHeight="1" outlineLevel="4">
      <c r="B445" s="711"/>
      <c r="C445" s="182"/>
      <c r="D445" s="2953" t="s">
        <v>1056</v>
      </c>
      <c r="E445" s="580"/>
      <c r="F445" s="2953"/>
      <c r="G445" s="107"/>
      <c r="H445" s="1547" t="s">
        <v>1057</v>
      </c>
      <c r="I445" s="533"/>
      <c r="J445" s="103"/>
      <c r="L445" s="364"/>
      <c r="M445" s="364"/>
      <c r="N445" s="364"/>
      <c r="O445" s="364"/>
      <c r="P445" s="364"/>
      <c r="Q445" s="364"/>
      <c r="R445" s="364"/>
      <c r="S445" s="364"/>
      <c r="T445" s="364"/>
      <c r="U445" s="364"/>
      <c r="W445" s="2931" t="s">
        <v>987</v>
      </c>
      <c r="X445" s="858" t="s">
        <v>1075</v>
      </c>
      <c r="Y445" s="853" t="s">
        <v>1413</v>
      </c>
      <c r="Z445" s="853">
        <f>+'9.2_PA_SC - MH'!$A$97</f>
        <v>53</v>
      </c>
      <c r="AA445" s="853"/>
      <c r="AB445" s="181"/>
      <c r="AD445" s="711" t="s">
        <v>1280</v>
      </c>
      <c r="AE445" s="712">
        <v>1</v>
      </c>
      <c r="AF445" s="179">
        <v>18</v>
      </c>
      <c r="AG445" s="179"/>
      <c r="AH445" s="1032">
        <v>3000</v>
      </c>
      <c r="AI445" s="1048">
        <f>+AE445*AF445*AH445</f>
        <v>54000</v>
      </c>
      <c r="AJ445" s="1530" t="s">
        <v>1622</v>
      </c>
      <c r="AL445" s="1032">
        <f>+AI445</f>
        <v>54000</v>
      </c>
      <c r="AM445" s="1032">
        <v>0</v>
      </c>
      <c r="AN445" s="355">
        <f>+AL445+AM445</f>
        <v>54000</v>
      </c>
      <c r="AP445" s="986">
        <v>0</v>
      </c>
      <c r="AQ445" s="986">
        <v>0</v>
      </c>
      <c r="AR445" s="986">
        <v>0</v>
      </c>
      <c r="AS445" s="986">
        <v>0</v>
      </c>
      <c r="AT445" s="986">
        <v>0</v>
      </c>
      <c r="AU445" s="986">
        <v>0</v>
      </c>
      <c r="AV445" s="986">
        <v>0</v>
      </c>
      <c r="AW445" s="986">
        <v>0</v>
      </c>
      <c r="AX445" s="986">
        <v>0</v>
      </c>
      <c r="AY445" s="986">
        <v>0</v>
      </c>
      <c r="AZ445" s="2011">
        <f t="shared" si="614"/>
        <v>0</v>
      </c>
      <c r="BB445" s="986">
        <v>0</v>
      </c>
      <c r="BC445" s="986">
        <v>0</v>
      </c>
      <c r="BD445" s="986">
        <v>0</v>
      </c>
      <c r="BE445" s="1015"/>
      <c r="BF445" s="1015"/>
      <c r="BG445" s="1015"/>
      <c r="BH445" s="1015"/>
      <c r="BI445" s="1015"/>
      <c r="BJ445" s="1015"/>
      <c r="BK445" s="1015"/>
      <c r="BL445" s="1015"/>
      <c r="BM445" s="1015"/>
      <c r="BN445" s="2011">
        <f t="shared" si="615"/>
        <v>0</v>
      </c>
      <c r="BP445" s="1015"/>
      <c r="BQ445" s="1015"/>
      <c r="BR445" s="1015"/>
      <c r="BS445" s="1015"/>
      <c r="BT445" s="1015"/>
      <c r="BU445" s="1015"/>
      <c r="BV445" s="1015"/>
      <c r="BW445" s="1015"/>
      <c r="BX445" s="1015"/>
      <c r="BY445" s="1015"/>
      <c r="BZ445" s="1015">
        <f>+$AI$445*0.1</f>
        <v>5400</v>
      </c>
      <c r="CA445" s="1015"/>
      <c r="CB445" s="2011">
        <f t="shared" si="616"/>
        <v>5400</v>
      </c>
      <c r="CD445" s="1015"/>
      <c r="CE445" s="1015">
        <f>+$AI$445*0.3</f>
        <v>16200</v>
      </c>
      <c r="CF445" s="986">
        <v>0</v>
      </c>
      <c r="CG445" s="986">
        <v>0</v>
      </c>
      <c r="CH445" s="1015">
        <f>+$AI$445*0.3</f>
        <v>16200</v>
      </c>
      <c r="CI445" s="986">
        <v>0</v>
      </c>
      <c r="CJ445" s="986">
        <v>0</v>
      </c>
      <c r="CK445" s="1015">
        <f>+$AI$445*0.3</f>
        <v>16200</v>
      </c>
      <c r="CL445" s="986">
        <v>0</v>
      </c>
      <c r="CM445" s="986">
        <v>0</v>
      </c>
      <c r="CN445" s="986">
        <v>0</v>
      </c>
      <c r="CO445" s="986">
        <v>0</v>
      </c>
      <c r="CP445" s="2014">
        <f t="shared" si="617"/>
        <v>48600</v>
      </c>
      <c r="CR445" s="986">
        <v>0</v>
      </c>
      <c r="CS445" s="986">
        <v>0</v>
      </c>
      <c r="CT445" s="986">
        <v>0</v>
      </c>
      <c r="CU445" s="986">
        <v>0</v>
      </c>
      <c r="CV445" s="986">
        <v>0</v>
      </c>
      <c r="CW445" s="986">
        <v>0</v>
      </c>
      <c r="CX445" s="986">
        <v>0</v>
      </c>
      <c r="CY445" s="986">
        <v>0</v>
      </c>
      <c r="CZ445" s="986">
        <v>0</v>
      </c>
      <c r="DA445" s="986">
        <v>0</v>
      </c>
      <c r="DB445" s="986">
        <v>0</v>
      </c>
      <c r="DC445" s="986">
        <v>0</v>
      </c>
      <c r="DD445" s="1498">
        <f t="shared" si="618"/>
        <v>0</v>
      </c>
      <c r="DF445" s="986">
        <v>0</v>
      </c>
      <c r="DG445" s="986">
        <v>0</v>
      </c>
      <c r="DH445" s="986">
        <v>0</v>
      </c>
      <c r="DI445" s="1498">
        <f t="shared" si="619"/>
        <v>0</v>
      </c>
      <c r="DJ445" s="3142">
        <f>+AZ445+BN445+CB445+CP445+DD445+DI445</f>
        <v>54000</v>
      </c>
      <c r="DL445" s="3180">
        <f t="shared" si="535"/>
        <v>0</v>
      </c>
      <c r="DN445" s="2749" t="s">
        <v>1346</v>
      </c>
      <c r="DO445" s="2740" t="s">
        <v>1347</v>
      </c>
      <c r="DP445" s="2740" t="s">
        <v>1115</v>
      </c>
      <c r="DQ445" s="2740" t="s">
        <v>4</v>
      </c>
      <c r="DR445" s="2740" t="str">
        <f t="shared" si="620"/>
        <v>3</v>
      </c>
      <c r="DS445" s="1037"/>
      <c r="DT445" s="1037"/>
    </row>
    <row r="446" spans="2:124" ht="41" customHeight="1" outlineLevel="4">
      <c r="B446" s="711"/>
      <c r="C446" s="182"/>
      <c r="D446" s="2953" t="s">
        <v>1058</v>
      </c>
      <c r="E446" s="580"/>
      <c r="F446" s="2953"/>
      <c r="G446" s="107"/>
      <c r="H446" s="544" t="s">
        <v>1059</v>
      </c>
      <c r="I446" s="533"/>
      <c r="J446" s="103"/>
      <c r="L446" s="364"/>
      <c r="M446" s="364"/>
      <c r="N446" s="364"/>
      <c r="O446" s="364"/>
      <c r="P446" s="364"/>
      <c r="Q446" s="364"/>
      <c r="R446" s="364"/>
      <c r="S446" s="364"/>
      <c r="T446" s="364"/>
      <c r="U446" s="364"/>
      <c r="W446" s="4004" t="s">
        <v>1060</v>
      </c>
      <c r="X446" s="4008" t="s">
        <v>1075</v>
      </c>
      <c r="Y446" s="4005" t="s">
        <v>1623</v>
      </c>
      <c r="Z446" s="1207" t="s">
        <v>1624</v>
      </c>
      <c r="AA446" s="3799"/>
      <c r="AB446" s="3918"/>
      <c r="AD446" s="711" t="s">
        <v>1179</v>
      </c>
      <c r="AE446" s="712">
        <v>1</v>
      </c>
      <c r="AF446" s="179"/>
      <c r="AG446" s="179"/>
      <c r="AH446" s="1032">
        <v>80000</v>
      </c>
      <c r="AI446" s="1048">
        <f>+AE446*AH446</f>
        <v>80000</v>
      </c>
      <c r="AJ446" s="1530" t="s">
        <v>1625</v>
      </c>
      <c r="AL446" s="1032">
        <f>+AI446</f>
        <v>80000</v>
      </c>
      <c r="AM446" s="1032">
        <v>0</v>
      </c>
      <c r="AN446" s="355">
        <f t="shared" ref="AN446:AN451" si="626">+AL446+AM446</f>
        <v>80000</v>
      </c>
      <c r="AP446" s="986">
        <v>0</v>
      </c>
      <c r="AQ446" s="986">
        <v>0</v>
      </c>
      <c r="AR446" s="986">
        <v>0</v>
      </c>
      <c r="AS446" s="986">
        <v>0</v>
      </c>
      <c r="AT446" s="986">
        <v>0</v>
      </c>
      <c r="AU446" s="986">
        <v>0</v>
      </c>
      <c r="AV446" s="986">
        <v>0</v>
      </c>
      <c r="AW446" s="986">
        <v>0</v>
      </c>
      <c r="AX446" s="986">
        <v>0</v>
      </c>
      <c r="AY446" s="986">
        <v>0</v>
      </c>
      <c r="AZ446" s="2011">
        <f t="shared" si="614"/>
        <v>0</v>
      </c>
      <c r="BB446" s="986">
        <v>0</v>
      </c>
      <c r="BC446" s="986">
        <v>0</v>
      </c>
      <c r="BD446" s="986">
        <v>0</v>
      </c>
      <c r="BE446" s="986">
        <v>0</v>
      </c>
      <c r="BF446" s="986">
        <v>0</v>
      </c>
      <c r="BG446" s="986">
        <v>0</v>
      </c>
      <c r="BH446" s="986">
        <v>0</v>
      </c>
      <c r="BI446" s="986">
        <v>0</v>
      </c>
      <c r="BJ446" s="986">
        <v>0</v>
      </c>
      <c r="BK446" s="986">
        <v>0</v>
      </c>
      <c r="BL446" s="986">
        <v>0</v>
      </c>
      <c r="BM446" s="986">
        <v>0</v>
      </c>
      <c r="BN446" s="2011">
        <f t="shared" si="615"/>
        <v>0</v>
      </c>
      <c r="BP446" s="1015">
        <v>0</v>
      </c>
      <c r="BQ446" s="1015">
        <v>0</v>
      </c>
      <c r="BR446" s="1015"/>
      <c r="BS446" s="1015">
        <v>0</v>
      </c>
      <c r="BT446" s="1015">
        <v>0</v>
      </c>
      <c r="BU446" s="1015">
        <v>0</v>
      </c>
      <c r="BV446" s="1015"/>
      <c r="BW446" s="1015">
        <v>0</v>
      </c>
      <c r="BX446" s="1015">
        <v>0</v>
      </c>
      <c r="BY446" s="1015"/>
      <c r="BZ446" s="1015"/>
      <c r="CA446" s="1015">
        <v>0</v>
      </c>
      <c r="CB446" s="2011">
        <f t="shared" si="616"/>
        <v>0</v>
      </c>
      <c r="CD446" s="986">
        <v>0</v>
      </c>
      <c r="CE446" s="1015">
        <f>+$AI$446/8</f>
        <v>10000</v>
      </c>
      <c r="CF446" s="1015">
        <v>0</v>
      </c>
      <c r="CG446" s="1015">
        <v>0</v>
      </c>
      <c r="CH446" s="1015">
        <f>+$AI$446/8</f>
        <v>10000</v>
      </c>
      <c r="CI446" s="1015"/>
      <c r="CJ446" s="1015"/>
      <c r="CK446" s="1015">
        <f>+$AI$446/8</f>
        <v>10000</v>
      </c>
      <c r="CL446" s="1015"/>
      <c r="CM446" s="1015">
        <f>+$AI$446/8</f>
        <v>10000</v>
      </c>
      <c r="CN446" s="1015"/>
      <c r="CO446" s="986">
        <v>0</v>
      </c>
      <c r="CP446" s="2011">
        <f t="shared" si="617"/>
        <v>40000</v>
      </c>
      <c r="CR446" s="1015"/>
      <c r="CS446" s="1015">
        <f>+$AI$446/8</f>
        <v>10000</v>
      </c>
      <c r="CT446" s="1015"/>
      <c r="CU446" s="1015">
        <v>0</v>
      </c>
      <c r="CV446" s="1015">
        <v>0</v>
      </c>
      <c r="CW446" s="1015">
        <f>+$AI$446/8</f>
        <v>10000</v>
      </c>
      <c r="CX446" s="1015"/>
      <c r="CY446" s="1015">
        <v>0</v>
      </c>
      <c r="CZ446" s="1015">
        <v>0</v>
      </c>
      <c r="DA446" s="1015">
        <f>+$AI$446/8</f>
        <v>10000</v>
      </c>
      <c r="DB446" s="1015"/>
      <c r="DC446" s="1015">
        <v>0</v>
      </c>
      <c r="DD446" s="2026">
        <f t="shared" si="618"/>
        <v>30000</v>
      </c>
      <c r="DF446" s="1015">
        <f>+$AI$446/8</f>
        <v>10000</v>
      </c>
      <c r="DG446" s="1015">
        <v>0</v>
      </c>
      <c r="DH446" s="1015">
        <v>0</v>
      </c>
      <c r="DI446" s="2008">
        <f t="shared" si="619"/>
        <v>10000</v>
      </c>
      <c r="DJ446" s="3160">
        <f t="shared" si="534"/>
        <v>80000</v>
      </c>
      <c r="DL446" s="3180">
        <f t="shared" si="535"/>
        <v>0</v>
      </c>
      <c r="DN446" s="2743" t="s">
        <v>1346</v>
      </c>
      <c r="DO446" s="2740" t="s">
        <v>1347</v>
      </c>
      <c r="DP446" s="2740" t="s">
        <v>1115</v>
      </c>
      <c r="DQ446" s="2740" t="s">
        <v>4</v>
      </c>
      <c r="DR446" s="2740" t="str">
        <f t="shared" si="620"/>
        <v>3</v>
      </c>
      <c r="DS446" s="1037"/>
      <c r="DT446" s="1037"/>
    </row>
    <row r="447" spans="2:124" ht="15" outlineLevel="4">
      <c r="B447" s="711"/>
      <c r="C447" s="182"/>
      <c r="D447" s="2953" t="s">
        <v>1061</v>
      </c>
      <c r="E447" s="580"/>
      <c r="F447" s="2953"/>
      <c r="G447" s="107"/>
      <c r="H447" s="544" t="s">
        <v>1062</v>
      </c>
      <c r="I447" s="533"/>
      <c r="J447" s="103"/>
      <c r="L447" s="364"/>
      <c r="M447" s="364"/>
      <c r="N447" s="364"/>
      <c r="O447" s="364"/>
      <c r="P447" s="364"/>
      <c r="Q447" s="364"/>
      <c r="R447" s="364"/>
      <c r="S447" s="364"/>
      <c r="T447" s="364"/>
      <c r="U447" s="364"/>
      <c r="W447" s="4004"/>
      <c r="X447" s="4009"/>
      <c r="Y447" s="4006"/>
      <c r="Z447" s="1925" t="s">
        <v>1626</v>
      </c>
      <c r="AA447" s="3800"/>
      <c r="AB447" s="3919"/>
      <c r="AD447" s="711" t="s">
        <v>1179</v>
      </c>
      <c r="AE447" s="712">
        <v>1</v>
      </c>
      <c r="AF447" s="179"/>
      <c r="AG447" s="179"/>
      <c r="AH447" s="1032">
        <v>200000</v>
      </c>
      <c r="AI447" s="1048">
        <f>+AE447*AH447</f>
        <v>200000</v>
      </c>
      <c r="AJ447" s="1530" t="s">
        <v>1627</v>
      </c>
      <c r="AL447" s="1032">
        <f>+AI447</f>
        <v>200000</v>
      </c>
      <c r="AM447" s="1032">
        <v>0</v>
      </c>
      <c r="AN447" s="355">
        <f t="shared" si="626"/>
        <v>200000</v>
      </c>
      <c r="AP447" s="986">
        <v>0</v>
      </c>
      <c r="AQ447" s="986">
        <v>0</v>
      </c>
      <c r="AR447" s="986">
        <v>0</v>
      </c>
      <c r="AS447" s="986">
        <v>0</v>
      </c>
      <c r="AT447" s="986">
        <v>0</v>
      </c>
      <c r="AU447" s="986">
        <v>0</v>
      </c>
      <c r="AV447" s="986">
        <v>0</v>
      </c>
      <c r="AW447" s="986">
        <v>0</v>
      </c>
      <c r="AX447" s="986">
        <v>0</v>
      </c>
      <c r="AY447" s="986">
        <v>0</v>
      </c>
      <c r="AZ447" s="2011">
        <f t="shared" si="614"/>
        <v>0</v>
      </c>
      <c r="BB447" s="986">
        <v>0</v>
      </c>
      <c r="BC447" s="986">
        <v>0</v>
      </c>
      <c r="BD447" s="986">
        <v>0</v>
      </c>
      <c r="BE447" s="986">
        <v>0</v>
      </c>
      <c r="BF447" s="986">
        <v>0</v>
      </c>
      <c r="BG447" s="986">
        <v>0</v>
      </c>
      <c r="BH447" s="986">
        <v>0</v>
      </c>
      <c r="BI447" s="986">
        <v>0</v>
      </c>
      <c r="BJ447" s="986">
        <v>0</v>
      </c>
      <c r="BK447" s="986">
        <v>0</v>
      </c>
      <c r="BL447" s="986">
        <v>0</v>
      </c>
      <c r="BM447" s="986">
        <v>0</v>
      </c>
      <c r="BN447" s="2011">
        <f t="shared" si="615"/>
        <v>0</v>
      </c>
      <c r="BP447" s="1015">
        <v>0</v>
      </c>
      <c r="BQ447" s="1015">
        <v>0</v>
      </c>
      <c r="BR447" s="1015"/>
      <c r="BS447" s="1015">
        <v>0</v>
      </c>
      <c r="BT447" s="1015">
        <v>0</v>
      </c>
      <c r="BU447" s="1015">
        <v>0</v>
      </c>
      <c r="BV447" s="1015"/>
      <c r="BW447" s="1015">
        <v>0</v>
      </c>
      <c r="BX447" s="1015">
        <v>0</v>
      </c>
      <c r="BY447" s="1015"/>
      <c r="BZ447" s="1015"/>
      <c r="CA447" s="1015">
        <v>0</v>
      </c>
      <c r="CB447" s="2011">
        <f t="shared" si="616"/>
        <v>0</v>
      </c>
      <c r="CD447" s="986">
        <v>0</v>
      </c>
      <c r="CE447" s="1015">
        <f>+$AI$447/8</f>
        <v>25000</v>
      </c>
      <c r="CF447" s="1015">
        <v>0</v>
      </c>
      <c r="CG447" s="1015">
        <v>0</v>
      </c>
      <c r="CH447" s="1015">
        <f>+$AI$447/8</f>
        <v>25000</v>
      </c>
      <c r="CI447" s="1015"/>
      <c r="CJ447" s="1015"/>
      <c r="CK447" s="1015">
        <f>+$AI$447/8</f>
        <v>25000</v>
      </c>
      <c r="CL447" s="1015"/>
      <c r="CM447" s="1015">
        <f>+$AI$447/8</f>
        <v>25000</v>
      </c>
      <c r="CN447" s="1015"/>
      <c r="CO447" s="986">
        <v>0</v>
      </c>
      <c r="CP447" s="2011">
        <f t="shared" si="617"/>
        <v>100000</v>
      </c>
      <c r="CR447" s="1015"/>
      <c r="CS447" s="1015">
        <f>+$AI$447/8</f>
        <v>25000</v>
      </c>
      <c r="CT447" s="1015"/>
      <c r="CU447" s="1015">
        <v>0</v>
      </c>
      <c r="CV447" s="1015">
        <v>0</v>
      </c>
      <c r="CW447" s="1015">
        <f>+$AI$447/8</f>
        <v>25000</v>
      </c>
      <c r="CX447" s="1015"/>
      <c r="CY447" s="1015">
        <v>0</v>
      </c>
      <c r="CZ447" s="1015">
        <v>0</v>
      </c>
      <c r="DA447" s="1015">
        <f>+$AI$447/8</f>
        <v>25000</v>
      </c>
      <c r="DB447" s="1015"/>
      <c r="DC447" s="1015">
        <v>0</v>
      </c>
      <c r="DD447" s="2026">
        <f t="shared" si="618"/>
        <v>75000</v>
      </c>
      <c r="DF447" s="1015">
        <f>+$AI$447/8</f>
        <v>25000</v>
      </c>
      <c r="DG447" s="1015">
        <v>0</v>
      </c>
      <c r="DH447" s="1015">
        <v>0</v>
      </c>
      <c r="DI447" s="2008">
        <f t="shared" si="619"/>
        <v>25000</v>
      </c>
      <c r="DJ447" s="3160">
        <f t="shared" si="534"/>
        <v>200000</v>
      </c>
      <c r="DL447" s="3180">
        <f t="shared" si="535"/>
        <v>0</v>
      </c>
      <c r="DN447" s="2743" t="s">
        <v>1346</v>
      </c>
      <c r="DO447" s="2740" t="s">
        <v>1347</v>
      </c>
      <c r="DP447" s="2740" t="s">
        <v>1115</v>
      </c>
      <c r="DQ447" s="2740" t="s">
        <v>4</v>
      </c>
      <c r="DR447" s="2740" t="str">
        <f t="shared" si="620"/>
        <v>3</v>
      </c>
      <c r="DS447" s="1037"/>
      <c r="DT447" s="1037"/>
    </row>
    <row r="448" spans="2:124" ht="27" customHeight="1" outlineLevel="4">
      <c r="B448" s="711"/>
      <c r="C448" s="182"/>
      <c r="D448" s="2953" t="s">
        <v>1063</v>
      </c>
      <c r="E448" s="580"/>
      <c r="F448" s="2953"/>
      <c r="G448" s="107"/>
      <c r="H448" s="544" t="s">
        <v>1064</v>
      </c>
      <c r="I448" s="537"/>
      <c r="J448" s="103"/>
      <c r="L448" s="364"/>
      <c r="M448" s="364"/>
      <c r="N448" s="364"/>
      <c r="O448" s="364"/>
      <c r="P448" s="364"/>
      <c r="Q448" s="364"/>
      <c r="R448" s="364"/>
      <c r="S448" s="364"/>
      <c r="T448" s="364"/>
      <c r="U448" s="364"/>
      <c r="W448" s="4004"/>
      <c r="X448" s="4010"/>
      <c r="Y448" s="4007"/>
      <c r="Z448" s="1481" t="s">
        <v>1628</v>
      </c>
      <c r="AA448" s="3801"/>
      <c r="AB448" s="3920"/>
      <c r="AD448" s="711" t="s">
        <v>1179</v>
      </c>
      <c r="AE448" s="712">
        <v>1</v>
      </c>
      <c r="AF448" s="179"/>
      <c r="AG448" s="179"/>
      <c r="AH448" s="1032">
        <v>100000</v>
      </c>
      <c r="AI448" s="1048">
        <f>+AE448*AH448</f>
        <v>100000</v>
      </c>
      <c r="AJ448" s="1530" t="s">
        <v>1629</v>
      </c>
      <c r="AL448" s="1032">
        <f>+AI448</f>
        <v>100000</v>
      </c>
      <c r="AM448" s="1032">
        <v>0</v>
      </c>
      <c r="AN448" s="355">
        <f t="shared" si="626"/>
        <v>100000</v>
      </c>
      <c r="AP448" s="986">
        <v>0</v>
      </c>
      <c r="AQ448" s="986">
        <v>0</v>
      </c>
      <c r="AR448" s="986">
        <v>0</v>
      </c>
      <c r="AS448" s="986">
        <v>0</v>
      </c>
      <c r="AT448" s="986">
        <v>0</v>
      </c>
      <c r="AU448" s="986">
        <v>0</v>
      </c>
      <c r="AV448" s="986">
        <v>0</v>
      </c>
      <c r="AW448" s="986">
        <v>0</v>
      </c>
      <c r="AX448" s="986">
        <v>0</v>
      </c>
      <c r="AY448" s="986">
        <v>0</v>
      </c>
      <c r="AZ448" s="2011">
        <f t="shared" si="614"/>
        <v>0</v>
      </c>
      <c r="BB448" s="986">
        <v>0</v>
      </c>
      <c r="BC448" s="986">
        <v>0</v>
      </c>
      <c r="BD448" s="986">
        <v>0</v>
      </c>
      <c r="BE448" s="986">
        <v>0</v>
      </c>
      <c r="BF448" s="986">
        <v>0</v>
      </c>
      <c r="BG448" s="986">
        <v>0</v>
      </c>
      <c r="BH448" s="986">
        <v>0</v>
      </c>
      <c r="BI448" s="986">
        <v>0</v>
      </c>
      <c r="BJ448" s="986">
        <v>0</v>
      </c>
      <c r="BK448" s="986">
        <v>0</v>
      </c>
      <c r="BL448" s="986">
        <v>0</v>
      </c>
      <c r="BM448" s="986">
        <v>0</v>
      </c>
      <c r="BN448" s="2011">
        <f t="shared" si="615"/>
        <v>0</v>
      </c>
      <c r="BP448" s="1015">
        <v>0</v>
      </c>
      <c r="BQ448" s="1015">
        <v>0</v>
      </c>
      <c r="BR448" s="1015"/>
      <c r="BS448" s="1015">
        <v>0</v>
      </c>
      <c r="BT448" s="1015">
        <v>0</v>
      </c>
      <c r="BU448" s="1015">
        <v>0</v>
      </c>
      <c r="BV448" s="1015"/>
      <c r="BW448" s="1015">
        <v>0</v>
      </c>
      <c r="BX448" s="1015">
        <v>0</v>
      </c>
      <c r="BY448" s="1015"/>
      <c r="BZ448" s="1015"/>
      <c r="CA448" s="1015">
        <v>0</v>
      </c>
      <c r="CB448" s="2011">
        <f t="shared" si="616"/>
        <v>0</v>
      </c>
      <c r="CD448" s="986">
        <v>0</v>
      </c>
      <c r="CE448" s="1015">
        <f>+$AI$448/8</f>
        <v>12500</v>
      </c>
      <c r="CF448" s="1015">
        <v>0</v>
      </c>
      <c r="CG448" s="1015">
        <v>0</v>
      </c>
      <c r="CH448" s="1015">
        <f>+$AI$448/8</f>
        <v>12500</v>
      </c>
      <c r="CI448" s="1015"/>
      <c r="CJ448" s="1015"/>
      <c r="CK448" s="1015">
        <f>+$AI$448/8</f>
        <v>12500</v>
      </c>
      <c r="CL448" s="1015"/>
      <c r="CM448" s="1015">
        <f>+$AI$448/8</f>
        <v>12500</v>
      </c>
      <c r="CN448" s="1015"/>
      <c r="CO448" s="986">
        <v>0</v>
      </c>
      <c r="CP448" s="2011">
        <f t="shared" si="617"/>
        <v>50000</v>
      </c>
      <c r="CR448" s="1015"/>
      <c r="CS448" s="1015">
        <f>+$AI$448/8</f>
        <v>12500</v>
      </c>
      <c r="CT448" s="1015"/>
      <c r="CU448" s="1015">
        <v>0</v>
      </c>
      <c r="CV448" s="1015">
        <v>0</v>
      </c>
      <c r="CW448" s="1015">
        <f>+$AI$448/8</f>
        <v>12500</v>
      </c>
      <c r="CX448" s="1015"/>
      <c r="CY448" s="1015">
        <v>0</v>
      </c>
      <c r="CZ448" s="1015">
        <v>0</v>
      </c>
      <c r="DA448" s="1015">
        <f>+$AI$448/8</f>
        <v>12500</v>
      </c>
      <c r="DB448" s="1015"/>
      <c r="DC448" s="1015">
        <v>0</v>
      </c>
      <c r="DD448" s="2026">
        <f t="shared" si="618"/>
        <v>37500</v>
      </c>
      <c r="DF448" s="1015">
        <f>+$AI$448/8</f>
        <v>12500</v>
      </c>
      <c r="DG448" s="1015">
        <v>0</v>
      </c>
      <c r="DH448" s="1015">
        <v>0</v>
      </c>
      <c r="DI448" s="2008">
        <f t="shared" si="619"/>
        <v>12500</v>
      </c>
      <c r="DJ448" s="3160">
        <f t="shared" si="534"/>
        <v>100000</v>
      </c>
      <c r="DL448" s="3180">
        <f t="shared" si="535"/>
        <v>0</v>
      </c>
      <c r="DN448" s="2743" t="s">
        <v>1346</v>
      </c>
      <c r="DO448" s="2740" t="s">
        <v>1347</v>
      </c>
      <c r="DP448" s="2740" t="s">
        <v>1115</v>
      </c>
      <c r="DQ448" s="2740" t="s">
        <v>4</v>
      </c>
      <c r="DR448" s="2740" t="str">
        <f t="shared" si="620"/>
        <v>3</v>
      </c>
      <c r="DS448" s="1037"/>
      <c r="DT448" s="1037"/>
    </row>
    <row r="449" spans="2:140" outlineLevel="3">
      <c r="B449" s="711"/>
      <c r="C449" s="182"/>
      <c r="D449" s="2953"/>
      <c r="E449" s="580"/>
      <c r="F449" s="2953"/>
      <c r="G449" s="107"/>
      <c r="H449" s="434"/>
      <c r="I449" s="533"/>
      <c r="J449" s="103"/>
      <c r="L449" s="364"/>
      <c r="M449" s="364"/>
      <c r="N449" s="364"/>
      <c r="O449" s="364"/>
      <c r="P449" s="364"/>
      <c r="Q449" s="364"/>
      <c r="R449" s="364"/>
      <c r="S449" s="364"/>
      <c r="T449" s="364"/>
      <c r="U449" s="364"/>
      <c r="W449" s="853"/>
      <c r="X449" s="853"/>
      <c r="Y449" s="1481"/>
      <c r="Z449" s="853"/>
      <c r="AA449" s="853"/>
      <c r="AB449" s="181"/>
      <c r="AD449" s="711"/>
      <c r="AE449" s="712"/>
      <c r="AF449" s="179"/>
      <c r="AG449" s="179"/>
      <c r="AH449" s="1032"/>
      <c r="AI449" s="1032"/>
      <c r="AJ449" s="1530"/>
      <c r="AL449" s="1032"/>
      <c r="AM449" s="1032"/>
      <c r="AN449" s="485">
        <f t="shared" si="626"/>
        <v>0</v>
      </c>
      <c r="AP449" s="986"/>
      <c r="AQ449" s="986"/>
      <c r="AR449" s="986"/>
      <c r="AS449" s="986"/>
      <c r="AT449" s="986"/>
      <c r="AU449" s="986"/>
      <c r="AV449" s="986"/>
      <c r="AW449" s="986"/>
      <c r="AX449" s="986"/>
      <c r="AY449" s="986"/>
      <c r="AZ449" s="2011"/>
      <c r="BB449" s="986"/>
      <c r="BC449" s="986"/>
      <c r="BD449" s="986"/>
      <c r="BE449" s="986"/>
      <c r="BF449" s="986"/>
      <c r="BG449" s="986"/>
      <c r="BH449" s="986"/>
      <c r="BI449" s="986"/>
      <c r="BJ449" s="986"/>
      <c r="BK449" s="986"/>
      <c r="BL449" s="986"/>
      <c r="BM449" s="986"/>
      <c r="BN449" s="2011">
        <f t="shared" si="615"/>
        <v>0</v>
      </c>
      <c r="BP449" s="986"/>
      <c r="BQ449" s="986"/>
      <c r="BR449" s="986"/>
      <c r="BS449" s="986"/>
      <c r="BT449" s="986"/>
      <c r="BU449" s="986"/>
      <c r="BV449" s="986"/>
      <c r="BW449" s="986"/>
      <c r="BX449" s="986"/>
      <c r="BY449" s="986"/>
      <c r="BZ449" s="986"/>
      <c r="CA449" s="986"/>
      <c r="CB449" s="2011">
        <f t="shared" si="616"/>
        <v>0</v>
      </c>
      <c r="CD449" s="986"/>
      <c r="CE449" s="1015"/>
      <c r="CF449" s="1015"/>
      <c r="CG449" s="1015"/>
      <c r="CH449" s="1015"/>
      <c r="CI449" s="1015"/>
      <c r="CJ449" s="1015"/>
      <c r="CK449" s="1015"/>
      <c r="CL449" s="1015"/>
      <c r="CM449" s="1015"/>
      <c r="CN449" s="1015"/>
      <c r="CO449" s="986"/>
      <c r="CP449" s="2014">
        <f t="shared" si="617"/>
        <v>0</v>
      </c>
      <c r="CR449" s="986"/>
      <c r="CS449" s="986"/>
      <c r="CT449" s="986"/>
      <c r="CU449" s="986"/>
      <c r="CV449" s="986"/>
      <c r="CW449" s="986"/>
      <c r="CX449" s="986"/>
      <c r="CY449" s="986"/>
      <c r="CZ449" s="986"/>
      <c r="DA449" s="986"/>
      <c r="DB449" s="986"/>
      <c r="DC449" s="986"/>
      <c r="DD449" s="1498">
        <f t="shared" si="618"/>
        <v>0</v>
      </c>
      <c r="DF449" s="986"/>
      <c r="DG449" s="986"/>
      <c r="DH449" s="986"/>
      <c r="DI449" s="1498">
        <f t="shared" si="619"/>
        <v>0</v>
      </c>
      <c r="DJ449" s="3142">
        <f t="shared" si="534"/>
        <v>0</v>
      </c>
      <c r="DL449" s="3180">
        <f t="shared" si="535"/>
        <v>0</v>
      </c>
      <c r="DN449" s="2749" t="s">
        <v>1175</v>
      </c>
      <c r="DO449" s="2747" t="s">
        <v>1175</v>
      </c>
      <c r="DP449" s="2747"/>
      <c r="DQ449" s="2747" t="s">
        <v>1175</v>
      </c>
      <c r="DR449" s="2747" t="str">
        <f t="shared" si="620"/>
        <v/>
      </c>
      <c r="DS449" s="1037"/>
      <c r="DT449" s="1037"/>
    </row>
    <row r="450" spans="2:140" outlineLevel="2">
      <c r="B450" s="711"/>
      <c r="C450" s="182"/>
      <c r="D450" s="2953"/>
      <c r="E450" s="580"/>
      <c r="F450" s="2953"/>
      <c r="G450" s="107"/>
      <c r="H450" s="434"/>
      <c r="I450" s="533"/>
      <c r="J450" s="103"/>
      <c r="L450" s="364"/>
      <c r="M450" s="364"/>
      <c r="N450" s="364"/>
      <c r="O450" s="364"/>
      <c r="P450" s="364"/>
      <c r="Q450" s="364"/>
      <c r="R450" s="364"/>
      <c r="S450" s="364"/>
      <c r="T450" s="364"/>
      <c r="U450" s="364"/>
      <c r="W450" s="853"/>
      <c r="X450" s="853"/>
      <c r="Y450" s="1481"/>
      <c r="Z450" s="853"/>
      <c r="AA450" s="853"/>
      <c r="AB450" s="181"/>
      <c r="AD450" s="711"/>
      <c r="AE450" s="712"/>
      <c r="AF450" s="179"/>
      <c r="AG450" s="179"/>
      <c r="AH450" s="1032"/>
      <c r="AI450" s="1032"/>
      <c r="AJ450" s="1530"/>
      <c r="AL450" s="1032"/>
      <c r="AM450" s="1032"/>
      <c r="AN450" s="485"/>
      <c r="AP450" s="986"/>
      <c r="AQ450" s="986"/>
      <c r="AR450" s="986"/>
      <c r="AS450" s="986"/>
      <c r="AT450" s="986"/>
      <c r="AU450" s="986"/>
      <c r="AV450" s="986"/>
      <c r="AW450" s="986"/>
      <c r="AX450" s="986"/>
      <c r="AY450" s="986"/>
      <c r="AZ450" s="2011"/>
      <c r="BB450" s="986"/>
      <c r="BC450" s="986"/>
      <c r="BD450" s="986"/>
      <c r="BE450" s="986"/>
      <c r="BF450" s="986"/>
      <c r="BG450" s="986"/>
      <c r="BH450" s="986"/>
      <c r="BI450" s="986"/>
      <c r="BJ450" s="986"/>
      <c r="BK450" s="986"/>
      <c r="BL450" s="986"/>
      <c r="BM450" s="986"/>
      <c r="BN450" s="2011"/>
      <c r="BP450" s="986"/>
      <c r="BQ450" s="986"/>
      <c r="BR450" s="986"/>
      <c r="BS450" s="986"/>
      <c r="BT450" s="986"/>
      <c r="BU450" s="986"/>
      <c r="BV450" s="986"/>
      <c r="BW450" s="986"/>
      <c r="BX450" s="986"/>
      <c r="BY450" s="986"/>
      <c r="BZ450" s="986"/>
      <c r="CA450" s="986"/>
      <c r="CB450" s="2011"/>
      <c r="CD450" s="986"/>
      <c r="CE450" s="986"/>
      <c r="CF450" s="986"/>
      <c r="CG450" s="986"/>
      <c r="CH450" s="986"/>
      <c r="CI450" s="986"/>
      <c r="CJ450" s="986"/>
      <c r="CK450" s="986"/>
      <c r="CL450" s="986"/>
      <c r="CM450" s="986"/>
      <c r="CN450" s="986"/>
      <c r="CO450" s="986"/>
      <c r="CP450" s="2014"/>
      <c r="CR450" s="986"/>
      <c r="CS450" s="986"/>
      <c r="CT450" s="986"/>
      <c r="CU450" s="986"/>
      <c r="CV450" s="986"/>
      <c r="CW450" s="986"/>
      <c r="CX450" s="986"/>
      <c r="CY450" s="986"/>
      <c r="CZ450" s="986"/>
      <c r="DA450" s="986"/>
      <c r="DB450" s="986"/>
      <c r="DC450" s="986"/>
      <c r="DD450" s="1498"/>
      <c r="DF450" s="986"/>
      <c r="DG450" s="986"/>
      <c r="DH450" s="986"/>
      <c r="DI450" s="1498"/>
      <c r="DJ450" s="3142"/>
      <c r="DL450" s="3180"/>
      <c r="DN450" s="2749"/>
      <c r="DO450" s="2747"/>
      <c r="DP450" s="2747"/>
      <c r="DQ450" s="2747"/>
      <c r="DR450" s="2747"/>
      <c r="DS450" s="1037"/>
      <c r="DT450" s="1037"/>
    </row>
    <row r="451" spans="2:140" outlineLevel="1">
      <c r="B451" s="711"/>
      <c r="C451" s="182"/>
      <c r="D451" s="2953"/>
      <c r="E451" s="580"/>
      <c r="F451" s="2953"/>
      <c r="G451" s="107"/>
      <c r="H451" s="434"/>
      <c r="I451" s="533"/>
      <c r="J451" s="103"/>
      <c r="L451" s="364"/>
      <c r="M451" s="364"/>
      <c r="N451" s="364"/>
      <c r="O451" s="364"/>
      <c r="P451" s="364"/>
      <c r="Q451" s="364"/>
      <c r="R451" s="364"/>
      <c r="S451" s="364"/>
      <c r="T451" s="364"/>
      <c r="U451" s="364"/>
      <c r="W451" s="853"/>
      <c r="X451" s="853"/>
      <c r="Y451" s="853"/>
      <c r="Z451" s="853"/>
      <c r="AA451" s="853"/>
      <c r="AB451" s="181"/>
      <c r="AD451" s="711"/>
      <c r="AE451" s="712"/>
      <c r="AF451" s="179"/>
      <c r="AG451" s="179"/>
      <c r="AH451" s="1032"/>
      <c r="AI451" s="1032"/>
      <c r="AJ451" s="1530"/>
      <c r="AL451" s="1032"/>
      <c r="AM451" s="1032"/>
      <c r="AN451" s="485">
        <f t="shared" si="626"/>
        <v>0</v>
      </c>
      <c r="AP451" s="986"/>
      <c r="AQ451" s="986"/>
      <c r="AR451" s="986"/>
      <c r="AS451" s="986"/>
      <c r="AT451" s="986"/>
      <c r="AU451" s="986"/>
      <c r="AV451" s="986"/>
      <c r="AW451" s="986"/>
      <c r="AX451" s="986"/>
      <c r="AY451" s="986"/>
      <c r="AZ451" s="2011"/>
      <c r="BB451" s="986"/>
      <c r="BC451" s="986"/>
      <c r="BD451" s="986"/>
      <c r="BE451" s="986"/>
      <c r="BF451" s="986"/>
      <c r="BG451" s="986"/>
      <c r="BH451" s="986"/>
      <c r="BI451" s="986"/>
      <c r="BJ451" s="986"/>
      <c r="BK451" s="986"/>
      <c r="BL451" s="986"/>
      <c r="BM451" s="986"/>
      <c r="BN451" s="2011">
        <f t="shared" si="615"/>
        <v>0</v>
      </c>
      <c r="BP451" s="986"/>
      <c r="BQ451" s="986"/>
      <c r="BR451" s="986"/>
      <c r="BS451" s="986"/>
      <c r="BT451" s="986"/>
      <c r="BU451" s="986"/>
      <c r="BV451" s="986"/>
      <c r="BW451" s="986"/>
      <c r="BX451" s="986"/>
      <c r="BY451" s="986"/>
      <c r="BZ451" s="986"/>
      <c r="CA451" s="986"/>
      <c r="CB451" s="2011"/>
      <c r="CD451" s="986"/>
      <c r="CE451" s="986"/>
      <c r="CF451" s="986"/>
      <c r="CG451" s="986"/>
      <c r="CH451" s="986"/>
      <c r="CI451" s="986"/>
      <c r="CJ451" s="986"/>
      <c r="CK451" s="986"/>
      <c r="CL451" s="986"/>
      <c r="CM451" s="986"/>
      <c r="CN451" s="986"/>
      <c r="CO451" s="986"/>
      <c r="CP451" s="2014">
        <f t="shared" si="617"/>
        <v>0</v>
      </c>
      <c r="CR451" s="986"/>
      <c r="CS451" s="986"/>
      <c r="CT451" s="986"/>
      <c r="CU451" s="986"/>
      <c r="CV451" s="986"/>
      <c r="CW451" s="986"/>
      <c r="CX451" s="986"/>
      <c r="CY451" s="986"/>
      <c r="CZ451" s="986"/>
      <c r="DA451" s="986"/>
      <c r="DB451" s="986"/>
      <c r="DC451" s="986"/>
      <c r="DD451" s="1498"/>
      <c r="DF451" s="986"/>
      <c r="DG451" s="986"/>
      <c r="DH451" s="986"/>
      <c r="DI451" s="1498"/>
      <c r="DJ451" s="3142">
        <f t="shared" si="534"/>
        <v>0</v>
      </c>
      <c r="DL451" s="3180"/>
      <c r="DN451" s="2749" t="s">
        <v>1175</v>
      </c>
      <c r="DO451" s="2747" t="s">
        <v>1175</v>
      </c>
      <c r="DP451" s="2747"/>
      <c r="DQ451" s="2747" t="s">
        <v>1175</v>
      </c>
      <c r="DR451" s="2747" t="str">
        <f t="shared" si="620"/>
        <v/>
      </c>
      <c r="DS451" s="1037"/>
      <c r="DT451" s="1037"/>
    </row>
    <row r="452" spans="2:140" s="884" customFormat="1">
      <c r="B452" s="127"/>
      <c r="C452" s="2822"/>
      <c r="D452" s="2961"/>
      <c r="E452" s="588"/>
      <c r="F452" s="2961"/>
      <c r="G452" s="203"/>
      <c r="H452" s="2706"/>
      <c r="I452" s="547"/>
      <c r="J452" s="204"/>
      <c r="K452" s="2915"/>
      <c r="L452" s="2916"/>
      <c r="M452" s="206"/>
      <c r="N452" s="157"/>
      <c r="O452" s="157"/>
      <c r="P452" s="157"/>
      <c r="Q452" s="157"/>
      <c r="R452" s="157"/>
      <c r="S452" s="157"/>
      <c r="T452" s="157"/>
      <c r="U452" s="157"/>
      <c r="V452" s="2915"/>
      <c r="W452" s="848"/>
      <c r="X452" s="848"/>
      <c r="Y452" s="848"/>
      <c r="Z452" s="848"/>
      <c r="AA452" s="848"/>
      <c r="AB452" s="207"/>
      <c r="AC452" s="2915"/>
      <c r="AD452" s="127"/>
      <c r="AE452" s="152"/>
      <c r="AF452" s="152"/>
      <c r="AG452" s="152"/>
      <c r="AH452" s="109"/>
      <c r="AI452" s="109"/>
      <c r="AJ452" s="1170"/>
      <c r="AK452" s="2915"/>
      <c r="AL452" s="109"/>
      <c r="AM452" s="109"/>
      <c r="AN452" s="109"/>
      <c r="AO452" s="2915"/>
      <c r="AP452" s="966"/>
      <c r="AQ452" s="966"/>
      <c r="AR452" s="966"/>
      <c r="AS452" s="966"/>
      <c r="AT452" s="966"/>
      <c r="AU452" s="966"/>
      <c r="AV452" s="966"/>
      <c r="AW452" s="966"/>
      <c r="AX452" s="966"/>
      <c r="AY452" s="966"/>
      <c r="AZ452" s="2041"/>
      <c r="BA452" s="1037"/>
      <c r="BB452" s="966"/>
      <c r="BC452" s="966"/>
      <c r="BD452" s="966"/>
      <c r="BE452" s="966"/>
      <c r="BF452" s="966"/>
      <c r="BG452" s="966"/>
      <c r="BH452" s="966"/>
      <c r="BI452" s="966"/>
      <c r="BJ452" s="966"/>
      <c r="BK452" s="966"/>
      <c r="BL452" s="966"/>
      <c r="BM452" s="966"/>
      <c r="BN452" s="2041"/>
      <c r="BO452" s="1037"/>
      <c r="BP452" s="966"/>
      <c r="BQ452" s="966"/>
      <c r="BR452" s="966"/>
      <c r="BS452" s="966"/>
      <c r="BT452" s="966"/>
      <c r="BU452" s="966"/>
      <c r="BV452" s="966"/>
      <c r="BW452" s="966"/>
      <c r="BX452" s="966"/>
      <c r="BY452" s="966"/>
      <c r="BZ452" s="966"/>
      <c r="CA452" s="966"/>
      <c r="CB452" s="2041"/>
      <c r="CC452" s="1037"/>
      <c r="CD452" s="966"/>
      <c r="CE452" s="966"/>
      <c r="CF452" s="966"/>
      <c r="CG452" s="966"/>
      <c r="CH452" s="966"/>
      <c r="CI452" s="966"/>
      <c r="CJ452" s="966"/>
      <c r="CK452" s="966"/>
      <c r="CL452" s="966"/>
      <c r="CM452" s="966"/>
      <c r="CN452" s="966"/>
      <c r="CO452" s="966"/>
      <c r="CP452" s="2031"/>
      <c r="CQ452" s="1037"/>
      <c r="CR452" s="966"/>
      <c r="CS452" s="966"/>
      <c r="CT452" s="966"/>
      <c r="CU452" s="966"/>
      <c r="CV452" s="966"/>
      <c r="CW452" s="966"/>
      <c r="CX452" s="966"/>
      <c r="CY452" s="966"/>
      <c r="CZ452" s="966"/>
      <c r="DA452" s="966"/>
      <c r="DB452" s="966"/>
      <c r="DC452" s="966"/>
      <c r="DD452" s="2031"/>
      <c r="DE452" s="1037"/>
      <c r="DF452" s="966"/>
      <c r="DG452" s="966"/>
      <c r="DH452" s="966"/>
      <c r="DI452" s="968"/>
      <c r="DJ452" s="3175"/>
      <c r="DL452" s="3180"/>
      <c r="DN452" s="2236"/>
      <c r="DO452" s="2236"/>
      <c r="DP452" s="2236"/>
      <c r="DQ452" s="2236"/>
      <c r="DR452" s="2236"/>
    </row>
    <row r="453" spans="2:140" s="884" customFormat="1">
      <c r="B453" s="208"/>
      <c r="C453" s="2917"/>
      <c r="D453" s="2961"/>
      <c r="E453" s="588"/>
      <c r="F453" s="2961"/>
      <c r="G453" s="203"/>
      <c r="H453" s="2706"/>
      <c r="I453" s="547"/>
      <c r="J453" s="204"/>
      <c r="K453" s="2915"/>
      <c r="L453" s="2916"/>
      <c r="M453" s="206"/>
      <c r="N453" s="157"/>
      <c r="O453" s="157"/>
      <c r="P453" s="157"/>
      <c r="Q453" s="157"/>
      <c r="R453" s="157"/>
      <c r="S453" s="157"/>
      <c r="T453" s="157"/>
      <c r="U453" s="157"/>
      <c r="V453" s="2915"/>
      <c r="W453" s="848"/>
      <c r="X453" s="848"/>
      <c r="Y453" s="848"/>
      <c r="Z453" s="848"/>
      <c r="AA453" s="848"/>
      <c r="AB453" s="207"/>
      <c r="AC453" s="2915"/>
      <c r="AD453" s="208"/>
      <c r="AE453" s="152"/>
      <c r="AF453" s="152"/>
      <c r="AG453" s="152"/>
      <c r="AH453" s="109"/>
      <c r="AI453" s="109"/>
      <c r="AJ453" s="1170"/>
      <c r="AK453" s="2915"/>
      <c r="AL453" s="109"/>
      <c r="AM453" s="109"/>
      <c r="AN453" s="109"/>
      <c r="AO453" s="2915"/>
      <c r="AP453" s="966"/>
      <c r="AQ453" s="966"/>
      <c r="AR453" s="966"/>
      <c r="AS453" s="966"/>
      <c r="AT453" s="966"/>
      <c r="AU453" s="966"/>
      <c r="AV453" s="966"/>
      <c r="AW453" s="966"/>
      <c r="AX453" s="966"/>
      <c r="AY453" s="966"/>
      <c r="AZ453" s="966"/>
      <c r="BA453" s="966"/>
      <c r="BB453" s="966"/>
      <c r="BC453" s="966"/>
      <c r="BD453" s="966"/>
      <c r="BE453" s="966"/>
      <c r="BF453" s="966"/>
      <c r="BG453" s="966"/>
      <c r="BH453" s="966"/>
      <c r="BI453" s="966"/>
      <c r="BJ453" s="966"/>
      <c r="BK453" s="966"/>
      <c r="BL453" s="966"/>
      <c r="BM453" s="966"/>
      <c r="BN453" s="966"/>
      <c r="BO453" s="966"/>
      <c r="BP453" s="966"/>
      <c r="BQ453" s="966"/>
      <c r="BR453" s="966"/>
      <c r="BS453" s="966"/>
      <c r="BT453" s="966"/>
      <c r="BU453" s="966"/>
      <c r="BV453" s="966"/>
      <c r="BW453" s="966"/>
      <c r="BX453" s="966"/>
      <c r="BY453" s="966"/>
      <c r="BZ453" s="966"/>
      <c r="CA453" s="966"/>
      <c r="CB453" s="966"/>
      <c r="CC453" s="966"/>
      <c r="CD453" s="966"/>
      <c r="CE453" s="966"/>
      <c r="CF453" s="966"/>
      <c r="CG453" s="966"/>
      <c r="CH453" s="966"/>
      <c r="CI453" s="966"/>
      <c r="CJ453" s="966"/>
      <c r="CK453" s="966"/>
      <c r="CL453" s="966"/>
      <c r="CM453" s="966"/>
      <c r="CN453" s="966"/>
      <c r="CO453" s="966"/>
      <c r="CP453" s="966"/>
      <c r="CQ453" s="966"/>
      <c r="CR453" s="966"/>
      <c r="CS453" s="966"/>
      <c r="CT453" s="966"/>
      <c r="CU453" s="966"/>
      <c r="CV453" s="966"/>
      <c r="CW453" s="966"/>
      <c r="CX453" s="966"/>
      <c r="CY453" s="966"/>
      <c r="CZ453" s="966"/>
      <c r="DA453" s="966"/>
      <c r="DB453" s="966"/>
      <c r="DC453" s="966"/>
      <c r="DD453" s="966"/>
      <c r="DE453" s="966"/>
      <c r="DF453" s="966"/>
      <c r="DG453" s="966"/>
      <c r="DH453" s="966"/>
      <c r="DI453" s="1027"/>
      <c r="DJ453" s="3176"/>
      <c r="DL453" s="3180"/>
      <c r="DN453" s="152"/>
      <c r="DO453" s="152"/>
      <c r="DP453" s="152"/>
      <c r="DQ453" s="152"/>
    </row>
    <row r="454" spans="2:140">
      <c r="B454" s="208"/>
      <c r="C454" s="2917"/>
      <c r="D454" s="2962" t="s">
        <v>1684</v>
      </c>
      <c r="E454" s="589"/>
      <c r="F454" s="2962"/>
      <c r="G454" s="1081"/>
      <c r="AD454" s="208"/>
      <c r="AH454" s="102"/>
      <c r="AI454" s="209"/>
      <c r="AJ454" s="1170"/>
      <c r="AL454" s="109"/>
      <c r="AM454" s="109"/>
      <c r="AN454" s="109"/>
      <c r="AZ454" s="966"/>
      <c r="BA454" s="966"/>
      <c r="BN454" s="966"/>
      <c r="BO454" s="966"/>
      <c r="CB454" s="966"/>
      <c r="CC454" s="966"/>
      <c r="CP454" s="966"/>
      <c r="CQ454" s="966"/>
      <c r="DD454" s="966"/>
      <c r="DE454" s="966"/>
      <c r="DI454" s="1027"/>
      <c r="DJ454" s="3176"/>
      <c r="DL454" s="3180"/>
    </row>
    <row r="455" spans="2:140" ht="15">
      <c r="B455" s="210"/>
      <c r="C455" s="2918"/>
      <c r="D455" s="2963"/>
      <c r="E455" s="2825"/>
      <c r="F455" s="2977"/>
      <c r="G455" s="1171"/>
      <c r="H455" s="2692" t="s">
        <v>1685</v>
      </c>
      <c r="AD455" s="210"/>
      <c r="AH455" s="109"/>
      <c r="AI455" s="109"/>
      <c r="AJ455" s="1170"/>
      <c r="AL455" s="109"/>
      <c r="AM455" s="109"/>
      <c r="AN455" s="109"/>
      <c r="AZ455" s="966"/>
      <c r="BA455" s="966"/>
      <c r="BN455" s="966"/>
      <c r="BO455" s="966"/>
      <c r="CB455" s="966"/>
      <c r="CC455" s="966"/>
      <c r="CP455" s="966"/>
      <c r="CQ455" s="966"/>
      <c r="DD455" s="966"/>
      <c r="DE455" s="966"/>
      <c r="DI455" s="1027"/>
      <c r="DJ455" s="3176"/>
      <c r="DL455" s="3180"/>
    </row>
    <row r="456" spans="2:140" ht="15">
      <c r="D456" s="2956"/>
      <c r="E456" s="2825"/>
      <c r="F456" s="2978"/>
      <c r="G456" s="1172"/>
      <c r="H456" s="2692" t="s">
        <v>1686</v>
      </c>
      <c r="AL456" s="155"/>
      <c r="AM456" s="155"/>
      <c r="AN456" s="153" t="s">
        <v>4</v>
      </c>
      <c r="AZ456" s="2041" t="e">
        <f>+AZ7-AZ215-#REF!</f>
        <v>#REF!</v>
      </c>
      <c r="BN456" s="2041" t="e">
        <f>+BN7-BN215-#REF!</f>
        <v>#REF!</v>
      </c>
      <c r="BO456" s="2041" t="e">
        <f>+BO7-BO215-#REF!</f>
        <v>#REF!</v>
      </c>
      <c r="BP456" s="2041" t="e">
        <f>+BP7-BP215-#REF!</f>
        <v>#REF!</v>
      </c>
      <c r="BQ456" s="2041" t="e">
        <f>+BQ7-BQ215-#REF!</f>
        <v>#REF!</v>
      </c>
      <c r="BR456" s="2041" t="e">
        <f>+BR7-BR215-#REF!</f>
        <v>#REF!</v>
      </c>
      <c r="BS456" s="2041" t="e">
        <f>+BS7-BS215-#REF!</f>
        <v>#REF!</v>
      </c>
      <c r="BT456" s="2041" t="e">
        <f>+BT7-BT215-#REF!</f>
        <v>#REF!</v>
      </c>
      <c r="BU456" s="2041" t="e">
        <f>+BU7-BU215-#REF!</f>
        <v>#REF!</v>
      </c>
      <c r="BV456" s="2041" t="e">
        <f>+BV7-BV215-#REF!</f>
        <v>#REF!</v>
      </c>
      <c r="BW456" s="2041" t="e">
        <f>+BW7-BW215-#REF!</f>
        <v>#REF!</v>
      </c>
      <c r="BX456" s="2041" t="e">
        <f>+BX7-BX215-#REF!</f>
        <v>#REF!</v>
      </c>
      <c r="BY456" s="2041" t="e">
        <f>+BY7-BY215-#REF!</f>
        <v>#REF!</v>
      </c>
      <c r="BZ456" s="2041" t="e">
        <f>+BZ7-BZ215-#REF!</f>
        <v>#REF!</v>
      </c>
      <c r="CA456" s="2041" t="e">
        <f>+CA7-CA215-#REF!</f>
        <v>#REF!</v>
      </c>
      <c r="CB456" s="2041" t="e">
        <f>+CB7-CB215-#REF!</f>
        <v>#REF!</v>
      </c>
      <c r="CC456" s="2041" t="e">
        <f>+CC7-CC215-#REF!</f>
        <v>#REF!</v>
      </c>
      <c r="CD456" s="2041" t="e">
        <f>+CD7-CD215-#REF!</f>
        <v>#REF!</v>
      </c>
      <c r="CE456" s="2041" t="e">
        <f>+CE7-CE215-#REF!</f>
        <v>#REF!</v>
      </c>
      <c r="CF456" s="2041" t="e">
        <f>+CF7-CF215-#REF!</f>
        <v>#REF!</v>
      </c>
      <c r="CG456" s="2041" t="e">
        <f>+CG7-CG215-#REF!</f>
        <v>#REF!</v>
      </c>
      <c r="CH456" s="2041" t="e">
        <f>+CH7-CH215-#REF!</f>
        <v>#REF!</v>
      </c>
      <c r="CI456" s="2041" t="e">
        <f>+CI7-CI215-#REF!</f>
        <v>#REF!</v>
      </c>
      <c r="CJ456" s="2041" t="e">
        <f>+CJ7-CJ215-#REF!</f>
        <v>#REF!</v>
      </c>
      <c r="CK456" s="2041" t="e">
        <f>+CK7-CK215-#REF!</f>
        <v>#REF!</v>
      </c>
      <c r="CL456" s="2041" t="e">
        <f>+CL7-CL215-#REF!</f>
        <v>#REF!</v>
      </c>
      <c r="CM456" s="2041" t="e">
        <f>+CM7-CM215-#REF!</f>
        <v>#REF!</v>
      </c>
      <c r="CN456" s="2041" t="e">
        <f>+CN7-CN215-#REF!</f>
        <v>#REF!</v>
      </c>
      <c r="CO456" s="2041" t="e">
        <f>+CO7-CO215-#REF!</f>
        <v>#REF!</v>
      </c>
      <c r="CP456" s="2041" t="e">
        <f>+CP7-CP215-#REF!</f>
        <v>#REF!</v>
      </c>
      <c r="CQ456" s="2041" t="e">
        <f>+CQ7-CQ215-#REF!</f>
        <v>#REF!</v>
      </c>
      <c r="CR456" s="2041" t="e">
        <f>+CR7-CR215-#REF!</f>
        <v>#REF!</v>
      </c>
      <c r="CS456" s="2041" t="e">
        <f>+CS7-CS215-#REF!</f>
        <v>#REF!</v>
      </c>
      <c r="CT456" s="2041" t="e">
        <f>+CT7-CT215-#REF!</f>
        <v>#REF!</v>
      </c>
      <c r="CU456" s="2041" t="e">
        <f>+CU7-CU215-#REF!</f>
        <v>#REF!</v>
      </c>
      <c r="CV456" s="2041" t="e">
        <f>+CV7-CV215-#REF!</f>
        <v>#REF!</v>
      </c>
      <c r="CW456" s="2041" t="e">
        <f>+CW7-CW215-#REF!</f>
        <v>#REF!</v>
      </c>
      <c r="CX456" s="2041" t="e">
        <f>+CX7-CX215-#REF!</f>
        <v>#REF!</v>
      </c>
      <c r="CY456" s="2041" t="e">
        <f>+CY7-CY215-#REF!</f>
        <v>#REF!</v>
      </c>
      <c r="CZ456" s="2041" t="e">
        <f>+CZ7-CZ215-#REF!</f>
        <v>#REF!</v>
      </c>
      <c r="DA456" s="2041" t="e">
        <f>+DA7-DA215-#REF!</f>
        <v>#REF!</v>
      </c>
      <c r="DB456" s="2041" t="e">
        <f>+DB7-DB215-#REF!</f>
        <v>#REF!</v>
      </c>
      <c r="DC456" s="2041" t="e">
        <f>+DC7-DC215-#REF!</f>
        <v>#REF!</v>
      </c>
      <c r="DD456" s="2041" t="e">
        <f>+DD7-DD215-#REF!</f>
        <v>#REF!</v>
      </c>
      <c r="DE456" s="2041" t="e">
        <f>+DE7-DE215-#REF!</f>
        <v>#REF!</v>
      </c>
      <c r="DF456" s="2041" t="e">
        <f>+DF7-DF215-#REF!</f>
        <v>#REF!</v>
      </c>
      <c r="DG456" s="2041" t="e">
        <f>+DG7-DG215-#REF!</f>
        <v>#REF!</v>
      </c>
      <c r="DH456" s="2041" t="e">
        <f>+DH7-DH215-#REF!</f>
        <v>#REF!</v>
      </c>
      <c r="DI456" s="968" t="e">
        <f>+DI7-DI215-#REF!</f>
        <v>#REF!</v>
      </c>
      <c r="DJ456" s="3177" t="e">
        <f>+DJ7-DJ215-#REF!</f>
        <v>#REF!</v>
      </c>
      <c r="DL456" s="3180"/>
    </row>
    <row r="457" spans="2:140" ht="15">
      <c r="D457" s="2959"/>
      <c r="E457" s="2827"/>
      <c r="F457" s="2979"/>
      <c r="G457" s="1173"/>
      <c r="H457" s="2692" t="s">
        <v>184</v>
      </c>
      <c r="AL457" s="155"/>
      <c r="AM457" s="155"/>
      <c r="AN457" s="153" t="s">
        <v>5</v>
      </c>
      <c r="AZ457" s="2041" t="e">
        <f>+AZ215+#REF!</f>
        <v>#REF!</v>
      </c>
      <c r="BN457" s="2041" t="e">
        <f>+BN215+#REF!</f>
        <v>#REF!</v>
      </c>
      <c r="BO457" s="2041" t="e">
        <f>+BO215+#REF!</f>
        <v>#REF!</v>
      </c>
      <c r="BP457" s="2041" t="e">
        <f>+BP215+#REF!</f>
        <v>#REF!</v>
      </c>
      <c r="BQ457" s="2041" t="e">
        <f>+BQ215+#REF!</f>
        <v>#REF!</v>
      </c>
      <c r="BR457" s="2041" t="e">
        <f>+BR215+#REF!</f>
        <v>#REF!</v>
      </c>
      <c r="BS457" s="2041" t="e">
        <f>+BS215+#REF!</f>
        <v>#REF!</v>
      </c>
      <c r="BT457" s="2041" t="e">
        <f>+BT215+#REF!</f>
        <v>#REF!</v>
      </c>
      <c r="BU457" s="2041" t="e">
        <f>+BU215+#REF!</f>
        <v>#REF!</v>
      </c>
      <c r="BV457" s="2041" t="e">
        <f>+BV215+#REF!</f>
        <v>#REF!</v>
      </c>
      <c r="BW457" s="2041" t="e">
        <f>+BW215+#REF!</f>
        <v>#REF!</v>
      </c>
      <c r="BX457" s="2041" t="e">
        <f>+BX215+#REF!</f>
        <v>#REF!</v>
      </c>
      <c r="BY457" s="2041" t="e">
        <f>+BY215+#REF!</f>
        <v>#REF!</v>
      </c>
      <c r="BZ457" s="2041" t="e">
        <f>+BZ215+#REF!</f>
        <v>#REF!</v>
      </c>
      <c r="CA457" s="2041" t="e">
        <f>+CA215+#REF!</f>
        <v>#REF!</v>
      </c>
      <c r="CB457" s="2041" t="e">
        <f>+CB215+#REF!</f>
        <v>#REF!</v>
      </c>
      <c r="CC457" s="2041" t="e">
        <f>+CC215+#REF!</f>
        <v>#REF!</v>
      </c>
      <c r="CD457" s="2041" t="e">
        <f>+CD215+#REF!</f>
        <v>#REF!</v>
      </c>
      <c r="CE457" s="2041" t="e">
        <f>+CE215+#REF!</f>
        <v>#REF!</v>
      </c>
      <c r="CF457" s="2041" t="e">
        <f>+CF215+#REF!</f>
        <v>#REF!</v>
      </c>
      <c r="CG457" s="2041" t="e">
        <f>+CG215+#REF!</f>
        <v>#REF!</v>
      </c>
      <c r="CH457" s="2041" t="e">
        <f>+CH215+#REF!</f>
        <v>#REF!</v>
      </c>
      <c r="CI457" s="2041" t="e">
        <f>+CI215+#REF!</f>
        <v>#REF!</v>
      </c>
      <c r="CJ457" s="2041" t="e">
        <f>+CJ215+#REF!</f>
        <v>#REF!</v>
      </c>
      <c r="CK457" s="2041" t="e">
        <f>+CK215+#REF!</f>
        <v>#REF!</v>
      </c>
      <c r="CL457" s="2041" t="e">
        <f>+CL215+#REF!</f>
        <v>#REF!</v>
      </c>
      <c r="CM457" s="2041" t="e">
        <f>+CM215+#REF!</f>
        <v>#REF!</v>
      </c>
      <c r="CN457" s="2041" t="e">
        <f>+CN215+#REF!</f>
        <v>#REF!</v>
      </c>
      <c r="CO457" s="2041" t="e">
        <f>+CO215+#REF!</f>
        <v>#REF!</v>
      </c>
      <c r="CP457" s="2041" t="e">
        <f>+CP215+#REF!</f>
        <v>#REF!</v>
      </c>
      <c r="CQ457" s="2041" t="e">
        <f>+CQ215+#REF!</f>
        <v>#REF!</v>
      </c>
      <c r="CR457" s="2041" t="e">
        <f>+CR215+#REF!</f>
        <v>#REF!</v>
      </c>
      <c r="CS457" s="2041" t="e">
        <f>+CS215+#REF!</f>
        <v>#REF!</v>
      </c>
      <c r="CT457" s="2041" t="e">
        <f>+CT215+#REF!</f>
        <v>#REF!</v>
      </c>
      <c r="CU457" s="2041" t="e">
        <f>+CU215+#REF!</f>
        <v>#REF!</v>
      </c>
      <c r="CV457" s="2041" t="e">
        <f>+CV215+#REF!</f>
        <v>#REF!</v>
      </c>
      <c r="CW457" s="2041" t="e">
        <f>+CW215+#REF!</f>
        <v>#REF!</v>
      </c>
      <c r="CX457" s="2041" t="e">
        <f>+CX215+#REF!</f>
        <v>#REF!</v>
      </c>
      <c r="CY457" s="2041" t="e">
        <f>+CY215+#REF!</f>
        <v>#REF!</v>
      </c>
      <c r="CZ457" s="2041" t="e">
        <f>+CZ215+#REF!</f>
        <v>#REF!</v>
      </c>
      <c r="DA457" s="2041" t="e">
        <f>+DA215+#REF!</f>
        <v>#REF!</v>
      </c>
      <c r="DB457" s="2041" t="e">
        <f>+DB215+#REF!</f>
        <v>#REF!</v>
      </c>
      <c r="DC457" s="2041" t="e">
        <f>+DC215+#REF!</f>
        <v>#REF!</v>
      </c>
      <c r="DD457" s="2041" t="e">
        <f>+DD215+#REF!</f>
        <v>#REF!</v>
      </c>
      <c r="DE457" s="2041" t="e">
        <f>+DE215+#REF!</f>
        <v>#REF!</v>
      </c>
      <c r="DF457" s="2041" t="e">
        <f>+DF215+#REF!</f>
        <v>#REF!</v>
      </c>
      <c r="DG457" s="2041" t="e">
        <f>+DG215+#REF!</f>
        <v>#REF!</v>
      </c>
      <c r="DH457" s="2041" t="e">
        <f>+DH215+#REF!</f>
        <v>#REF!</v>
      </c>
      <c r="DI457" s="968" t="e">
        <f>+DI215+#REF!</f>
        <v>#REF!</v>
      </c>
      <c r="DJ457" s="3177" t="e">
        <f>+DJ215+#REF!</f>
        <v>#REF!</v>
      </c>
      <c r="DL457" s="3180"/>
      <c r="DN457" s="2783"/>
      <c r="DO457" s="2783"/>
      <c r="DP457" s="4061" t="s">
        <v>1687</v>
      </c>
      <c r="DQ457" s="4034"/>
      <c r="DR457" s="4035"/>
      <c r="DS457" s="4034" t="s">
        <v>1688</v>
      </c>
      <c r="DT457" s="4034"/>
      <c r="DU457" s="4035"/>
      <c r="DV457" s="4034" t="s">
        <v>1689</v>
      </c>
      <c r="DW457" s="4034"/>
      <c r="DX457" s="4035"/>
      <c r="DY457" s="4034" t="s">
        <v>1690</v>
      </c>
      <c r="DZ457" s="4034"/>
      <c r="EA457" s="4035"/>
      <c r="EB457" s="4034" t="s">
        <v>1691</v>
      </c>
      <c r="EC457" s="4034"/>
      <c r="ED457" s="4035"/>
      <c r="EE457" s="4034" t="s">
        <v>1692</v>
      </c>
      <c r="EF457" s="4034"/>
      <c r="EG457" s="4035"/>
      <c r="EH457" s="4034" t="s">
        <v>1693</v>
      </c>
      <c r="EI457" s="4034"/>
      <c r="EJ457" s="4035"/>
    </row>
    <row r="458" spans="2:140" ht="15">
      <c r="D458" s="2964"/>
      <c r="E458" s="2827"/>
      <c r="F458" s="2980"/>
      <c r="G458" s="1174"/>
      <c r="H458" s="2692" t="s">
        <v>1694</v>
      </c>
      <c r="L458" s="2916"/>
      <c r="AL458" s="155"/>
      <c r="AM458" s="155"/>
      <c r="AN458" s="153" t="s">
        <v>488</v>
      </c>
      <c r="AZ458" s="2041" t="e">
        <f>SUM(AZ456:AZ457)</f>
        <v>#REF!</v>
      </c>
      <c r="BN458" s="2041" t="e">
        <f t="shared" ref="BN458:DH458" si="627">SUM(BN456:BN457)</f>
        <v>#REF!</v>
      </c>
      <c r="BO458" s="2041" t="e">
        <f t="shared" si="627"/>
        <v>#REF!</v>
      </c>
      <c r="BP458" s="2041" t="e">
        <f t="shared" si="627"/>
        <v>#REF!</v>
      </c>
      <c r="BQ458" s="2041" t="e">
        <f t="shared" si="627"/>
        <v>#REF!</v>
      </c>
      <c r="BR458" s="2041" t="e">
        <f t="shared" si="627"/>
        <v>#REF!</v>
      </c>
      <c r="BS458" s="2041" t="e">
        <f t="shared" si="627"/>
        <v>#REF!</v>
      </c>
      <c r="BT458" s="2041" t="e">
        <f t="shared" si="627"/>
        <v>#REF!</v>
      </c>
      <c r="BU458" s="2041" t="e">
        <f t="shared" si="627"/>
        <v>#REF!</v>
      </c>
      <c r="BV458" s="2041" t="e">
        <f t="shared" si="627"/>
        <v>#REF!</v>
      </c>
      <c r="BW458" s="2041" t="e">
        <f t="shared" si="627"/>
        <v>#REF!</v>
      </c>
      <c r="BX458" s="2041" t="e">
        <f t="shared" si="627"/>
        <v>#REF!</v>
      </c>
      <c r="BY458" s="2041" t="e">
        <f t="shared" si="627"/>
        <v>#REF!</v>
      </c>
      <c r="BZ458" s="2041" t="e">
        <f t="shared" si="627"/>
        <v>#REF!</v>
      </c>
      <c r="CA458" s="2041" t="e">
        <f t="shared" si="627"/>
        <v>#REF!</v>
      </c>
      <c r="CB458" s="2041" t="e">
        <f t="shared" si="627"/>
        <v>#REF!</v>
      </c>
      <c r="CC458" s="2041" t="e">
        <f t="shared" si="627"/>
        <v>#REF!</v>
      </c>
      <c r="CD458" s="2041" t="e">
        <f t="shared" si="627"/>
        <v>#REF!</v>
      </c>
      <c r="CE458" s="2041" t="e">
        <f t="shared" si="627"/>
        <v>#REF!</v>
      </c>
      <c r="CF458" s="2041" t="e">
        <f t="shared" si="627"/>
        <v>#REF!</v>
      </c>
      <c r="CG458" s="2041" t="e">
        <f t="shared" si="627"/>
        <v>#REF!</v>
      </c>
      <c r="CH458" s="2041" t="e">
        <f t="shared" si="627"/>
        <v>#REF!</v>
      </c>
      <c r="CI458" s="2041" t="e">
        <f t="shared" si="627"/>
        <v>#REF!</v>
      </c>
      <c r="CJ458" s="2041" t="e">
        <f t="shared" si="627"/>
        <v>#REF!</v>
      </c>
      <c r="CK458" s="2041" t="e">
        <f t="shared" si="627"/>
        <v>#REF!</v>
      </c>
      <c r="CL458" s="2041" t="e">
        <f t="shared" si="627"/>
        <v>#REF!</v>
      </c>
      <c r="CM458" s="2041" t="e">
        <f t="shared" si="627"/>
        <v>#REF!</v>
      </c>
      <c r="CN458" s="2041" t="e">
        <f t="shared" si="627"/>
        <v>#REF!</v>
      </c>
      <c r="CO458" s="2041" t="e">
        <f t="shared" si="627"/>
        <v>#REF!</v>
      </c>
      <c r="CP458" s="2041" t="e">
        <f t="shared" si="627"/>
        <v>#REF!</v>
      </c>
      <c r="CQ458" s="2041" t="e">
        <f t="shared" si="627"/>
        <v>#REF!</v>
      </c>
      <c r="CR458" s="2041" t="e">
        <f t="shared" si="627"/>
        <v>#REF!</v>
      </c>
      <c r="CS458" s="2041" t="e">
        <f t="shared" si="627"/>
        <v>#REF!</v>
      </c>
      <c r="CT458" s="2041" t="e">
        <f t="shared" si="627"/>
        <v>#REF!</v>
      </c>
      <c r="CU458" s="2041" t="e">
        <f t="shared" si="627"/>
        <v>#REF!</v>
      </c>
      <c r="CV458" s="2041" t="e">
        <f t="shared" si="627"/>
        <v>#REF!</v>
      </c>
      <c r="CW458" s="2041" t="e">
        <f t="shared" si="627"/>
        <v>#REF!</v>
      </c>
      <c r="CX458" s="2041" t="e">
        <f t="shared" si="627"/>
        <v>#REF!</v>
      </c>
      <c r="CY458" s="2041" t="e">
        <f t="shared" si="627"/>
        <v>#REF!</v>
      </c>
      <c r="CZ458" s="2041" t="e">
        <f t="shared" si="627"/>
        <v>#REF!</v>
      </c>
      <c r="DA458" s="2041" t="e">
        <f t="shared" si="627"/>
        <v>#REF!</v>
      </c>
      <c r="DB458" s="2041" t="e">
        <f t="shared" si="627"/>
        <v>#REF!</v>
      </c>
      <c r="DC458" s="2041" t="e">
        <f t="shared" si="627"/>
        <v>#REF!</v>
      </c>
      <c r="DD458" s="2041" t="e">
        <f t="shared" si="627"/>
        <v>#REF!</v>
      </c>
      <c r="DE458" s="2041" t="e">
        <f t="shared" si="627"/>
        <v>#REF!</v>
      </c>
      <c r="DF458" s="2041" t="e">
        <f t="shared" si="627"/>
        <v>#REF!</v>
      </c>
      <c r="DG458" s="2041" t="e">
        <f t="shared" si="627"/>
        <v>#REF!</v>
      </c>
      <c r="DH458" s="2041" t="e">
        <f t="shared" si="627"/>
        <v>#REF!</v>
      </c>
      <c r="DI458" s="968" t="e">
        <f>SUM(DI456:DI457)</f>
        <v>#REF!</v>
      </c>
      <c r="DJ458" s="3177" t="e">
        <f>SUM(DJ456:DJ457)</f>
        <v>#REF!</v>
      </c>
      <c r="DL458" s="3180"/>
      <c r="DN458" s="2785" t="s">
        <v>1155</v>
      </c>
      <c r="DO458" s="2784" t="s">
        <v>1156</v>
      </c>
      <c r="DP458" s="2786" t="s">
        <v>1695</v>
      </c>
      <c r="DQ458" s="2787" t="s">
        <v>1696</v>
      </c>
      <c r="DR458" s="2787" t="s">
        <v>1697</v>
      </c>
      <c r="DS458" s="2787" t="s">
        <v>1695</v>
      </c>
      <c r="DT458" s="2787" t="s">
        <v>1696</v>
      </c>
      <c r="DU458" s="2787" t="s">
        <v>1698</v>
      </c>
      <c r="DV458" s="2787" t="s">
        <v>1695</v>
      </c>
      <c r="DW458" s="2787" t="s">
        <v>1696</v>
      </c>
      <c r="DX458" s="2787" t="s">
        <v>1699</v>
      </c>
      <c r="DY458" s="2787" t="s">
        <v>1695</v>
      </c>
      <c r="DZ458" s="2787" t="s">
        <v>1696</v>
      </c>
      <c r="EA458" s="2787" t="s">
        <v>1700</v>
      </c>
      <c r="EB458" s="2787" t="s">
        <v>1695</v>
      </c>
      <c r="EC458" s="2787" t="s">
        <v>1696</v>
      </c>
      <c r="ED458" s="2787" t="s">
        <v>1701</v>
      </c>
      <c r="EE458" s="2787" t="s">
        <v>1695</v>
      </c>
      <c r="EF458" s="2787" t="s">
        <v>1696</v>
      </c>
      <c r="EG458" s="2787" t="s">
        <v>1702</v>
      </c>
      <c r="EH458" s="2787" t="s">
        <v>1695</v>
      </c>
      <c r="EI458" s="2787" t="s">
        <v>1696</v>
      </c>
      <c r="EJ458" s="2787" t="s">
        <v>1703</v>
      </c>
    </row>
    <row r="459" spans="2:140" ht="15">
      <c r="D459" s="2960"/>
      <c r="E459" s="2919"/>
      <c r="F459" s="2981"/>
      <c r="G459" s="1175"/>
      <c r="H459" s="2692" t="s">
        <v>1704</v>
      </c>
      <c r="L459" s="2916"/>
      <c r="AZ459" s="966"/>
      <c r="BA459" s="966"/>
      <c r="BN459" s="966"/>
      <c r="BO459" s="966"/>
      <c r="CB459" s="966"/>
      <c r="CC459" s="966"/>
      <c r="CP459" s="966"/>
      <c r="CQ459" s="966"/>
      <c r="DD459" s="966"/>
      <c r="DE459" s="966"/>
      <c r="DI459" s="1027"/>
      <c r="DJ459" s="3176"/>
      <c r="DL459" s="3180"/>
      <c r="DN459" s="2788" t="s">
        <v>1597</v>
      </c>
      <c r="DO459" s="2789" t="s">
        <v>1598</v>
      </c>
      <c r="DP459" s="2790">
        <f>+DS459+DV459+DY459+EB459+EE459+EH459</f>
        <v>30000</v>
      </c>
      <c r="DQ459" s="2790">
        <f>+DT459+DW459+DZ459+EC459+EF459+EI459</f>
        <v>0</v>
      </c>
      <c r="DR459" s="2791">
        <f>SUMIF($DN$7:$DN$451,DN459,$DJ$7:$DJ$451)</f>
        <v>30000</v>
      </c>
      <c r="DS459" s="2791">
        <f>SUMIFS($AZ$7:$AZ$451,$DQ$7:$DQ$451,"MH",$DN$7:$DN$451,DN459)</f>
        <v>0</v>
      </c>
      <c r="DT459" s="2791">
        <f>SUMIFS($AZ$7:$AZ$451,$DQ$7:$DQ$451,"CGR",$DN$7:$DN$451,DN459)</f>
        <v>0</v>
      </c>
      <c r="DU459" s="2791">
        <f>DS459+DT459</f>
        <v>0</v>
      </c>
      <c r="DV459" s="2791">
        <f>SUMIFS($BN$7:$BN$451,$DQ$7:$DQ$451,"MH",$DN$7:$DN$451,DN459)</f>
        <v>0</v>
      </c>
      <c r="DW459" s="2791">
        <f>SUMIFS($BN$7:$BN$451,$DQ$7:$DQ$451,"CGR",$DN$7:$DN$451,DN459)</f>
        <v>0</v>
      </c>
      <c r="DX459" s="2791">
        <f>DV459+DW459</f>
        <v>0</v>
      </c>
      <c r="DY459" s="2791">
        <f>SUMIFS($CB$7:$CB$451,$DQ$7:$DQ$451,"MH",$DN$7:$DN$451,DN459)</f>
        <v>0</v>
      </c>
      <c r="DZ459" s="2791">
        <f>SUMIFS($CB$7:$CB$451,$DQ$7:$DQ$451,"CGR",$DN$7:$DN$451,DN459)</f>
        <v>0</v>
      </c>
      <c r="EA459" s="2791">
        <f>DY459+DZ459</f>
        <v>0</v>
      </c>
      <c r="EB459" s="2791">
        <f>SUMIFS($CP$7:$CP$451,$DQ$7:$DQ$451,"MH",$DN$7:$DN$451,DN459)</f>
        <v>24000</v>
      </c>
      <c r="EC459" s="2791">
        <f>SUMIFS($CP$7:$CP$451,$DQ$7:$DQ$451,"CGR",$DN$7:$DN$451,DN459)</f>
        <v>0</v>
      </c>
      <c r="ED459" s="2791">
        <f>EB459+EC459</f>
        <v>24000</v>
      </c>
      <c r="EE459" s="2791">
        <f>SUMIFS($DD$7:$DD$451,$DQ$7:$DQ$451,"MH",$DN$7:$DN$451,DN459)</f>
        <v>6000</v>
      </c>
      <c r="EF459" s="2791">
        <f>SUMIFS($DD$7:$DD$451,$DQ$7:$DQ$451,"CGR",$DN$7:$DN$451,DN459)</f>
        <v>0</v>
      </c>
      <c r="EG459" s="2791">
        <f>EE459+EF459</f>
        <v>6000</v>
      </c>
      <c r="EH459" s="2791">
        <f>SUMIFS($DI$7:$DI$451,$DQ$7:$DQ$451,"MH",$DN$7:$DN$451,DN459)</f>
        <v>0</v>
      </c>
      <c r="EI459" s="2791">
        <f>SUMIFS($DI$7:$DI$451,$DQ$7:$DQ$451,"CGR",$DN$7:$DN$451,DN459)</f>
        <v>0</v>
      </c>
      <c r="EJ459" s="2791">
        <f>EH459+EI459</f>
        <v>0</v>
      </c>
    </row>
    <row r="460" spans="2:140">
      <c r="L460" s="2916"/>
      <c r="AP460" s="2081"/>
      <c r="AQ460" s="2081"/>
      <c r="AR460" s="2081"/>
      <c r="AS460" s="2081"/>
      <c r="AT460" s="2081"/>
      <c r="AU460" s="2081"/>
      <c r="AV460" s="2081"/>
      <c r="AW460" s="2081"/>
      <c r="AX460" s="2081"/>
      <c r="AY460" s="2081"/>
      <c r="AZ460" s="2081"/>
      <c r="BA460" s="2081"/>
      <c r="BB460" s="2081"/>
      <c r="BC460" s="2081"/>
      <c r="BD460" s="2081"/>
      <c r="BE460" s="2081"/>
      <c r="BF460" s="2081"/>
      <c r="BG460" s="2081"/>
      <c r="BH460" s="2081"/>
      <c r="BI460" s="2081"/>
      <c r="BJ460" s="2081"/>
      <c r="BK460" s="2081"/>
      <c r="BL460" s="2081"/>
      <c r="BM460" s="2081"/>
      <c r="BN460" s="2081"/>
      <c r="BO460" s="2081"/>
      <c r="BP460" s="2081"/>
      <c r="BQ460" s="2081"/>
      <c r="BR460" s="2081"/>
      <c r="BS460" s="2081"/>
      <c r="BT460" s="2081"/>
      <c r="BU460" s="2081"/>
      <c r="BV460" s="2081"/>
      <c r="BW460" s="2081"/>
      <c r="BX460" s="2081"/>
      <c r="BY460" s="2081"/>
      <c r="BZ460" s="2081"/>
      <c r="CA460" s="2081"/>
      <c r="CB460" s="2081"/>
      <c r="CC460" s="2081"/>
      <c r="CD460" s="2081"/>
      <c r="CE460" s="2081"/>
      <c r="CF460" s="2081"/>
      <c r="CG460" s="2081"/>
      <c r="CH460" s="2081"/>
      <c r="CI460" s="2081"/>
      <c r="CJ460" s="2081"/>
      <c r="CK460" s="2081"/>
      <c r="CL460" s="2081"/>
      <c r="CM460" s="2081"/>
      <c r="CN460" s="2081"/>
      <c r="CO460" s="2081"/>
      <c r="CP460" s="2081"/>
      <c r="CQ460" s="2081"/>
      <c r="CR460" s="2081"/>
      <c r="CS460" s="2081"/>
      <c r="CT460" s="2081"/>
      <c r="CU460" s="2081"/>
      <c r="CV460" s="2081"/>
      <c r="CW460" s="2081"/>
      <c r="CX460" s="2081"/>
      <c r="CY460" s="2081"/>
      <c r="CZ460" s="2081"/>
      <c r="DA460" s="2081"/>
      <c r="DB460" s="2081"/>
      <c r="DC460" s="2081"/>
      <c r="DD460" s="2081"/>
      <c r="DE460" s="2081"/>
      <c r="DF460" s="2081"/>
      <c r="DG460" s="2081"/>
      <c r="DH460" s="2081"/>
      <c r="DI460" s="3105"/>
      <c r="DJ460" s="3176"/>
      <c r="DL460" s="3180"/>
      <c r="DN460" s="2792" t="s">
        <v>1535</v>
      </c>
      <c r="DO460" s="2793" t="s">
        <v>1536</v>
      </c>
      <c r="DP460" s="2790">
        <f>+DS460+DV460+DY460+EB460+EE460+EH460</f>
        <v>0</v>
      </c>
      <c r="DQ460" s="2790">
        <f>+DT460+DW460+DZ460+EC460+EF460+EI460</f>
        <v>300000</v>
      </c>
      <c r="DR460" s="2791">
        <f>SUMIF($DN$7:$DN$451,DN460,$DJ$7:$DJ$451)</f>
        <v>300000</v>
      </c>
      <c r="DS460" s="2791">
        <f>SUMIFS($AZ$7:$AZ$451,$DQ$7:$DQ$451,"MH",$DN$7:$DN$451,DN460)</f>
        <v>0</v>
      </c>
      <c r="DT460" s="2791">
        <f>SUMIFS($AZ$7:$AZ$451,$DQ$7:$DQ$451,"CGR",$DN$7:$DN$451,DN460)</f>
        <v>0</v>
      </c>
      <c r="DU460" s="2791">
        <f>DS460+DT460</f>
        <v>0</v>
      </c>
      <c r="DV460" s="2791">
        <f>SUMIFS($BN$7:$BN$451,$DQ$7:$DQ$451,"MH",$DN$7:$DN$451,DN460)</f>
        <v>0</v>
      </c>
      <c r="DW460" s="2791">
        <f>SUMIFS($BN$7:$BN$451,$DQ$7:$DQ$451,"CGR",$DN$7:$DN$451,DN460)</f>
        <v>75000</v>
      </c>
      <c r="DX460" s="2791">
        <f>DV460+DW460</f>
        <v>75000</v>
      </c>
      <c r="DY460" s="2791">
        <f>SUMIFS($CB$7:$CB$451,$DQ$7:$DQ$451,"MH",$DN$7:$DN$451,DN460)</f>
        <v>0</v>
      </c>
      <c r="DZ460" s="2791">
        <f>SUMIFS($CB$7:$CB$451,$DQ$7:$DQ$451,"CGR",$DN$7:$DN$451,DN460)</f>
        <v>75000</v>
      </c>
      <c r="EA460" s="2791">
        <f>DY460+DZ460</f>
        <v>75000</v>
      </c>
      <c r="EB460" s="2791">
        <f>SUMIFS($CP$7:$CP$451,$DQ$7:$DQ$451,"MH",$DN$7:$DN$451,DN460)</f>
        <v>0</v>
      </c>
      <c r="EC460" s="2791">
        <f>SUMIFS($CP$7:$CP$451,$DQ$7:$DQ$451,"CGR",$DN$7:$DN$451,DN460)</f>
        <v>75000</v>
      </c>
      <c r="ED460" s="2791">
        <f>EB460+EC460</f>
        <v>75000</v>
      </c>
      <c r="EE460" s="2791">
        <f>SUMIFS($DD$7:$DD$451,$DQ$7:$DQ$451,"MH",$DN$7:$DN$451,DN460)</f>
        <v>0</v>
      </c>
      <c r="EF460" s="2791">
        <f>SUMIFS($DD$7:$DD$451,$DQ$7:$DQ$451,"CGR",$DN$7:$DN$451,DN460)</f>
        <v>75000</v>
      </c>
      <c r="EG460" s="2791">
        <f>EE460+EF460</f>
        <v>75000</v>
      </c>
      <c r="EH460" s="2791">
        <f>SUMIFS($DI$7:$DI$451,$DQ$7:$DQ$451,"MH",$DN$7:$DN$451,DN460)</f>
        <v>0</v>
      </c>
      <c r="EI460" s="2791">
        <f>SUMIFS($DI$7:$DI$451,$DQ$7:$DQ$451,"CGR",$DN$7:$DN$451,DN460)</f>
        <v>0</v>
      </c>
      <c r="EJ460" s="2791">
        <f>EH460+EI460</f>
        <v>0</v>
      </c>
    </row>
    <row r="461" spans="2:140">
      <c r="L461" s="2916"/>
      <c r="DL461" s="3180"/>
      <c r="DN461" s="2792" t="s">
        <v>1415</v>
      </c>
      <c r="DO461" s="2793" t="s">
        <v>1416</v>
      </c>
      <c r="DP461" s="2790">
        <f t="shared" ref="DP461:DQ467" si="628">+DS461+DV461+DY461+EB461+EE461+EH461</f>
        <v>436000</v>
      </c>
      <c r="DQ461" s="2790">
        <f t="shared" si="628"/>
        <v>0</v>
      </c>
      <c r="DR461" s="2791">
        <f>SUMIF($DN$7:$DN$451,DN461,$DJ$7:$DJ$451)</f>
        <v>436000</v>
      </c>
      <c r="DS461" s="2791">
        <f>SUMIFS($AZ$7:$AZ$451,$DQ$7:$DQ$451,"MH",$DN$7:$DN$451,DN461)</f>
        <v>0</v>
      </c>
      <c r="DT461" s="2791">
        <f>SUMIFS($AZ$7:$AZ$451,$DQ$7:$DQ$451,"CGR",$DN$7:$DN$451,DN461)</f>
        <v>0</v>
      </c>
      <c r="DU461" s="2791">
        <f t="shared" ref="DU461:DU467" si="629">DS461+DT461</f>
        <v>0</v>
      </c>
      <c r="DV461" s="2791">
        <f>SUMIFS($BN$7:$BN$451,$DQ$7:$DQ$451,"MH",$DN$7:$DN$451,DN461)</f>
        <v>28000</v>
      </c>
      <c r="DW461" s="2791">
        <f>SUMIFS($BN$7:$BN$451,$DQ$7:$DQ$451,"CGR",$DN$7:$DN$451,DN461)</f>
        <v>0</v>
      </c>
      <c r="DX461" s="2791">
        <f t="shared" ref="DX461:DX467" si="630">DV461+DW461</f>
        <v>28000</v>
      </c>
      <c r="DY461" s="2791">
        <f>SUMIFS($CB$7:$CB$451,$DQ$7:$DQ$451,"MH",$DN$7:$DN$451,DN461)</f>
        <v>277000</v>
      </c>
      <c r="DZ461" s="2791">
        <f>SUMIFS($CB$7:$CB$451,$DQ$7:$DQ$451,"CGR",$DN$7:$DN$451,DN461)</f>
        <v>0</v>
      </c>
      <c r="EA461" s="2791">
        <f t="shared" ref="EA461:EA467" si="631">DY461+DZ461</f>
        <v>277000</v>
      </c>
      <c r="EB461" s="2791">
        <f>SUMIFS($CP$7:$CP$451,$DQ$7:$DQ$451,"MH",$DN$7:$DN$451,DN461)</f>
        <v>45000</v>
      </c>
      <c r="EC461" s="2791">
        <f>SUMIFS($CP$7:$CP$451,$DQ$7:$DQ$451,"CGR",$DN$7:$DN$451,DN461)</f>
        <v>0</v>
      </c>
      <c r="ED461" s="2791">
        <f t="shared" ref="ED461:ED467" si="632">EB461+EC461</f>
        <v>45000</v>
      </c>
      <c r="EE461" s="2791">
        <f>SUMIFS($DD$7:$DD$451,$DQ$7:$DQ$451,"MH",$DN$7:$DN$451,DN461)</f>
        <v>0</v>
      </c>
      <c r="EF461" s="2791">
        <f>SUMIFS($DD$7:$DD$451,$DQ$7:$DQ$451,"CGR",$DN$7:$DN$451,DN461)</f>
        <v>0</v>
      </c>
      <c r="EG461" s="2791">
        <f t="shared" ref="EG461:EG467" si="633">EE461+EF461</f>
        <v>0</v>
      </c>
      <c r="EH461" s="2791">
        <f>SUMIFS($DI$7:$DI$451,$DQ$7:$DQ$451,"MH",$DN$7:$DN$451,DN461)</f>
        <v>86000</v>
      </c>
      <c r="EI461" s="2791">
        <f>SUMIFS($DI$7:$DI$451,$DQ$7:$DQ$451,"CGR",$DN$7:$DN$451,DN461)</f>
        <v>0</v>
      </c>
      <c r="EJ461" s="2791">
        <f t="shared" ref="EJ461:EJ467" si="634">EH461+EI461</f>
        <v>86000</v>
      </c>
    </row>
    <row r="462" spans="2:140">
      <c r="CP462" s="2041"/>
      <c r="DD462" s="2041"/>
      <c r="DL462" s="3180"/>
      <c r="DN462" s="2794" t="s">
        <v>1669</v>
      </c>
      <c r="DO462" s="2795" t="s">
        <v>1670</v>
      </c>
      <c r="DP462" s="2790">
        <f t="shared" si="628"/>
        <v>0</v>
      </c>
      <c r="DQ462" s="2790">
        <f t="shared" si="628"/>
        <v>0</v>
      </c>
      <c r="DR462" s="2791">
        <f>SUMIF($DN$7:$DN$451,DN462,$DJ$7:$DJ$451)</f>
        <v>0</v>
      </c>
      <c r="DS462" s="2791">
        <f>SUMIFS($AZ$7:$AZ$451,$DQ$7:$DQ$451,"MH",$DN$7:$DN$451,DN462)</f>
        <v>0</v>
      </c>
      <c r="DT462" s="2791">
        <f>SUMIFS($AZ$7:$AZ$451,$DQ$7:$DQ$451,"CGR",$DN$7:$DN$451,DN462)</f>
        <v>0</v>
      </c>
      <c r="DU462" s="2791">
        <f t="shared" si="629"/>
        <v>0</v>
      </c>
      <c r="DV462" s="2791">
        <f>SUMIFS($BN$7:$BN$451,$DQ$7:$DQ$451,"MH",$DN$7:$DN$451,DN462)</f>
        <v>0</v>
      </c>
      <c r="DW462" s="2791">
        <f>SUMIFS($BN$7:$BN$451,$DQ$7:$DQ$451,"CGR",$DN$7:$DN$451,DN462)</f>
        <v>0</v>
      </c>
      <c r="DX462" s="2791">
        <f t="shared" si="630"/>
        <v>0</v>
      </c>
      <c r="DY462" s="2791">
        <f>SUMIFS($CB$7:$CB$451,$DQ$7:$DQ$451,"MH",$DN$7:$DN$451,DN462)</f>
        <v>0</v>
      </c>
      <c r="DZ462" s="2791">
        <f>SUMIFS($CB$7:$CB$451,$DQ$7:$DQ$451,"CGR",$DN$7:$DN$451,DN462)</f>
        <v>0</v>
      </c>
      <c r="EA462" s="2791">
        <f t="shared" si="631"/>
        <v>0</v>
      </c>
      <c r="EB462" s="2791">
        <f>SUMIFS($CP$7:$CP$451,$DQ$7:$DQ$451,"MH",$DN$7:$DN$451,DN462)</f>
        <v>0</v>
      </c>
      <c r="EC462" s="2791">
        <f>SUMIFS($CP$7:$CP$451,$DQ$7:$DQ$451,"CGR",$DN$7:$DN$451,DN462)</f>
        <v>0</v>
      </c>
      <c r="ED462" s="2791">
        <f t="shared" si="632"/>
        <v>0</v>
      </c>
      <c r="EE462" s="2791">
        <f>SUMIFS($DD$7:$DD$451,$DQ$7:$DQ$451,"MH",$DN$7:$DN$451,DN462)</f>
        <v>0</v>
      </c>
      <c r="EF462" s="2791">
        <f>SUMIFS($DD$7:$DD$451,$DQ$7:$DQ$451,"CGR",$DN$7:$DN$451,DN462)</f>
        <v>0</v>
      </c>
      <c r="EG462" s="2791">
        <f t="shared" si="633"/>
        <v>0</v>
      </c>
      <c r="EH462" s="2791">
        <f>SUMIFS($DI$7:$DI$451,$DQ$7:$DQ$451,"MH",$DN$7:$DN$451,DN462)</f>
        <v>0</v>
      </c>
      <c r="EI462" s="2791">
        <f>SUMIFS($DI$7:$DI$451,$DQ$7:$DQ$451,"CGR",$DN$7:$DN$451,DN462)</f>
        <v>0</v>
      </c>
      <c r="EJ462" s="2791">
        <f t="shared" si="634"/>
        <v>0</v>
      </c>
    </row>
    <row r="463" spans="2:140" ht="15">
      <c r="DL463" s="3180"/>
      <c r="DN463" s="2796" t="s">
        <v>1346</v>
      </c>
      <c r="DO463" s="2797" t="s">
        <v>1347</v>
      </c>
      <c r="DP463" s="2790">
        <f t="shared" si="628"/>
        <v>1790000</v>
      </c>
      <c r="DQ463" s="2790">
        <f t="shared" si="628"/>
        <v>200000</v>
      </c>
      <c r="DR463" s="2791">
        <f>SUMIF($DN$7:$DN$451,DN463,$DJ$7:$DJ$451)</f>
        <v>1990000</v>
      </c>
      <c r="DS463" s="2791">
        <f>SUMIFS($AZ$7:$AZ$451,$DQ$7:$DQ$451,"MH",$DN$7:$DN$451,DN463)</f>
        <v>0</v>
      </c>
      <c r="DT463" s="2791">
        <f>SUMIFS($AZ$7:$AZ$451,$DQ$7:$DQ$451,"CGR",$DN$7:$DN$451,DN463)</f>
        <v>0</v>
      </c>
      <c r="DU463" s="2791">
        <f t="shared" si="629"/>
        <v>0</v>
      </c>
      <c r="DV463" s="2791">
        <f>SUMIFS($BN$7:$BN$451,$DQ$7:$DQ$451,"MH",$DN$7:$DN$451,DN463)</f>
        <v>16000</v>
      </c>
      <c r="DW463" s="2791">
        <f>SUMIFS($BN$7:$BN$451,$DQ$7:$DQ$451,"CGR",$DN$7:$DN$451,DN463)</f>
        <v>0</v>
      </c>
      <c r="DX463" s="2791">
        <f t="shared" si="630"/>
        <v>16000</v>
      </c>
      <c r="DY463" s="2791">
        <f>SUMIFS($CB$7:$CB$451,$DQ$7:$DQ$451,"MH",$DN$7:$DN$451,DN463)</f>
        <v>99400</v>
      </c>
      <c r="DZ463" s="2791">
        <f>SUMIFS($CB$7:$CB$451,$DQ$7:$DQ$451,"CGR",$DN$7:$DN$451,DN463)</f>
        <v>32500</v>
      </c>
      <c r="EA463" s="2791">
        <f t="shared" si="631"/>
        <v>131900</v>
      </c>
      <c r="EB463" s="2791">
        <f>SUMIFS($CP$7:$CP$451,$DQ$7:$DQ$451,"MH",$DN$7:$DN$451,DN463)</f>
        <v>1111600</v>
      </c>
      <c r="EC463" s="2791">
        <f>SUMIFS($CP$7:$CP$451,$DQ$7:$DQ$451,"CGR",$DN$7:$DN$451,DN463)</f>
        <v>107500</v>
      </c>
      <c r="ED463" s="2791">
        <f t="shared" si="632"/>
        <v>1219100</v>
      </c>
      <c r="EE463" s="2791">
        <f>SUMIFS($DD$7:$DD$451,$DQ$7:$DQ$451,"MH",$DN$7:$DN$451,DN463)</f>
        <v>515500</v>
      </c>
      <c r="EF463" s="2791">
        <f>SUMIFS($DD$7:$DD$451,$DQ$7:$DQ$451,"CGR",$DN$7:$DN$451,DN463)</f>
        <v>60000</v>
      </c>
      <c r="EG463" s="2791">
        <f t="shared" si="633"/>
        <v>575500</v>
      </c>
      <c r="EH463" s="2791">
        <f>SUMIFS($DI$7:$DI$451,$DQ$7:$DQ$451,"MH",$DN$7:$DN$451,DN463)</f>
        <v>47500</v>
      </c>
      <c r="EI463" s="2791">
        <f>SUMIFS($DI$7:$DI$451,$DQ$7:$DQ$451,"CGR",$DN$7:$DN$451,DN463)</f>
        <v>0</v>
      </c>
      <c r="EJ463" s="2791">
        <f t="shared" si="634"/>
        <v>47500</v>
      </c>
    </row>
    <row r="464" spans="2:140">
      <c r="AZ464" s="966"/>
      <c r="BA464" s="966"/>
      <c r="BN464" s="966"/>
      <c r="BO464" s="966"/>
      <c r="CB464" s="966"/>
      <c r="CC464" s="966"/>
      <c r="CP464" s="966"/>
      <c r="CQ464" s="966"/>
      <c r="DD464" s="966"/>
      <c r="DE464" s="966"/>
      <c r="DI464" s="1027"/>
      <c r="DJ464" s="3176"/>
      <c r="DL464" s="3180"/>
      <c r="DN464" s="2792" t="s">
        <v>1180</v>
      </c>
      <c r="DO464" s="2793" t="s">
        <v>1181</v>
      </c>
      <c r="DP464" s="2790">
        <f t="shared" si="628"/>
        <v>29881334.271680001</v>
      </c>
      <c r="DQ464" s="2790">
        <f t="shared" si="628"/>
        <v>0</v>
      </c>
      <c r="DR464" s="2791">
        <f>SUMIF($DN$7:$DN$451,DN464,$DJ$7:$DJ$451)</f>
        <v>29881334.271680001</v>
      </c>
      <c r="DS464" s="2791">
        <f>SUMIFS($AZ$7:$AZ$451,$DQ$7:$DQ$451,"MH",$DN$7:$DN$451,DN464)</f>
        <v>0</v>
      </c>
      <c r="DT464" s="2791">
        <f>SUMIFS($AZ$7:$AZ$451,$DQ$7:$DQ$451,"CGR",$DN$7:$DN$451,DN464)</f>
        <v>0</v>
      </c>
      <c r="DU464" s="2791">
        <f t="shared" si="629"/>
        <v>0</v>
      </c>
      <c r="DV464" s="2791">
        <f>SUMIFS($BN$7:$BN$451,$DQ$7:$DQ$451,"MH",$DN$7:$DN$451,DN464)</f>
        <v>590213.96664</v>
      </c>
      <c r="DW464" s="2791">
        <f>SUMIFS($BN$7:$BN$451,$DQ$7:$DQ$451,"CGR",$DN$7:$DN$451,DN464)</f>
        <v>0</v>
      </c>
      <c r="DX464" s="2791">
        <f t="shared" si="630"/>
        <v>590213.96664</v>
      </c>
      <c r="DY464" s="2791">
        <f>SUMIFS($CB$7:$CB$451,$DQ$7:$DQ$451,"MH",$DN$7:$DN$451,DN464)</f>
        <v>2016201.7734400004</v>
      </c>
      <c r="DZ464" s="2791">
        <f>SUMIFS($CB$7:$CB$451,$DQ$7:$DQ$451,"CGR",$DN$7:$DN$451,DN464)</f>
        <v>0</v>
      </c>
      <c r="EA464" s="2791">
        <f t="shared" si="631"/>
        <v>2016201.7734400004</v>
      </c>
      <c r="EB464" s="2791">
        <f>SUMIFS($CP$7:$CP$451,$DQ$7:$DQ$451,"MH",$DN$7:$DN$451,DN464)</f>
        <v>13579263.175013334</v>
      </c>
      <c r="EC464" s="2791">
        <f>SUMIFS($CP$7:$CP$451,$DQ$7:$DQ$451,"CGR",$DN$7:$DN$451,DN464)</f>
        <v>0</v>
      </c>
      <c r="ED464" s="2791">
        <f t="shared" si="632"/>
        <v>13579263.175013334</v>
      </c>
      <c r="EE464" s="2791">
        <f>SUMIFS($DD$7:$DD$451,$DQ$7:$DQ$451,"MH",$DN$7:$DN$451,DN464)</f>
        <v>13206655.356586667</v>
      </c>
      <c r="EF464" s="2791">
        <f>SUMIFS($DD$7:$DD$451,$DQ$7:$DQ$451,"CGR",$DN$7:$DN$451,DN464)</f>
        <v>0</v>
      </c>
      <c r="EG464" s="2791">
        <f t="shared" si="633"/>
        <v>13206655.356586667</v>
      </c>
      <c r="EH464" s="2791">
        <f>SUMIFS($DI$7:$DI$451,$DQ$7:$DQ$451,"MH",$DN$7:$DN$451,DN464)</f>
        <v>489000</v>
      </c>
      <c r="EI464" s="2791">
        <f>SUMIFS($DI$7:$DI$451,$DQ$7:$DQ$451,"CGR",$DN$7:$DN$451,DN464)</f>
        <v>0</v>
      </c>
      <c r="EJ464" s="2791">
        <f t="shared" si="634"/>
        <v>489000</v>
      </c>
    </row>
    <row r="465" spans="8:140">
      <c r="AP465" s="2081"/>
      <c r="AQ465" s="2081"/>
      <c r="AR465" s="2081"/>
      <c r="AS465" s="2081"/>
      <c r="AT465" s="2081"/>
      <c r="AU465" s="2081"/>
      <c r="AV465" s="2081"/>
      <c r="AW465" s="2081"/>
      <c r="AX465" s="2081"/>
      <c r="AY465" s="2081"/>
      <c r="AZ465" s="2081"/>
      <c r="BA465" s="2081"/>
      <c r="BB465" s="2081"/>
      <c r="BC465" s="2081"/>
      <c r="BD465" s="2081"/>
      <c r="BE465" s="2081"/>
      <c r="BF465" s="2081"/>
      <c r="BG465" s="2081"/>
      <c r="BH465" s="2081"/>
      <c r="BI465" s="2081"/>
      <c r="BJ465" s="2081"/>
      <c r="BK465" s="2081"/>
      <c r="BL465" s="2081"/>
      <c r="BM465" s="2081"/>
      <c r="BN465" s="3110"/>
      <c r="BO465" s="2081"/>
      <c r="BP465" s="2081"/>
      <c r="BQ465" s="2081"/>
      <c r="BR465" s="2081"/>
      <c r="BS465" s="2081"/>
      <c r="BT465" s="2081"/>
      <c r="BU465" s="2081"/>
      <c r="BV465" s="2081"/>
      <c r="BW465" s="2081"/>
      <c r="BX465" s="2081"/>
      <c r="BY465" s="2081"/>
      <c r="BZ465" s="2081"/>
      <c r="CA465" s="2081"/>
      <c r="CB465" s="2081"/>
      <c r="CC465" s="2081"/>
      <c r="CD465" s="2081"/>
      <c r="CE465" s="2081"/>
      <c r="CF465" s="2081"/>
      <c r="CG465" s="2081"/>
      <c r="CH465" s="2081"/>
      <c r="CI465" s="2081"/>
      <c r="CJ465" s="2081"/>
      <c r="CK465" s="2081"/>
      <c r="CL465" s="2081"/>
      <c r="CM465" s="2081"/>
      <c r="CN465" s="2081"/>
      <c r="CO465" s="2081"/>
      <c r="CP465" s="2081"/>
      <c r="CQ465" s="2081"/>
      <c r="CR465" s="2081"/>
      <c r="CS465" s="2081"/>
      <c r="CT465" s="2081"/>
      <c r="CU465" s="2081"/>
      <c r="CV465" s="2081"/>
      <c r="CW465" s="2081"/>
      <c r="CX465" s="2081"/>
      <c r="CY465" s="2081"/>
      <c r="CZ465" s="2081"/>
      <c r="DA465" s="2081"/>
      <c r="DB465" s="2081"/>
      <c r="DC465" s="2081"/>
      <c r="DD465" s="2081"/>
      <c r="DE465" s="2081"/>
      <c r="DF465" s="2081"/>
      <c r="DG465" s="2081"/>
      <c r="DH465" s="2081"/>
      <c r="DI465" s="3105"/>
      <c r="DJ465" s="3176"/>
      <c r="DL465" s="3180"/>
      <c r="DN465" s="2792" t="s">
        <v>1283</v>
      </c>
      <c r="DO465" s="2793" t="s">
        <v>1284</v>
      </c>
      <c r="DP465" s="2790">
        <f t="shared" si="628"/>
        <v>1322031</v>
      </c>
      <c r="DQ465" s="2790">
        <f t="shared" si="628"/>
        <v>6176500</v>
      </c>
      <c r="DR465" s="2791">
        <f>SUMIF($DN$7:$DN$451,DN465,$DJ$7:$DJ$451)</f>
        <v>7498531</v>
      </c>
      <c r="DS465" s="2791">
        <f>SUMIFS($AZ$7:$AZ$451,$DQ$7:$DQ$451,"MH",$DN$7:$DN$451,DN465)</f>
        <v>0</v>
      </c>
      <c r="DT465" s="2791">
        <f>SUMIFS($AZ$7:$AZ$451,$DQ$7:$DQ$451,"CGR",$DN$7:$DN$451,DN465)</f>
        <v>0</v>
      </c>
      <c r="DU465" s="2791">
        <f t="shared" si="629"/>
        <v>0</v>
      </c>
      <c r="DV465" s="2791">
        <f>SUMIFS($BN$7:$BN$451,$DQ$7:$DQ$451,"MH",$DN$7:$DN$451,DN465)</f>
        <v>14000</v>
      </c>
      <c r="DW465" s="2791">
        <f>SUMIFS($BN$7:$BN$451,$DQ$7:$DQ$451,"CGR",$DN$7:$DN$451,DN465)</f>
        <v>360500</v>
      </c>
      <c r="DX465" s="2791">
        <f t="shared" si="630"/>
        <v>374500</v>
      </c>
      <c r="DY465" s="2791">
        <f>SUMIFS($CB$7:$CB$451,$DQ$7:$DQ$451,"MH",$DN$7:$DN$451,DN465)</f>
        <v>176246.7</v>
      </c>
      <c r="DZ465" s="2791">
        <f>SUMIFS($CB$7:$CB$451,$DQ$7:$DQ$451,"CGR",$DN$7:$DN$451,DN465)</f>
        <v>1524425</v>
      </c>
      <c r="EA465" s="2791">
        <f t="shared" si="631"/>
        <v>1700671.7</v>
      </c>
      <c r="EB465" s="2791">
        <f>SUMIFS($CP$7:$CP$451,$DQ$7:$DQ$451,"MH",$DN$7:$DN$451,DN465)</f>
        <v>590159.30000000005</v>
      </c>
      <c r="EC465" s="2791">
        <f>SUMIFS($CP$7:$CP$451,$DQ$7:$DQ$451,"CGR",$DN$7:$DN$451,DN465)</f>
        <v>2369650</v>
      </c>
      <c r="ED465" s="2791">
        <f t="shared" si="632"/>
        <v>2959809.3</v>
      </c>
      <c r="EE465" s="2791">
        <f>SUMIFS($DD$7:$DD$451,$DQ$7:$DQ$451,"MH",$DN$7:$DN$451,DN465)</f>
        <v>479325</v>
      </c>
      <c r="EF465" s="2791">
        <f>SUMIFS($DD$7:$DD$451,$DQ$7:$DQ$451,"CGR",$DN$7:$DN$451,DN465)</f>
        <v>1821925</v>
      </c>
      <c r="EG465" s="2791">
        <f t="shared" si="633"/>
        <v>2301250</v>
      </c>
      <c r="EH465" s="2791">
        <f>SUMIFS($DI$7:$DI$451,$DQ$7:$DQ$451,"MH",$DN$7:$DN$451,DN465)</f>
        <v>62300</v>
      </c>
      <c r="EI465" s="2791">
        <f>SUMIFS($DI$7:$DI$451,$DQ$7:$DQ$451,"CGR",$DN$7:$DN$451,DN465)</f>
        <v>100000</v>
      </c>
      <c r="EJ465" s="2791">
        <f t="shared" si="634"/>
        <v>162300</v>
      </c>
    </row>
    <row r="466" spans="8:140">
      <c r="DL466" s="3180"/>
      <c r="DN466" s="2798" t="s">
        <v>1331</v>
      </c>
      <c r="DO466" s="2795" t="s">
        <v>1332</v>
      </c>
      <c r="DP466" s="2790">
        <f t="shared" si="628"/>
        <v>1451589.3299999998</v>
      </c>
      <c r="DQ466" s="2790">
        <f t="shared" si="628"/>
        <v>0</v>
      </c>
      <c r="DR466" s="2791">
        <f>SUMIF($DN$7:$DN$451,DN466,$DJ$7:$DJ$451)</f>
        <v>1451588.9999999998</v>
      </c>
      <c r="DS466" s="2791">
        <f>SUMIFS($AZ$7:$AZ$451,$DQ$7:$DQ$451,"MH",$DN$7:$DN$451,DN466)</f>
        <v>0</v>
      </c>
      <c r="DT466" s="2791">
        <f>SUMIFS($AZ$7:$AZ$451,$DQ$7:$DQ$451,"CGR",$DN$7:$DN$451,DN466)</f>
        <v>0</v>
      </c>
      <c r="DU466" s="2791">
        <f t="shared" si="629"/>
        <v>0</v>
      </c>
      <c r="DV466" s="2791">
        <f>SUMIFS($BN$7:$BN$451,$DQ$7:$DQ$451,"MH",$DN$7:$DN$451,DN466)</f>
        <v>317980.51</v>
      </c>
      <c r="DW466" s="2791">
        <f>SUMIFS($BN$7:$BN$451,$DQ$7:$DQ$451,"CGR",$DN$7:$DN$451,DN466)</f>
        <v>0</v>
      </c>
      <c r="DX466" s="2791">
        <f t="shared" si="630"/>
        <v>317980.51</v>
      </c>
      <c r="DY466" s="2791">
        <f>SUMIFS($CB$7:$CB$451,$DQ$7:$DQ$451,"MH",$DN$7:$DN$451,DN466)</f>
        <v>1053608.8199999998</v>
      </c>
      <c r="DZ466" s="2791">
        <f>SUMIFS($CB$7:$CB$451,$DQ$7:$DQ$451,"CGR",$DN$7:$DN$451,DN466)</f>
        <v>0</v>
      </c>
      <c r="EA466" s="2791">
        <f t="shared" si="631"/>
        <v>1053608.8199999998</v>
      </c>
      <c r="EB466" s="2791">
        <f>SUMIFS($CP$7:$CP$451,$DQ$7:$DQ$451,"MH",$DN$7:$DN$451,DN466)</f>
        <v>0</v>
      </c>
      <c r="EC466" s="2791">
        <f>SUMIFS($CP$7:$CP$451,$DQ$7:$DQ$451,"CGR",$DN$7:$DN$451,DN466)</f>
        <v>0</v>
      </c>
      <c r="ED466" s="2791">
        <f t="shared" si="632"/>
        <v>0</v>
      </c>
      <c r="EE466" s="2791">
        <f>SUMIFS($DD$7:$DD$451,$DQ$7:$DQ$451,"MH",$DN$7:$DN$451,DN466)</f>
        <v>80000</v>
      </c>
      <c r="EF466" s="2791">
        <f>SUMIFS($DD$7:$DD$451,$DQ$7:$DQ$451,"CGR",$DN$7:$DN$451,DN466)</f>
        <v>0</v>
      </c>
      <c r="EG466" s="2791">
        <f t="shared" si="633"/>
        <v>80000</v>
      </c>
      <c r="EH466" s="2791">
        <f>SUMIFS($DI$7:$DI$451,$DQ$7:$DQ$451,"MH",$DN$7:$DN$451,DN466)</f>
        <v>0</v>
      </c>
      <c r="EI466" s="2791">
        <f>SUMIFS($DI$7:$DI$451,$DQ$7:$DQ$451,"CGR",$DN$7:$DN$451,DN466)</f>
        <v>0</v>
      </c>
      <c r="EJ466" s="2791">
        <f t="shared" si="634"/>
        <v>0</v>
      </c>
    </row>
    <row r="467" spans="8:140" ht="15">
      <c r="CP467" s="2041"/>
      <c r="DD467" s="2041"/>
      <c r="DJ467" s="3177"/>
      <c r="DL467" s="3180"/>
      <c r="DN467" s="2799" t="s">
        <v>1303</v>
      </c>
      <c r="DO467" s="2800" t="s">
        <v>1304</v>
      </c>
      <c r="DP467" s="2790">
        <f t="shared" si="628"/>
        <v>7255038</v>
      </c>
      <c r="DQ467" s="2790">
        <f t="shared" si="628"/>
        <v>0</v>
      </c>
      <c r="DR467" s="2791">
        <f>SUMIF($DN$7:$DN$451,DN467,$DJ$7:$DJ$451)</f>
        <v>7255038</v>
      </c>
      <c r="DS467" s="2791">
        <f>SUMIFS($AZ$7:$AZ$451,$DQ$7:$DQ$451,"MH",$DN$7:$DN$451,DN467)</f>
        <v>0</v>
      </c>
      <c r="DT467" s="2791">
        <f>SUMIFS($AZ$7:$AZ$451,$DQ$7:$DQ$451,"CGR",$DN$7:$DN$451,DN467)</f>
        <v>0</v>
      </c>
      <c r="DU467" s="2791">
        <f t="shared" si="629"/>
        <v>0</v>
      </c>
      <c r="DV467" s="2791">
        <f>SUMIFS($BN$7:$BN$451,$DQ$7:$DQ$451,"MH",$DN$7:$DN$451,DN467)</f>
        <v>0</v>
      </c>
      <c r="DW467" s="2791">
        <f>SUMIFS($BN$7:$BN$451,$DQ$7:$DQ$451,"CGR",$DN$7:$DN$451,DN467)</f>
        <v>0</v>
      </c>
      <c r="DX467" s="2791">
        <f t="shared" si="630"/>
        <v>0</v>
      </c>
      <c r="DY467" s="2791">
        <f>SUMIFS($CB$7:$CB$451,$DQ$7:$DQ$451,"MH",$DN$7:$DN$451,DN467)</f>
        <v>0</v>
      </c>
      <c r="DZ467" s="2791">
        <f>SUMIFS($CB$7:$CB$451,$DQ$7:$DQ$451,"CGR",$DN$7:$DN$451,DN467)</f>
        <v>0</v>
      </c>
      <c r="EA467" s="2791">
        <f t="shared" si="631"/>
        <v>0</v>
      </c>
      <c r="EB467" s="2791">
        <f>SUMIFS($CP$7:$CP$451,$DQ$7:$DQ$451,"MH",$DN$7:$DN$451,DN467)</f>
        <v>4431007.5999999996</v>
      </c>
      <c r="EC467" s="2791">
        <f>SUMIFS($CP$7:$CP$451,$DQ$7:$DQ$451,"CGR",$DN$7:$DN$451,DN467)</f>
        <v>0</v>
      </c>
      <c r="ED467" s="2791">
        <f t="shared" si="632"/>
        <v>4431007.5999999996</v>
      </c>
      <c r="EE467" s="2791">
        <f>SUMIFS($DD$7:$DD$451,$DQ$7:$DQ$451,"MH",$DN$7:$DN$451,DN467)</f>
        <v>2824030.4</v>
      </c>
      <c r="EF467" s="2791">
        <f>SUMIFS($DD$7:$DD$451,$DQ$7:$DQ$451,"CGR",$DN$7:$DN$451,DN467)</f>
        <v>0</v>
      </c>
      <c r="EG467" s="2791">
        <f t="shared" si="633"/>
        <v>2824030.4</v>
      </c>
      <c r="EH467" s="2791">
        <f>SUMIFS($DI$7:$DI$451,$DQ$7:$DQ$451,"MH",$DN$7:$DN$451,DN467)</f>
        <v>0</v>
      </c>
      <c r="EI467" s="2791">
        <f>SUMIFS($DI$7:$DI$451,$DQ$7:$DQ$451,"CGR",$DN$7:$DN$451,DN467)</f>
        <v>0</v>
      </c>
      <c r="EJ467" s="2791">
        <f t="shared" si="634"/>
        <v>0</v>
      </c>
    </row>
    <row r="468" spans="8:140">
      <c r="DL468" s="3180"/>
      <c r="DN468" s="2801"/>
      <c r="DO468" s="2801"/>
      <c r="DP468" s="2802">
        <f>SUM(DP459:DP467)</f>
        <v>42165992.601680003</v>
      </c>
      <c r="DQ468" s="2802">
        <f t="shared" ref="DQ468:EJ468" si="635">SUM(DQ459:DQ467)</f>
        <v>6676500</v>
      </c>
      <c r="DR468" s="2802">
        <f t="shared" si="635"/>
        <v>48842492.271679997</v>
      </c>
      <c r="DS468" s="2802">
        <f t="shared" si="635"/>
        <v>0</v>
      </c>
      <c r="DT468" s="2802">
        <f t="shared" si="635"/>
        <v>0</v>
      </c>
      <c r="DU468" s="2802">
        <f t="shared" si="635"/>
        <v>0</v>
      </c>
      <c r="DV468" s="2802">
        <f t="shared" si="635"/>
        <v>966194.47664000001</v>
      </c>
      <c r="DW468" s="2802">
        <f t="shared" si="635"/>
        <v>435500</v>
      </c>
      <c r="DX468" s="2802">
        <f t="shared" si="635"/>
        <v>1401694.47664</v>
      </c>
      <c r="DY468" s="2802">
        <f t="shared" si="635"/>
        <v>3622457.2934400006</v>
      </c>
      <c r="DZ468" s="2802">
        <f t="shared" si="635"/>
        <v>1631925</v>
      </c>
      <c r="EA468" s="2802">
        <f t="shared" si="635"/>
        <v>5254382.2934400011</v>
      </c>
      <c r="EB468" s="2802">
        <f t="shared" si="635"/>
        <v>19781030.075013332</v>
      </c>
      <c r="EC468" s="2802">
        <f t="shared" si="635"/>
        <v>2552150</v>
      </c>
      <c r="ED468" s="2802">
        <f t="shared" si="635"/>
        <v>22333180.075013332</v>
      </c>
      <c r="EE468" s="2802">
        <f t="shared" si="635"/>
        <v>17111510.756586667</v>
      </c>
      <c r="EF468" s="2802">
        <f t="shared" si="635"/>
        <v>1956925</v>
      </c>
      <c r="EG468" s="2802">
        <f t="shared" si="635"/>
        <v>19068435.756586667</v>
      </c>
      <c r="EH468" s="2802">
        <f t="shared" si="635"/>
        <v>684800</v>
      </c>
      <c r="EI468" s="2802">
        <f t="shared" si="635"/>
        <v>100000</v>
      </c>
      <c r="EJ468" s="2802">
        <f t="shared" si="635"/>
        <v>784800</v>
      </c>
    </row>
    <row r="469" spans="8:140">
      <c r="DL469" s="3180"/>
      <c r="DN469" s="2801"/>
      <c r="DO469" s="2801"/>
      <c r="DP469" s="2803"/>
      <c r="DQ469" s="2804" t="e">
        <f>DQ468-DJ457</f>
        <v>#REF!</v>
      </c>
      <c r="DR469" s="2803"/>
      <c r="DS469" s="2803"/>
      <c r="DT469" s="2803"/>
      <c r="DU469" s="2805"/>
      <c r="DV469" s="2805"/>
      <c r="DW469" s="2805"/>
      <c r="DX469" s="2805"/>
      <c r="DY469" s="2805"/>
      <c r="DZ469" s="2805"/>
      <c r="EA469" s="2805"/>
      <c r="EB469" s="2805"/>
      <c r="EC469" s="2805"/>
      <c r="ED469" s="2805"/>
      <c r="EE469" s="2805"/>
      <c r="EF469" s="2805"/>
      <c r="EG469" s="2805"/>
      <c r="EH469" s="2805"/>
      <c r="EI469" s="2805"/>
      <c r="EJ469" s="2805"/>
    </row>
    <row r="470" spans="8:140">
      <c r="DL470" s="3180"/>
      <c r="DN470" s="2801"/>
      <c r="DO470" s="2801"/>
      <c r="DP470" s="4060" t="s">
        <v>1687</v>
      </c>
      <c r="DQ470" s="4021"/>
      <c r="DR470" s="4022"/>
      <c r="DS470" s="4021" t="s">
        <v>1688</v>
      </c>
      <c r="DT470" s="4021"/>
      <c r="DU470" s="4022"/>
      <c r="DV470" s="4021" t="s">
        <v>1689</v>
      </c>
      <c r="DW470" s="4021"/>
      <c r="DX470" s="4022"/>
      <c r="DY470" s="4021" t="s">
        <v>1690</v>
      </c>
      <c r="DZ470" s="4021"/>
      <c r="EA470" s="4022"/>
      <c r="EB470" s="4021" t="s">
        <v>1691</v>
      </c>
      <c r="EC470" s="4021"/>
      <c r="ED470" s="4022"/>
      <c r="EE470" s="4021" t="s">
        <v>1692</v>
      </c>
      <c r="EF470" s="4021"/>
      <c r="EG470" s="4022"/>
      <c r="EH470" s="4021" t="s">
        <v>1693</v>
      </c>
      <c r="EI470" s="4021"/>
      <c r="EJ470" s="4022"/>
    </row>
    <row r="471" spans="8:140" ht="16" thickBot="1">
      <c r="DL471" s="3180"/>
      <c r="DN471" s="2801"/>
      <c r="DO471" s="2806" t="s">
        <v>1113</v>
      </c>
      <c r="DP471" s="2807" t="s">
        <v>1705</v>
      </c>
      <c r="DQ471" s="2807" t="s">
        <v>1706</v>
      </c>
      <c r="DR471" s="2808" t="s">
        <v>1697</v>
      </c>
      <c r="DS471" s="2808" t="s">
        <v>1695</v>
      </c>
      <c r="DT471" s="2808" t="s">
        <v>1696</v>
      </c>
      <c r="DU471" s="2808" t="s">
        <v>1698</v>
      </c>
      <c r="DV471" s="2808" t="s">
        <v>1695</v>
      </c>
      <c r="DW471" s="2808" t="s">
        <v>1696</v>
      </c>
      <c r="DX471" s="2808" t="s">
        <v>1699</v>
      </c>
      <c r="DY471" s="2808" t="s">
        <v>1695</v>
      </c>
      <c r="DZ471" s="2808" t="s">
        <v>1696</v>
      </c>
      <c r="EA471" s="2808" t="s">
        <v>1700</v>
      </c>
      <c r="EB471" s="2808" t="s">
        <v>1695</v>
      </c>
      <c r="EC471" s="2808" t="s">
        <v>1696</v>
      </c>
      <c r="ED471" s="2808" t="s">
        <v>1701</v>
      </c>
      <c r="EE471" s="2808" t="s">
        <v>1695</v>
      </c>
      <c r="EF471" s="2808" t="s">
        <v>1696</v>
      </c>
      <c r="EG471" s="2808" t="s">
        <v>1702</v>
      </c>
      <c r="EH471" s="2808" t="s">
        <v>1695</v>
      </c>
      <c r="EI471" s="2808" t="s">
        <v>1696</v>
      </c>
      <c r="EJ471" s="2808" t="s">
        <v>1703</v>
      </c>
    </row>
    <row r="472" spans="8:140" ht="15" thickBot="1">
      <c r="DL472" s="3180"/>
      <c r="DN472" s="2801"/>
      <c r="DO472" s="2920" t="s">
        <v>1115</v>
      </c>
      <c r="DP472" s="2790">
        <f>+DS472+DV472+DY472+EB472+EE472+EH472</f>
        <v>1790000</v>
      </c>
      <c r="DQ472" s="2790">
        <f>+DT472+DW472+DZ472+EC472+EF472+EI472</f>
        <v>200000</v>
      </c>
      <c r="DR472" s="2790">
        <f>SUMIF($DP$7:$DP$451,DO472,$DJ$7:$DJ$451)</f>
        <v>1990000</v>
      </c>
      <c r="DS472" s="2790">
        <f>SUMIFS($AZ$7:$AZ$451,$DQ$7:$DQ$451,"MH",$DP$7:$DP$451,DO472)</f>
        <v>0</v>
      </c>
      <c r="DT472" s="2790">
        <f>SUMIFS($AZ$7:$AZ$451,$DQ$7:$DQ$451,"CGR",$DP$7:$DP$451,DO472)</f>
        <v>0</v>
      </c>
      <c r="DU472" s="2790">
        <f>DS472+DT472</f>
        <v>0</v>
      </c>
      <c r="DV472" s="2790">
        <f>SUMIFS($BN$7:$BN$451,$DQ$7:$DQ$451,"MH",$DP$7:$DP$451,DO472)</f>
        <v>16000</v>
      </c>
      <c r="DW472" s="2790">
        <f>SUMIFS($BN$7:$BN$451,$DQ$7:$DQ$451,"CGR",$DP$7:$DP$451,DO472)</f>
        <v>0</v>
      </c>
      <c r="DX472" s="2790">
        <f>DV472+DW472</f>
        <v>16000</v>
      </c>
      <c r="DY472" s="2790">
        <f>SUMIFS($CB$7:$CB$451,$DQ$7:$DQ$451,"MH",$DP$7:$DP$451,DO472)</f>
        <v>99400</v>
      </c>
      <c r="DZ472" s="2790">
        <f>SUMIFS($CB$7:$CB$451,$DQ$7:$DQ$451,"CGR",$DP$7:$DP$451,DO472)</f>
        <v>32500</v>
      </c>
      <c r="EA472" s="2790">
        <f>DY472+DZ472</f>
        <v>131900</v>
      </c>
      <c r="EB472" s="2790">
        <f>SUMIFS($CP$7:$CP$451,$DQ$7:$DQ$451,"MH",$DP$7:$DP$451,DO472)</f>
        <v>1111600</v>
      </c>
      <c r="EC472" s="2790">
        <f>SUMIFS($CP$7:$CP$451,$DQ$7:$DQ$451,"CGR",$DP$7:$DP$451,DO472)</f>
        <v>107500</v>
      </c>
      <c r="ED472" s="2790">
        <f>EB472+EC472</f>
        <v>1219100</v>
      </c>
      <c r="EE472" s="2790">
        <f>SUMIFS($DD$7:$DD$451,$DQ$7:$DQ$451,"MH",$DP$7:$DP$451,DO472)</f>
        <v>515500</v>
      </c>
      <c r="EF472" s="2790">
        <f>SUMIFS($DD$7:$DD$451,$DQ$7:$DQ$451,"CGR",$DP$7:$DP$451,DO472)</f>
        <v>60000</v>
      </c>
      <c r="EG472" s="2790">
        <f>EE472+EF472</f>
        <v>575500</v>
      </c>
      <c r="EH472" s="2790">
        <f>SUMIFS($DI$7:$DI$451,$DQ$7:$DQ$451,"MH",$DP$7:$DP$451,DO472)</f>
        <v>47500</v>
      </c>
      <c r="EI472" s="2790">
        <f>SUMIFS($DI$7:$DI$451,$DQ$7:$DQ$451,"CGR",$DP$7:$DP$451,DO472)</f>
        <v>0</v>
      </c>
      <c r="EJ472" s="2790">
        <f>EH472+EI472</f>
        <v>47500</v>
      </c>
    </row>
    <row r="473" spans="8:140" ht="15" thickBot="1">
      <c r="DL473" s="3180"/>
      <c r="DN473" s="2801"/>
      <c r="DO473" s="2921" t="s">
        <v>1117</v>
      </c>
      <c r="DP473" s="2790">
        <f t="shared" ref="DP473:DQ476" si="636">+DS473+DV473+DY473+EB473+EE473+EH473</f>
        <v>31203365.271679997</v>
      </c>
      <c r="DQ473" s="2790">
        <f t="shared" si="636"/>
        <v>6176500</v>
      </c>
      <c r="DR473" s="2790">
        <f>SUMIF($DP$7:$DP$451,DO473,$DJ$7:$DJ$451)</f>
        <v>37379865.271679997</v>
      </c>
      <c r="DS473" s="2790">
        <f>SUMIFS($AZ$7:$AZ$451,$DQ$7:$DQ$451,"MH",$DP$7:$DP$451,DO473)</f>
        <v>0</v>
      </c>
      <c r="DT473" s="2790">
        <f>SUMIFS($AZ$7:$AZ$451,$DQ$7:$DQ$451,"CGR",$DP$7:$DP$451,DO473)</f>
        <v>0</v>
      </c>
      <c r="DU473" s="2790">
        <f>DS473+DT473</f>
        <v>0</v>
      </c>
      <c r="DV473" s="2790">
        <f>SUMIFS($BN$7:$BN$451,$DQ$7:$DQ$451,"MH",$DP$7:$DP$451,DO473)</f>
        <v>604213.96664</v>
      </c>
      <c r="DW473" s="2790">
        <f>SUMIFS($BN$7:$BN$451,$DQ$7:$DQ$451,"CGR",$DP$7:$DP$451,DO473)</f>
        <v>360500</v>
      </c>
      <c r="DX473" s="2790">
        <f>DV473+DW473</f>
        <v>964713.96664</v>
      </c>
      <c r="DY473" s="2790">
        <f>SUMIFS($CB$7:$CB$451,$DQ$7:$DQ$451,"MH",$DP$7:$DP$451,DO473)</f>
        <v>2192448.4734400003</v>
      </c>
      <c r="DZ473" s="2790">
        <f>SUMIFS($CB$7:$CB$451,$DQ$7:$DQ$451,"CGR",$DP$7:$DP$451,DO473)</f>
        <v>1524425</v>
      </c>
      <c r="EA473" s="2790">
        <f>DY473+DZ473</f>
        <v>3716873.4734400003</v>
      </c>
      <c r="EB473" s="2790">
        <f>SUMIFS($CP$7:$CP$451,$DQ$7:$DQ$451,"MH",$DP$7:$DP$451,DO473)</f>
        <v>14169422.475013332</v>
      </c>
      <c r="EC473" s="2790">
        <f>SUMIFS($CP$7:$CP$451,$DQ$7:$DQ$451,"CGR",$DP$7:$DP$451,DO473)</f>
        <v>2369650</v>
      </c>
      <c r="ED473" s="2790">
        <f>EB473+EC473</f>
        <v>16539072.475013332</v>
      </c>
      <c r="EE473" s="2790">
        <f>SUMIFS($DD$7:$DD$451,$DQ$7:$DQ$451,"MH",$DP$7:$DP$451,DO473)</f>
        <v>13685980.356586667</v>
      </c>
      <c r="EF473" s="2790">
        <f>SUMIFS($DD$7:$DD$451,$DQ$7:$DQ$451,"CGR",$DP$7:$DP$451,DO473)</f>
        <v>1821925</v>
      </c>
      <c r="EG473" s="2790">
        <f>EE473+EF473</f>
        <v>15507905.356586667</v>
      </c>
      <c r="EH473" s="2790">
        <f>SUMIFS($DI$7:$DI$451,$DQ$7:$DQ$451,"MH",$DP$7:$DP$451,DO473)</f>
        <v>551300</v>
      </c>
      <c r="EI473" s="2790">
        <f>SUMIFS($DI$7:$DI$451,$DQ$7:$DQ$451,"CGR",$DP$7:$DP$451,DO473)</f>
        <v>100000</v>
      </c>
      <c r="EJ473" s="2790">
        <f>EH473+EI473</f>
        <v>651300</v>
      </c>
    </row>
    <row r="474" spans="8:140" ht="15" thickBot="1">
      <c r="DL474" s="3180"/>
      <c r="DN474" s="2801"/>
      <c r="DO474" s="2921" t="s">
        <v>1124</v>
      </c>
      <c r="DP474" s="2790">
        <f t="shared" si="636"/>
        <v>466000</v>
      </c>
      <c r="DQ474" s="2790">
        <f t="shared" si="636"/>
        <v>0</v>
      </c>
      <c r="DR474" s="2790">
        <f>SUMIF($DP$7:$DP$451,DO474,$DJ$7:$DJ$451)</f>
        <v>466000</v>
      </c>
      <c r="DS474" s="2790">
        <f>SUMIFS($AZ$7:$AZ$451,$DQ$7:$DQ$451,"MH",$DP$7:$DP$451,DO474)</f>
        <v>0</v>
      </c>
      <c r="DT474" s="2790">
        <f>SUMIFS($AZ$7:$AZ$451,$DQ$7:$DQ$451,"CGR",$DP$7:$DP$451,DO474)</f>
        <v>0</v>
      </c>
      <c r="DU474" s="2790">
        <f>DS474+DT474</f>
        <v>0</v>
      </c>
      <c r="DV474" s="2790">
        <f>SUMIFS($BN$7:$BN$451,$DQ$7:$DQ$451,"MH",$DP$7:$DP$451,DO474)</f>
        <v>28000</v>
      </c>
      <c r="DW474" s="2790">
        <f>SUMIFS($BN$7:$BN$451,$DQ$7:$DQ$451,"CGR",$DP$7:$DP$451,DO474)</f>
        <v>0</v>
      </c>
      <c r="DX474" s="2790">
        <f>DV474+DW474</f>
        <v>28000</v>
      </c>
      <c r="DY474" s="2790">
        <f>SUMIFS($CB$7:$CB$451,$DQ$7:$DQ$451,"MH",$DP$7:$DP$451,DO474)</f>
        <v>277000</v>
      </c>
      <c r="DZ474" s="2790">
        <f>SUMIFS($CB$7:$CB$451,$DQ$7:$DQ$451,"CGR",$DP$7:$DP$451,DO474)</f>
        <v>0</v>
      </c>
      <c r="EA474" s="2790">
        <f>DY474+DZ474</f>
        <v>277000</v>
      </c>
      <c r="EB474" s="2790">
        <f>SUMIFS($CP$7:$CP$451,$DQ$7:$DQ$451,"MH",$DP$7:$DP$451,DO474)</f>
        <v>69000</v>
      </c>
      <c r="EC474" s="2790">
        <f>SUMIFS($CP$7:$CP$451,$DQ$7:$DQ$451,"CGR",$DP$7:$DP$451,DO474)</f>
        <v>0</v>
      </c>
      <c r="ED474" s="2790">
        <f>EB474+EC474</f>
        <v>69000</v>
      </c>
      <c r="EE474" s="2790">
        <f>SUMIFS($DD$7:$DD$451,$DQ$7:$DQ$451,"MH",$DP$7:$DP$451,DO474)</f>
        <v>6000</v>
      </c>
      <c r="EF474" s="2790">
        <f>SUMIFS($DD$7:$DD$451,$DQ$7:$DQ$451,"CGR",$DP$7:$DP$451,DO474)</f>
        <v>0</v>
      </c>
      <c r="EG474" s="2790">
        <f>EE474+EF474</f>
        <v>6000</v>
      </c>
      <c r="EH474" s="2790">
        <f>SUMIFS($DI$7:$DI$451,$DQ$7:$DQ$451,"MH",$DP$7:$DP$451,DO474)</f>
        <v>86000</v>
      </c>
      <c r="EI474" s="2790">
        <f>SUMIFS($DI$7:$DI$451,$DQ$7:$DQ$451,"CGR",$DP$7:$DP$451,DO474)</f>
        <v>0</v>
      </c>
      <c r="EJ474" s="2790">
        <f>EH474+EI474</f>
        <v>86000</v>
      </c>
    </row>
    <row r="475" spans="8:140" ht="15" thickBot="1">
      <c r="DL475" s="3180"/>
      <c r="DN475" s="2801"/>
      <c r="DO475" s="2921" t="s">
        <v>1160</v>
      </c>
      <c r="DP475" s="2790">
        <f t="shared" si="636"/>
        <v>8706627.3300000001</v>
      </c>
      <c r="DQ475" s="2790">
        <f t="shared" si="636"/>
        <v>300000</v>
      </c>
      <c r="DR475" s="2790">
        <f>SUMIF($DP$7:$DP$451,DO475,$DJ$7:$DJ$451)</f>
        <v>9006627</v>
      </c>
      <c r="DS475" s="2790">
        <f>SUMIFS($AZ$7:$AZ$451,$DQ$7:$DQ$451,"MH",$DP$7:$DP$451,DO475)</f>
        <v>0</v>
      </c>
      <c r="DT475" s="2790">
        <f>SUMIFS($AZ$7:$AZ$451,$DQ$7:$DQ$451,"CGR",$DP$7:$DP$451,DO475)</f>
        <v>0</v>
      </c>
      <c r="DU475" s="2790">
        <f>DS475+DT475</f>
        <v>0</v>
      </c>
      <c r="DV475" s="2790">
        <f>SUMIFS($BN$7:$BN$451,$DQ$7:$DQ$451,"MH",$DP$7:$DP$451,DO475)</f>
        <v>317980.51</v>
      </c>
      <c r="DW475" s="2790">
        <f>SUMIFS($BN$7:$BN$451,$DQ$7:$DQ$451,"CGR",$DP$7:$DP$451,DO475)</f>
        <v>75000</v>
      </c>
      <c r="DX475" s="2790">
        <f>DV475+DW475</f>
        <v>392980.51</v>
      </c>
      <c r="DY475" s="2790">
        <f>SUMIFS($CB$7:$CB$451,$DQ$7:$DQ$451,"MH",$DP$7:$DP$451,DO475)</f>
        <v>1053608.8199999998</v>
      </c>
      <c r="DZ475" s="2790">
        <f>SUMIFS($CB$7:$CB$451,$DQ$7:$DQ$451,"CGR",$DP$7:$DP$451,DO475)</f>
        <v>75000</v>
      </c>
      <c r="EA475" s="2790">
        <f>DY475+DZ475</f>
        <v>1128608.8199999998</v>
      </c>
      <c r="EB475" s="2790">
        <f>SUMIFS($CP$7:$CP$451,$DQ$7:$DQ$451,"MH",$DP$7:$DP$451,DO475)</f>
        <v>4431007.5999999996</v>
      </c>
      <c r="EC475" s="2790">
        <f>SUMIFS($CP$7:$CP$451,$DQ$7:$DQ$451,"CGR",$DP$7:$DP$451,DO475)</f>
        <v>75000</v>
      </c>
      <c r="ED475" s="2790">
        <f>EB475+EC475</f>
        <v>4506007.5999999996</v>
      </c>
      <c r="EE475" s="2790">
        <f>SUMIFS($DD$7:$DD$451,$DQ$7:$DQ$451,"MH",$DP$7:$DP$451,DO475)</f>
        <v>2904030.4</v>
      </c>
      <c r="EF475" s="2790">
        <f>SUMIFS($DD$7:$DD$451,$DQ$7:$DQ$451,"CGR",$DP$7:$DP$451,DO475)</f>
        <v>75000</v>
      </c>
      <c r="EG475" s="2790">
        <f>EE475+EF475</f>
        <v>2979030.4</v>
      </c>
      <c r="EH475" s="2790">
        <f>SUMIFS($DI$7:$DI$451,$DQ$7:$DQ$451,"MH",$DP$7:$DP$451,DO475)</f>
        <v>0</v>
      </c>
      <c r="EI475" s="2790">
        <f>SUMIFS($DI$7:$DI$451,$DQ$7:$DQ$451,"CGR",$DP$7:$DP$451,DO475)</f>
        <v>0</v>
      </c>
      <c r="EJ475" s="2790">
        <f>EH475+EI475</f>
        <v>0</v>
      </c>
    </row>
    <row r="476" spans="8:140">
      <c r="DL476" s="3180"/>
      <c r="DN476" s="2801"/>
      <c r="DO476" s="2922" t="s">
        <v>1173</v>
      </c>
      <c r="DP476" s="2790">
        <f t="shared" si="636"/>
        <v>0</v>
      </c>
      <c r="DQ476" s="2790">
        <f t="shared" si="636"/>
        <v>0</v>
      </c>
      <c r="DR476" s="2790">
        <f>SUMIF($DP$7:$DP$451,DO476,$DJ$7:$DJ$451)</f>
        <v>0</v>
      </c>
      <c r="DS476" s="2790">
        <f>SUMIFS($AZ$7:$AZ$451,$DQ$7:$DQ$451,"MH",$DP$7:$DP$451,DO476)</f>
        <v>0</v>
      </c>
      <c r="DT476" s="2790">
        <f>SUMIFS($AZ$7:$AZ$451,$DQ$7:$DQ$451,"CGR",$DP$7:$DP$451,DO476)</f>
        <v>0</v>
      </c>
      <c r="DU476" s="2790">
        <f>DS476+DT476</f>
        <v>0</v>
      </c>
      <c r="DV476" s="2790">
        <f>SUMIFS($BN$7:$BN$451,$DQ$7:$DQ$451,"MH",$DP$7:$DP$451,DO476)</f>
        <v>0</v>
      </c>
      <c r="DW476" s="2790">
        <f>SUMIFS($BN$7:$BN$451,$DQ$7:$DQ$451,"CGR",$DP$7:$DP$451,DO476)</f>
        <v>0</v>
      </c>
      <c r="DX476" s="2790">
        <f>DV476+DW476</f>
        <v>0</v>
      </c>
      <c r="DY476" s="2790">
        <f>SUMIFS($CB$7:$CB$451,$DQ$7:$DQ$451,"MH",$DP$7:$DP$451,DO476)</f>
        <v>0</v>
      </c>
      <c r="DZ476" s="2790">
        <f>SUMIFS($CB$7:$CB$451,$DQ$7:$DQ$451,"CGR",$DP$7:$DP$451,DO476)</f>
        <v>0</v>
      </c>
      <c r="EA476" s="2790">
        <f>DY476+DZ476</f>
        <v>0</v>
      </c>
      <c r="EB476" s="2790">
        <f>SUMIFS($CP$7:$CP$451,$DQ$7:$DQ$451,"MH",$DP$7:$DP$451,DO476)</f>
        <v>0</v>
      </c>
      <c r="EC476" s="2790">
        <f>SUMIFS($CP$7:$CP$451,$DQ$7:$DQ$451,"CGR",$DP$7:$DP$451,DO476)</f>
        <v>0</v>
      </c>
      <c r="ED476" s="2790">
        <f>EB476+EC476</f>
        <v>0</v>
      </c>
      <c r="EE476" s="2790">
        <f>SUMIFS($DD$7:$DD$451,$DQ$7:$DQ$451,"MH",$DP$7:$DP$451,DO476)</f>
        <v>0</v>
      </c>
      <c r="EF476" s="2790">
        <f>SUMIFS($DD$7:$DD$451,$DQ$7:$DQ$451,"CGR",$DP$7:$DP$451,DO476)</f>
        <v>0</v>
      </c>
      <c r="EG476" s="2790">
        <f>EE476+EF476</f>
        <v>0</v>
      </c>
      <c r="EH476" s="2790">
        <f>SUMIFS($DI$7:$DI$451,$DQ$7:$DQ$451,"MH",$DP$7:$DP$451,DO476)</f>
        <v>0</v>
      </c>
      <c r="EI476" s="2790">
        <f>SUMIFS($DI$7:$DI$451,$DQ$7:$DQ$451,"CGR",$DP$7:$DP$451,DO476)</f>
        <v>0</v>
      </c>
      <c r="EJ476" s="2790">
        <f>EH476+EI476</f>
        <v>0</v>
      </c>
    </row>
    <row r="477" spans="8:140">
      <c r="DL477" s="3180"/>
      <c r="DN477" s="2801"/>
      <c r="DO477" s="2801"/>
      <c r="DP477" s="2809">
        <f>SUM(DP472:DP476)</f>
        <v>42165992.601679996</v>
      </c>
      <c r="DQ477" s="2809">
        <f t="shared" ref="DQ477:EJ477" si="637">SUM(DQ472:DQ476)</f>
        <v>6676500</v>
      </c>
      <c r="DR477" s="2809">
        <f t="shared" si="637"/>
        <v>48842492.271679997</v>
      </c>
      <c r="DS477" s="2809">
        <f t="shared" si="637"/>
        <v>0</v>
      </c>
      <c r="DT477" s="2809">
        <f t="shared" si="637"/>
        <v>0</v>
      </c>
      <c r="DU477" s="2809">
        <f t="shared" si="637"/>
        <v>0</v>
      </c>
      <c r="DV477" s="2809">
        <f t="shared" si="637"/>
        <v>966194.47664000001</v>
      </c>
      <c r="DW477" s="2809">
        <f t="shared" si="637"/>
        <v>435500</v>
      </c>
      <c r="DX477" s="2809">
        <f t="shared" si="637"/>
        <v>1401694.47664</v>
      </c>
      <c r="DY477" s="2809">
        <f t="shared" si="637"/>
        <v>3622457.2934400002</v>
      </c>
      <c r="DZ477" s="2809">
        <f t="shared" si="637"/>
        <v>1631925</v>
      </c>
      <c r="EA477" s="2809">
        <f t="shared" si="637"/>
        <v>5254382.2934400002</v>
      </c>
      <c r="EB477" s="2809">
        <f t="shared" si="637"/>
        <v>19781030.075013332</v>
      </c>
      <c r="EC477" s="2809">
        <f t="shared" si="637"/>
        <v>2552150</v>
      </c>
      <c r="ED477" s="2809">
        <f t="shared" si="637"/>
        <v>22333180.075013332</v>
      </c>
      <c r="EE477" s="2809">
        <f t="shared" si="637"/>
        <v>17111510.756586667</v>
      </c>
      <c r="EF477" s="2809">
        <f t="shared" si="637"/>
        <v>1956925</v>
      </c>
      <c r="EG477" s="2809">
        <f t="shared" si="637"/>
        <v>19068435.756586667</v>
      </c>
      <c r="EH477" s="2809">
        <f t="shared" si="637"/>
        <v>684800</v>
      </c>
      <c r="EI477" s="2809">
        <f t="shared" si="637"/>
        <v>100000</v>
      </c>
      <c r="EJ477" s="2809">
        <f t="shared" si="637"/>
        <v>784800</v>
      </c>
    </row>
    <row r="478" spans="8:140">
      <c r="H478" s="2707"/>
      <c r="I478" s="548"/>
      <c r="J478" s="148"/>
      <c r="Q478" s="211"/>
      <c r="DL478" s="3180"/>
      <c r="DN478" s="2801"/>
      <c r="DO478" s="2801"/>
      <c r="DP478" s="2803"/>
      <c r="DQ478" s="2803"/>
      <c r="DR478" s="2803"/>
      <c r="DS478" s="2803"/>
      <c r="DT478" s="2803"/>
      <c r="DU478" s="2803"/>
      <c r="DV478" s="2803"/>
      <c r="DW478" s="2803"/>
      <c r="DX478" s="2803"/>
      <c r="DY478" s="2803"/>
      <c r="DZ478" s="2803"/>
      <c r="EA478" s="2803"/>
      <c r="EB478" s="2803"/>
      <c r="EC478" s="2803"/>
      <c r="ED478" s="2803"/>
      <c r="EE478" s="2803"/>
      <c r="EF478" s="2803"/>
      <c r="EG478" s="2803"/>
      <c r="EH478" s="2803"/>
      <c r="EI478" s="2803"/>
      <c r="EJ478" s="2803"/>
    </row>
    <row r="479" spans="8:140">
      <c r="DL479" s="3180"/>
      <c r="DP479" s="2237">
        <f>+DP468-DP477</f>
        <v>0</v>
      </c>
      <c r="DQ479" s="2237">
        <f t="shared" ref="DQ479:EJ479" si="638">+DQ468-DQ477</f>
        <v>0</v>
      </c>
      <c r="DR479" s="2237">
        <f t="shared" si="638"/>
        <v>0</v>
      </c>
      <c r="DS479" s="2237">
        <f t="shared" si="638"/>
        <v>0</v>
      </c>
      <c r="DT479" s="2237">
        <f t="shared" si="638"/>
        <v>0</v>
      </c>
      <c r="DU479" s="2237">
        <f t="shared" si="638"/>
        <v>0</v>
      </c>
      <c r="DV479" s="2237">
        <f t="shared" si="638"/>
        <v>0</v>
      </c>
      <c r="DW479" s="2237">
        <f t="shared" si="638"/>
        <v>0</v>
      </c>
      <c r="DX479" s="2237">
        <f t="shared" si="638"/>
        <v>0</v>
      </c>
      <c r="DY479" s="2237">
        <f t="shared" si="638"/>
        <v>0</v>
      </c>
      <c r="DZ479" s="2237">
        <f t="shared" si="638"/>
        <v>0</v>
      </c>
      <c r="EA479" s="2237">
        <f t="shared" si="638"/>
        <v>0</v>
      </c>
      <c r="EB479" s="2237">
        <f t="shared" si="638"/>
        <v>0</v>
      </c>
      <c r="EC479" s="2237">
        <f t="shared" si="638"/>
        <v>0</v>
      </c>
      <c r="ED479" s="2237">
        <f t="shared" si="638"/>
        <v>0</v>
      </c>
      <c r="EE479" s="2237">
        <f t="shared" si="638"/>
        <v>0</v>
      </c>
      <c r="EF479" s="2237">
        <f t="shared" si="638"/>
        <v>0</v>
      </c>
      <c r="EG479" s="2237">
        <f t="shared" si="638"/>
        <v>0</v>
      </c>
      <c r="EH479" s="2237">
        <f t="shared" si="638"/>
        <v>0</v>
      </c>
      <c r="EI479" s="2237">
        <f t="shared" si="638"/>
        <v>0</v>
      </c>
      <c r="EJ479" s="2237">
        <f t="shared" si="638"/>
        <v>0</v>
      </c>
    </row>
    <row r="480" spans="8:140">
      <c r="DL480" s="3180"/>
      <c r="DP480" s="2237"/>
      <c r="DQ480" s="2237"/>
      <c r="DR480" s="2237"/>
      <c r="DS480" s="2237"/>
      <c r="DT480" s="2237"/>
      <c r="DU480" s="2237"/>
      <c r="DV480" s="2237"/>
      <c r="DW480" s="2237"/>
      <c r="DX480" s="2237"/>
      <c r="DY480" s="2237"/>
      <c r="DZ480" s="2237"/>
      <c r="EA480" s="2237"/>
      <c r="EB480" s="2237"/>
      <c r="EC480" s="2237"/>
      <c r="ED480" s="2237"/>
      <c r="EE480" s="2237"/>
      <c r="EF480" s="2237"/>
      <c r="EG480" s="2237"/>
      <c r="EH480" s="2237"/>
      <c r="EI480" s="2237"/>
      <c r="EJ480" s="2237"/>
    </row>
    <row r="481" spans="116:147">
      <c r="DL481" s="3180"/>
      <c r="DP481" s="4023" t="s">
        <v>1707</v>
      </c>
      <c r="DQ481" s="4024"/>
      <c r="DR481" s="4024"/>
      <c r="DS481" s="4024"/>
      <c r="DT481" s="4024"/>
      <c r="DU481" s="4024"/>
      <c r="DV481" s="4024"/>
      <c r="DW481" s="4024"/>
      <c r="DX481" s="4024"/>
      <c r="DY481" s="4024"/>
      <c r="DZ481" s="4024"/>
      <c r="EA481" s="4024"/>
      <c r="EB481" s="4024"/>
      <c r="EC481" s="4024"/>
      <c r="ED481" s="4024"/>
      <c r="EE481" s="4024"/>
      <c r="EF481" s="4024"/>
      <c r="EG481" s="4024"/>
      <c r="EH481" s="4024"/>
      <c r="EI481" s="4024"/>
      <c r="EJ481" s="4024"/>
      <c r="EK481" s="4024"/>
      <c r="EL481" s="4024"/>
      <c r="EM481" s="4024"/>
      <c r="EN481" s="4024"/>
      <c r="EO481" s="4024"/>
      <c r="EP481" s="4024"/>
      <c r="EQ481" s="4025"/>
    </row>
    <row r="482" spans="116:147">
      <c r="DL482" s="3180"/>
      <c r="DP482" s="4026" t="s">
        <v>1109</v>
      </c>
      <c r="DQ482" s="4026"/>
      <c r="DR482" s="4026"/>
      <c r="DS482" s="4026"/>
      <c r="DT482" s="4026" t="s">
        <v>1688</v>
      </c>
      <c r="DU482" s="4026"/>
      <c r="DV482" s="4026"/>
      <c r="DW482" s="4026"/>
      <c r="DX482" s="4026" t="s">
        <v>1708</v>
      </c>
      <c r="DY482" s="4026"/>
      <c r="DZ482" s="4026"/>
      <c r="EA482" s="4026"/>
      <c r="EB482" s="4026" t="s">
        <v>1709</v>
      </c>
      <c r="EC482" s="4026"/>
      <c r="ED482" s="4026"/>
      <c r="EE482" s="4026"/>
      <c r="EF482" s="4026" t="s">
        <v>1710</v>
      </c>
      <c r="EG482" s="4026"/>
      <c r="EH482" s="4026"/>
      <c r="EI482" s="4026"/>
      <c r="EJ482" s="4026" t="s">
        <v>1711</v>
      </c>
      <c r="EK482" s="4026"/>
      <c r="EL482" s="4026"/>
      <c r="EM482" s="4026"/>
      <c r="EN482" s="4026" t="s">
        <v>1711</v>
      </c>
      <c r="EO482" s="4026"/>
      <c r="EP482" s="4026"/>
      <c r="EQ482" s="4026"/>
    </row>
    <row r="483" spans="116:147" ht="15">
      <c r="DL483" s="3180"/>
      <c r="DN483" s="2785" t="s">
        <v>1155</v>
      </c>
      <c r="DO483" s="2784" t="s">
        <v>1156</v>
      </c>
      <c r="DP483" s="2810" t="s">
        <v>1712</v>
      </c>
      <c r="DQ483" s="2810" t="s">
        <v>1713</v>
      </c>
      <c r="DR483" s="2810" t="s">
        <v>1714</v>
      </c>
      <c r="DS483" s="2810" t="s">
        <v>1715</v>
      </c>
      <c r="DT483" s="2810" t="s">
        <v>1716</v>
      </c>
      <c r="DU483" s="2810" t="s">
        <v>1717</v>
      </c>
      <c r="DV483" s="2810" t="s">
        <v>1718</v>
      </c>
      <c r="DW483" s="2810" t="s">
        <v>1698</v>
      </c>
      <c r="DX483" s="2810" t="s">
        <v>1716</v>
      </c>
      <c r="DY483" s="2810" t="s">
        <v>1717</v>
      </c>
      <c r="DZ483" s="2810" t="s">
        <v>1718</v>
      </c>
      <c r="EA483" s="2810" t="s">
        <v>1719</v>
      </c>
      <c r="EB483" s="2810" t="s">
        <v>1716</v>
      </c>
      <c r="EC483" s="2810" t="s">
        <v>1717</v>
      </c>
      <c r="ED483" s="2810" t="s">
        <v>1718</v>
      </c>
      <c r="EE483" s="2810" t="s">
        <v>1720</v>
      </c>
      <c r="EF483" s="2810" t="s">
        <v>1716</v>
      </c>
      <c r="EG483" s="2810" t="s">
        <v>1717</v>
      </c>
      <c r="EH483" s="2810" t="s">
        <v>1718</v>
      </c>
      <c r="EI483" s="2810" t="s">
        <v>1721</v>
      </c>
      <c r="EJ483" s="2810" t="s">
        <v>1716</v>
      </c>
      <c r="EK483" s="2810" t="s">
        <v>1717</v>
      </c>
      <c r="EL483" s="2810" t="s">
        <v>1718</v>
      </c>
      <c r="EM483" s="2810" t="s">
        <v>1722</v>
      </c>
      <c r="EN483" s="2810" t="s">
        <v>1716</v>
      </c>
      <c r="EO483" s="2810" t="s">
        <v>1717</v>
      </c>
      <c r="EP483" s="2810" t="s">
        <v>1718</v>
      </c>
      <c r="EQ483" s="2810" t="s">
        <v>1723</v>
      </c>
    </row>
    <row r="484" spans="116:147">
      <c r="DL484" s="3180"/>
      <c r="DN484" s="2788" t="s">
        <v>1597</v>
      </c>
      <c r="DO484" s="2789" t="s">
        <v>1598</v>
      </c>
      <c r="DP484" s="2811">
        <f>DT484+DX484+EB484+EF484+EJ484+EN484</f>
        <v>0</v>
      </c>
      <c r="DQ484" s="2811">
        <f t="shared" ref="DQ484:DR492" si="639">DU484+DY484+EC484+EG484+EK484+EO484</f>
        <v>30000</v>
      </c>
      <c r="DR484" s="2811">
        <f t="shared" si="639"/>
        <v>0</v>
      </c>
      <c r="DS484" s="2811">
        <f>DR484+DQ484+DP484</f>
        <v>30000</v>
      </c>
      <c r="DT484" s="2811">
        <f>SUMIFS($AZ$7:$AZ$451,$DR$7:$DR$451,"1",$DN$7:$DN$451,DN484,$DQ$7:$DQ$451,"MH")</f>
        <v>0</v>
      </c>
      <c r="DU484" s="2811">
        <f>SUMIFS($AZ$7:$AZ$451,$DR$7:$DR$451,"3",$DN$7:$DN$451,DN484,$DQ$7:$DQ$451,"MH")</f>
        <v>0</v>
      </c>
      <c r="DV484" s="2811">
        <f>SUMIFS($AZ$7:$AZ$451,$DR$7:$DR$451,"4",$DN$7:$DN$451,DN484,$DQ$7:$DQ$451,"MH")</f>
        <v>0</v>
      </c>
      <c r="DW484" s="2811">
        <f>DT484+DU484+DV484</f>
        <v>0</v>
      </c>
      <c r="DX484" s="2811">
        <f>SUMIFS($BN$7:$BN$451,$DR$7:$DR$451,"1",$DN$7:$DN$451,DN484,$DQ$7:$DQ$451,"MH")</f>
        <v>0</v>
      </c>
      <c r="DY484" s="2811">
        <f>SUMIFS($BN$7:$BN$451,$DR$7:$DR$451,"3",$DN$7:$DN$451,DN484,$DQ$7:$DQ$451,"MH")</f>
        <v>0</v>
      </c>
      <c r="DZ484" s="2811">
        <f>SUMIFS($BN$7:$BN$451,$DR$7:$DR$451,"4",$DN$7:$DN$451,DN484,$DQ$7:$DQ$451,"MH")</f>
        <v>0</v>
      </c>
      <c r="EA484" s="2811">
        <f>DX484+DY484+DZ484</f>
        <v>0</v>
      </c>
      <c r="EB484" s="2811">
        <f>SUMIFS($CB$7:$CB$451,$DR$7:$DR$451,"1",$DN$7:$DN$451,DN484,$DQ$7:$DQ$451,"MH")</f>
        <v>0</v>
      </c>
      <c r="EC484" s="2811">
        <f>SUMIFS($CB$7:$CB$451,$DR$7:$DR$451,"3",$DN$7:$DN$451,DN484,$DQ$7:$DQ$451,"MH")</f>
        <v>0</v>
      </c>
      <c r="ED484" s="2811">
        <f>SUMIFS($CB$7:$CB$451,$DR$7:$DR$451,"4",$DN$7:$DN$451,DN484,$DQ$7:$DQ$451,"MH")</f>
        <v>0</v>
      </c>
      <c r="EE484" s="2811">
        <f>EB484+EC484+ED484</f>
        <v>0</v>
      </c>
      <c r="EF484" s="2811">
        <f>SUMIFS($CP$7:$CP$451,$DR$7:$DR$451,"1",$DN$7:$DN$451,DN484,$DQ$7:$DQ$451,"MH")</f>
        <v>0</v>
      </c>
      <c r="EG484" s="2811">
        <f>SUMIFS($CP$7:$CP$451,$DR$7:$DR$451,"3",$DN$7:$DN$451,DN484,$DQ$7:$DQ$451,"MH")</f>
        <v>24000</v>
      </c>
      <c r="EH484" s="2811">
        <f>SUMIFS($CP$7:$CP$451,$DR$7:$DR$451,"4",$DN$7:$DN$451,DN484,$DQ$7:$DQ$451,"MH")</f>
        <v>0</v>
      </c>
      <c r="EI484" s="2811">
        <f>EF484+EG484+EH484</f>
        <v>24000</v>
      </c>
      <c r="EJ484" s="2811">
        <f>SUMIFS($DD$7:$DD$451,$DR$7:$DR$451,"1",$DN$7:$DN$451,DN484,$DQ$7:$DQ$451,"MH")</f>
        <v>0</v>
      </c>
      <c r="EK484" s="2811">
        <f>SUMIFS($DD$7:$DD$451,$DR$7:$DR$451,"3",$DN$7:$DN$451,DN484,$DQ$7:$DQ$451,"MH")</f>
        <v>6000</v>
      </c>
      <c r="EL484" s="2811">
        <f>SUMIFS($DD$7:$DD$451,$DR$7:$DR$451,"4",$DN$7:$DN$451,DN484,$DQ$7:$DQ$451,"MH")</f>
        <v>0</v>
      </c>
      <c r="EM484" s="2811">
        <f>EJ484+EK484+EL484</f>
        <v>6000</v>
      </c>
      <c r="EN484" s="2811">
        <f>SUMIFS($DI$7:$DI$451,$DR$7:$DR$451,"1",$DN$7:$DN$451,DN484,$DQ$7:$DQ$451,"MH")</f>
        <v>0</v>
      </c>
      <c r="EO484" s="2811">
        <f>SUMIFS($DI$7:$DI$451,$DR$7:$DR$451,"3",$DN$7:$DN$451,DN484,$DQ$7:$DQ$451,"MH")</f>
        <v>0</v>
      </c>
      <c r="EP484" s="2811">
        <f>SUMIFS($DI$7:$DI$451,$DR$7:$DR$451,"4",$DN$7:$DN$451,DN484,$DQ$7:$DQ$451,"MH")</f>
        <v>0</v>
      </c>
      <c r="EQ484" s="2811">
        <f>EN484+EO484+EP484</f>
        <v>0</v>
      </c>
    </row>
    <row r="485" spans="116:147">
      <c r="DL485" s="3180"/>
      <c r="DN485" s="2792" t="s">
        <v>1535</v>
      </c>
      <c r="DO485" s="2793" t="s">
        <v>1536</v>
      </c>
      <c r="DP485" s="2811">
        <f t="shared" ref="DP485:DP492" si="640">DT485+DX485+EB485+EF485+EJ485+EN485</f>
        <v>0</v>
      </c>
      <c r="DQ485" s="2811">
        <f t="shared" si="639"/>
        <v>0</v>
      </c>
      <c r="DR485" s="2811">
        <f t="shared" si="639"/>
        <v>0</v>
      </c>
      <c r="DS485" s="2811">
        <f t="shared" ref="DS485:DS492" si="641">DR485+DQ485+DP485</f>
        <v>0</v>
      </c>
      <c r="DT485" s="2811">
        <f>SUMIFS($AZ$7:$AZ$451,$DR$7:$DR$451,"1",$DN$7:$DN$451,DN485,$DQ$7:$DQ$451,"MH")</f>
        <v>0</v>
      </c>
      <c r="DU485" s="2811">
        <f>SUMIFS($AZ$7:$AZ$451,$DR$7:$DR$451,"3",$DN$7:$DN$451,DN485,$DQ$7:$DQ$451,"MH")</f>
        <v>0</v>
      </c>
      <c r="DV485" s="2811">
        <f>SUMIFS($AZ$7:$AZ$451,$DR$7:$DR$451,"4",$DN$7:$DN$451,DN485,$DQ$7:$DQ$451,"MH")</f>
        <v>0</v>
      </c>
      <c r="DW485" s="2811">
        <f t="shared" ref="DW485:DW492" si="642">DT485+DU485+DV485</f>
        <v>0</v>
      </c>
      <c r="DX485" s="2811">
        <f>SUMIFS($BN$7:$BN$451,$DR$7:$DR$451,"1",$DN$7:$DN$451,DN485,$DQ$7:$DQ$451,"MH")</f>
        <v>0</v>
      </c>
      <c r="DY485" s="2811">
        <f>SUMIFS($BN$7:$BN$451,$DR$7:$DR$451,"3",$DN$7:$DN$451,DN485,$DQ$7:$DQ$451,"MH")</f>
        <v>0</v>
      </c>
      <c r="DZ485" s="2811">
        <f>SUMIFS($BN$7:$BN$451,$DR$7:$DR$451,"4",$DN$7:$DN$451,DN485,$DQ$7:$DQ$451,"MH")</f>
        <v>0</v>
      </c>
      <c r="EA485" s="2811">
        <f t="shared" ref="EA485:EA492" si="643">DX485+DY485+DZ485</f>
        <v>0</v>
      </c>
      <c r="EB485" s="2811">
        <f>SUMIFS($CB$7:$CB$451,$DR$7:$DR$451,"1",$DN$7:$DN$451,DN485,$DQ$7:$DQ$451,"MH")</f>
        <v>0</v>
      </c>
      <c r="EC485" s="2811">
        <f>SUMIFS($CB$7:$CB$451,$DR$7:$DR$451,"3",$DN$7:$DN$451,DN485,$DQ$7:$DQ$451,"MH")</f>
        <v>0</v>
      </c>
      <c r="ED485" s="2811">
        <f>SUMIFS($CB$7:$CB$451,$DR$7:$DR$451,"4",$DN$7:$DN$451,DN485,$DQ$7:$DQ$451,"MH")</f>
        <v>0</v>
      </c>
      <c r="EE485" s="2811">
        <f t="shared" ref="EE485:EE492" si="644">EB485+EC485+ED485</f>
        <v>0</v>
      </c>
      <c r="EF485" s="2811">
        <f>SUMIFS($CP$7:$CP$451,$DR$7:$DR$451,"1",$DN$7:$DN$451,DN485,$DQ$7:$DQ$451,"MH")</f>
        <v>0</v>
      </c>
      <c r="EG485" s="2811">
        <f>SUMIFS($CP$7:$CP$451,$DR$7:$DR$451,"3",$DN$7:$DN$451,DN485,$DQ$7:$DQ$451,"MH")</f>
        <v>0</v>
      </c>
      <c r="EH485" s="2811">
        <f>SUMIFS($CP$7:$CP$451,$DR$7:$DR$451,"4",$DN$7:$DN$451,DN485,$DQ$7:$DQ$451,"MH")</f>
        <v>0</v>
      </c>
      <c r="EI485" s="2811">
        <f t="shared" ref="EI485:EI492" si="645">EF485+EG485+EH485</f>
        <v>0</v>
      </c>
      <c r="EJ485" s="2811">
        <f>SUMIFS($DD$7:$DD$451,$DR$7:$DR$451,"1",$DN$7:$DN$451,DN485,$DQ$7:$DQ$451,"MH")</f>
        <v>0</v>
      </c>
      <c r="EK485" s="2811">
        <f>SUMIFS($DD$7:$DD$451,$DR$7:$DR$451,"3",$DN$7:$DN$451,DN485,$DQ$7:$DQ$451,"MH")</f>
        <v>0</v>
      </c>
      <c r="EL485" s="2811">
        <f>SUMIFS($DD$7:$DD$451,$DR$7:$DR$451,"4",$DN$7:$DN$451,DN485,$DQ$7:$DQ$451,"MH")</f>
        <v>0</v>
      </c>
      <c r="EM485" s="2811">
        <f t="shared" ref="EM485:EM492" si="646">EJ485+EK485+EL485</f>
        <v>0</v>
      </c>
      <c r="EN485" s="2811">
        <f>SUMIFS($DI$7:$DI$451,$DR$7:$DR$451,"1",$DN$7:$DN$451,DN485,$DQ$7:$DQ$451,"MH")</f>
        <v>0</v>
      </c>
      <c r="EO485" s="2811">
        <f>SUMIFS($DI$7:$DI$451,$DR$7:$DR$451,"3",$DN$7:$DN$451,DN485,$DQ$7:$DQ$451,"MH")</f>
        <v>0</v>
      </c>
      <c r="EP485" s="2811">
        <f>SUMIFS($DI$7:$DI$451,$DR$7:$DR$451,"4",$DN$7:$DN$451,DN485,$DQ$7:$DQ$451,"MH")</f>
        <v>0</v>
      </c>
      <c r="EQ485" s="2811">
        <f t="shared" ref="EQ485:EQ492" si="647">EN485+EO485+EP485</f>
        <v>0</v>
      </c>
    </row>
    <row r="486" spans="116:147">
      <c r="DL486" s="3180"/>
      <c r="DN486" s="2792" t="s">
        <v>1415</v>
      </c>
      <c r="DO486" s="2793" t="s">
        <v>1416</v>
      </c>
      <c r="DP486" s="2811">
        <f t="shared" si="640"/>
        <v>80000</v>
      </c>
      <c r="DQ486" s="2811">
        <f t="shared" si="639"/>
        <v>356000</v>
      </c>
      <c r="DR486" s="2811">
        <f t="shared" si="639"/>
        <v>0</v>
      </c>
      <c r="DS486" s="2811">
        <f t="shared" si="641"/>
        <v>436000</v>
      </c>
      <c r="DT486" s="2811">
        <f>SUMIFS($AZ$7:$AZ$451,$DR$7:$DR$451,"1",$DN$7:$DN$451,DN486,$DQ$7:$DQ$451,"MH")</f>
        <v>0</v>
      </c>
      <c r="DU486" s="2811">
        <f>SUMIFS($AZ$7:$AZ$451,$DR$7:$DR$451,"3",$DN$7:$DN$451,DN486,$DQ$7:$DQ$451,"MH")</f>
        <v>0</v>
      </c>
      <c r="DV486" s="2811">
        <f>SUMIFS($AZ$7:$AZ$451,$DR$7:$DR$451,"4",$DN$7:$DN$451,DN486,$DQ$7:$DQ$451,"MH")</f>
        <v>0</v>
      </c>
      <c r="DW486" s="2811">
        <f t="shared" si="642"/>
        <v>0</v>
      </c>
      <c r="DX486" s="2811">
        <f>SUMIFS($BN$7:$BN$451,$DR$7:$DR$451,"1",$DN$7:$DN$451,DN486,$DQ$7:$DQ$451,"MH")</f>
        <v>28000</v>
      </c>
      <c r="DY486" s="2811">
        <f>SUMIFS($BN$7:$BN$451,$DR$7:$DR$451,"3",$DN$7:$DN$451,DN486,$DQ$7:$DQ$451,"MH")</f>
        <v>0</v>
      </c>
      <c r="DZ486" s="2811">
        <f>SUMIFS($BN$7:$BN$451,$DR$7:$DR$451,"4",$DN$7:$DN$451,DN486,$DQ$7:$DQ$451,"MH")</f>
        <v>0</v>
      </c>
      <c r="EA486" s="2811">
        <f t="shared" si="643"/>
        <v>28000</v>
      </c>
      <c r="EB486" s="2811">
        <f>SUMIFS($CB$7:$CB$451,$DR$7:$DR$451,"1",$DN$7:$DN$451,DN486,$DQ$7:$DQ$451,"MH")</f>
        <v>52000</v>
      </c>
      <c r="EC486" s="2811">
        <f>SUMIFS($CB$7:$CB$451,$DR$7:$DR$451,"3",$DN$7:$DN$451,DN486,$DQ$7:$DQ$451,"MH")</f>
        <v>225000</v>
      </c>
      <c r="ED486" s="2811">
        <f>SUMIFS($CB$7:$CB$451,$DR$7:$DR$451,"4",$DN$7:$DN$451,DN486,$DQ$7:$DQ$451,"MH")</f>
        <v>0</v>
      </c>
      <c r="EE486" s="2811">
        <f t="shared" si="644"/>
        <v>277000</v>
      </c>
      <c r="EF486" s="2811">
        <f>SUMIFS($CP$7:$CP$451,$DR$7:$DR$451,"1",$DN$7:$DN$451,DN486,$DQ$7:$DQ$451,"MH")</f>
        <v>0</v>
      </c>
      <c r="EG486" s="2811">
        <f>SUMIFS($CP$7:$CP$451,$DR$7:$DR$451,"3",$DN$7:$DN$451,DN486,$DQ$7:$DQ$451,"MH")</f>
        <v>45000</v>
      </c>
      <c r="EH486" s="2811">
        <f>SUMIFS($CP$7:$CP$451,$DR$7:$DR$451,"4",$DN$7:$DN$451,DN486,$DQ$7:$DQ$451,"MH")</f>
        <v>0</v>
      </c>
      <c r="EI486" s="2811">
        <f t="shared" si="645"/>
        <v>45000</v>
      </c>
      <c r="EJ486" s="2811">
        <f>SUMIFS($DD$7:$DD$451,$DR$7:$DR$451,"1",$DN$7:$DN$451,DN486,$DQ$7:$DQ$451,"MH")</f>
        <v>0</v>
      </c>
      <c r="EK486" s="2811">
        <f>SUMIFS($DD$7:$DD$451,$DR$7:$DR$451,"3",$DN$7:$DN$451,DN486,$DQ$7:$DQ$451,"MH")</f>
        <v>0</v>
      </c>
      <c r="EL486" s="2811">
        <f>SUMIFS($DD$7:$DD$451,$DR$7:$DR$451,"4",$DN$7:$DN$451,DN486,$DQ$7:$DQ$451,"MH")</f>
        <v>0</v>
      </c>
      <c r="EM486" s="2811">
        <f t="shared" si="646"/>
        <v>0</v>
      </c>
      <c r="EN486" s="2811">
        <f>SUMIFS($DI$7:$DI$451,$DR$7:$DR$451,"1",$DN$7:$DN$451,DN486,$DQ$7:$DQ$451,"MH")</f>
        <v>0</v>
      </c>
      <c r="EO486" s="2811">
        <f>SUMIFS($DI$7:$DI$451,$DR$7:$DR$451,"3",$DN$7:$DN$451,DN486,$DQ$7:$DQ$451,"MH")</f>
        <v>86000</v>
      </c>
      <c r="EP486" s="2811">
        <f>SUMIFS($DI$7:$DI$451,$DR$7:$DR$451,"4",$DN$7:$DN$451,DN486,$DQ$7:$DQ$451,"MH")</f>
        <v>0</v>
      </c>
      <c r="EQ486" s="2811">
        <f t="shared" si="647"/>
        <v>86000</v>
      </c>
    </row>
    <row r="487" spans="116:147">
      <c r="DL487" s="3180"/>
      <c r="DN487" s="2794" t="s">
        <v>1669</v>
      </c>
      <c r="DO487" s="2795" t="s">
        <v>1670</v>
      </c>
      <c r="DP487" s="2811">
        <f t="shared" si="640"/>
        <v>0</v>
      </c>
      <c r="DQ487" s="2811">
        <f t="shared" si="639"/>
        <v>0</v>
      </c>
      <c r="DR487" s="2811">
        <f t="shared" si="639"/>
        <v>0</v>
      </c>
      <c r="DS487" s="2811">
        <f t="shared" si="641"/>
        <v>0</v>
      </c>
      <c r="DT487" s="2811">
        <f>SUMIFS($AZ$7:$AZ$451,$DR$7:$DR$451,"1",$DN$7:$DN$451,DN487,$DQ$7:$DQ$451,"MH")</f>
        <v>0</v>
      </c>
      <c r="DU487" s="2811">
        <f>SUMIFS($AZ$7:$AZ$451,$DR$7:$DR$451,"3",$DN$7:$DN$451,DN487,$DQ$7:$DQ$451,"MH")</f>
        <v>0</v>
      </c>
      <c r="DV487" s="2811">
        <f>SUMIFS($AZ$7:$AZ$451,$DR$7:$DR$451,"4",$DN$7:$DN$451,DN487,$DQ$7:$DQ$451,"MH")</f>
        <v>0</v>
      </c>
      <c r="DW487" s="2811">
        <f t="shared" si="642"/>
        <v>0</v>
      </c>
      <c r="DX487" s="2811">
        <f>SUMIFS($BN$7:$BN$451,$DR$7:$DR$451,"1",$DN$7:$DN$451,DN487,$DQ$7:$DQ$451,"MH")</f>
        <v>0</v>
      </c>
      <c r="DY487" s="2811">
        <f>SUMIFS($BN$7:$BN$451,$DR$7:$DR$451,"3",$DN$7:$DN$451,DN487,$DQ$7:$DQ$451,"MH")</f>
        <v>0</v>
      </c>
      <c r="DZ487" s="2811">
        <f>SUMIFS($BN$7:$BN$451,$DR$7:$DR$451,"4",$DN$7:$DN$451,DN487,$DQ$7:$DQ$451,"MH")</f>
        <v>0</v>
      </c>
      <c r="EA487" s="2811">
        <f t="shared" si="643"/>
        <v>0</v>
      </c>
      <c r="EB487" s="2811">
        <f>SUMIFS($CB$7:$CB$451,$DR$7:$DR$451,"1",$DN$7:$DN$451,DN487,$DQ$7:$DQ$451,"MH")</f>
        <v>0</v>
      </c>
      <c r="EC487" s="2811">
        <f>SUMIFS($CB$7:$CB$451,$DR$7:$DR$451,"3",$DN$7:$DN$451,DN487,$DQ$7:$DQ$451,"MH")</f>
        <v>0</v>
      </c>
      <c r="ED487" s="2811">
        <f>SUMIFS($CB$7:$CB$451,$DR$7:$DR$451,"4",$DN$7:$DN$451,DN487,$DQ$7:$DQ$451,"MH")</f>
        <v>0</v>
      </c>
      <c r="EE487" s="2811">
        <f t="shared" si="644"/>
        <v>0</v>
      </c>
      <c r="EF487" s="2811">
        <f>SUMIFS($CP$7:$CP$451,$DR$7:$DR$451,"1",$DN$7:$DN$451,DN487,$DQ$7:$DQ$451,"MH")</f>
        <v>0</v>
      </c>
      <c r="EG487" s="2811">
        <f>SUMIFS($CP$7:$CP$451,$DR$7:$DR$451,"3",$DN$7:$DN$451,DN487,$DQ$7:$DQ$451,"MH")</f>
        <v>0</v>
      </c>
      <c r="EH487" s="2811">
        <f>SUMIFS($CP$7:$CP$451,$DR$7:$DR$451,"4",$DN$7:$DN$451,DN487,$DQ$7:$DQ$451,"MH")</f>
        <v>0</v>
      </c>
      <c r="EI487" s="2811">
        <f t="shared" si="645"/>
        <v>0</v>
      </c>
      <c r="EJ487" s="2811">
        <f>SUMIFS($DD$7:$DD$451,$DR$7:$DR$451,"1",$DN$7:$DN$451,DN487,$DQ$7:$DQ$451,"MH")</f>
        <v>0</v>
      </c>
      <c r="EK487" s="2811">
        <f>SUMIFS($DD$7:$DD$451,$DR$7:$DR$451,"3",$DN$7:$DN$451,DN487,$DQ$7:$DQ$451,"MH")</f>
        <v>0</v>
      </c>
      <c r="EL487" s="2811">
        <f>SUMIFS($DD$7:$DD$451,$DR$7:$DR$451,"4",$DN$7:$DN$451,DN487,$DQ$7:$DQ$451,"MH")</f>
        <v>0</v>
      </c>
      <c r="EM487" s="2811">
        <f t="shared" si="646"/>
        <v>0</v>
      </c>
      <c r="EN487" s="2811">
        <f>SUMIFS($DI$7:$DI$451,$DR$7:$DR$451,"1",$DN$7:$DN$451,DN487,$DQ$7:$DQ$451,"MH")</f>
        <v>0</v>
      </c>
      <c r="EO487" s="2811">
        <f>SUMIFS($DI$7:$DI$451,$DR$7:$DR$451,"3",$DN$7:$DN$451,DN487,$DQ$7:$DQ$451,"MH")</f>
        <v>0</v>
      </c>
      <c r="EP487" s="2811">
        <f>SUMIFS($DI$7:$DI$451,$DR$7:$DR$451,"4",$DN$7:$DN$451,DN487,$DQ$7:$DQ$451,"MH")</f>
        <v>0</v>
      </c>
      <c r="EQ487" s="2811">
        <f t="shared" si="647"/>
        <v>0</v>
      </c>
    </row>
    <row r="488" spans="116:147" ht="15">
      <c r="DL488" s="3180"/>
      <c r="DN488" s="2796" t="s">
        <v>1346</v>
      </c>
      <c r="DO488" s="2797" t="s">
        <v>1347</v>
      </c>
      <c r="DP488" s="2811">
        <f t="shared" si="640"/>
        <v>1236000</v>
      </c>
      <c r="DQ488" s="2811">
        <f t="shared" si="639"/>
        <v>554000</v>
      </c>
      <c r="DR488" s="2811">
        <f t="shared" si="639"/>
        <v>0</v>
      </c>
      <c r="DS488" s="2811">
        <f t="shared" si="641"/>
        <v>1790000</v>
      </c>
      <c r="DT488" s="2811">
        <f>SUMIFS($AZ$7:$AZ$451,$DR$7:$DR$451,"1",$DN$7:$DN$451,DN488,$DQ$7:$DQ$451,"MH")</f>
        <v>0</v>
      </c>
      <c r="DU488" s="2811">
        <f>SUMIFS($AZ$7:$AZ$451,$DR$7:$DR$451,"3",$DN$7:$DN$451,DN488,$DQ$7:$DQ$451,"MH")</f>
        <v>0</v>
      </c>
      <c r="DV488" s="2811">
        <f>SUMIFS($AZ$7:$AZ$451,$DR$7:$DR$451,"4",$DN$7:$DN$451,DN488,$DQ$7:$DQ$451,"MH")</f>
        <v>0</v>
      </c>
      <c r="DW488" s="2811">
        <f t="shared" si="642"/>
        <v>0</v>
      </c>
      <c r="DX488" s="2811">
        <f>SUMIFS($BN$7:$BN$451,$DR$7:$DR$451,"1",$DN$7:$DN$451,DN488,$DQ$7:$DQ$451,"MH")</f>
        <v>16000</v>
      </c>
      <c r="DY488" s="2811">
        <f>SUMIFS($BN$7:$BN$451,$DR$7:$DR$451,"3",$DN$7:$DN$451,DN488,$DQ$7:$DQ$451,"MH")</f>
        <v>0</v>
      </c>
      <c r="DZ488" s="2811">
        <f>SUMIFS($BN$7:$BN$451,$DR$7:$DR$451,"4",$DN$7:$DN$451,DN488,$DQ$7:$DQ$451,"MH")</f>
        <v>0</v>
      </c>
      <c r="EA488" s="2811">
        <f t="shared" si="643"/>
        <v>16000</v>
      </c>
      <c r="EB488" s="2811">
        <f>SUMIFS($CB$7:$CB$451,$DR$7:$DR$451,"1",$DN$7:$DN$451,DN488,$DQ$7:$DQ$451,"MH")</f>
        <v>88000</v>
      </c>
      <c r="EC488" s="2811">
        <f>SUMIFS($CB$7:$CB$451,$DR$7:$DR$451,"3",$DN$7:$DN$451,DN488,$DQ$7:$DQ$451,"MH")</f>
        <v>11400</v>
      </c>
      <c r="ED488" s="2811">
        <f>SUMIFS($CB$7:$CB$451,$DR$7:$DR$451,"4",$DN$7:$DN$451,DN488,$DQ$7:$DQ$451,"MH")</f>
        <v>0</v>
      </c>
      <c r="EE488" s="2811">
        <f t="shared" si="644"/>
        <v>99400</v>
      </c>
      <c r="EF488" s="2811">
        <f>SUMIFS($CP$7:$CP$451,$DR$7:$DR$451,"1",$DN$7:$DN$451,DN488,$DQ$7:$DQ$451,"MH")</f>
        <v>804000</v>
      </c>
      <c r="EG488" s="2811">
        <f>SUMIFS($CP$7:$CP$451,$DR$7:$DR$451,"3",$DN$7:$DN$451,DN488,$DQ$7:$DQ$451,"MH")</f>
        <v>307600</v>
      </c>
      <c r="EH488" s="2811">
        <f>SUMIFS($CP$7:$CP$451,$DR$7:$DR$451,"4",$DN$7:$DN$451,DN488,$DQ$7:$DQ$451,"MH")</f>
        <v>0</v>
      </c>
      <c r="EI488" s="2811">
        <f t="shared" si="645"/>
        <v>1111600</v>
      </c>
      <c r="EJ488" s="2811">
        <f>SUMIFS($DD$7:$DD$451,$DR$7:$DR$451,"1",$DN$7:$DN$451,DN488,$DQ$7:$DQ$451,"MH")</f>
        <v>328000</v>
      </c>
      <c r="EK488" s="2811">
        <f>SUMIFS($DD$7:$DD$451,$DR$7:$DR$451,"3",$DN$7:$DN$451,DN488,$DQ$7:$DQ$451,"MH")</f>
        <v>187500</v>
      </c>
      <c r="EL488" s="2811">
        <f>SUMIFS($DD$7:$DD$451,$DR$7:$DR$451,"4",$DN$7:$DN$451,DN488,$DQ$7:$DQ$451,"MH")</f>
        <v>0</v>
      </c>
      <c r="EM488" s="2811">
        <f t="shared" si="646"/>
        <v>515500</v>
      </c>
      <c r="EN488" s="2811">
        <f>SUMIFS($DI$7:$DI$451,$DR$7:$DR$451,"1",$DN$7:$DN$451,DN488,$DQ$7:$DQ$451,"MH")</f>
        <v>0</v>
      </c>
      <c r="EO488" s="2811">
        <f>SUMIFS($DI$7:$DI$451,$DR$7:$DR$451,"3",$DN$7:$DN$451,DN488,$DQ$7:$DQ$451,"MH")</f>
        <v>47500</v>
      </c>
      <c r="EP488" s="2811">
        <f>SUMIFS($DI$7:$DI$451,$DR$7:$DR$451,"4",$DN$7:$DN$451,DN488,$DQ$7:$DQ$451,"MH")</f>
        <v>0</v>
      </c>
      <c r="EQ488" s="2811">
        <f t="shared" si="647"/>
        <v>47500</v>
      </c>
    </row>
    <row r="489" spans="116:147">
      <c r="DL489" s="3180"/>
      <c r="DN489" s="2792" t="s">
        <v>1180</v>
      </c>
      <c r="DO489" s="2793" t="s">
        <v>1181</v>
      </c>
      <c r="DP489" s="2811">
        <f t="shared" si="640"/>
        <v>22170834.000080001</v>
      </c>
      <c r="DQ489" s="2811">
        <f t="shared" si="639"/>
        <v>4732500</v>
      </c>
      <c r="DR489" s="2811">
        <f t="shared" si="639"/>
        <v>0</v>
      </c>
      <c r="DS489" s="2811">
        <f t="shared" si="641"/>
        <v>26903334.000080001</v>
      </c>
      <c r="DT489" s="2811">
        <f>SUMIFS($AZ$7:$AZ$451,$DR$7:$DR$451,"1",$DN$7:$DN$451,DN489,$DQ$7:$DQ$451,"MH")</f>
        <v>0</v>
      </c>
      <c r="DU489" s="2811">
        <f>SUMIFS($AZ$7:$AZ$451,$DR$7:$DR$451,"3",$DN$7:$DN$451,DN489,$DQ$7:$DQ$451,"MH")</f>
        <v>0</v>
      </c>
      <c r="DV489" s="2811">
        <f>SUMIFS($AZ$7:$AZ$451,$DR$7:$DR$451,"4",$DN$7:$DN$451,DN489,$DQ$7:$DQ$451,"MH")</f>
        <v>0</v>
      </c>
      <c r="DW489" s="2811">
        <f t="shared" si="642"/>
        <v>0</v>
      </c>
      <c r="DX489" s="2811">
        <f>SUMIFS($BN$7:$BN$451,$DR$7:$DR$451,"1",$DN$7:$DN$451,DN489,$DQ$7:$DQ$451,"MH")</f>
        <v>496213.96663999994</v>
      </c>
      <c r="DY489" s="2811">
        <f>SUMIFS($BN$7:$BN$451,$DR$7:$DR$451,"3",$DN$7:$DN$451,DN489,$DQ$7:$DQ$451,"MH")</f>
        <v>54000</v>
      </c>
      <c r="DZ489" s="2811">
        <f>SUMIFS($BN$7:$BN$451,$DR$7:$DR$451,"4",$DN$7:$DN$451,DN489,$DQ$7:$DQ$451,"MH")</f>
        <v>0</v>
      </c>
      <c r="EA489" s="2811">
        <f t="shared" si="643"/>
        <v>550213.96664</v>
      </c>
      <c r="EB489" s="2811">
        <f>SUMIFS($CB$7:$CB$451,$DR$7:$DR$451,"1",$DN$7:$DN$451,DN489,$DQ$7:$DQ$451,"MH")</f>
        <v>1431033.7734400004</v>
      </c>
      <c r="EC489" s="2811">
        <f>SUMIFS($CB$7:$CB$451,$DR$7:$DR$451,"3",$DN$7:$DN$451,DN489,$DQ$7:$DQ$451,"MH")</f>
        <v>330000</v>
      </c>
      <c r="ED489" s="2811">
        <f>SUMIFS($CB$7:$CB$451,$DR$7:$DR$451,"4",$DN$7:$DN$451,DN489,$DQ$7:$DQ$451,"MH")</f>
        <v>0</v>
      </c>
      <c r="EE489" s="2811">
        <f t="shared" si="644"/>
        <v>1761033.7734400004</v>
      </c>
      <c r="EF489" s="2811">
        <f>SUMIFS($CP$7:$CP$451,$DR$7:$DR$451,"1",$DN$7:$DN$451,DN489,$DQ$7:$DQ$451,"MH")</f>
        <v>9351999.1933333334</v>
      </c>
      <c r="EG489" s="2811">
        <f>SUMIFS($CP$7:$CP$451,$DR$7:$DR$451,"3",$DN$7:$DN$451,DN489,$DQ$7:$DQ$451,"MH")</f>
        <v>2281600.1799999997</v>
      </c>
      <c r="EH489" s="2811">
        <f>SUMIFS($CP$7:$CP$451,$DR$7:$DR$451,"4",$DN$7:$DN$451,DN489,$DQ$7:$DQ$451,"MH")</f>
        <v>0</v>
      </c>
      <c r="EI489" s="2811">
        <f t="shared" si="645"/>
        <v>11633599.373333333</v>
      </c>
      <c r="EJ489" s="2811">
        <f>SUMIFS($DD$7:$DD$451,$DR$7:$DR$451,"1",$DN$7:$DN$451,DN489,$DQ$7:$DQ$451,"MH")</f>
        <v>10891587.066666666</v>
      </c>
      <c r="EK489" s="2811">
        <f>SUMIFS($DD$7:$DD$451,$DR$7:$DR$451,"3",$DN$7:$DN$451,DN489,$DQ$7:$DQ$451,"MH")</f>
        <v>1577899.8199999998</v>
      </c>
      <c r="EL489" s="2811">
        <f>SUMIFS($DD$7:$DD$451,$DR$7:$DR$451,"4",$DN$7:$DN$451,DN489,$DQ$7:$DQ$451,"MH")</f>
        <v>0</v>
      </c>
      <c r="EM489" s="2811">
        <f t="shared" si="646"/>
        <v>12469486.886666667</v>
      </c>
      <c r="EN489" s="2811">
        <f>SUMIFS($DI$7:$DI$451,$DR$7:$DR$451,"1",$DN$7:$DN$451,DN489,$DQ$7:$DQ$451,"MH")</f>
        <v>0</v>
      </c>
      <c r="EO489" s="2811">
        <f>SUMIFS($DI$7:$DI$451,$DR$7:$DR$451,"3",$DN$7:$DN$451,DN489,$DQ$7:$DQ$451,"MH")</f>
        <v>489000</v>
      </c>
      <c r="EP489" s="2811">
        <f>SUMIFS($DI$7:$DI$451,$DR$7:$DR$451,"4",$DN$7:$DN$451,DN489,$DQ$7:$DQ$451,"MH")</f>
        <v>0</v>
      </c>
      <c r="EQ489" s="2811">
        <f t="shared" si="647"/>
        <v>489000</v>
      </c>
    </row>
    <row r="490" spans="116:147">
      <c r="DL490" s="3180"/>
      <c r="DN490" s="2792" t="s">
        <v>1283</v>
      </c>
      <c r="DO490" s="2793" t="s">
        <v>1284</v>
      </c>
      <c r="DP490" s="2811">
        <f t="shared" si="640"/>
        <v>636031</v>
      </c>
      <c r="DQ490" s="2811">
        <f t="shared" si="639"/>
        <v>686000</v>
      </c>
      <c r="DR490" s="2811">
        <f t="shared" si="639"/>
        <v>0</v>
      </c>
      <c r="DS490" s="2811">
        <f t="shared" si="641"/>
        <v>1322031</v>
      </c>
      <c r="DT490" s="2811">
        <f>SUMIFS($AZ$7:$AZ$451,$DR$7:$DR$451,"1",$DN$7:$DN$451,DN490,$DQ$7:$DQ$451,"MH")</f>
        <v>0</v>
      </c>
      <c r="DU490" s="2811">
        <f>SUMIFS($AZ$7:$AZ$451,$DR$7:$DR$451,"3",$DN$7:$DN$451,DN490,$DQ$7:$DQ$451,"MH")</f>
        <v>0</v>
      </c>
      <c r="DV490" s="2811">
        <f>SUMIFS($AZ$7:$AZ$451,$DR$7:$DR$451,"4",$DN$7:$DN$451,DN490,$DQ$7:$DQ$451,"MH")</f>
        <v>0</v>
      </c>
      <c r="DW490" s="2811">
        <f t="shared" si="642"/>
        <v>0</v>
      </c>
      <c r="DX490" s="2811">
        <f>SUMIFS($BN$7:$BN$451,$DR$7:$DR$451,"1",$DN$7:$DN$451,DN490,$DQ$7:$DQ$451,"MH")</f>
        <v>0</v>
      </c>
      <c r="DY490" s="2811">
        <f>SUMIFS($BN$7:$BN$451,$DR$7:$DR$451,"3",$DN$7:$DN$451,DN490,$DQ$7:$DQ$451,"MH")</f>
        <v>14000</v>
      </c>
      <c r="DZ490" s="2811">
        <f>SUMIFS($BN$7:$BN$451,$DR$7:$DR$451,"4",$DN$7:$DN$451,DN490,$DQ$7:$DQ$451,"MH")</f>
        <v>0</v>
      </c>
      <c r="EA490" s="2811">
        <f t="shared" si="643"/>
        <v>14000</v>
      </c>
      <c r="EB490" s="2811">
        <f>SUMIFS($CB$7:$CB$451,$DR$7:$DR$451,"1",$DN$7:$DN$451,DN490,$DQ$7:$DQ$451,"MH")</f>
        <v>134246.70000000001</v>
      </c>
      <c r="EC490" s="2811">
        <f>SUMIFS($CB$7:$CB$451,$DR$7:$DR$451,"3",$DN$7:$DN$451,DN490,$DQ$7:$DQ$451,"MH")</f>
        <v>42000</v>
      </c>
      <c r="ED490" s="2811">
        <f>SUMIFS($CB$7:$CB$451,$DR$7:$DR$451,"4",$DN$7:$DN$451,DN490,$DQ$7:$DQ$451,"MH")</f>
        <v>0</v>
      </c>
      <c r="EE490" s="2811">
        <f t="shared" si="644"/>
        <v>176246.7</v>
      </c>
      <c r="EF490" s="2811">
        <f>SUMIFS($CP$7:$CP$451,$DR$7:$DR$451,"1",$DN$7:$DN$451,DN490,$DQ$7:$DQ$451,"MH")</f>
        <v>271659.3</v>
      </c>
      <c r="EG490" s="2811">
        <f>SUMIFS($CP$7:$CP$451,$DR$7:$DR$451,"3",$DN$7:$DN$451,DN490,$DQ$7:$DQ$451,"MH")</f>
        <v>318500</v>
      </c>
      <c r="EH490" s="2811">
        <f>SUMIFS($CP$7:$CP$451,$DR$7:$DR$451,"4",$DN$7:$DN$451,DN490,$DQ$7:$DQ$451,"MH")</f>
        <v>0</v>
      </c>
      <c r="EI490" s="2811">
        <f t="shared" si="645"/>
        <v>590159.30000000005</v>
      </c>
      <c r="EJ490" s="2811">
        <f>SUMIFS($DD$7:$DD$451,$DR$7:$DR$451,"1",$DN$7:$DN$451,DN490,$DQ$7:$DQ$451,"MH")</f>
        <v>230125</v>
      </c>
      <c r="EK490" s="2811">
        <f>SUMIFS($DD$7:$DD$451,$DR$7:$DR$451,"3",$DN$7:$DN$451,DN490,$DQ$7:$DQ$451,"MH")</f>
        <v>249200</v>
      </c>
      <c r="EL490" s="2811">
        <f>SUMIFS($DD$7:$DD$451,$DR$7:$DR$451,"4",$DN$7:$DN$451,DN490,$DQ$7:$DQ$451,"MH")</f>
        <v>0</v>
      </c>
      <c r="EM490" s="2811">
        <f t="shared" si="646"/>
        <v>479325</v>
      </c>
      <c r="EN490" s="2811">
        <f>SUMIFS($DI$7:$DI$451,$DR$7:$DR$451,"1",$DN$7:$DN$451,DN490,$DQ$7:$DQ$451,"MH")</f>
        <v>0</v>
      </c>
      <c r="EO490" s="2811">
        <f>SUMIFS($DI$7:$DI$451,$DR$7:$DR$451,"3",$DN$7:$DN$451,DN490,$DQ$7:$DQ$451,"MH")</f>
        <v>62300</v>
      </c>
      <c r="EP490" s="2811">
        <f>SUMIFS($DI$7:$DI$451,$DR$7:$DR$451,"4",$DN$7:$DN$451,DN490,$DQ$7:$DQ$451,"MH")</f>
        <v>0</v>
      </c>
      <c r="EQ490" s="2811">
        <f t="shared" si="647"/>
        <v>62300</v>
      </c>
    </row>
    <row r="491" spans="116:147">
      <c r="DL491" s="3180"/>
      <c r="DN491" s="2798" t="s">
        <v>1331</v>
      </c>
      <c r="DO491" s="2795" t="s">
        <v>1332</v>
      </c>
      <c r="DP491" s="2811">
        <f t="shared" si="640"/>
        <v>1451589.3299999998</v>
      </c>
      <c r="DQ491" s="2811">
        <f t="shared" si="639"/>
        <v>0</v>
      </c>
      <c r="DR491" s="2811">
        <f t="shared" si="639"/>
        <v>0</v>
      </c>
      <c r="DS491" s="2811">
        <f t="shared" si="641"/>
        <v>1451589.3299999998</v>
      </c>
      <c r="DT491" s="2811">
        <f>SUMIFS($AZ$7:$AZ$451,$DR$7:$DR$451,"1",$DN$7:$DN$451,DN491,$DQ$7:$DQ$451,"MH")</f>
        <v>0</v>
      </c>
      <c r="DU491" s="2811">
        <f>SUMIFS($AZ$7:$AZ$451,$DR$7:$DR$451,"3",$DN$7:$DN$451,DN491,$DQ$7:$DQ$451,"MH")</f>
        <v>0</v>
      </c>
      <c r="DV491" s="2811">
        <f>SUMIFS($AZ$7:$AZ$451,$DR$7:$DR$451,"4",$DN$7:$DN$451,DN491,$DQ$7:$DQ$451,"MH")</f>
        <v>0</v>
      </c>
      <c r="DW491" s="2811">
        <f t="shared" si="642"/>
        <v>0</v>
      </c>
      <c r="DX491" s="2811">
        <f>SUMIFS($BN$7:$BN$451,$DR$7:$DR$451,"1",$DN$7:$DN$451,DN491,$DQ$7:$DQ$451,"MH")</f>
        <v>317980.51</v>
      </c>
      <c r="DY491" s="2811">
        <f>SUMIFS($BN$7:$BN$451,$DR$7:$DR$451,"3",$DN$7:$DN$451,DN491,$DQ$7:$DQ$451,"MH")</f>
        <v>0</v>
      </c>
      <c r="DZ491" s="2811">
        <f>SUMIFS($BN$7:$BN$451,$DR$7:$DR$451,"4",$DN$7:$DN$451,DN491,$DQ$7:$DQ$451,"MH")</f>
        <v>0</v>
      </c>
      <c r="EA491" s="2811">
        <f t="shared" si="643"/>
        <v>317980.51</v>
      </c>
      <c r="EB491" s="2811">
        <f>SUMIFS($CB$7:$CB$451,$DR$7:$DR$451,"1",$DN$7:$DN$451,DN491,$DQ$7:$DQ$451,"MH")</f>
        <v>1053608.8199999998</v>
      </c>
      <c r="EC491" s="2811">
        <f>SUMIFS($CB$7:$CB$451,$DR$7:$DR$451,"3",$DN$7:$DN$451,DN491,$DQ$7:$DQ$451,"MH")</f>
        <v>0</v>
      </c>
      <c r="ED491" s="2811">
        <f>SUMIFS($CB$7:$CB$451,$DR$7:$DR$451,"4",$DN$7:$DN$451,DN491,$DQ$7:$DQ$451,"MH")</f>
        <v>0</v>
      </c>
      <c r="EE491" s="2811">
        <f t="shared" si="644"/>
        <v>1053608.8199999998</v>
      </c>
      <c r="EF491" s="2811">
        <f>SUMIFS($CP$7:$CP$451,$DR$7:$DR$451,"1",$DN$7:$DN$451,DN491,$DQ$7:$DQ$451,"MH")</f>
        <v>0</v>
      </c>
      <c r="EG491" s="2811">
        <f>SUMIFS($CP$7:$CP$451,$DR$7:$DR$451,"3",$DN$7:$DN$451,DN491,$DQ$7:$DQ$451,"MH")</f>
        <v>0</v>
      </c>
      <c r="EH491" s="2811">
        <f>SUMIFS($CP$7:$CP$451,$DR$7:$DR$451,"4",$DN$7:$DN$451,DN491,$DQ$7:$DQ$451,"MH")</f>
        <v>0</v>
      </c>
      <c r="EI491" s="2811">
        <f t="shared" si="645"/>
        <v>0</v>
      </c>
      <c r="EJ491" s="2811">
        <f>SUMIFS($DD$7:$DD$451,$DR$7:$DR$451,"1",$DN$7:$DN$451,DN491,$DQ$7:$DQ$451,"MH")</f>
        <v>80000</v>
      </c>
      <c r="EK491" s="2811">
        <f>SUMIFS($DD$7:$DD$451,$DR$7:$DR$451,"3",$DN$7:$DN$451,DN491,$DQ$7:$DQ$451,"MH")</f>
        <v>0</v>
      </c>
      <c r="EL491" s="2811">
        <f>SUMIFS($DD$7:$DD$451,$DR$7:$DR$451,"4",$DN$7:$DN$451,DN491,$DQ$7:$DQ$451,"MH")</f>
        <v>0</v>
      </c>
      <c r="EM491" s="2811">
        <f t="shared" si="646"/>
        <v>80000</v>
      </c>
      <c r="EN491" s="2811">
        <f>SUMIFS($DI$7:$DI$451,$DR$7:$DR$451,"1",$DN$7:$DN$451,DN491,$DQ$7:$DQ$451,"MH")</f>
        <v>0</v>
      </c>
      <c r="EO491" s="2811">
        <f>SUMIFS($DI$7:$DI$451,$DR$7:$DR$451,"3",$DN$7:$DN$451,DN491,$DQ$7:$DQ$451,"MH")</f>
        <v>0</v>
      </c>
      <c r="EP491" s="2811">
        <f>SUMIFS($DI$7:$DI$451,$DR$7:$DR$451,"4",$DN$7:$DN$451,DN491,$DQ$7:$DQ$451,"MH")</f>
        <v>0</v>
      </c>
      <c r="EQ491" s="2811">
        <f t="shared" si="647"/>
        <v>0</v>
      </c>
    </row>
    <row r="492" spans="116:147" ht="15">
      <c r="DL492" s="3180"/>
      <c r="DN492" s="2799" t="s">
        <v>1303</v>
      </c>
      <c r="DO492" s="2800" t="s">
        <v>1304</v>
      </c>
      <c r="DP492" s="2811">
        <f t="shared" si="640"/>
        <v>7255038</v>
      </c>
      <c r="DQ492" s="2811">
        <f t="shared" si="639"/>
        <v>0</v>
      </c>
      <c r="DR492" s="2811">
        <f t="shared" si="639"/>
        <v>0</v>
      </c>
      <c r="DS492" s="2811">
        <f t="shared" si="641"/>
        <v>7255038</v>
      </c>
      <c r="DT492" s="2811">
        <f>SUMIFS($AZ$7:$AZ$451,$DR$7:$DR$451,"1",$DN$7:$DN$451,DN492,$DQ$7:$DQ$451,"MH")</f>
        <v>0</v>
      </c>
      <c r="DU492" s="2811">
        <f>SUMIFS($AZ$7:$AZ$451,$DR$7:$DR$451,"3",$DN$7:$DN$451,DN492,$DQ$7:$DQ$451,"MH")</f>
        <v>0</v>
      </c>
      <c r="DV492" s="2811">
        <f>SUMIFS($AZ$7:$AZ$451,$DR$7:$DR$451,"4",$DN$7:$DN$451,DN492,$DQ$7:$DQ$451,"MH")</f>
        <v>0</v>
      </c>
      <c r="DW492" s="2811">
        <f t="shared" si="642"/>
        <v>0</v>
      </c>
      <c r="DX492" s="2811">
        <f>SUMIFS($BN$7:$BN$451,$DR$7:$DR$451,"1",$DN$7:$DN$451,DN492,$DQ$7:$DQ$451,"MH")</f>
        <v>0</v>
      </c>
      <c r="DY492" s="2811">
        <f>SUMIFS($BN$7:$BN$451,$DR$7:$DR$451,"3",$DN$7:$DN$451,DN492,$DQ$7:$DQ$451,"MH")</f>
        <v>0</v>
      </c>
      <c r="DZ492" s="2811">
        <f>SUMIFS($BN$7:$BN$451,$DR$7:$DR$451,"4",$DN$7:$DN$451,DN492,$DQ$7:$DQ$451,"MH")</f>
        <v>0</v>
      </c>
      <c r="EA492" s="2811">
        <f t="shared" si="643"/>
        <v>0</v>
      </c>
      <c r="EB492" s="2811">
        <f>SUMIFS($CB$7:$CB$451,$DR$7:$DR$451,"1",$DN$7:$DN$451,DN492,$DQ$7:$DQ$451,"MH")</f>
        <v>0</v>
      </c>
      <c r="EC492" s="2811">
        <f>SUMIFS($CB$7:$CB$451,$DR$7:$DR$451,"3",$DN$7:$DN$451,DN492,$DQ$7:$DQ$451,"MH")</f>
        <v>0</v>
      </c>
      <c r="ED492" s="2811">
        <f>SUMIFS($CB$7:$CB$451,$DR$7:$DR$451,"4",$DN$7:$DN$451,DN492,$DQ$7:$DQ$451,"MH")</f>
        <v>0</v>
      </c>
      <c r="EE492" s="2811">
        <f t="shared" si="644"/>
        <v>0</v>
      </c>
      <c r="EF492" s="2811">
        <f>SUMIFS($CP$7:$CP$451,$DR$7:$DR$451,"1",$DN$7:$DN$451,DN492,$DQ$7:$DQ$451,"MH")</f>
        <v>4431007.5999999996</v>
      </c>
      <c r="EG492" s="2811">
        <f>SUMIFS($CP$7:$CP$451,$DR$7:$DR$451,"3",$DN$7:$DN$451,DN492,$DQ$7:$DQ$451,"MH")</f>
        <v>0</v>
      </c>
      <c r="EH492" s="2811">
        <f>SUMIFS($CP$7:$CP$451,$DR$7:$DR$451,"4",$DN$7:$DN$451,DN492,$DQ$7:$DQ$451,"MH")</f>
        <v>0</v>
      </c>
      <c r="EI492" s="2811">
        <f t="shared" si="645"/>
        <v>4431007.5999999996</v>
      </c>
      <c r="EJ492" s="2811">
        <f>SUMIFS($DD$7:$DD$451,$DR$7:$DR$451,"1",$DN$7:$DN$451,DN492,$DQ$7:$DQ$451,"MH")</f>
        <v>2824030.4</v>
      </c>
      <c r="EK492" s="2811">
        <f>SUMIFS($DD$7:$DD$451,$DR$7:$DR$451,"3",$DN$7:$DN$451,DN492,$DQ$7:$DQ$451,"MH")</f>
        <v>0</v>
      </c>
      <c r="EL492" s="2811">
        <f>SUMIFS($DD$7:$DD$451,$DR$7:$DR$451,"4",$DN$7:$DN$451,DN492,$DQ$7:$DQ$451,"MH")</f>
        <v>0</v>
      </c>
      <c r="EM492" s="2811">
        <f t="shared" si="646"/>
        <v>2824030.4</v>
      </c>
      <c r="EN492" s="2811">
        <f>SUMIFS($DI$7:$DI$451,$DR$7:$DR$451,"1",$DN$7:$DN$451,DN492,$DQ$7:$DQ$451,"MH")</f>
        <v>0</v>
      </c>
      <c r="EO492" s="2811">
        <f>SUMIFS($DI$7:$DI$451,$DR$7:$DR$451,"3",$DN$7:$DN$451,DN492,$DQ$7:$DQ$451,"MH")</f>
        <v>0</v>
      </c>
      <c r="EP492" s="2811">
        <f>SUMIFS($DI$7:$DI$451,$DR$7:$DR$451,"4",$DN$7:$DN$451,DN492,$DQ$7:$DQ$451,"MH")</f>
        <v>0</v>
      </c>
      <c r="EQ492" s="2811">
        <f t="shared" si="647"/>
        <v>0</v>
      </c>
    </row>
    <row r="493" spans="116:147">
      <c r="DL493" s="3180"/>
      <c r="DP493" s="2812">
        <f t="shared" ref="DP493:EQ493" si="648">SUM(DP484:DP492)</f>
        <v>32829492.330079999</v>
      </c>
      <c r="DQ493" s="2812">
        <f t="shared" si="648"/>
        <v>6358500</v>
      </c>
      <c r="DR493" s="2812">
        <f t="shared" si="648"/>
        <v>0</v>
      </c>
      <c r="DS493" s="2812">
        <f t="shared" si="648"/>
        <v>39187992.330080003</v>
      </c>
      <c r="DT493" s="2812">
        <f t="shared" si="648"/>
        <v>0</v>
      </c>
      <c r="DU493" s="2812">
        <f t="shared" si="648"/>
        <v>0</v>
      </c>
      <c r="DV493" s="2812">
        <f t="shared" si="648"/>
        <v>0</v>
      </c>
      <c r="DW493" s="2812">
        <f t="shared" si="648"/>
        <v>0</v>
      </c>
      <c r="DX493" s="2812">
        <f t="shared" si="648"/>
        <v>858194.47664000001</v>
      </c>
      <c r="DY493" s="2812">
        <f t="shared" si="648"/>
        <v>68000</v>
      </c>
      <c r="DZ493" s="2812">
        <f t="shared" si="648"/>
        <v>0</v>
      </c>
      <c r="EA493" s="2812">
        <f t="shared" si="648"/>
        <v>926194.47664000001</v>
      </c>
      <c r="EB493" s="2812">
        <f t="shared" si="648"/>
        <v>2758889.2934400002</v>
      </c>
      <c r="EC493" s="2812">
        <f t="shared" si="648"/>
        <v>608400</v>
      </c>
      <c r="ED493" s="2812">
        <f t="shared" si="648"/>
        <v>0</v>
      </c>
      <c r="EE493" s="2812">
        <f t="shared" si="648"/>
        <v>3367289.2934400006</v>
      </c>
      <c r="EF493" s="2812">
        <f t="shared" si="648"/>
        <v>14858666.093333334</v>
      </c>
      <c r="EG493" s="2812">
        <f t="shared" si="648"/>
        <v>2976700.1799999997</v>
      </c>
      <c r="EH493" s="2812">
        <f t="shared" si="648"/>
        <v>0</v>
      </c>
      <c r="EI493" s="2812">
        <f t="shared" si="648"/>
        <v>17835366.273333333</v>
      </c>
      <c r="EJ493" s="2812">
        <f t="shared" si="648"/>
        <v>14353742.466666667</v>
      </c>
      <c r="EK493" s="2812">
        <f t="shared" si="648"/>
        <v>2020599.8199999998</v>
      </c>
      <c r="EL493" s="2812">
        <f t="shared" si="648"/>
        <v>0</v>
      </c>
      <c r="EM493" s="2812">
        <f t="shared" si="648"/>
        <v>16374342.286666667</v>
      </c>
      <c r="EN493" s="2812">
        <f t="shared" si="648"/>
        <v>0</v>
      </c>
      <c r="EO493" s="2812">
        <f t="shared" si="648"/>
        <v>684800</v>
      </c>
      <c r="EP493" s="2812">
        <f t="shared" si="648"/>
        <v>0</v>
      </c>
      <c r="EQ493" s="2812">
        <f t="shared" si="648"/>
        <v>684800</v>
      </c>
    </row>
    <row r="494" spans="116:147">
      <c r="DL494" s="3180"/>
      <c r="DR494" s="152"/>
      <c r="DS494" s="152"/>
      <c r="DT494" s="152"/>
      <c r="DU494" s="152"/>
    </row>
    <row r="495" spans="116:147">
      <c r="DL495" s="3180"/>
      <c r="DR495" s="152"/>
      <c r="DS495" s="152"/>
      <c r="DT495" s="152"/>
      <c r="DU495" s="152"/>
      <c r="DW495" s="2237">
        <f>DW493-DS477</f>
        <v>0</v>
      </c>
      <c r="EA495" s="2237">
        <f>EA493-DV477</f>
        <v>-40000</v>
      </c>
      <c r="EE495" s="2237">
        <f>EE493-DY477</f>
        <v>-255167.99999999953</v>
      </c>
      <c r="EI495" s="2237">
        <f>EI493-EB477</f>
        <v>-1945663.8016799986</v>
      </c>
      <c r="EM495" s="2237">
        <f>EM493-EE477</f>
        <v>-737168.46992000006</v>
      </c>
      <c r="EQ495" s="2237">
        <f>EQ493-EH477</f>
        <v>0</v>
      </c>
    </row>
    <row r="496" spans="116:147">
      <c r="DL496" s="3180"/>
    </row>
    <row r="497" spans="116:137">
      <c r="DL497" s="3180"/>
      <c r="DP497" s="4048" t="s">
        <v>1724</v>
      </c>
      <c r="DQ497" s="4049"/>
      <c r="DR497" s="4049"/>
      <c r="DS497" s="4049"/>
      <c r="DT497" s="4049"/>
      <c r="DU497" s="4050"/>
      <c r="DV497" s="4029" t="s">
        <v>1725</v>
      </c>
      <c r="DW497" s="4030"/>
      <c r="DX497" s="4030"/>
      <c r="DY497" s="4030"/>
      <c r="DZ497" s="4030"/>
      <c r="EA497" s="4031"/>
      <c r="EB497" s="4057" t="s">
        <v>1726</v>
      </c>
      <c r="EC497" s="4058"/>
      <c r="ED497" s="4058"/>
      <c r="EE497" s="4058"/>
      <c r="EF497" s="4058"/>
      <c r="EG497" s="4059"/>
    </row>
    <row r="498" spans="116:137" ht="30">
      <c r="DL498" s="3180"/>
      <c r="DN498" s="2813" t="s">
        <v>1155</v>
      </c>
      <c r="DO498" s="2813" t="s">
        <v>1156</v>
      </c>
      <c r="DP498" s="2814" t="s">
        <v>1115</v>
      </c>
      <c r="DQ498" s="2814" t="s">
        <v>1117</v>
      </c>
      <c r="DR498" s="2814" t="s">
        <v>1124</v>
      </c>
      <c r="DS498" s="2814" t="s">
        <v>1160</v>
      </c>
      <c r="DT498" s="2814" t="s">
        <v>1173</v>
      </c>
      <c r="DU498" s="2814" t="s">
        <v>1715</v>
      </c>
      <c r="DV498" s="2815" t="s">
        <v>1115</v>
      </c>
      <c r="DW498" s="2815" t="s">
        <v>1117</v>
      </c>
      <c r="DX498" s="2815" t="s">
        <v>1124</v>
      </c>
      <c r="DY498" s="2815" t="s">
        <v>1160</v>
      </c>
      <c r="DZ498" s="2815" t="s">
        <v>1173</v>
      </c>
      <c r="EA498" s="2815" t="s">
        <v>487</v>
      </c>
      <c r="EB498" s="2816" t="s">
        <v>1115</v>
      </c>
      <c r="EC498" s="2816" t="s">
        <v>1117</v>
      </c>
      <c r="ED498" s="2816" t="s">
        <v>1124</v>
      </c>
      <c r="EE498" s="2816" t="s">
        <v>1160</v>
      </c>
      <c r="EF498" s="2816" t="s">
        <v>1173</v>
      </c>
      <c r="EG498" s="2816" t="s">
        <v>487</v>
      </c>
    </row>
    <row r="499" spans="116:137">
      <c r="DL499" s="3180"/>
      <c r="DN499" s="2788" t="s">
        <v>1597</v>
      </c>
      <c r="DO499" s="2789" t="s">
        <v>1598</v>
      </c>
      <c r="DP499" s="2811">
        <f>DV499+EB499</f>
        <v>0</v>
      </c>
      <c r="DQ499" s="2811">
        <f>DW499+EC499</f>
        <v>0</v>
      </c>
      <c r="DR499" s="2811">
        <f>DX499+ED499</f>
        <v>0</v>
      </c>
      <c r="DS499" s="2811">
        <f>DY499+EE499</f>
        <v>0</v>
      </c>
      <c r="DT499" s="2811">
        <f>DZ499+EF499</f>
        <v>0</v>
      </c>
      <c r="DU499" s="2811">
        <f>SUM(DP499:DT499)</f>
        <v>0</v>
      </c>
      <c r="DV499" s="2811">
        <f>SUMIFS($AZ$7:$AZ$451,$DP$7:$DP$451,$DV$498,$DN$7:$DN$451,DN499,$DQ$7:$DQ$451,"MH")</f>
        <v>0</v>
      </c>
      <c r="DW499" s="2811">
        <f>SUMIFS($AZ$7:$AZ$451,$DP$7:$DP$451,$DW$498,$DN$7:$DN$451,DN499,$DQ$7:$DQ$451,"MH")</f>
        <v>0</v>
      </c>
      <c r="DX499" s="2811">
        <f>SUMIFS($AZ$7:$AZ$451,$DP$7:$DP$451,$DX$498,$DN$7:$DN$451,DN499,$DQ$7:$DQ$451,"MH")</f>
        <v>0</v>
      </c>
      <c r="DY499" s="2811">
        <f>SUMIFS($AZ$7:$AZ$451,$DP$7:$DP$451,$DY$498,$DN$7:$DN$451,DN499,$DQ$7:$DQ$451,"MH")</f>
        <v>0</v>
      </c>
      <c r="DZ499" s="2811">
        <f>SUMIFS($AZ$7:$AZ$451,$DP$7:$DP$451,$DZ$498,$DN$7:$DN$451,DN499,$DQ$7:$DQ$451,"MH")</f>
        <v>0</v>
      </c>
      <c r="EA499" s="2811">
        <f t="shared" ref="EA499:EA507" si="649">SUM(DV499:DZ499)</f>
        <v>0</v>
      </c>
      <c r="EB499" s="2811">
        <f>SUMIFS($AZ$7:$AZ$451,$DP$7:$DP$451,$EB$498,$DN$7:$DN$451,DN499,$DQ$7:$DQ$451,"CGR")</f>
        <v>0</v>
      </c>
      <c r="EC499" s="2811">
        <f>SUMIFS($AZ$7:$AZ$451,$DP$7:$DP$451,$EC$498,$DN$7:$DN$451,DN501,$DQ$7:$DQ$451,"CGR")</f>
        <v>0</v>
      </c>
      <c r="ED499" s="2811">
        <f>SUMIFS($AZ$7:$AZ$451,$DP$7:$DP$451,$ED$498,$DN$7:$DN$451,DN499,$DQ$7:$DQ$451,"CGR")</f>
        <v>0</v>
      </c>
      <c r="EE499" s="2811">
        <f>SUMIFS($AZ$7:$AZ$451,$DP$7:$DP$451,$EE$498,$DN$7:$DN$451,DN499,$DQ$7:$DQ$451,"CGR")</f>
        <v>0</v>
      </c>
      <c r="EF499" s="2811">
        <f>SUMIFS($AZ$7:$AZ$451,$DP$7:$DP$451,$EF$498,$DN$7:$DN$451,DN499,$DQ$7:$DQ$451,"CGR")</f>
        <v>0</v>
      </c>
      <c r="EG499" s="2811">
        <f t="shared" ref="EG499:EG507" si="650">SUM(EB499:EF499)</f>
        <v>0</v>
      </c>
    </row>
    <row r="500" spans="116:137">
      <c r="DL500" s="3180"/>
      <c r="DN500" s="2792" t="s">
        <v>1535</v>
      </c>
      <c r="DO500" s="2793" t="s">
        <v>1536</v>
      </c>
      <c r="DP500" s="2811">
        <f t="shared" ref="DP500:DT507" si="651">DV500+EB500</f>
        <v>0</v>
      </c>
      <c r="DQ500" s="2811">
        <f t="shared" si="651"/>
        <v>0</v>
      </c>
      <c r="DR500" s="2811">
        <f t="shared" si="651"/>
        <v>0</v>
      </c>
      <c r="DS500" s="2811">
        <f t="shared" si="651"/>
        <v>0</v>
      </c>
      <c r="DT500" s="2811">
        <f t="shared" si="651"/>
        <v>0</v>
      </c>
      <c r="DU500" s="2811">
        <f t="shared" ref="DU500:DU507" si="652">SUM(DP500:DT500)</f>
        <v>0</v>
      </c>
      <c r="DV500" s="2811">
        <f>SUMIFS($AZ$7:$AZ$451,$DP$7:$DP$451,$DV$498,$DN$7:$DN$451,DN500,$DQ$7:$DQ$451,"MH")</f>
        <v>0</v>
      </c>
      <c r="DW500" s="2811">
        <f>SUMIFS($AZ$7:$AZ$451,$DP$7:$DP$451,$DW$498,$DN$7:$DN$451,DN500,$DQ$7:$DQ$451,"MH")</f>
        <v>0</v>
      </c>
      <c r="DX500" s="2811">
        <f>SUMIFS($AZ$7:$AZ$451,$DP$7:$DP$451,$DX$498,$DN$7:$DN$451,DN500,$DQ$7:$DQ$451,"MH")</f>
        <v>0</v>
      </c>
      <c r="DY500" s="2811">
        <f>SUMIFS($AZ$7:$AZ$451,$DP$7:$DP$451,$DY$498,$DN$7:$DN$451,DN500,$DQ$7:$DQ$451,"MH")</f>
        <v>0</v>
      </c>
      <c r="DZ500" s="2811">
        <f>SUMIFS($AZ$7:$AZ$451,$DP$7:$DP$451,$DZ$498,$DN$7:$DN$451,DN500,$DQ$7:$DQ$451,"MH")</f>
        <v>0</v>
      </c>
      <c r="EA500" s="2811">
        <f t="shared" si="649"/>
        <v>0</v>
      </c>
      <c r="EB500" s="2811">
        <f>SUMIFS($AZ$7:$AZ$451,$DP$7:$DP$451,$EB$498,$DN$7:$DN$451,DN500,$DQ$7:$DQ$451,"CGR")</f>
        <v>0</v>
      </c>
      <c r="EC500" s="2811">
        <f>SUMIFS($AZ$7:$AZ$451,$DP$7:$DP$451,$EC$498,$DN$7:$DN$451,DN502,$DQ$7:$DQ$451,"CGR")</f>
        <v>0</v>
      </c>
      <c r="ED500" s="2811">
        <f>SUMIFS($AZ$7:$AZ$451,$DP$7:$DP$451,$ED$498,$DN$7:$DN$451,DN500,$DQ$7:$DQ$451,"CGR")</f>
        <v>0</v>
      </c>
      <c r="EE500" s="2811">
        <f>SUMIFS($AZ$7:$AZ$451,$DP$7:$DP$451,$EE$498,$DN$7:$DN$451,DN500,$DQ$7:$DQ$451,"CGR")</f>
        <v>0</v>
      </c>
      <c r="EF500" s="2811">
        <f>SUMIFS($AZ$7:$AZ$451,$DP$7:$DP$451,$EF$498,$DN$7:$DN$451,DN500,$DQ$7:$DQ$451,"CGR")</f>
        <v>0</v>
      </c>
      <c r="EG500" s="2811">
        <f t="shared" si="650"/>
        <v>0</v>
      </c>
    </row>
    <row r="501" spans="116:137">
      <c r="DL501" s="3180"/>
      <c r="DN501" s="2792" t="s">
        <v>1415</v>
      </c>
      <c r="DO501" s="2793" t="s">
        <v>1416</v>
      </c>
      <c r="DP501" s="2811">
        <f t="shared" si="651"/>
        <v>0</v>
      </c>
      <c r="DQ501" s="2811">
        <f t="shared" si="651"/>
        <v>0</v>
      </c>
      <c r="DR501" s="2811">
        <f t="shared" si="651"/>
        <v>0</v>
      </c>
      <c r="DS501" s="2811">
        <f t="shared" si="651"/>
        <v>0</v>
      </c>
      <c r="DT501" s="2811">
        <f t="shared" si="651"/>
        <v>0</v>
      </c>
      <c r="DU501" s="2811">
        <f t="shared" si="652"/>
        <v>0</v>
      </c>
      <c r="DV501" s="2811">
        <f>SUMIFS($AZ$7:$AZ$451,$DP$7:$DP$451,$DV$498,$DN$7:$DN$451,DN501,$DQ$7:$DQ$451,"MH")</f>
        <v>0</v>
      </c>
      <c r="DW501" s="2811">
        <f>SUMIFS($AZ$7:$AZ$451,$DP$7:$DP$451,$DW$498,$DN$7:$DN$451,DN501,$DQ$7:$DQ$451,"MH")</f>
        <v>0</v>
      </c>
      <c r="DX501" s="2811">
        <f>SUMIFS($AZ$7:$AZ$451,$DP$7:$DP$451,$DX$498,$DN$7:$DN$451,DN501,$DQ$7:$DQ$451,"MH")</f>
        <v>0</v>
      </c>
      <c r="DY501" s="2811">
        <f>SUMIFS($AZ$7:$AZ$451,$DP$7:$DP$451,$DY$498,$DN$7:$DN$451,DN501,$DQ$7:$DQ$451,"MH")</f>
        <v>0</v>
      </c>
      <c r="DZ501" s="2811">
        <f>SUMIFS($AZ$7:$AZ$451,$DP$7:$DP$451,$DZ$498,$DN$7:$DN$451,DN501,$DQ$7:$DQ$451,"MH")</f>
        <v>0</v>
      </c>
      <c r="EA501" s="2811">
        <f t="shared" si="649"/>
        <v>0</v>
      </c>
      <c r="EB501" s="2811">
        <f>SUMIFS($AZ$7:$AZ$451,$DP$7:$DP$451,$EB$498,$DN$7:$DN$451,DN501,$DQ$7:$DQ$451,"CGR")</f>
        <v>0</v>
      </c>
      <c r="EC501" s="2811">
        <f>SUMIFS($AZ$7:$AZ$451,$DP$7:$DP$451,$EC$498,$DN$7:$DN$451,DN503,$DQ$7:$DQ$451,"CGR")</f>
        <v>0</v>
      </c>
      <c r="ED501" s="2811">
        <f>SUMIFS($AZ$7:$AZ$451,$DP$7:$DP$451,$ED$498,$DN$7:$DN$451,DN501,$DQ$7:$DQ$451,"CGR")</f>
        <v>0</v>
      </c>
      <c r="EE501" s="2811">
        <f>SUMIFS($AZ$7:$AZ$451,$DP$7:$DP$451,$EE$498,$DN$7:$DN$451,DN501,$DQ$7:$DQ$451,"CGR")</f>
        <v>0</v>
      </c>
      <c r="EF501" s="2811">
        <f>SUMIFS($AZ$7:$AZ$451,$DP$7:$DP$451,$EF$498,$DN$7:$DN$451,DN501,$DQ$7:$DQ$451,"CGR")</f>
        <v>0</v>
      </c>
      <c r="EG501" s="2811">
        <f t="shared" si="650"/>
        <v>0</v>
      </c>
    </row>
    <row r="502" spans="116:137">
      <c r="DL502" s="3180"/>
      <c r="DN502" s="2794" t="s">
        <v>1669</v>
      </c>
      <c r="DO502" s="2795" t="s">
        <v>1670</v>
      </c>
      <c r="DP502" s="2811">
        <f t="shared" si="651"/>
        <v>0</v>
      </c>
      <c r="DQ502" s="2811">
        <f t="shared" si="651"/>
        <v>0</v>
      </c>
      <c r="DR502" s="2811">
        <f t="shared" si="651"/>
        <v>0</v>
      </c>
      <c r="DS502" s="2811">
        <f t="shared" si="651"/>
        <v>0</v>
      </c>
      <c r="DT502" s="2811">
        <f t="shared" si="651"/>
        <v>0</v>
      </c>
      <c r="DU502" s="2811">
        <f t="shared" si="652"/>
        <v>0</v>
      </c>
      <c r="DV502" s="2811">
        <f>SUMIFS($AZ$7:$AZ$451,$DP$7:$DP$451,$DV$498,$DN$7:$DN$451,DN502,$DQ$7:$DQ$451,"MH")</f>
        <v>0</v>
      </c>
      <c r="DW502" s="2811">
        <f>SUMIFS($AZ$7:$AZ$451,$DP$7:$DP$451,$DW$498,$DN$7:$DN$451,DN502,$DQ$7:$DQ$451,"MH")</f>
        <v>0</v>
      </c>
      <c r="DX502" s="2811">
        <f>SUMIFS($AZ$7:$AZ$451,$DP$7:$DP$451,$DX$498,$DN$7:$DN$451,DN502,$DQ$7:$DQ$451,"MH")</f>
        <v>0</v>
      </c>
      <c r="DY502" s="2811">
        <f>SUMIFS($AZ$7:$AZ$451,$DP$7:$DP$451,$DY$498,$DN$7:$DN$451,DN502,$DQ$7:$DQ$451,"MH")</f>
        <v>0</v>
      </c>
      <c r="DZ502" s="2811">
        <f>SUMIFS($AZ$7:$AZ$451,$DP$7:$DP$451,$DZ$498,$DN$7:$DN$451,DN502,$DQ$7:$DQ$451,"MH")</f>
        <v>0</v>
      </c>
      <c r="EA502" s="2811">
        <f t="shared" si="649"/>
        <v>0</v>
      </c>
      <c r="EB502" s="2811">
        <f>SUMIFS($AZ$7:$AZ$451,$DP$7:$DP$451,$EB$498,$DN$7:$DN$451,DN502,$DQ$7:$DQ$451,"CGR")</f>
        <v>0</v>
      </c>
      <c r="EC502" s="2811">
        <f>SUMIFS($AZ$7:$AZ$451,$DP$7:$DP$451,$EC$498,$DN$7:$DN$451,DN504,$DQ$7:$DQ$451,"CGR")</f>
        <v>0</v>
      </c>
      <c r="ED502" s="2811">
        <f>SUMIFS($AZ$7:$AZ$451,$DP$7:$DP$451,$ED$498,$DN$7:$DN$451,DN502,$DQ$7:$DQ$451,"CGR")</f>
        <v>0</v>
      </c>
      <c r="EE502" s="2811">
        <f>SUMIFS($AZ$7:$AZ$451,$DP$7:$DP$451,$EE$498,$DN$7:$DN$451,DN502,$DQ$7:$DQ$451,"CGR")</f>
        <v>0</v>
      </c>
      <c r="EF502" s="2811">
        <f>SUMIFS($AZ$7:$AZ$451,$DP$7:$DP$451,$EF$498,$DN$7:$DN$451,DN502,$DQ$7:$DQ$451,"CGR")</f>
        <v>0</v>
      </c>
      <c r="EG502" s="2811">
        <f t="shared" si="650"/>
        <v>0</v>
      </c>
    </row>
    <row r="503" spans="116:137" ht="15">
      <c r="DL503" s="3180"/>
      <c r="DN503" s="2796" t="s">
        <v>1346</v>
      </c>
      <c r="DO503" s="2797" t="s">
        <v>1347</v>
      </c>
      <c r="DP503" s="2811">
        <f t="shared" si="651"/>
        <v>0</v>
      </c>
      <c r="DQ503" s="2811">
        <f t="shared" si="651"/>
        <v>0</v>
      </c>
      <c r="DR503" s="2811">
        <f t="shared" si="651"/>
        <v>0</v>
      </c>
      <c r="DS503" s="2811">
        <f t="shared" si="651"/>
        <v>0</v>
      </c>
      <c r="DT503" s="2811">
        <f t="shared" si="651"/>
        <v>0</v>
      </c>
      <c r="DU503" s="2811">
        <f t="shared" si="652"/>
        <v>0</v>
      </c>
      <c r="DV503" s="2811">
        <f>SUMIFS($AZ$7:$AZ$451,$DP$7:$DP$451,$DV$498,$DN$7:$DN$451,DN503,$DQ$7:$DQ$451,"MH")</f>
        <v>0</v>
      </c>
      <c r="DW503" s="2811">
        <f>SUMIFS($AZ$7:$AZ$451,$DP$7:$DP$451,$DW$498,$DN$7:$DN$451,DN503,$DQ$7:$DQ$451,"MH")</f>
        <v>0</v>
      </c>
      <c r="DX503" s="2811">
        <f>SUMIFS($AZ$7:$AZ$451,$DP$7:$DP$451,$DX$498,$DN$7:$DN$451,DN503,$DQ$7:$DQ$451,"MH")</f>
        <v>0</v>
      </c>
      <c r="DY503" s="2811">
        <f>SUMIFS($AZ$7:$AZ$451,$DP$7:$DP$451,$DY$498,$DN$7:$DN$451,DN503,$DQ$7:$DQ$451,"MH")</f>
        <v>0</v>
      </c>
      <c r="DZ503" s="2811">
        <f>SUMIFS($AZ$7:$AZ$451,$DP$7:$DP$451,$DZ$498,$DN$7:$DN$451,DN503,$DQ$7:$DQ$451,"MH")</f>
        <v>0</v>
      </c>
      <c r="EA503" s="2811">
        <f t="shared" si="649"/>
        <v>0</v>
      </c>
      <c r="EB503" s="2811">
        <f>SUMIFS($AZ$7:$AZ$451,$DP$7:$DP$451,$EB$498,$DN$7:$DN$451,DN503,$DQ$7:$DQ$451,"CGR")</f>
        <v>0</v>
      </c>
      <c r="EC503" s="2811">
        <f>SUMIFS($AZ$7:$AZ$451,$DP$7:$DP$451,$EC$498,$DN$7:$DN$451,DN505,$DQ$7:$DQ$451,"CGR")</f>
        <v>0</v>
      </c>
      <c r="ED503" s="2811">
        <f>SUMIFS($AZ$7:$AZ$451,$DP$7:$DP$451,$ED$498,$DN$7:$DN$451,DN503,$DQ$7:$DQ$451,"CGR")</f>
        <v>0</v>
      </c>
      <c r="EE503" s="2811">
        <f>SUMIFS($AZ$7:$AZ$451,$DP$7:$DP$451,$EE$498,$DN$7:$DN$451,DN503,$DQ$7:$DQ$451,"CGR")</f>
        <v>0</v>
      </c>
      <c r="EF503" s="2811">
        <f>SUMIFS($AZ$7:$AZ$451,$DP$7:$DP$451,$EF$498,$DN$7:$DN$451,DN503,$DQ$7:$DQ$451,"CGR")</f>
        <v>0</v>
      </c>
      <c r="EG503" s="2811">
        <f t="shared" si="650"/>
        <v>0</v>
      </c>
    </row>
    <row r="504" spans="116:137">
      <c r="DL504" s="3180"/>
      <c r="DN504" s="2792" t="s">
        <v>1180</v>
      </c>
      <c r="DO504" s="2793" t="s">
        <v>1181</v>
      </c>
      <c r="DP504" s="2811">
        <f t="shared" si="651"/>
        <v>0</v>
      </c>
      <c r="DQ504" s="2811">
        <f t="shared" si="651"/>
        <v>0</v>
      </c>
      <c r="DR504" s="2811">
        <f t="shared" si="651"/>
        <v>0</v>
      </c>
      <c r="DS504" s="2811">
        <f t="shared" si="651"/>
        <v>0</v>
      </c>
      <c r="DT504" s="2811">
        <f t="shared" si="651"/>
        <v>0</v>
      </c>
      <c r="DU504" s="2811">
        <f t="shared" si="652"/>
        <v>0</v>
      </c>
      <c r="DV504" s="2811">
        <f>SUMIFS($AZ$7:$AZ$451,$DP$7:$DP$451,$DV$498,$DN$7:$DN$451,DN504,$DQ$7:$DQ$451,"MH")</f>
        <v>0</v>
      </c>
      <c r="DW504" s="2811">
        <f>SUMIFS($AZ$7:$AZ$451,$DP$7:$DP$451,$DW$498,$DN$7:$DN$451,DN504,$DQ$7:$DQ$451,"MH")</f>
        <v>0</v>
      </c>
      <c r="DX504" s="2811">
        <f>SUMIFS($AZ$7:$AZ$451,$DP$7:$DP$451,$DX$498,$DN$7:$DN$451,DN504,$DQ$7:$DQ$451,"MH")</f>
        <v>0</v>
      </c>
      <c r="DY504" s="2811">
        <f>SUMIFS($AZ$7:$AZ$451,$DP$7:$DP$451,$DY$498,$DN$7:$DN$451,DN504,$DQ$7:$DQ$451,"MH")</f>
        <v>0</v>
      </c>
      <c r="DZ504" s="2811">
        <f>SUMIFS($AZ$7:$AZ$451,$DP$7:$DP$451,$DZ$498,$DN$7:$DN$451,DN504,$DQ$7:$DQ$451,"MH")</f>
        <v>0</v>
      </c>
      <c r="EA504" s="2811">
        <f t="shared" si="649"/>
        <v>0</v>
      </c>
      <c r="EB504" s="2811">
        <f>SUMIFS($AZ$7:$AZ$451,$DP$7:$DP$451,$EB$498,$DN$7:$DN$451,DN504,$DQ$7:$DQ$451,"CGR")</f>
        <v>0</v>
      </c>
      <c r="EC504" s="2811">
        <f>SUMIFS($AZ$7:$AZ$451,$DP$7:$DP$451,$EC$498,$DN$7:$DN$451,DN506,$DQ$7:$DQ$451,"CGR")</f>
        <v>0</v>
      </c>
      <c r="ED504" s="2811">
        <f>SUMIFS($AZ$7:$AZ$451,$DP$7:$DP$451,$ED$498,$DN$7:$DN$451,DN504,$DQ$7:$DQ$451,"CGR")</f>
        <v>0</v>
      </c>
      <c r="EE504" s="2811">
        <f>SUMIFS($AZ$7:$AZ$451,$DP$7:$DP$451,$EE$498,$DN$7:$DN$451,DN504,$DQ$7:$DQ$451,"CGR")</f>
        <v>0</v>
      </c>
      <c r="EF504" s="2811">
        <f>SUMIFS($AZ$7:$AZ$451,$DP$7:$DP$451,$EF$498,$DN$7:$DN$451,DN504,$DQ$7:$DQ$451,"CGR")</f>
        <v>0</v>
      </c>
      <c r="EG504" s="2811">
        <f t="shared" si="650"/>
        <v>0</v>
      </c>
    </row>
    <row r="505" spans="116:137">
      <c r="DL505" s="3180"/>
      <c r="DN505" s="2792" t="s">
        <v>1283</v>
      </c>
      <c r="DO505" s="2793" t="s">
        <v>1284</v>
      </c>
      <c r="DP505" s="2811">
        <f t="shared" si="651"/>
        <v>0</v>
      </c>
      <c r="DQ505" s="2811">
        <f t="shared" si="651"/>
        <v>0</v>
      </c>
      <c r="DR505" s="2811">
        <f t="shared" si="651"/>
        <v>0</v>
      </c>
      <c r="DS505" s="2811">
        <f t="shared" si="651"/>
        <v>0</v>
      </c>
      <c r="DT505" s="2811">
        <f t="shared" si="651"/>
        <v>0</v>
      </c>
      <c r="DU505" s="2811">
        <f t="shared" si="652"/>
        <v>0</v>
      </c>
      <c r="DV505" s="2811">
        <f>SUMIFS($AZ$7:$AZ$451,$DP$7:$DP$451,$DV$498,$DN$7:$DN$451,DN505,$DQ$7:$DQ$451,"MH")</f>
        <v>0</v>
      </c>
      <c r="DW505" s="2811">
        <f>SUMIFS($AZ$7:$AZ$451,$DP$7:$DP$451,$DW$498,$DN$7:$DN$451,DN505,$DQ$7:$DQ$451,"MH")</f>
        <v>0</v>
      </c>
      <c r="DX505" s="2811">
        <f>SUMIFS($AZ$7:$AZ$451,$DP$7:$DP$451,$DX$498,$DN$7:$DN$451,DN505,$DQ$7:$DQ$451,"MH")</f>
        <v>0</v>
      </c>
      <c r="DY505" s="2811">
        <f>SUMIFS($AZ$7:$AZ$451,$DP$7:$DP$451,$DY$498,$DN$7:$DN$451,DN505,$DQ$7:$DQ$451,"MH")</f>
        <v>0</v>
      </c>
      <c r="DZ505" s="2811">
        <f>SUMIFS($AZ$7:$AZ$451,$DP$7:$DP$451,$DZ$498,$DN$7:$DN$451,DN505,$DQ$7:$DQ$451,"MH")</f>
        <v>0</v>
      </c>
      <c r="EA505" s="2811">
        <f t="shared" si="649"/>
        <v>0</v>
      </c>
      <c r="EB505" s="2811">
        <f>SUMIFS($AZ$7:$AZ$451,$DP$7:$DP$451,$EB$498,$DN$7:$DN$451,DN505,$DQ$7:$DQ$451,"CGR")</f>
        <v>0</v>
      </c>
      <c r="EC505" s="2811">
        <f>SUMIFS($AZ$7:$AZ$451,$DP$7:$DP$451,$EC$498,$DN$7:$DN$451,DN507,$DQ$7:$DQ$451,"CGR")</f>
        <v>0</v>
      </c>
      <c r="ED505" s="2811">
        <f>SUMIFS($AZ$7:$AZ$451,$DP$7:$DP$451,$ED$498,$DN$7:$DN$451,DN505,$DQ$7:$DQ$451,"CGR")</f>
        <v>0</v>
      </c>
      <c r="EE505" s="2811">
        <f>SUMIFS($AZ$7:$AZ$451,$DP$7:$DP$451,$EE$498,$DN$7:$DN$451,DN505,$DQ$7:$DQ$451,"CGR")</f>
        <v>0</v>
      </c>
      <c r="EF505" s="2811">
        <f>SUMIFS($AZ$7:$AZ$451,$DP$7:$DP$451,$EF$498,$DN$7:$DN$451,DN505,$DQ$7:$DQ$451,"CGR")</f>
        <v>0</v>
      </c>
      <c r="EG505" s="2811">
        <f t="shared" si="650"/>
        <v>0</v>
      </c>
    </row>
    <row r="506" spans="116:137">
      <c r="DL506" s="3180"/>
      <c r="DN506" s="2798" t="s">
        <v>1331</v>
      </c>
      <c r="DO506" s="2795" t="s">
        <v>1332</v>
      </c>
      <c r="DP506" s="2811">
        <f t="shared" si="651"/>
        <v>0</v>
      </c>
      <c r="DQ506" s="2811">
        <f t="shared" si="651"/>
        <v>0</v>
      </c>
      <c r="DR506" s="2811">
        <f t="shared" si="651"/>
        <v>0</v>
      </c>
      <c r="DS506" s="2811">
        <f t="shared" si="651"/>
        <v>0</v>
      </c>
      <c r="DT506" s="2811">
        <f t="shared" si="651"/>
        <v>0</v>
      </c>
      <c r="DU506" s="2811">
        <f t="shared" si="652"/>
        <v>0</v>
      </c>
      <c r="DV506" s="2811">
        <f>SUMIFS($AZ$7:$AZ$451,$DP$7:$DP$451,$DV$498,$DN$7:$DN$451,DN506,$DQ$7:$DQ$451,"MH")</f>
        <v>0</v>
      </c>
      <c r="DW506" s="2811">
        <f>SUMIFS($AZ$7:$AZ$451,$DP$7:$DP$451,$DW$498,$DN$7:$DN$451,DN506,$DQ$7:$DQ$451,"MH")</f>
        <v>0</v>
      </c>
      <c r="DX506" s="2811">
        <f>SUMIFS($AZ$7:$AZ$451,$DP$7:$DP$451,$DX$498,$DN$7:$DN$451,DN506,$DQ$7:$DQ$451,"MH")</f>
        <v>0</v>
      </c>
      <c r="DY506" s="2811">
        <f>SUMIFS($AZ$7:$AZ$451,$DP$7:$DP$451,$DY$498,$DN$7:$DN$451,DN506,$DQ$7:$DQ$451,"MH")</f>
        <v>0</v>
      </c>
      <c r="DZ506" s="2811">
        <f>SUMIFS($AZ$7:$AZ$451,$DP$7:$DP$451,$DZ$498,$DN$7:$DN$451,DN506,$DQ$7:$DQ$451,"MH")</f>
        <v>0</v>
      </c>
      <c r="EA506" s="2811">
        <f t="shared" si="649"/>
        <v>0</v>
      </c>
      <c r="EB506" s="2811">
        <f>SUMIFS($AZ$7:$AZ$451,$DP$7:$DP$451,$EB$498,$DN$7:$DN$451,DN506,$DQ$7:$DQ$451,"CGR")</f>
        <v>0</v>
      </c>
      <c r="EC506" s="2811">
        <f>SUMIFS($AZ$7:$AZ$451,$DP$7:$DP$451,$EC$498,$DN$7:$DN$451,DN508,$DQ$7:$DQ$451,"CGR")</f>
        <v>0</v>
      </c>
      <c r="ED506" s="2811">
        <f>SUMIFS($AZ$7:$AZ$451,$DP$7:$DP$451,$ED$498,$DN$7:$DN$451,DN506,$DQ$7:$DQ$451,"CGR")</f>
        <v>0</v>
      </c>
      <c r="EE506" s="2811">
        <f>SUMIFS($AZ$7:$AZ$451,$DP$7:$DP$451,$EE$498,$DN$7:$DN$451,DN506,$DQ$7:$DQ$451,"CGR")</f>
        <v>0</v>
      </c>
      <c r="EF506" s="2811">
        <f>SUMIFS($AZ$7:$AZ$451,$DP$7:$DP$451,$EF$498,$DN$7:$DN$451,DN506,$DQ$7:$DQ$451,"CGR")</f>
        <v>0</v>
      </c>
      <c r="EG506" s="2811">
        <f t="shared" si="650"/>
        <v>0</v>
      </c>
    </row>
    <row r="507" spans="116:137" ht="15">
      <c r="DL507" s="3180"/>
      <c r="DN507" s="2799" t="s">
        <v>1303</v>
      </c>
      <c r="DO507" s="2800" t="s">
        <v>1304</v>
      </c>
      <c r="DP507" s="2811">
        <f t="shared" si="651"/>
        <v>0</v>
      </c>
      <c r="DQ507" s="2811">
        <f t="shared" si="651"/>
        <v>0</v>
      </c>
      <c r="DR507" s="2811">
        <f t="shared" si="651"/>
        <v>0</v>
      </c>
      <c r="DS507" s="2811">
        <f t="shared" si="651"/>
        <v>0</v>
      </c>
      <c r="DT507" s="2811">
        <f t="shared" si="651"/>
        <v>0</v>
      </c>
      <c r="DU507" s="2811">
        <f t="shared" si="652"/>
        <v>0</v>
      </c>
      <c r="DV507" s="2811">
        <f>SUMIFS($AZ$7:$AZ$451,$DP$7:$DP$451,$DV$498,$DN$7:$DN$451,DN507,$DQ$7:$DQ$451,"MH")</f>
        <v>0</v>
      </c>
      <c r="DW507" s="2811">
        <f>SUMIFS($AZ$7:$AZ$451,$DP$7:$DP$451,$DW$498,$DN$7:$DN$451,DN507,$DQ$7:$DQ$451,"MH")</f>
        <v>0</v>
      </c>
      <c r="DX507" s="2811">
        <f>SUMIFS($AZ$7:$AZ$451,$DP$7:$DP$451,$DX$498,$DN$7:$DN$451,DN507,$DQ$7:$DQ$451,"MH")</f>
        <v>0</v>
      </c>
      <c r="DY507" s="2811">
        <f>SUMIFS($AZ$7:$AZ$451,$DP$7:$DP$451,$DY$498,$DN$7:$DN$451,DN507,$DQ$7:$DQ$451,"MH")</f>
        <v>0</v>
      </c>
      <c r="DZ507" s="2811">
        <f>SUMIFS($AZ$7:$AZ$451,$DP$7:$DP$451,$DZ$498,$DN$7:$DN$451,DN507,$DQ$7:$DQ$451,"MH")</f>
        <v>0</v>
      </c>
      <c r="EA507" s="2811">
        <f t="shared" si="649"/>
        <v>0</v>
      </c>
      <c r="EB507" s="2811">
        <f>SUMIFS($AZ$7:$AZ$451,$DP$7:$DP$451,$EB$498,$DN$7:$DN$451,DN507,$DQ$7:$DQ$451,"CGR")</f>
        <v>0</v>
      </c>
      <c r="EC507" s="2811">
        <f>SUMIFS($AZ$7:$AZ$451,$DP$7:$DP$451,$EC$498,$DN$7:$DN$451,DN509,$DQ$7:$DQ$451,"CGR")</f>
        <v>0</v>
      </c>
      <c r="ED507" s="2811">
        <f>SUMIFS($AZ$7:$AZ$451,$DP$7:$DP$451,$ED$498,$DN$7:$DN$451,DN507,$DQ$7:$DQ$451,"CGR")</f>
        <v>0</v>
      </c>
      <c r="EE507" s="2811">
        <f>SUMIFS($AZ$7:$AZ$451,$DP$7:$DP$451,$EE$498,$DN$7:$DN$451,DN507,$DQ$7:$DQ$451,"CGR")</f>
        <v>0</v>
      </c>
      <c r="EF507" s="2811">
        <f>SUMIFS($AZ$7:$AZ$451,$DP$7:$DP$451,$EF$498,$DN$7:$DN$451,DN507,$DQ$7:$DQ$451,"CGR")</f>
        <v>0</v>
      </c>
      <c r="EG507" s="2811">
        <f t="shared" si="650"/>
        <v>0</v>
      </c>
    </row>
    <row r="508" spans="116:137">
      <c r="DL508" s="3180"/>
      <c r="DP508" s="2817">
        <f t="shared" ref="DP508:EG508" si="653">SUM(DP499:DP507)</f>
        <v>0</v>
      </c>
      <c r="DQ508" s="2817">
        <f t="shared" si="653"/>
        <v>0</v>
      </c>
      <c r="DR508" s="2817">
        <f t="shared" si="653"/>
        <v>0</v>
      </c>
      <c r="DS508" s="2817">
        <f t="shared" si="653"/>
        <v>0</v>
      </c>
      <c r="DT508" s="2817">
        <f t="shared" si="653"/>
        <v>0</v>
      </c>
      <c r="DU508" s="2817">
        <f t="shared" si="653"/>
        <v>0</v>
      </c>
      <c r="DV508" s="2809">
        <f t="shared" si="653"/>
        <v>0</v>
      </c>
      <c r="DW508" s="2809">
        <f t="shared" si="653"/>
        <v>0</v>
      </c>
      <c r="DX508" s="2809">
        <f t="shared" si="653"/>
        <v>0</v>
      </c>
      <c r="DY508" s="2809">
        <f t="shared" si="653"/>
        <v>0</v>
      </c>
      <c r="DZ508" s="2809">
        <f t="shared" si="653"/>
        <v>0</v>
      </c>
      <c r="EA508" s="2809">
        <f t="shared" si="653"/>
        <v>0</v>
      </c>
      <c r="EB508" s="2818">
        <f t="shared" si="653"/>
        <v>0</v>
      </c>
      <c r="EC508" s="2818">
        <f t="shared" si="653"/>
        <v>0</v>
      </c>
      <c r="ED508" s="2818">
        <f t="shared" si="653"/>
        <v>0</v>
      </c>
      <c r="EE508" s="2818">
        <f t="shared" si="653"/>
        <v>0</v>
      </c>
      <c r="EF508" s="2818">
        <f t="shared" si="653"/>
        <v>0</v>
      </c>
      <c r="EG508" s="2818">
        <f t="shared" si="653"/>
        <v>0</v>
      </c>
    </row>
    <row r="509" spans="116:137">
      <c r="DL509" s="3180"/>
      <c r="DR509" s="152"/>
      <c r="DS509" s="152"/>
      <c r="DT509" s="152"/>
      <c r="DU509" s="152"/>
      <c r="DV509" s="152"/>
      <c r="DW509" s="152"/>
    </row>
    <row r="510" spans="116:137">
      <c r="DL510" s="3180"/>
      <c r="DR510" s="152"/>
      <c r="DS510" s="152"/>
      <c r="DT510" s="152"/>
      <c r="DU510" s="2237">
        <f>DU508-DU468</f>
        <v>0</v>
      </c>
      <c r="DV510" s="152"/>
      <c r="DW510" s="152"/>
      <c r="EA510" s="2237">
        <f>EA508-DS468</f>
        <v>0</v>
      </c>
      <c r="EG510" s="2237">
        <f>EG508-DT468</f>
        <v>0</v>
      </c>
    </row>
    <row r="511" spans="116:137">
      <c r="DL511" s="3180"/>
      <c r="DR511" s="152"/>
      <c r="DS511" s="152"/>
      <c r="DT511" s="152"/>
      <c r="DU511" s="2237"/>
      <c r="DV511" s="152"/>
      <c r="DW511" s="152"/>
      <c r="EA511" s="2237"/>
      <c r="EG511" s="2237"/>
    </row>
    <row r="512" spans="116:137">
      <c r="DL512" s="3180"/>
      <c r="DP512" s="4048" t="s">
        <v>1727</v>
      </c>
      <c r="DQ512" s="4049"/>
      <c r="DR512" s="4049"/>
      <c r="DS512" s="4049"/>
      <c r="DT512" s="4049"/>
      <c r="DU512" s="4050"/>
      <c r="DV512" s="4029" t="s">
        <v>1728</v>
      </c>
      <c r="DW512" s="4030"/>
      <c r="DX512" s="4030"/>
      <c r="DY512" s="4030"/>
      <c r="DZ512" s="4030"/>
      <c r="EA512" s="4031"/>
      <c r="EB512" s="4057" t="s">
        <v>1729</v>
      </c>
      <c r="EC512" s="4058"/>
      <c r="ED512" s="4058"/>
      <c r="EE512" s="4058"/>
      <c r="EF512" s="4058"/>
      <c r="EG512" s="4059"/>
    </row>
    <row r="513" spans="116:137" ht="30">
      <c r="DL513" s="3180"/>
      <c r="DN513" s="2813" t="s">
        <v>1155</v>
      </c>
      <c r="DO513" s="2813" t="s">
        <v>1156</v>
      </c>
      <c r="DP513" s="2814" t="s">
        <v>1115</v>
      </c>
      <c r="DQ513" s="2814" t="s">
        <v>1117</v>
      </c>
      <c r="DR513" s="2814" t="s">
        <v>1124</v>
      </c>
      <c r="DS513" s="2814" t="s">
        <v>1160</v>
      </c>
      <c r="DT513" s="2814" t="s">
        <v>1173</v>
      </c>
      <c r="DU513" s="2814" t="s">
        <v>1715</v>
      </c>
      <c r="DV513" s="2815" t="s">
        <v>1115</v>
      </c>
      <c r="DW513" s="2815" t="s">
        <v>1117</v>
      </c>
      <c r="DX513" s="2815" t="s">
        <v>1124</v>
      </c>
      <c r="DY513" s="2815" t="s">
        <v>1160</v>
      </c>
      <c r="DZ513" s="2815" t="s">
        <v>1173</v>
      </c>
      <c r="EA513" s="2815" t="s">
        <v>487</v>
      </c>
      <c r="EB513" s="2816" t="s">
        <v>1115</v>
      </c>
      <c r="EC513" s="2816" t="s">
        <v>1117</v>
      </c>
      <c r="ED513" s="2816" t="s">
        <v>1124</v>
      </c>
      <c r="EE513" s="2816" t="s">
        <v>1160</v>
      </c>
      <c r="EF513" s="2816" t="s">
        <v>1173</v>
      </c>
      <c r="EG513" s="2816" t="s">
        <v>487</v>
      </c>
    </row>
    <row r="514" spans="116:137">
      <c r="DL514" s="3180"/>
      <c r="DN514" s="2788" t="s">
        <v>1597</v>
      </c>
      <c r="DO514" s="2789" t="s">
        <v>1598</v>
      </c>
      <c r="DP514" s="2811">
        <f>DV514+EB514</f>
        <v>0</v>
      </c>
      <c r="DQ514" s="2811">
        <f>DW514+EC514</f>
        <v>0</v>
      </c>
      <c r="DR514" s="2811">
        <f>DX514+ED514</f>
        <v>0</v>
      </c>
      <c r="DS514" s="2811">
        <f>DY514+EE514</f>
        <v>0</v>
      </c>
      <c r="DT514" s="2811">
        <f>DZ514+EF514</f>
        <v>0</v>
      </c>
      <c r="DU514" s="2811">
        <f>SUM(DP514:DT514)</f>
        <v>0</v>
      </c>
      <c r="DV514" s="2811">
        <f>SUMIFS($BN$7:$BN$451,$DP$7:$DP$451,$DV$513,$DN$7:$DN$451,DN514,$DQ$7:$DQ$451,"MH")</f>
        <v>0</v>
      </c>
      <c r="DW514" s="2811">
        <f>SUMIFS($BN$7:$BN$451,$DP$7:$DP$451,$DW$513,$DN$7:$DN$451,DN514,$DQ$7:$DQ$451,"MH")</f>
        <v>0</v>
      </c>
      <c r="DX514" s="2811">
        <f>SUMIFS($BN$7:$BN$451,$DP$7:$DP$451,$DX$513,$DN$7:$DN$451,DN514,$DQ$7:$DQ$451,"MH")</f>
        <v>0</v>
      </c>
      <c r="DY514" s="2811">
        <f>SUMIFS($BN$7:$BN$451,$DP$7:$DP$451,$DY$513,$DN$7:$DN$451,DN514,$DQ$7:$DQ$451,"MH")</f>
        <v>0</v>
      </c>
      <c r="DZ514" s="2811">
        <f>SUMIFS($BN$7:$BN$451,$DP$7:$DP$451,$DZ$513,$DN$7:$DN$451,DN514,$DQ$7:$DQ$451,"MH")</f>
        <v>0</v>
      </c>
      <c r="EA514" s="2811">
        <f t="shared" ref="EA514:EA522" si="654">SUM(DV514:DZ514)</f>
        <v>0</v>
      </c>
      <c r="EB514" s="2811">
        <f>SUMIFS($BN$7:$BN$451,$DP$7:$DP$451,$EB$513,$DN$7:$DN$451,DN514,$DQ$7:$DQ$451,"CGR")</f>
        <v>0</v>
      </c>
      <c r="EC514" s="2811">
        <f>SUMIFS($BN$7:$BN$451,$DP$7:$DP$451,$EC$513,$DN$7:$DN$451,DN516,$DQ$7:$DQ$451,"CGR")</f>
        <v>0</v>
      </c>
      <c r="ED514" s="2811">
        <f>SUMIFS($BN$7:$BN$451,$DP$7:$DP$451,$ED$513,$DN$7:$DN$451,DN514,$DQ$7:$DQ$451,"CGR")</f>
        <v>0</v>
      </c>
      <c r="EE514" s="2811">
        <f>SUMIFS($BN$7:$BN$451,$DP$7:$DP$451,$EE$513,$DN$7:$DN$451,DN514,$DQ$7:$DQ$451,"CGR")</f>
        <v>0</v>
      </c>
      <c r="EF514" s="2811">
        <f>SUMIFS($BN$7:$BN$451,$DP$7:$DP$451,$EF$513,$DN$7:$DN$451,DN514,$DQ$7:$DQ$451,"CGR")</f>
        <v>0</v>
      </c>
      <c r="EG514" s="2811">
        <f t="shared" ref="EG514:EG522" si="655">SUM(EB514:EF514)</f>
        <v>0</v>
      </c>
    </row>
    <row r="515" spans="116:137">
      <c r="DL515" s="3180"/>
      <c r="DN515" s="2792" t="s">
        <v>1535</v>
      </c>
      <c r="DO515" s="2793" t="s">
        <v>1536</v>
      </c>
      <c r="DP515" s="2811">
        <f t="shared" ref="DP515:DT522" si="656">DV515+EB515</f>
        <v>0</v>
      </c>
      <c r="DQ515" s="2811">
        <f t="shared" si="656"/>
        <v>0</v>
      </c>
      <c r="DR515" s="2811">
        <f t="shared" si="656"/>
        <v>0</v>
      </c>
      <c r="DS515" s="2811">
        <f t="shared" si="656"/>
        <v>75000</v>
      </c>
      <c r="DT515" s="2811">
        <f t="shared" si="656"/>
        <v>0</v>
      </c>
      <c r="DU515" s="2811">
        <f t="shared" ref="DU515:DU522" si="657">SUM(DP515:DT515)</f>
        <v>75000</v>
      </c>
      <c r="DV515" s="2811">
        <f>SUMIFS($BN$7:$BN$451,$DP$7:$DP$451,$DV$513,$DN$7:$DN$451,DN515,$DQ$7:$DQ$451,"MH")</f>
        <v>0</v>
      </c>
      <c r="DW515" s="2811">
        <f>SUMIFS($BN$7:$BN$451,$DP$7:$DP$451,$DW$513,$DN$7:$DN$451,DN515,$DQ$7:$DQ$451,"MH")</f>
        <v>0</v>
      </c>
      <c r="DX515" s="2811">
        <f>SUMIFS($BN$7:$BN$451,$DP$7:$DP$451,$DX$513,$DN$7:$DN$451,DN515,$DQ$7:$DQ$451,"MH")</f>
        <v>0</v>
      </c>
      <c r="DY515" s="2811">
        <f>SUMIFS($BN$7:$BN$451,$DP$7:$DP$451,$DY$513,$DN$7:$DN$451,DN515,$DQ$7:$DQ$451,"MH")</f>
        <v>0</v>
      </c>
      <c r="DZ515" s="2811">
        <f>SUMIFS($BN$7:$BN$451,$DP$7:$DP$451,$DZ$513,$DN$7:$DN$451,DN515,$DQ$7:$DQ$451,"MH")</f>
        <v>0</v>
      </c>
      <c r="EA515" s="2811">
        <f t="shared" si="654"/>
        <v>0</v>
      </c>
      <c r="EB515" s="2811">
        <f>SUMIFS($BN$7:$BN$451,$DP$7:$DP$451,$EB$513,$DN$7:$DN$451,DN515,$DQ$7:$DQ$451,"CGR")</f>
        <v>0</v>
      </c>
      <c r="EC515" s="2811">
        <f>SUMIFS($BN$7:$BN$451,$DP$7:$DP$451,$EC$513,$DN$7:$DN$451,DN517,$DQ$7:$DQ$451,"CGR")</f>
        <v>0</v>
      </c>
      <c r="ED515" s="2811">
        <f>SUMIFS($BN$7:$BN$451,$DP$7:$DP$451,$ED$513,$DN$7:$DN$451,DN515,$DQ$7:$DQ$451,"CGR")</f>
        <v>0</v>
      </c>
      <c r="EE515" s="2811">
        <f>SUMIFS($BN$7:$BN$451,$DP$7:$DP$451,$EE$513,$DN$7:$DN$451,DN515,$DQ$7:$DQ$451,"CGR")</f>
        <v>75000</v>
      </c>
      <c r="EF515" s="2811">
        <f>SUMIFS($BN$7:$BN$451,$DP$7:$DP$451,$EF$513,$DN$7:$DN$451,DN515,$DQ$7:$DQ$451,"CGR")</f>
        <v>0</v>
      </c>
      <c r="EG515" s="2811">
        <f t="shared" si="655"/>
        <v>75000</v>
      </c>
    </row>
    <row r="516" spans="116:137">
      <c r="DL516" s="3180"/>
      <c r="DN516" s="2792" t="s">
        <v>1415</v>
      </c>
      <c r="DO516" s="2793" t="s">
        <v>1416</v>
      </c>
      <c r="DP516" s="2811">
        <f t="shared" si="656"/>
        <v>0</v>
      </c>
      <c r="DQ516" s="2811">
        <f t="shared" si="656"/>
        <v>0</v>
      </c>
      <c r="DR516" s="2811">
        <f t="shared" si="656"/>
        <v>28000</v>
      </c>
      <c r="DS516" s="2811">
        <f t="shared" si="656"/>
        <v>0</v>
      </c>
      <c r="DT516" s="2811">
        <f t="shared" si="656"/>
        <v>0</v>
      </c>
      <c r="DU516" s="2811">
        <f t="shared" si="657"/>
        <v>28000</v>
      </c>
      <c r="DV516" s="2811">
        <f>SUMIFS($BN$7:$BN$451,$DP$7:$DP$451,$DV$513,$DN$7:$DN$451,DN516,$DQ$7:$DQ$451,"MH")</f>
        <v>0</v>
      </c>
      <c r="DW516" s="2811">
        <f>SUMIFS($BN$7:$BN$451,$DP$7:$DP$451,$DW$513,$DN$7:$DN$451,DN516,$DQ$7:$DQ$451,"MH")</f>
        <v>0</v>
      </c>
      <c r="DX516" s="2811">
        <f>SUMIFS($BN$7:$BN$451,$DP$7:$DP$451,$DX$513,$DN$7:$DN$451,DN516,$DQ$7:$DQ$451,"MH")</f>
        <v>28000</v>
      </c>
      <c r="DY516" s="2811">
        <f>SUMIFS($BN$7:$BN$451,$DP$7:$DP$451,$DY$513,$DN$7:$DN$451,DN516,$DQ$7:$DQ$451,"MH")</f>
        <v>0</v>
      </c>
      <c r="DZ516" s="2811">
        <f>SUMIFS($BN$7:$BN$451,$DP$7:$DP$451,$DZ$513,$DN$7:$DN$451,DN516,$DQ$7:$DQ$451,"MH")</f>
        <v>0</v>
      </c>
      <c r="EA516" s="2811">
        <f t="shared" si="654"/>
        <v>28000</v>
      </c>
      <c r="EB516" s="2811">
        <f>SUMIFS($BN$7:$BN$451,$DP$7:$DP$451,$EB$513,$DN$7:$DN$451,DN516,$DQ$7:$DQ$451,"CGR")</f>
        <v>0</v>
      </c>
      <c r="EC516" s="2811">
        <f>SUMIFS($BN$7:$BN$451,$DP$7:$DP$451,$EC$513,$DN$7:$DN$451,DN518,$DQ$7:$DQ$451,"CGR")</f>
        <v>0</v>
      </c>
      <c r="ED516" s="2811">
        <f>SUMIFS($BN$7:$BN$451,$DP$7:$DP$451,$ED$513,$DN$7:$DN$451,DN516,$DQ$7:$DQ$451,"CGR")</f>
        <v>0</v>
      </c>
      <c r="EE516" s="2811">
        <f>SUMIFS($BN$7:$BN$451,$DP$7:$DP$451,$EE$513,$DN$7:$DN$451,DN516,$DQ$7:$DQ$451,"CGR")</f>
        <v>0</v>
      </c>
      <c r="EF516" s="2811">
        <f>SUMIFS($BN$7:$BN$451,$DP$7:$DP$451,$EF$513,$DN$7:$DN$451,DN516,$DQ$7:$DQ$451,"CGR")</f>
        <v>0</v>
      </c>
      <c r="EG516" s="2811">
        <f t="shared" si="655"/>
        <v>0</v>
      </c>
    </row>
    <row r="517" spans="116:137">
      <c r="DL517" s="3180"/>
      <c r="DN517" s="2794" t="s">
        <v>1669</v>
      </c>
      <c r="DO517" s="2795" t="s">
        <v>1670</v>
      </c>
      <c r="DP517" s="2811">
        <f t="shared" si="656"/>
        <v>0</v>
      </c>
      <c r="DQ517" s="2811">
        <f t="shared" si="656"/>
        <v>0</v>
      </c>
      <c r="DR517" s="2811">
        <f t="shared" si="656"/>
        <v>0</v>
      </c>
      <c r="DS517" s="2811">
        <f t="shared" si="656"/>
        <v>0</v>
      </c>
      <c r="DT517" s="2811">
        <f t="shared" si="656"/>
        <v>0</v>
      </c>
      <c r="DU517" s="2811">
        <f t="shared" si="657"/>
        <v>0</v>
      </c>
      <c r="DV517" s="2811">
        <f>SUMIFS($BN$7:$BN$451,$DP$7:$DP$451,$DV$513,$DN$7:$DN$451,DN517,$DQ$7:$DQ$451,"MH")</f>
        <v>0</v>
      </c>
      <c r="DW517" s="2811">
        <f>SUMIFS($BN$7:$BN$451,$DP$7:$DP$451,$DW$513,$DN$7:$DN$451,DN517,$DQ$7:$DQ$451,"MH")</f>
        <v>0</v>
      </c>
      <c r="DX517" s="2811">
        <f>SUMIFS($BN$7:$BN$451,$DP$7:$DP$451,$DX$513,$DN$7:$DN$451,DN517,$DQ$7:$DQ$451,"MH")</f>
        <v>0</v>
      </c>
      <c r="DY517" s="2811">
        <f>SUMIFS($BN$7:$BN$451,$DP$7:$DP$451,$DY$513,$DN$7:$DN$451,DN517,$DQ$7:$DQ$451,"MH")</f>
        <v>0</v>
      </c>
      <c r="DZ517" s="2811">
        <f>SUMIFS($BN$7:$BN$451,$DP$7:$DP$451,$DZ$513,$DN$7:$DN$451,DN517,$DQ$7:$DQ$451,"MH")</f>
        <v>0</v>
      </c>
      <c r="EA517" s="2811">
        <f t="shared" si="654"/>
        <v>0</v>
      </c>
      <c r="EB517" s="2811">
        <f>SUMIFS($BN$7:$BN$451,$DP$7:$DP$451,$EB$513,$DN$7:$DN$451,DN517,$DQ$7:$DQ$451,"CGR")</f>
        <v>0</v>
      </c>
      <c r="EC517" s="2811">
        <f>SUMIFS($BN$7:$BN$451,$DP$7:$DP$451,$EC$513,$DN$7:$DN$451,DN519,$DQ$7:$DQ$451,"CGR")</f>
        <v>0</v>
      </c>
      <c r="ED517" s="2811">
        <f>SUMIFS($BN$7:$BN$451,$DP$7:$DP$451,$ED$513,$DN$7:$DN$451,DN517,$DQ$7:$DQ$451,"CGR")</f>
        <v>0</v>
      </c>
      <c r="EE517" s="2811">
        <f>SUMIFS($BN$7:$BN$451,$DP$7:$DP$451,$EE$513,$DN$7:$DN$451,DN517,$DQ$7:$DQ$451,"CGR")</f>
        <v>0</v>
      </c>
      <c r="EF517" s="2811">
        <f>SUMIFS($BN$7:$BN$451,$DP$7:$DP$451,$EF$513,$DN$7:$DN$451,DN517,$DQ$7:$DQ$451,"CGR")</f>
        <v>0</v>
      </c>
      <c r="EG517" s="2811">
        <f t="shared" si="655"/>
        <v>0</v>
      </c>
    </row>
    <row r="518" spans="116:137" ht="15">
      <c r="DL518" s="3180"/>
      <c r="DN518" s="2796" t="s">
        <v>1346</v>
      </c>
      <c r="DO518" s="2797" t="s">
        <v>1347</v>
      </c>
      <c r="DP518" s="2811">
        <f t="shared" si="656"/>
        <v>16000</v>
      </c>
      <c r="DQ518" s="2811">
        <f t="shared" si="656"/>
        <v>360500</v>
      </c>
      <c r="DR518" s="2811">
        <f t="shared" si="656"/>
        <v>0</v>
      </c>
      <c r="DS518" s="2811">
        <f t="shared" si="656"/>
        <v>0</v>
      </c>
      <c r="DT518" s="2811">
        <f t="shared" si="656"/>
        <v>0</v>
      </c>
      <c r="DU518" s="2811">
        <f t="shared" si="657"/>
        <v>376500</v>
      </c>
      <c r="DV518" s="2811">
        <f>SUMIFS($BN$7:$BN$451,$DP$7:$DP$451,$DV$513,$DN$7:$DN$451,DN518,$DQ$7:$DQ$451,"MH")</f>
        <v>16000</v>
      </c>
      <c r="DW518" s="2811">
        <f>SUMIFS($BN$7:$BN$451,$DP$7:$DP$451,$DW$513,$DN$7:$DN$451,DN518,$DQ$7:$DQ$451,"MH")</f>
        <v>0</v>
      </c>
      <c r="DX518" s="2811">
        <f>SUMIFS($BN$7:$BN$451,$DP$7:$DP$451,$DX$513,$DN$7:$DN$451,DN518,$DQ$7:$DQ$451,"MH")</f>
        <v>0</v>
      </c>
      <c r="DY518" s="2811">
        <f>SUMIFS($BN$7:$BN$451,$DP$7:$DP$451,$DY$513,$DN$7:$DN$451,DN518,$DQ$7:$DQ$451,"MH")</f>
        <v>0</v>
      </c>
      <c r="DZ518" s="2811">
        <f>SUMIFS($BN$7:$BN$451,$DP$7:$DP$451,$DZ$513,$DN$7:$DN$451,DN518,$DQ$7:$DQ$451,"MH")</f>
        <v>0</v>
      </c>
      <c r="EA518" s="2811">
        <f t="shared" si="654"/>
        <v>16000</v>
      </c>
      <c r="EB518" s="2811">
        <f>SUMIFS($BN$7:$BN$451,$DP$7:$DP$451,$EB$513,$DN$7:$DN$451,DN518,$DQ$7:$DQ$451,"CGR")</f>
        <v>0</v>
      </c>
      <c r="EC518" s="2811">
        <f>SUMIFS($BN$7:$BN$451,$DP$7:$DP$451,$EC$513,$DN$7:$DN$451,DN520,$DQ$7:$DQ$451,"CGR")</f>
        <v>360500</v>
      </c>
      <c r="ED518" s="2811">
        <f>SUMIFS($BN$7:$BN$451,$DP$7:$DP$451,$ED$513,$DN$7:$DN$451,DN518,$DQ$7:$DQ$451,"CGR")</f>
        <v>0</v>
      </c>
      <c r="EE518" s="2811">
        <f>SUMIFS($BN$7:$BN$451,$DP$7:$DP$451,$EE$513,$DN$7:$DN$451,DN518,$DQ$7:$DQ$451,"CGR")</f>
        <v>0</v>
      </c>
      <c r="EF518" s="2811">
        <f>SUMIFS($BN$7:$BN$451,$DP$7:$DP$451,$EF$513,$DN$7:$DN$451,DN518,$DQ$7:$DQ$451,"CGR")</f>
        <v>0</v>
      </c>
      <c r="EG518" s="2811">
        <f t="shared" si="655"/>
        <v>360500</v>
      </c>
    </row>
    <row r="519" spans="116:137">
      <c r="DL519" s="3180"/>
      <c r="DN519" s="2792" t="s">
        <v>1180</v>
      </c>
      <c r="DO519" s="2793" t="s">
        <v>1181</v>
      </c>
      <c r="DP519" s="2811">
        <f t="shared" si="656"/>
        <v>0</v>
      </c>
      <c r="DQ519" s="2811">
        <f t="shared" si="656"/>
        <v>590213.96664</v>
      </c>
      <c r="DR519" s="2811">
        <f t="shared" si="656"/>
        <v>0</v>
      </c>
      <c r="DS519" s="2811">
        <f t="shared" si="656"/>
        <v>0</v>
      </c>
      <c r="DT519" s="2811">
        <f t="shared" si="656"/>
        <v>0</v>
      </c>
      <c r="DU519" s="2811">
        <f t="shared" si="657"/>
        <v>590213.96664</v>
      </c>
      <c r="DV519" s="2811">
        <f>SUMIFS($BN$7:$BN$451,$DP$7:$DP$451,$DV$513,$DN$7:$DN$451,DN519,$DQ$7:$DQ$451,"MH")</f>
        <v>0</v>
      </c>
      <c r="DW519" s="2811">
        <f>SUMIFS($BN$7:$BN$451,$DP$7:$DP$451,$DW$513,$DN$7:$DN$451,DN519,$DQ$7:$DQ$451,"MH")</f>
        <v>590213.96664</v>
      </c>
      <c r="DX519" s="2811">
        <f>SUMIFS($BN$7:$BN$451,$DP$7:$DP$451,$DX$513,$DN$7:$DN$451,DN519,$DQ$7:$DQ$451,"MH")</f>
        <v>0</v>
      </c>
      <c r="DY519" s="2811">
        <f>SUMIFS($BN$7:$BN$451,$DP$7:$DP$451,$DY$513,$DN$7:$DN$451,DN519,$DQ$7:$DQ$451,"MH")</f>
        <v>0</v>
      </c>
      <c r="DZ519" s="2811">
        <f>SUMIFS($BN$7:$BN$451,$DP$7:$DP$451,$DZ$513,$DN$7:$DN$451,DN519,$DQ$7:$DQ$451,"MH")</f>
        <v>0</v>
      </c>
      <c r="EA519" s="2811">
        <f t="shared" si="654"/>
        <v>590213.96664</v>
      </c>
      <c r="EB519" s="2811">
        <f>SUMIFS($BN$7:$BN$451,$DP$7:$DP$451,$EB$513,$DN$7:$DN$451,DN519,$DQ$7:$DQ$451,"CGR")</f>
        <v>0</v>
      </c>
      <c r="EC519" s="2811">
        <f>SUMIFS($BN$7:$BN$451,$DP$7:$DP$451,$EC$513,$DN$7:$DN$451,DN521,$DQ$7:$DQ$451,"CGR")</f>
        <v>0</v>
      </c>
      <c r="ED519" s="2811">
        <f>SUMIFS($BN$7:$BN$451,$DP$7:$DP$451,$ED$513,$DN$7:$DN$451,DN519,$DQ$7:$DQ$451,"CGR")</f>
        <v>0</v>
      </c>
      <c r="EE519" s="2811">
        <f>SUMIFS($BN$7:$BN$451,$DP$7:$DP$451,$EE$513,$DN$7:$DN$451,DN519,$DQ$7:$DQ$451,"CGR")</f>
        <v>0</v>
      </c>
      <c r="EF519" s="2811">
        <f>SUMIFS($BN$7:$BN$451,$DP$7:$DP$451,$EF$513,$DN$7:$DN$451,DN519,$DQ$7:$DQ$451,"CGR")</f>
        <v>0</v>
      </c>
      <c r="EG519" s="2811">
        <f t="shared" si="655"/>
        <v>0</v>
      </c>
    </row>
    <row r="520" spans="116:137">
      <c r="DL520" s="3180"/>
      <c r="DN520" s="2792" t="s">
        <v>1283</v>
      </c>
      <c r="DO520" s="2793" t="s">
        <v>1284</v>
      </c>
      <c r="DP520" s="2811">
        <f t="shared" si="656"/>
        <v>0</v>
      </c>
      <c r="DQ520" s="2811">
        <f t="shared" si="656"/>
        <v>14000</v>
      </c>
      <c r="DR520" s="2811">
        <f t="shared" si="656"/>
        <v>0</v>
      </c>
      <c r="DS520" s="2811">
        <f t="shared" si="656"/>
        <v>0</v>
      </c>
      <c r="DT520" s="2811">
        <f t="shared" si="656"/>
        <v>0</v>
      </c>
      <c r="DU520" s="2811">
        <f t="shared" si="657"/>
        <v>14000</v>
      </c>
      <c r="DV520" s="2811">
        <f>SUMIFS($BN$7:$BN$451,$DP$7:$DP$451,$DV$513,$DN$7:$DN$451,DN520,$DQ$7:$DQ$451,"MH")</f>
        <v>0</v>
      </c>
      <c r="DW520" s="2811">
        <f>SUMIFS($BN$7:$BN$451,$DP$7:$DP$451,$DW$513,$DN$7:$DN$451,DN520,$DQ$7:$DQ$451,"MH")</f>
        <v>14000</v>
      </c>
      <c r="DX520" s="2811">
        <f>SUMIFS($BN$7:$BN$451,$DP$7:$DP$451,$DX$513,$DN$7:$DN$451,DN520,$DQ$7:$DQ$451,"MH")</f>
        <v>0</v>
      </c>
      <c r="DY520" s="2811">
        <f>SUMIFS($BN$7:$BN$451,$DP$7:$DP$451,$DY$513,$DN$7:$DN$451,DN520,$DQ$7:$DQ$451,"MH")</f>
        <v>0</v>
      </c>
      <c r="DZ520" s="2811">
        <f>SUMIFS($BN$7:$BN$451,$DP$7:$DP$451,$DZ$513,$DN$7:$DN$451,DN520,$DQ$7:$DQ$451,"MH")</f>
        <v>0</v>
      </c>
      <c r="EA520" s="2811">
        <f t="shared" si="654"/>
        <v>14000</v>
      </c>
      <c r="EB520" s="2811">
        <f>SUMIFS($BN$7:$BN$451,$DP$7:$DP$451,$EB$513,$DN$7:$DN$451,DN520,$DQ$7:$DQ$451,"CGR")</f>
        <v>0</v>
      </c>
      <c r="EC520" s="2811">
        <f>SUMIFS($BN$7:$BN$451,$DP$7:$DP$451,$EC$513,$DN$7:$DN$451,DN522,$DQ$7:$DQ$451,"CGR")</f>
        <v>0</v>
      </c>
      <c r="ED520" s="2811">
        <f>SUMIFS($BN$7:$BN$451,$DP$7:$DP$451,$ED$513,$DN$7:$DN$451,DN520,$DQ$7:$DQ$451,"CGR")</f>
        <v>0</v>
      </c>
      <c r="EE520" s="2811">
        <f>SUMIFS($BN$7:$BN$451,$DP$7:$DP$451,$EE$513,$DN$7:$DN$451,DN520,$DQ$7:$DQ$451,"CGR")</f>
        <v>0</v>
      </c>
      <c r="EF520" s="2811">
        <f>SUMIFS($BN$7:$BN$451,$DP$7:$DP$451,$EF$513,$DN$7:$DN$451,DN520,$DQ$7:$DQ$451,"CGR")</f>
        <v>0</v>
      </c>
      <c r="EG520" s="2811">
        <f t="shared" si="655"/>
        <v>0</v>
      </c>
    </row>
    <row r="521" spans="116:137">
      <c r="DL521" s="3180"/>
      <c r="DN521" s="2798" t="s">
        <v>1331</v>
      </c>
      <c r="DO521" s="2795" t="s">
        <v>1332</v>
      </c>
      <c r="DP521" s="2811">
        <f t="shared" si="656"/>
        <v>0</v>
      </c>
      <c r="DQ521" s="2811">
        <f t="shared" si="656"/>
        <v>0</v>
      </c>
      <c r="DR521" s="2811">
        <f t="shared" si="656"/>
        <v>0</v>
      </c>
      <c r="DS521" s="2811">
        <f t="shared" si="656"/>
        <v>317980.51</v>
      </c>
      <c r="DT521" s="2811">
        <f t="shared" si="656"/>
        <v>0</v>
      </c>
      <c r="DU521" s="2811">
        <f t="shared" si="657"/>
        <v>317980.51</v>
      </c>
      <c r="DV521" s="2811">
        <f>SUMIFS($BN$7:$BN$451,$DP$7:$DP$451,$DV$513,$DN$7:$DN$451,DN521,$DQ$7:$DQ$451,"MH")</f>
        <v>0</v>
      </c>
      <c r="DW521" s="2811">
        <f>SUMIFS($BN$7:$BN$451,$DP$7:$DP$451,$DW$513,$DN$7:$DN$451,DN521,$DQ$7:$DQ$451,"MH")</f>
        <v>0</v>
      </c>
      <c r="DX521" s="2811">
        <f>SUMIFS($BN$7:$BN$451,$DP$7:$DP$451,$DX$513,$DN$7:$DN$451,DN521,$DQ$7:$DQ$451,"MH")</f>
        <v>0</v>
      </c>
      <c r="DY521" s="2811">
        <f>SUMIFS($BN$7:$BN$451,$DP$7:$DP$451,$DY$513,$DN$7:$DN$451,DN521,$DQ$7:$DQ$451,"MH")</f>
        <v>317980.51</v>
      </c>
      <c r="DZ521" s="2811">
        <f>SUMIFS($BN$7:$BN$451,$DP$7:$DP$451,$DZ$513,$DN$7:$DN$451,DN521,$DQ$7:$DQ$451,"MH")</f>
        <v>0</v>
      </c>
      <c r="EA521" s="2811">
        <f t="shared" si="654"/>
        <v>317980.51</v>
      </c>
      <c r="EB521" s="2811">
        <f>SUMIFS($BN$7:$BN$451,$DP$7:$DP$451,$EB$513,$DN$7:$DN$451,DN521,$DQ$7:$DQ$451,"CGR")</f>
        <v>0</v>
      </c>
      <c r="EC521" s="2811">
        <f>SUMIFS($BN$7:$BN$451,$DP$7:$DP$451,$EC$513,$DN$7:$DN$451,DN523,$DQ$7:$DQ$451,"CGR")</f>
        <v>0</v>
      </c>
      <c r="ED521" s="2811">
        <f>SUMIFS($BN$7:$BN$451,$DP$7:$DP$451,$ED$513,$DN$7:$DN$451,DN521,$DQ$7:$DQ$451,"CGR")</f>
        <v>0</v>
      </c>
      <c r="EE521" s="2811">
        <f>SUMIFS($BN$7:$BN$451,$DP$7:$DP$451,$EE$513,$DN$7:$DN$451,DN521,$DQ$7:$DQ$451,"CGR")</f>
        <v>0</v>
      </c>
      <c r="EF521" s="2811">
        <f>SUMIFS($BN$7:$BN$451,$DP$7:$DP$451,$EF$513,$DN$7:$DN$451,DN521,$DQ$7:$DQ$451,"CGR")</f>
        <v>0</v>
      </c>
      <c r="EG521" s="2811">
        <f t="shared" si="655"/>
        <v>0</v>
      </c>
    </row>
    <row r="522" spans="116:137" ht="15">
      <c r="DL522" s="3180"/>
      <c r="DN522" s="2799" t="s">
        <v>1303</v>
      </c>
      <c r="DO522" s="2800" t="s">
        <v>1304</v>
      </c>
      <c r="DP522" s="2811">
        <f t="shared" si="656"/>
        <v>0</v>
      </c>
      <c r="DQ522" s="2811">
        <f t="shared" si="656"/>
        <v>0</v>
      </c>
      <c r="DR522" s="2811">
        <f t="shared" si="656"/>
        <v>0</v>
      </c>
      <c r="DS522" s="2811">
        <f t="shared" si="656"/>
        <v>0</v>
      </c>
      <c r="DT522" s="2811">
        <f t="shared" si="656"/>
        <v>0</v>
      </c>
      <c r="DU522" s="2811">
        <f t="shared" si="657"/>
        <v>0</v>
      </c>
      <c r="DV522" s="2811">
        <f>SUMIFS($BN$7:$BN$451,$DP$7:$DP$451,$DV$513,$DN$7:$DN$451,DN522,$DQ$7:$DQ$451,"MH")</f>
        <v>0</v>
      </c>
      <c r="DW522" s="2811">
        <f>SUMIFS($BN$7:$BN$451,$DP$7:$DP$451,$DW$513,$DN$7:$DN$451,DN522,$DQ$7:$DQ$451,"MH")</f>
        <v>0</v>
      </c>
      <c r="DX522" s="2811">
        <f>SUMIFS($BN$7:$BN$451,$DP$7:$DP$451,$DX$513,$DN$7:$DN$451,DN522,$DQ$7:$DQ$451,"MH")</f>
        <v>0</v>
      </c>
      <c r="DY522" s="2811">
        <f>SUMIFS($BN$7:$BN$451,$DP$7:$DP$451,$DY$513,$DN$7:$DN$451,DN522,$DQ$7:$DQ$451,"MH")</f>
        <v>0</v>
      </c>
      <c r="DZ522" s="2811">
        <f>SUMIFS($BN$7:$BN$451,$DP$7:$DP$451,$DZ$513,$DN$7:$DN$451,DN522,$DQ$7:$DQ$451,"MH")</f>
        <v>0</v>
      </c>
      <c r="EA522" s="2811">
        <f t="shared" si="654"/>
        <v>0</v>
      </c>
      <c r="EB522" s="2811">
        <f>SUMIFS($BN$7:$BN$451,$DP$7:$DP$451,$EB$513,$DN$7:$DN$451,DN522,$DQ$7:$DQ$451,"CGR")</f>
        <v>0</v>
      </c>
      <c r="EC522" s="2811">
        <f>SUMIFS($BN$7:$BN$451,$DP$7:$DP$451,$EC$513,$DN$7:$DN$451,DN524,$DQ$7:$DQ$451,"CGR")</f>
        <v>0</v>
      </c>
      <c r="ED522" s="2811">
        <f>SUMIFS($BN$7:$BN$451,$DP$7:$DP$451,$ED$513,$DN$7:$DN$451,DN522,$DQ$7:$DQ$451,"CGR")</f>
        <v>0</v>
      </c>
      <c r="EE522" s="2811">
        <f>SUMIFS($BN$7:$BN$451,$DP$7:$DP$451,$EE$513,$DN$7:$DN$451,DN522,$DQ$7:$DQ$451,"CGR")</f>
        <v>0</v>
      </c>
      <c r="EF522" s="2811">
        <f>SUMIFS($BN$7:$BN$451,$DP$7:$DP$451,$EF$513,$DN$7:$DN$451,DN522,$DQ$7:$DQ$451,"CGR")</f>
        <v>0</v>
      </c>
      <c r="EG522" s="2811">
        <f t="shared" si="655"/>
        <v>0</v>
      </c>
    </row>
    <row r="523" spans="116:137">
      <c r="DL523" s="3180"/>
      <c r="DP523" s="2817">
        <f t="shared" ref="DP523:EG523" si="658">SUM(DP514:DP522)</f>
        <v>16000</v>
      </c>
      <c r="DQ523" s="2817">
        <f t="shared" si="658"/>
        <v>964713.96664</v>
      </c>
      <c r="DR523" s="2817">
        <f t="shared" si="658"/>
        <v>28000</v>
      </c>
      <c r="DS523" s="2817">
        <f t="shared" si="658"/>
        <v>392980.51</v>
      </c>
      <c r="DT523" s="2817">
        <f t="shared" si="658"/>
        <v>0</v>
      </c>
      <c r="DU523" s="2817">
        <f t="shared" si="658"/>
        <v>1401694.47664</v>
      </c>
      <c r="DV523" s="2809">
        <f t="shared" si="658"/>
        <v>16000</v>
      </c>
      <c r="DW523" s="2809">
        <f t="shared" si="658"/>
        <v>604213.96664</v>
      </c>
      <c r="DX523" s="2809">
        <f t="shared" si="658"/>
        <v>28000</v>
      </c>
      <c r="DY523" s="2809">
        <f t="shared" si="658"/>
        <v>317980.51</v>
      </c>
      <c r="DZ523" s="2809">
        <f t="shared" si="658"/>
        <v>0</v>
      </c>
      <c r="EA523" s="2809">
        <f t="shared" si="658"/>
        <v>966194.47664000001</v>
      </c>
      <c r="EB523" s="2818">
        <f t="shared" si="658"/>
        <v>0</v>
      </c>
      <c r="EC523" s="2818">
        <f t="shared" si="658"/>
        <v>360500</v>
      </c>
      <c r="ED523" s="2818">
        <f t="shared" si="658"/>
        <v>0</v>
      </c>
      <c r="EE523" s="2818">
        <f t="shared" si="658"/>
        <v>75000</v>
      </c>
      <c r="EF523" s="2818">
        <f t="shared" si="658"/>
        <v>0</v>
      </c>
      <c r="EG523" s="2818">
        <f t="shared" si="658"/>
        <v>435500</v>
      </c>
    </row>
    <row r="524" spans="116:137">
      <c r="DL524" s="3180"/>
      <c r="DR524" s="152"/>
      <c r="DS524" s="152"/>
      <c r="DT524" s="152"/>
      <c r="DU524" s="152"/>
      <c r="DV524" s="152"/>
      <c r="DW524" s="152"/>
    </row>
    <row r="525" spans="116:137">
      <c r="DL525" s="3180"/>
      <c r="DR525" s="152"/>
      <c r="DS525" s="152"/>
      <c r="DT525" s="152"/>
      <c r="DU525" s="2237">
        <f>DU523-DX477</f>
        <v>0</v>
      </c>
      <c r="DV525" s="152"/>
      <c r="DW525" s="152"/>
      <c r="EA525" s="2237">
        <f>EA523-DV477</f>
        <v>0</v>
      </c>
      <c r="EG525" s="2237">
        <f>EG523-DW477</f>
        <v>0</v>
      </c>
    </row>
    <row r="526" spans="116:137">
      <c r="DL526" s="3180"/>
    </row>
    <row r="527" spans="116:137">
      <c r="DL527" s="3180"/>
      <c r="DP527" s="4048" t="s">
        <v>1730</v>
      </c>
      <c r="DQ527" s="4049"/>
      <c r="DR527" s="4049"/>
      <c r="DS527" s="4049"/>
      <c r="DT527" s="4049"/>
      <c r="DU527" s="4050"/>
      <c r="DV527" s="4029" t="s">
        <v>1731</v>
      </c>
      <c r="DW527" s="4030"/>
      <c r="DX527" s="4030"/>
      <c r="DY527" s="4030"/>
      <c r="DZ527" s="4030"/>
      <c r="EA527" s="4031"/>
      <c r="EB527" s="4057" t="s">
        <v>1732</v>
      </c>
      <c r="EC527" s="4058"/>
      <c r="ED527" s="4058"/>
      <c r="EE527" s="4058"/>
      <c r="EF527" s="4058"/>
      <c r="EG527" s="4059"/>
    </row>
    <row r="528" spans="116:137" ht="30">
      <c r="DL528" s="3180"/>
      <c r="DN528" s="2813" t="s">
        <v>1155</v>
      </c>
      <c r="DO528" s="2813" t="s">
        <v>1156</v>
      </c>
      <c r="DP528" s="2814" t="s">
        <v>1115</v>
      </c>
      <c r="DQ528" s="2814" t="s">
        <v>1117</v>
      </c>
      <c r="DR528" s="2814" t="s">
        <v>1124</v>
      </c>
      <c r="DS528" s="2814" t="s">
        <v>1160</v>
      </c>
      <c r="DT528" s="2814" t="s">
        <v>1173</v>
      </c>
      <c r="DU528" s="2814" t="s">
        <v>1715</v>
      </c>
      <c r="DV528" s="2815" t="s">
        <v>1115</v>
      </c>
      <c r="DW528" s="2815" t="s">
        <v>1117</v>
      </c>
      <c r="DX528" s="2815" t="s">
        <v>1124</v>
      </c>
      <c r="DY528" s="2815" t="s">
        <v>1160</v>
      </c>
      <c r="DZ528" s="2815" t="s">
        <v>1173</v>
      </c>
      <c r="EA528" s="2815" t="s">
        <v>487</v>
      </c>
      <c r="EB528" s="2816" t="s">
        <v>1115</v>
      </c>
      <c r="EC528" s="2816" t="s">
        <v>1117</v>
      </c>
      <c r="ED528" s="2816" t="s">
        <v>1124</v>
      </c>
      <c r="EE528" s="2816" t="s">
        <v>1160</v>
      </c>
      <c r="EF528" s="2816" t="s">
        <v>1173</v>
      </c>
      <c r="EG528" s="2816" t="s">
        <v>487</v>
      </c>
    </row>
    <row r="529" spans="116:137">
      <c r="DL529" s="3180"/>
      <c r="DN529" s="2788" t="s">
        <v>1597</v>
      </c>
      <c r="DO529" s="2789" t="s">
        <v>1598</v>
      </c>
      <c r="DP529" s="2811">
        <f>DV529+EB529</f>
        <v>0</v>
      </c>
      <c r="DQ529" s="2811">
        <f>DW529+EC529</f>
        <v>0</v>
      </c>
      <c r="DR529" s="2811">
        <f>DX529+ED529</f>
        <v>0</v>
      </c>
      <c r="DS529" s="2811">
        <f>DY529+EE529</f>
        <v>0</v>
      </c>
      <c r="DT529" s="2811">
        <f>DZ529+EF529</f>
        <v>0</v>
      </c>
      <c r="DU529" s="2811">
        <f>SUM(DP529:DT529)</f>
        <v>0</v>
      </c>
      <c r="DV529" s="2811">
        <f>SUMIFS($CB$7:$CB$451,$DP$7:$DP$451,$DV$528,$DN$7:$DN$451,DN529,$DQ$7:$DQ$451,"MH")</f>
        <v>0</v>
      </c>
      <c r="DW529" s="2811">
        <f>SUMIFS($CB$7:$CB$451,$DP$7:$DP$451,$DW$528,$DN$7:$DN$451,DN529,$DQ$7:$DQ$451,"MH")</f>
        <v>0</v>
      </c>
      <c r="DX529" s="2811">
        <f>SUMIFS($CB$7:$CB$451,$DP$7:$DP$451,$DX$528,$DN$7:$DN$451,DN529,$DQ$7:$DQ$451,"MH")</f>
        <v>0</v>
      </c>
      <c r="DY529" s="2811">
        <f>SUMIFS($CB$7:$CB$451,$DP$7:$DP$451,$DY$528,$DN$7:$DN$451,DN529,$DQ$7:$DQ$451,"MH")</f>
        <v>0</v>
      </c>
      <c r="DZ529" s="2811">
        <f>SUMIFS($CB$7:$CB$451,$DP$7:$DP$451,$DZ$528,$DN$7:$DN$451,DN529,$DQ$7:$DQ$451,"MH")</f>
        <v>0</v>
      </c>
      <c r="EA529" s="2811">
        <f t="shared" ref="EA529:EA537" si="659">SUM(DV529:DZ529)</f>
        <v>0</v>
      </c>
      <c r="EB529" s="2811">
        <f>SUMIFS($CB$7:$CB$451,$DP$7:$DP$451,$EB$528,$DN$7:$DN$451,DN529,$DQ$7:$DQ$451,"CGR")</f>
        <v>0</v>
      </c>
      <c r="EC529" s="2811">
        <f>SUMIFS($CB$7:$CB$451,$DP$7:$DP$451,$EC$528,$DN$7:$DN$451,DN531,$DQ$7:$DQ$451,"CGR")</f>
        <v>0</v>
      </c>
      <c r="ED529" s="2811">
        <f>SUMIFS($CB$7:$CB$451,$DP$7:$DP$451,$ED$528,$DN$7:$DN$451,DN529,$DQ$7:$DQ$451,"CGR")</f>
        <v>0</v>
      </c>
      <c r="EE529" s="2811">
        <f>SUMIFS($CB$7:$CB$451,$DP$7:$DP$451,$EE$528,$DN$7:$DN$451,DN529,$DQ$7:$DQ$451,"CGR")</f>
        <v>0</v>
      </c>
      <c r="EF529" s="2811">
        <f>SUMIFS($CB$7:$CB$451,$DP$7:$DP$451,$EF$528,$DN$7:$DN$451,DN529,$DQ$7:$DQ$451,"CGR")</f>
        <v>0</v>
      </c>
      <c r="EG529" s="2811">
        <f t="shared" ref="EG529:EG537" si="660">SUM(EB529:EF529)</f>
        <v>0</v>
      </c>
    </row>
    <row r="530" spans="116:137">
      <c r="DL530" s="3180"/>
      <c r="DN530" s="2792" t="s">
        <v>1535</v>
      </c>
      <c r="DO530" s="2793" t="s">
        <v>1536</v>
      </c>
      <c r="DP530" s="2811">
        <f t="shared" ref="DP530:DT537" si="661">DV530+EB530</f>
        <v>0</v>
      </c>
      <c r="DQ530" s="2811">
        <f t="shared" si="661"/>
        <v>0</v>
      </c>
      <c r="DR530" s="2811">
        <f t="shared" si="661"/>
        <v>0</v>
      </c>
      <c r="DS530" s="2811">
        <f t="shared" si="661"/>
        <v>75000</v>
      </c>
      <c r="DT530" s="2811">
        <f t="shared" si="661"/>
        <v>0</v>
      </c>
      <c r="DU530" s="2811">
        <f t="shared" ref="DU530:DU537" si="662">SUM(DP530:DT530)</f>
        <v>75000</v>
      </c>
      <c r="DV530" s="2811">
        <f>SUMIFS($CB$7:$CB$451,$DP$7:$DP$451,$DV$528,$DN$7:$DN$451,DN530,$DQ$7:$DQ$451,"MH")</f>
        <v>0</v>
      </c>
      <c r="DW530" s="2811">
        <f>SUMIFS($CB$7:$CB$451,$DP$7:$DP$451,$DW$528,$DN$7:$DN$451,DN530,$DQ$7:$DQ$451,"MH")</f>
        <v>0</v>
      </c>
      <c r="DX530" s="2811">
        <f>SUMIFS($CB$7:$CB$451,$DP$7:$DP$451,$DX$528,$DN$7:$DN$451,DN530,$DQ$7:$DQ$451,"MH")</f>
        <v>0</v>
      </c>
      <c r="DY530" s="2811">
        <f>SUMIFS($CB$7:$CB$451,$DP$7:$DP$451,$DY$528,$DN$7:$DN$451,DN530,$DQ$7:$DQ$451,"MH")</f>
        <v>0</v>
      </c>
      <c r="DZ530" s="2811">
        <f>SUMIFS($CB$7:$CB$451,$DP$7:$DP$451,$DZ$528,$DN$7:$DN$451,DN530,$DQ$7:$DQ$451,"MH")</f>
        <v>0</v>
      </c>
      <c r="EA530" s="2811">
        <f t="shared" si="659"/>
        <v>0</v>
      </c>
      <c r="EB530" s="2811">
        <f>SUMIFS($CB$7:$CB$451,$DP$7:$DP$451,$EB$528,$DN$7:$DN$451,DN530,$DQ$7:$DQ$451,"CGR")</f>
        <v>0</v>
      </c>
      <c r="EC530" s="2811">
        <f>SUMIFS($CB$7:$CB$451,$DP$7:$DP$451,$EC$528,$DN$7:$DN$451,DN532,$DQ$7:$DQ$451,"CGR")</f>
        <v>0</v>
      </c>
      <c r="ED530" s="2811">
        <f>SUMIFS($CB$7:$CB$451,$DP$7:$DP$451,$ED$528,$DN$7:$DN$451,DN530,$DQ$7:$DQ$451,"CGR")</f>
        <v>0</v>
      </c>
      <c r="EE530" s="2811">
        <f>SUMIFS($CB$7:$CB$451,$DP$7:$DP$451,$EE$528,$DN$7:$DN$451,DN530,$DQ$7:$DQ$451,"CGR")</f>
        <v>75000</v>
      </c>
      <c r="EF530" s="2811">
        <f>SUMIFS($CB$7:$CB$451,$DP$7:$DP$451,$EF$528,$DN$7:$DN$451,DN530,$DQ$7:$DQ$451,"CGR")</f>
        <v>0</v>
      </c>
      <c r="EG530" s="2811">
        <f t="shared" si="660"/>
        <v>75000</v>
      </c>
    </row>
    <row r="531" spans="116:137">
      <c r="DL531" s="3180"/>
      <c r="DN531" s="2792" t="s">
        <v>1415</v>
      </c>
      <c r="DO531" s="2793" t="s">
        <v>1416</v>
      </c>
      <c r="DP531" s="2811">
        <f t="shared" si="661"/>
        <v>0</v>
      </c>
      <c r="DQ531" s="2811">
        <f t="shared" si="661"/>
        <v>0</v>
      </c>
      <c r="DR531" s="2811">
        <f t="shared" si="661"/>
        <v>277000</v>
      </c>
      <c r="DS531" s="2811">
        <f t="shared" si="661"/>
        <v>0</v>
      </c>
      <c r="DT531" s="2811">
        <f t="shared" si="661"/>
        <v>0</v>
      </c>
      <c r="DU531" s="2811">
        <f t="shared" si="662"/>
        <v>277000</v>
      </c>
      <c r="DV531" s="2811">
        <f>SUMIFS($CB$7:$CB$451,$DP$7:$DP$451,$DV$528,$DN$7:$DN$451,DN531,$DQ$7:$DQ$451,"MH")</f>
        <v>0</v>
      </c>
      <c r="DW531" s="2811">
        <f>SUMIFS($CB$7:$CB$451,$DP$7:$DP$451,$DW$528,$DN$7:$DN$451,DN531,$DQ$7:$DQ$451,"MH")</f>
        <v>0</v>
      </c>
      <c r="DX531" s="2811">
        <f>SUMIFS($CB$7:$CB$451,$DP$7:$DP$451,$DX$528,$DN$7:$DN$451,DN531,$DQ$7:$DQ$451,"MH")</f>
        <v>277000</v>
      </c>
      <c r="DY531" s="2811">
        <f>SUMIFS($CB$7:$CB$451,$DP$7:$DP$451,$DY$528,$DN$7:$DN$451,DN531,$DQ$7:$DQ$451,"MH")</f>
        <v>0</v>
      </c>
      <c r="DZ531" s="2811">
        <f>SUMIFS($CB$7:$CB$451,$DP$7:$DP$451,$DZ$528,$DN$7:$DN$451,DN531,$DQ$7:$DQ$451,"MH")</f>
        <v>0</v>
      </c>
      <c r="EA531" s="2811">
        <f t="shared" si="659"/>
        <v>277000</v>
      </c>
      <c r="EB531" s="2811">
        <f>SUMIFS($CB$7:$CB$451,$DP$7:$DP$451,$EB$528,$DN$7:$DN$451,DN531,$DQ$7:$DQ$451,"CGR")</f>
        <v>0</v>
      </c>
      <c r="EC531" s="2811">
        <f>SUMIFS($CB$7:$CB$451,$DP$7:$DP$451,$EC$528,$DN$7:$DN$451,DN533,$DQ$7:$DQ$451,"CGR")</f>
        <v>0</v>
      </c>
      <c r="ED531" s="2811">
        <f>SUMIFS($CB$7:$CB$451,$DP$7:$DP$451,$ED$528,$DN$7:$DN$451,DN531,$DQ$7:$DQ$451,"CGR")</f>
        <v>0</v>
      </c>
      <c r="EE531" s="2811">
        <f>SUMIFS($CB$7:$CB$451,$DP$7:$DP$451,$EE$528,$DN$7:$DN$451,DN531,$DQ$7:$DQ$451,"CGR")</f>
        <v>0</v>
      </c>
      <c r="EF531" s="2811">
        <f>SUMIFS($CB$7:$CB$451,$DP$7:$DP$451,$EF$528,$DN$7:$DN$451,DN531,$DQ$7:$DQ$451,"CGR")</f>
        <v>0</v>
      </c>
      <c r="EG531" s="2811">
        <f t="shared" si="660"/>
        <v>0</v>
      </c>
    </row>
    <row r="532" spans="116:137">
      <c r="DL532" s="3180"/>
      <c r="DN532" s="2794" t="s">
        <v>1669</v>
      </c>
      <c r="DO532" s="2795" t="s">
        <v>1670</v>
      </c>
      <c r="DP532" s="2811">
        <f t="shared" si="661"/>
        <v>0</v>
      </c>
      <c r="DQ532" s="2811">
        <f t="shared" si="661"/>
        <v>0</v>
      </c>
      <c r="DR532" s="2811">
        <f t="shared" si="661"/>
        <v>0</v>
      </c>
      <c r="DS532" s="2811">
        <f t="shared" si="661"/>
        <v>0</v>
      </c>
      <c r="DT532" s="2811">
        <f t="shared" si="661"/>
        <v>0</v>
      </c>
      <c r="DU532" s="2811">
        <f t="shared" si="662"/>
        <v>0</v>
      </c>
      <c r="DV532" s="2811">
        <f>SUMIFS($CB$7:$CB$451,$DP$7:$DP$451,$DV$528,$DN$7:$DN$451,DN532,$DQ$7:$DQ$451,"MH")</f>
        <v>0</v>
      </c>
      <c r="DW532" s="2811">
        <f>SUMIFS($CB$7:$CB$451,$DP$7:$DP$451,$DW$528,$DN$7:$DN$451,DN532,$DQ$7:$DQ$451,"MH")</f>
        <v>0</v>
      </c>
      <c r="DX532" s="2811">
        <f>SUMIFS($CB$7:$CB$451,$DP$7:$DP$451,$DX$528,$DN$7:$DN$451,DN532,$DQ$7:$DQ$451,"MH")</f>
        <v>0</v>
      </c>
      <c r="DY532" s="2811">
        <f>SUMIFS($CB$7:$CB$451,$DP$7:$DP$451,$DY$528,$DN$7:$DN$451,DN532,$DQ$7:$DQ$451,"MH")</f>
        <v>0</v>
      </c>
      <c r="DZ532" s="2811">
        <f>SUMIFS($CB$7:$CB$451,$DP$7:$DP$451,$DZ$528,$DN$7:$DN$451,DN532,$DQ$7:$DQ$451,"MH")</f>
        <v>0</v>
      </c>
      <c r="EA532" s="2811">
        <f t="shared" si="659"/>
        <v>0</v>
      </c>
      <c r="EB532" s="2811">
        <f>SUMIFS($CB$7:$CB$451,$DP$7:$DP$451,$EB$528,$DN$7:$DN$451,DN532,$DQ$7:$DQ$451,"CGR")</f>
        <v>0</v>
      </c>
      <c r="EC532" s="2811">
        <f>SUMIFS($CB$7:$CB$451,$DP$7:$DP$451,$EC$528,$DN$7:$DN$451,DN534,$DQ$7:$DQ$451,"CGR")</f>
        <v>0</v>
      </c>
      <c r="ED532" s="2811">
        <f>SUMIFS($CB$7:$CB$451,$DP$7:$DP$451,$ED$528,$DN$7:$DN$451,DN532,$DQ$7:$DQ$451,"CGR")</f>
        <v>0</v>
      </c>
      <c r="EE532" s="2811">
        <f>SUMIFS($CB$7:$CB$451,$DP$7:$DP$451,$EE$528,$DN$7:$DN$451,DN532,$DQ$7:$DQ$451,"CGR")</f>
        <v>0</v>
      </c>
      <c r="EF532" s="2811">
        <f>SUMIFS($CB$7:$CB$451,$DP$7:$DP$451,$EF$528,$DN$7:$DN$451,DN532,$DQ$7:$DQ$451,"CGR")</f>
        <v>0</v>
      </c>
      <c r="EG532" s="2811">
        <f t="shared" si="660"/>
        <v>0</v>
      </c>
    </row>
    <row r="533" spans="116:137" ht="15">
      <c r="DL533" s="3180"/>
      <c r="DN533" s="2796" t="s">
        <v>1346</v>
      </c>
      <c r="DO533" s="2797" t="s">
        <v>1347</v>
      </c>
      <c r="DP533" s="2811">
        <f t="shared" si="661"/>
        <v>131900</v>
      </c>
      <c r="DQ533" s="2811">
        <f t="shared" si="661"/>
        <v>1524425</v>
      </c>
      <c r="DR533" s="2811">
        <f t="shared" si="661"/>
        <v>0</v>
      </c>
      <c r="DS533" s="2811">
        <f t="shared" si="661"/>
        <v>0</v>
      </c>
      <c r="DT533" s="2811">
        <f t="shared" si="661"/>
        <v>0</v>
      </c>
      <c r="DU533" s="2811">
        <f t="shared" si="662"/>
        <v>1656325</v>
      </c>
      <c r="DV533" s="2811">
        <f>SUMIFS($CB$7:$CB$451,$DP$7:$DP$451,$DV$528,$DN$7:$DN$451,DN533,$DQ$7:$DQ$451,"MH")</f>
        <v>99400</v>
      </c>
      <c r="DW533" s="2811">
        <f>SUMIFS($CB$7:$CB$451,$DP$7:$DP$451,$DW$528,$DN$7:$DN$451,DN533,$DQ$7:$DQ$451,"MH")</f>
        <v>0</v>
      </c>
      <c r="DX533" s="2811">
        <f>SUMIFS($CB$7:$CB$451,$DP$7:$DP$451,$DX$528,$DN$7:$DN$451,DN533,$DQ$7:$DQ$451,"MH")</f>
        <v>0</v>
      </c>
      <c r="DY533" s="2811">
        <f>SUMIFS($CB$7:$CB$451,$DP$7:$DP$451,$DY$528,$DN$7:$DN$451,DN533,$DQ$7:$DQ$451,"MH")</f>
        <v>0</v>
      </c>
      <c r="DZ533" s="2811">
        <f>SUMIFS($CB$7:$CB$451,$DP$7:$DP$451,$DZ$528,$DN$7:$DN$451,DN533,$DQ$7:$DQ$451,"MH")</f>
        <v>0</v>
      </c>
      <c r="EA533" s="2811">
        <f t="shared" si="659"/>
        <v>99400</v>
      </c>
      <c r="EB533" s="2811">
        <f>SUMIFS($CB$7:$CB$451,$DP$7:$DP$451,$EB$528,$DN$7:$DN$451,DN533,$DQ$7:$DQ$451,"CGR")</f>
        <v>32500</v>
      </c>
      <c r="EC533" s="2811">
        <f>SUMIFS($CB$7:$CB$451,$DP$7:$DP$451,$EC$528,$DN$7:$DN$451,DN535,$DQ$7:$DQ$451,"CGR")</f>
        <v>1524425</v>
      </c>
      <c r="ED533" s="2811">
        <f>SUMIFS($CB$7:$CB$451,$DP$7:$DP$451,$ED$528,$DN$7:$DN$451,DN533,$DQ$7:$DQ$451,"CGR")</f>
        <v>0</v>
      </c>
      <c r="EE533" s="2811">
        <f>SUMIFS($CB$7:$CB$451,$DP$7:$DP$451,$EE$528,$DN$7:$DN$451,DN533,$DQ$7:$DQ$451,"CGR")</f>
        <v>0</v>
      </c>
      <c r="EF533" s="2811">
        <f>SUMIFS($CB$7:$CB$451,$DP$7:$DP$451,$EF$528,$DN$7:$DN$451,DN533,$DQ$7:$DQ$451,"CGR")</f>
        <v>0</v>
      </c>
      <c r="EG533" s="2811">
        <f t="shared" si="660"/>
        <v>1556925</v>
      </c>
    </row>
    <row r="534" spans="116:137">
      <c r="DL534" s="3180"/>
      <c r="DN534" s="2792" t="s">
        <v>1180</v>
      </c>
      <c r="DO534" s="2793" t="s">
        <v>1181</v>
      </c>
      <c r="DP534" s="2811">
        <f t="shared" si="661"/>
        <v>0</v>
      </c>
      <c r="DQ534" s="2811">
        <f t="shared" si="661"/>
        <v>2016201.7734400004</v>
      </c>
      <c r="DR534" s="2811">
        <f t="shared" si="661"/>
        <v>0</v>
      </c>
      <c r="DS534" s="2811">
        <f t="shared" si="661"/>
        <v>0</v>
      </c>
      <c r="DT534" s="2811">
        <f t="shared" si="661"/>
        <v>0</v>
      </c>
      <c r="DU534" s="2811">
        <f t="shared" si="662"/>
        <v>2016201.7734400004</v>
      </c>
      <c r="DV534" s="2811">
        <f>SUMIFS($CB$7:$CB$451,$DP$7:$DP$451,$DV$528,$DN$7:$DN$451,DN534,$DQ$7:$DQ$451,"MH")</f>
        <v>0</v>
      </c>
      <c r="DW534" s="2811">
        <f>SUMIFS($CB$7:$CB$451,$DP$7:$DP$451,$DW$528,$DN$7:$DN$451,DN534,$DQ$7:$DQ$451,"MH")</f>
        <v>2016201.7734400004</v>
      </c>
      <c r="DX534" s="2811">
        <f>SUMIFS($CB$7:$CB$451,$DP$7:$DP$451,$DX$528,$DN$7:$DN$451,DN534,$DQ$7:$DQ$451,"MH")</f>
        <v>0</v>
      </c>
      <c r="DY534" s="2811">
        <f>SUMIFS($CB$7:$CB$451,$DP$7:$DP$451,$DY$528,$DN$7:$DN$451,DN534,$DQ$7:$DQ$451,"MH")</f>
        <v>0</v>
      </c>
      <c r="DZ534" s="2811">
        <f>SUMIFS($CB$7:$CB$451,$DP$7:$DP$451,$DZ$528,$DN$7:$DN$451,DN534,$DQ$7:$DQ$451,"MH")</f>
        <v>0</v>
      </c>
      <c r="EA534" s="2811">
        <f t="shared" si="659"/>
        <v>2016201.7734400004</v>
      </c>
      <c r="EB534" s="2811">
        <f>SUMIFS($CB$7:$CB$451,$DP$7:$DP$451,$EB$528,$DN$7:$DN$451,DN534,$DQ$7:$DQ$451,"CGR")</f>
        <v>0</v>
      </c>
      <c r="EC534" s="2811">
        <f>SUMIFS($CB$7:$CB$451,$DP$7:$DP$451,$EC$528,$DN$7:$DN$451,DN536,$DQ$7:$DQ$451,"CGR")</f>
        <v>0</v>
      </c>
      <c r="ED534" s="2811">
        <f>SUMIFS($CB$7:$CB$451,$DP$7:$DP$451,$ED$528,$DN$7:$DN$451,DN534,$DQ$7:$DQ$451,"CGR")</f>
        <v>0</v>
      </c>
      <c r="EE534" s="2811">
        <f>SUMIFS($CB$7:$CB$451,$DP$7:$DP$451,$EE$528,$DN$7:$DN$451,DN534,$DQ$7:$DQ$451,"CGR")</f>
        <v>0</v>
      </c>
      <c r="EF534" s="2811">
        <f>SUMIFS($CB$7:$CB$451,$DP$7:$DP$451,$EF$528,$DN$7:$DN$451,DN534,$DQ$7:$DQ$451,"CGR")</f>
        <v>0</v>
      </c>
      <c r="EG534" s="2811">
        <f t="shared" si="660"/>
        <v>0</v>
      </c>
    </row>
    <row r="535" spans="116:137">
      <c r="DL535" s="3180"/>
      <c r="DN535" s="2792" t="s">
        <v>1283</v>
      </c>
      <c r="DO535" s="2793" t="s">
        <v>1284</v>
      </c>
      <c r="DP535" s="2811">
        <f t="shared" si="661"/>
        <v>0</v>
      </c>
      <c r="DQ535" s="2811">
        <f t="shared" si="661"/>
        <v>176246.7</v>
      </c>
      <c r="DR535" s="2811">
        <f t="shared" si="661"/>
        <v>0</v>
      </c>
      <c r="DS535" s="2811">
        <f t="shared" si="661"/>
        <v>0</v>
      </c>
      <c r="DT535" s="2811">
        <f t="shared" si="661"/>
        <v>0</v>
      </c>
      <c r="DU535" s="2811">
        <f t="shared" si="662"/>
        <v>176246.7</v>
      </c>
      <c r="DV535" s="2811">
        <f>SUMIFS($CB$7:$CB$451,$DP$7:$DP$451,$DV$528,$DN$7:$DN$451,DN535,$DQ$7:$DQ$451,"MH")</f>
        <v>0</v>
      </c>
      <c r="DW535" s="2811">
        <f>SUMIFS($CB$7:$CB$451,$DP$7:$DP$451,$DW$528,$DN$7:$DN$451,DN535,$DQ$7:$DQ$451,"MH")</f>
        <v>176246.7</v>
      </c>
      <c r="DX535" s="2811">
        <f>SUMIFS($CB$7:$CB$451,$DP$7:$DP$451,$DX$528,$DN$7:$DN$451,DN535,$DQ$7:$DQ$451,"MH")</f>
        <v>0</v>
      </c>
      <c r="DY535" s="2811">
        <f>SUMIFS($CB$7:$CB$451,$DP$7:$DP$451,$DY$528,$DN$7:$DN$451,DN535,$DQ$7:$DQ$451,"MH")</f>
        <v>0</v>
      </c>
      <c r="DZ535" s="2811">
        <f>SUMIFS($CB$7:$CB$451,$DP$7:$DP$451,$DZ$528,$DN$7:$DN$451,DN535,$DQ$7:$DQ$451,"MH")</f>
        <v>0</v>
      </c>
      <c r="EA535" s="2811">
        <f t="shared" si="659"/>
        <v>176246.7</v>
      </c>
      <c r="EB535" s="2811">
        <f>SUMIFS($CB$7:$CB$451,$DP$7:$DP$451,$EB$528,$DN$7:$DN$451,DN535,$DQ$7:$DQ$451,"CGR")</f>
        <v>0</v>
      </c>
      <c r="EC535" s="2811">
        <f>SUMIFS($CB$7:$CB$451,$DP$7:$DP$451,$EC$528,$DN$7:$DN$451,DN537,$DQ$7:$DQ$451,"CGR")</f>
        <v>0</v>
      </c>
      <c r="ED535" s="2811">
        <f>SUMIFS($CB$7:$CB$451,$DP$7:$DP$451,$ED$528,$DN$7:$DN$451,DN535,$DQ$7:$DQ$451,"CGR")</f>
        <v>0</v>
      </c>
      <c r="EE535" s="2811">
        <f>SUMIFS($CB$7:$CB$451,$DP$7:$DP$451,$EE$528,$DN$7:$DN$451,DN535,$DQ$7:$DQ$451,"CGR")</f>
        <v>0</v>
      </c>
      <c r="EF535" s="2811">
        <f>SUMIFS($CB$7:$CB$451,$DP$7:$DP$451,$EF$528,$DN$7:$DN$451,DN535,$DQ$7:$DQ$451,"CGR")</f>
        <v>0</v>
      </c>
      <c r="EG535" s="2811">
        <f t="shared" si="660"/>
        <v>0</v>
      </c>
    </row>
    <row r="536" spans="116:137">
      <c r="DL536" s="3180"/>
      <c r="DN536" s="2798" t="s">
        <v>1331</v>
      </c>
      <c r="DO536" s="2795" t="s">
        <v>1332</v>
      </c>
      <c r="DP536" s="2811">
        <f t="shared" si="661"/>
        <v>0</v>
      </c>
      <c r="DQ536" s="2811">
        <f t="shared" si="661"/>
        <v>0</v>
      </c>
      <c r="DR536" s="2811">
        <f t="shared" si="661"/>
        <v>0</v>
      </c>
      <c r="DS536" s="2811">
        <f t="shared" si="661"/>
        <v>1053608.8199999998</v>
      </c>
      <c r="DT536" s="2811">
        <f t="shared" si="661"/>
        <v>0</v>
      </c>
      <c r="DU536" s="2811">
        <f t="shared" si="662"/>
        <v>1053608.8199999998</v>
      </c>
      <c r="DV536" s="2811">
        <f>SUMIFS($CB$7:$CB$451,$DP$7:$DP$451,$DV$528,$DN$7:$DN$451,DN536,$DQ$7:$DQ$451,"MH")</f>
        <v>0</v>
      </c>
      <c r="DW536" s="2811">
        <f>SUMIFS($CB$7:$CB$451,$DP$7:$DP$451,$DW$528,$DN$7:$DN$451,DN536,$DQ$7:$DQ$451,"MH")</f>
        <v>0</v>
      </c>
      <c r="DX536" s="2811">
        <f>SUMIFS($CB$7:$CB$451,$DP$7:$DP$451,$DX$528,$DN$7:$DN$451,DN536,$DQ$7:$DQ$451,"MH")</f>
        <v>0</v>
      </c>
      <c r="DY536" s="2811">
        <f>SUMIFS($CB$7:$CB$451,$DP$7:$DP$451,$DY$528,$DN$7:$DN$451,DN536,$DQ$7:$DQ$451,"MH")</f>
        <v>1053608.8199999998</v>
      </c>
      <c r="DZ536" s="2811">
        <f>SUMIFS($CB$7:$CB$451,$DP$7:$DP$451,$DZ$528,$DN$7:$DN$451,DN536,$DQ$7:$DQ$451,"MH")</f>
        <v>0</v>
      </c>
      <c r="EA536" s="2811">
        <f t="shared" si="659"/>
        <v>1053608.8199999998</v>
      </c>
      <c r="EB536" s="2811">
        <f>SUMIFS($CB$7:$CB$451,$DP$7:$DP$451,$EB$528,$DN$7:$DN$451,DN536,$DQ$7:$DQ$451,"CGR")</f>
        <v>0</v>
      </c>
      <c r="EC536" s="2811">
        <f>SUMIFS($CB$7:$CB$451,$DP$7:$DP$451,$EC$528,$DN$7:$DN$451,DN538,$DQ$7:$DQ$451,"CGR")</f>
        <v>0</v>
      </c>
      <c r="ED536" s="2811">
        <f>SUMIFS($CB$7:$CB$451,$DP$7:$DP$451,$ED$528,$DN$7:$DN$451,DN536,$DQ$7:$DQ$451,"CGR")</f>
        <v>0</v>
      </c>
      <c r="EE536" s="2811">
        <f>SUMIFS($CB$7:$CB$451,$DP$7:$DP$451,$EE$528,$DN$7:$DN$451,DN536,$DQ$7:$DQ$451,"CGR")</f>
        <v>0</v>
      </c>
      <c r="EF536" s="2811">
        <f>SUMIFS($CB$7:$CB$451,$DP$7:$DP$451,$EF$528,$DN$7:$DN$451,DN536,$DQ$7:$DQ$451,"CGR")</f>
        <v>0</v>
      </c>
      <c r="EG536" s="2811">
        <f t="shared" si="660"/>
        <v>0</v>
      </c>
    </row>
    <row r="537" spans="116:137" ht="15">
      <c r="DL537" s="3180"/>
      <c r="DN537" s="2799" t="s">
        <v>1303</v>
      </c>
      <c r="DO537" s="2800" t="s">
        <v>1304</v>
      </c>
      <c r="DP537" s="2811">
        <f t="shared" si="661"/>
        <v>0</v>
      </c>
      <c r="DQ537" s="2811">
        <f t="shared" si="661"/>
        <v>0</v>
      </c>
      <c r="DR537" s="2811">
        <f t="shared" si="661"/>
        <v>0</v>
      </c>
      <c r="DS537" s="2811">
        <f t="shared" si="661"/>
        <v>0</v>
      </c>
      <c r="DT537" s="2811">
        <f t="shared" si="661"/>
        <v>0</v>
      </c>
      <c r="DU537" s="2811">
        <f t="shared" si="662"/>
        <v>0</v>
      </c>
      <c r="DV537" s="2811">
        <f>SUMIFS($CB$7:$CB$451,$DP$7:$DP$451,$DV$528,$DN$7:$DN$451,DN537,$DQ$7:$DQ$451,"MH")</f>
        <v>0</v>
      </c>
      <c r="DW537" s="2811">
        <f>SUMIFS($CB$7:$CB$451,$DP$7:$DP$451,$DW$528,$DN$7:$DN$451,DN537,$DQ$7:$DQ$451,"MH")</f>
        <v>0</v>
      </c>
      <c r="DX537" s="2811">
        <f>SUMIFS($CB$7:$CB$451,$DP$7:$DP$451,$DX$528,$DN$7:$DN$451,DN537,$DQ$7:$DQ$451,"MH")</f>
        <v>0</v>
      </c>
      <c r="DY537" s="2811">
        <f>SUMIFS($CB$7:$CB$451,$DP$7:$DP$451,$DY$528,$DN$7:$DN$451,DN537,$DQ$7:$DQ$451,"MH")</f>
        <v>0</v>
      </c>
      <c r="DZ537" s="2811">
        <f>SUMIFS($CB$7:$CB$451,$DP$7:$DP$451,$DZ$528,$DN$7:$DN$451,DN537,$DQ$7:$DQ$451,"MH")</f>
        <v>0</v>
      </c>
      <c r="EA537" s="2811">
        <f t="shared" si="659"/>
        <v>0</v>
      </c>
      <c r="EB537" s="2811">
        <f>SUMIFS($CB$7:$CB$451,$DP$7:$DP$451,$EB$528,$DN$7:$DN$451,DN537,$DQ$7:$DQ$451,"CGR")</f>
        <v>0</v>
      </c>
      <c r="EC537" s="2811">
        <f>SUMIFS($CB$7:$CB$451,$DP$7:$DP$451,$EC$528,$DN$7:$DN$451,DN539,$DQ$7:$DQ$451,"CGR")</f>
        <v>0</v>
      </c>
      <c r="ED537" s="2811">
        <f>SUMIFS($CB$7:$CB$451,$DP$7:$DP$451,$ED$528,$DN$7:$DN$451,DN537,$DQ$7:$DQ$451,"CGR")</f>
        <v>0</v>
      </c>
      <c r="EE537" s="2811">
        <f>SUMIFS($CB$7:$CB$451,$DP$7:$DP$451,$EE$528,$DN$7:$DN$451,DN537,$DQ$7:$DQ$451,"CGR")</f>
        <v>0</v>
      </c>
      <c r="EF537" s="2811">
        <f>SUMIFS($CB$7:$CB$451,$DP$7:$DP$451,$EF$528,$DN$7:$DN$451,DN537,$DQ$7:$DQ$451,"CGR")</f>
        <v>0</v>
      </c>
      <c r="EG537" s="2811">
        <f t="shared" si="660"/>
        <v>0</v>
      </c>
    </row>
    <row r="538" spans="116:137">
      <c r="DL538" s="3180"/>
      <c r="DP538" s="2817">
        <f t="shared" ref="DP538:EG538" si="663">SUM(DP529:DP537)</f>
        <v>131900</v>
      </c>
      <c r="DQ538" s="2817">
        <f t="shared" si="663"/>
        <v>3716873.4734400008</v>
      </c>
      <c r="DR538" s="2817">
        <f t="shared" si="663"/>
        <v>277000</v>
      </c>
      <c r="DS538" s="2817">
        <f t="shared" si="663"/>
        <v>1128608.8199999998</v>
      </c>
      <c r="DT538" s="2817">
        <f t="shared" si="663"/>
        <v>0</v>
      </c>
      <c r="DU538" s="2817">
        <f t="shared" si="663"/>
        <v>5254382.2934400011</v>
      </c>
      <c r="DV538" s="2809">
        <f t="shared" si="663"/>
        <v>99400</v>
      </c>
      <c r="DW538" s="2809">
        <f t="shared" si="663"/>
        <v>2192448.4734400003</v>
      </c>
      <c r="DX538" s="2809">
        <f t="shared" si="663"/>
        <v>277000</v>
      </c>
      <c r="DY538" s="2809">
        <f t="shared" si="663"/>
        <v>1053608.8199999998</v>
      </c>
      <c r="DZ538" s="2809">
        <f t="shared" si="663"/>
        <v>0</v>
      </c>
      <c r="EA538" s="2809">
        <f t="shared" si="663"/>
        <v>3622457.2934400006</v>
      </c>
      <c r="EB538" s="2818">
        <f t="shared" si="663"/>
        <v>32500</v>
      </c>
      <c r="EC538" s="2818">
        <f t="shared" si="663"/>
        <v>1524425</v>
      </c>
      <c r="ED538" s="2818">
        <f t="shared" si="663"/>
        <v>0</v>
      </c>
      <c r="EE538" s="2818">
        <f t="shared" si="663"/>
        <v>75000</v>
      </c>
      <c r="EF538" s="2818">
        <f t="shared" si="663"/>
        <v>0</v>
      </c>
      <c r="EG538" s="2818">
        <f t="shared" si="663"/>
        <v>1631925</v>
      </c>
    </row>
    <row r="539" spans="116:137">
      <c r="DL539" s="3180"/>
      <c r="DR539" s="152"/>
      <c r="DS539" s="152"/>
      <c r="DT539" s="152"/>
      <c r="DU539" s="152"/>
      <c r="DV539" s="152"/>
      <c r="DW539" s="152"/>
    </row>
    <row r="540" spans="116:137">
      <c r="DL540" s="3180"/>
      <c r="DR540" s="152"/>
      <c r="DS540" s="152"/>
      <c r="DT540" s="152"/>
      <c r="DU540" s="2237">
        <f>DU538-EA477</f>
        <v>0</v>
      </c>
      <c r="DV540" s="152"/>
      <c r="DW540" s="152"/>
      <c r="EA540" s="2237">
        <f>EA538-DY477</f>
        <v>0</v>
      </c>
      <c r="EG540" s="2237">
        <f>EG538-DZ477</f>
        <v>0</v>
      </c>
    </row>
    <row r="541" spans="116:137">
      <c r="DL541" s="3180"/>
    </row>
    <row r="542" spans="116:137">
      <c r="DL542" s="3180"/>
      <c r="DP542" s="4048" t="s">
        <v>1733</v>
      </c>
      <c r="DQ542" s="4049"/>
      <c r="DR542" s="4049"/>
      <c r="DS542" s="4049"/>
      <c r="DT542" s="4049"/>
      <c r="DU542" s="4050"/>
      <c r="DV542" s="4029" t="s">
        <v>1734</v>
      </c>
      <c r="DW542" s="4030"/>
      <c r="DX542" s="4030"/>
      <c r="DY542" s="4030"/>
      <c r="DZ542" s="4030"/>
      <c r="EA542" s="4031"/>
      <c r="EB542" s="4057" t="s">
        <v>1735</v>
      </c>
      <c r="EC542" s="4058"/>
      <c r="ED542" s="4058"/>
      <c r="EE542" s="4058"/>
      <c r="EF542" s="4058"/>
      <c r="EG542" s="4059"/>
    </row>
    <row r="543" spans="116:137" ht="30">
      <c r="DL543" s="3180"/>
      <c r="DN543" s="2813" t="s">
        <v>1155</v>
      </c>
      <c r="DO543" s="2813" t="s">
        <v>1156</v>
      </c>
      <c r="DP543" s="2814" t="s">
        <v>1115</v>
      </c>
      <c r="DQ543" s="2814" t="s">
        <v>1117</v>
      </c>
      <c r="DR543" s="2814" t="s">
        <v>1124</v>
      </c>
      <c r="DS543" s="2814" t="s">
        <v>1160</v>
      </c>
      <c r="DT543" s="2814" t="s">
        <v>1173</v>
      </c>
      <c r="DU543" s="2814" t="s">
        <v>1715</v>
      </c>
      <c r="DV543" s="2815" t="s">
        <v>1115</v>
      </c>
      <c r="DW543" s="2815" t="s">
        <v>1117</v>
      </c>
      <c r="DX543" s="2815" t="s">
        <v>1124</v>
      </c>
      <c r="DY543" s="2815" t="s">
        <v>1160</v>
      </c>
      <c r="DZ543" s="2815" t="s">
        <v>1173</v>
      </c>
      <c r="EA543" s="2815" t="s">
        <v>487</v>
      </c>
      <c r="EB543" s="2816" t="s">
        <v>1115</v>
      </c>
      <c r="EC543" s="2816" t="s">
        <v>1117</v>
      </c>
      <c r="ED543" s="2816" t="s">
        <v>1124</v>
      </c>
      <c r="EE543" s="2816" t="s">
        <v>1160</v>
      </c>
      <c r="EF543" s="2816" t="s">
        <v>1173</v>
      </c>
      <c r="EG543" s="2816" t="s">
        <v>487</v>
      </c>
    </row>
    <row r="544" spans="116:137">
      <c r="DL544" s="3180"/>
      <c r="DN544" s="2788" t="s">
        <v>1597</v>
      </c>
      <c r="DO544" s="2789" t="s">
        <v>1598</v>
      </c>
      <c r="DP544" s="2811">
        <f>DV544+EB544</f>
        <v>0</v>
      </c>
      <c r="DQ544" s="2811">
        <f>DW544+EC544</f>
        <v>0</v>
      </c>
      <c r="DR544" s="2811">
        <f>DX544+ED544</f>
        <v>24000</v>
      </c>
      <c r="DS544" s="2811">
        <f>DY544+EE544</f>
        <v>0</v>
      </c>
      <c r="DT544" s="2811">
        <f>DZ544+EF544</f>
        <v>0</v>
      </c>
      <c r="DU544" s="2811">
        <f>SUM(DP544:DT544)</f>
        <v>24000</v>
      </c>
      <c r="DV544" s="2811">
        <f>SUMIFS($CP$7:$CP$451,$DP$7:$DP$451,$DV$543,$DN$7:$DN$451,DN544,$DQ$7:$DQ$451,"MH")</f>
        <v>0</v>
      </c>
      <c r="DW544" s="2811">
        <f>SUMIFS($CP$7:$CP$451,$DP$7:$DP$451,$DW$543,$DN$7:$DN$451,DN544,$DQ$7:$DQ$451,"MH")</f>
        <v>0</v>
      </c>
      <c r="DX544" s="2811">
        <f>SUMIFS($CP$7:$CP$451,$DP$7:$DP$451,$DX$543,$DN$7:$DN$451,DN544,$DQ$7:$DQ$451,"MH")</f>
        <v>24000</v>
      </c>
      <c r="DY544" s="2811">
        <f>SUMIFS($CP$7:$CP$451,$DP$7:$DP$451,$DY$543,$DN$7:$DN$451,DN544,$DQ$7:$DQ$451,"MH")</f>
        <v>0</v>
      </c>
      <c r="DZ544" s="2811">
        <f>SUMIFS($CP$7:$CP$451,$DP$7:$DP$451,$DZ$543,$DN$7:$DN$451,DN544,$DQ$7:$DQ$451,"MH")</f>
        <v>0</v>
      </c>
      <c r="EA544" s="2811">
        <f t="shared" ref="EA544:EA552" si="664">SUM(DV544:DZ544)</f>
        <v>24000</v>
      </c>
      <c r="EB544" s="2811">
        <f>SUMIFS($CP$7:$CP$451,$DP$7:$DP$451,$EB$543,$DN$7:$DN$451,DN544,$DQ$7:$DQ$451,"CGR")</f>
        <v>0</v>
      </c>
      <c r="EC544" s="2811">
        <f>SUMIFS($CP$7:$CP$451,$DP$7:$DP$451,$EC$543,$DN$7:$DN$451,DN546,$DQ$7:$DQ$451,"CGR")</f>
        <v>0</v>
      </c>
      <c r="ED544" s="2811">
        <f>SUMIFS($CP$7:$CP$451,$DP$7:$DP$451,$ED$543,$DN$7:$DN$451,DN544,$DQ$7:$DQ$451,"CGR")</f>
        <v>0</v>
      </c>
      <c r="EE544" s="2811">
        <f>SUMIFS($CP$7:$CP$451,$DP$7:$DP$451,$EE$543,$DN$7:$DN$451,DN544,$DQ$7:$DQ$451,"CGR")</f>
        <v>0</v>
      </c>
      <c r="EF544" s="2811">
        <f>SUMIFS($CP$7:$CP$451,$DP$7:$DP$451,$EF$543,$DN$7:$DN$451,DN544,$DQ$7:$DQ$451,"CGR")</f>
        <v>0</v>
      </c>
      <c r="EG544" s="2811">
        <f t="shared" ref="EG544:EG552" si="665">SUM(EB544:EF544)</f>
        <v>0</v>
      </c>
    </row>
    <row r="545" spans="116:137">
      <c r="DL545" s="3180"/>
      <c r="DN545" s="2792" t="s">
        <v>1535</v>
      </c>
      <c r="DO545" s="2793" t="s">
        <v>1536</v>
      </c>
      <c r="DP545" s="2811">
        <f t="shared" ref="DP545:DT552" si="666">DV545+EB545</f>
        <v>0</v>
      </c>
      <c r="DQ545" s="2811">
        <f t="shared" si="666"/>
        <v>0</v>
      </c>
      <c r="DR545" s="2811">
        <f t="shared" si="666"/>
        <v>0</v>
      </c>
      <c r="DS545" s="2811">
        <f t="shared" si="666"/>
        <v>75000</v>
      </c>
      <c r="DT545" s="2811">
        <f t="shared" si="666"/>
        <v>0</v>
      </c>
      <c r="DU545" s="2811">
        <f t="shared" ref="DU545:DU552" si="667">SUM(DP545:DT545)</f>
        <v>75000</v>
      </c>
      <c r="DV545" s="2811">
        <f>SUMIFS($CP$7:$CP$451,$DP$7:$DP$451,$DV$543,$DN$7:$DN$451,DN545,$DQ$7:$DQ$451,"MH")</f>
        <v>0</v>
      </c>
      <c r="DW545" s="2811">
        <f>SUMIFS($CP$7:$CP$451,$DP$7:$DP$451,$DW$543,$DN$7:$DN$451,DN545,$DQ$7:$DQ$451,"MH")</f>
        <v>0</v>
      </c>
      <c r="DX545" s="2811">
        <f>SUMIFS($CP$7:$CP$451,$DP$7:$DP$451,$DX$543,$DN$7:$DN$451,DN545,$DQ$7:$DQ$451,"MH")</f>
        <v>0</v>
      </c>
      <c r="DY545" s="2811">
        <f>SUMIFS($CP$7:$CP$451,$DP$7:$DP$451,$DY$543,$DN$7:$DN$451,DN545,$DQ$7:$DQ$451,"MH")</f>
        <v>0</v>
      </c>
      <c r="DZ545" s="2811">
        <f>SUMIFS($CP$7:$CP$451,$DP$7:$DP$451,$DZ$543,$DN$7:$DN$451,DN545,$DQ$7:$DQ$451,"MH")</f>
        <v>0</v>
      </c>
      <c r="EA545" s="2811">
        <f t="shared" si="664"/>
        <v>0</v>
      </c>
      <c r="EB545" s="2811">
        <f>SUMIFS($CP$7:$CP$451,$DP$7:$DP$451,$EB$543,$DN$7:$DN$451,DN545,$DQ$7:$DQ$451,"CGR")</f>
        <v>0</v>
      </c>
      <c r="EC545" s="2811">
        <f>SUMIFS($CP$7:$CP$451,$DP$7:$DP$451,$EC$543,$DN$7:$DN$451,DN547,$DQ$7:$DQ$451,"CGR")</f>
        <v>0</v>
      </c>
      <c r="ED545" s="2811">
        <f>SUMIFS($CP$7:$CP$451,$DP$7:$DP$451,$ED$543,$DN$7:$DN$451,DN545,$DQ$7:$DQ$451,"CGR")</f>
        <v>0</v>
      </c>
      <c r="EE545" s="2811">
        <f>SUMIFS($CP$7:$CP$451,$DP$7:$DP$451,$EE$543,$DN$7:$DN$451,DN545,$DQ$7:$DQ$451,"CGR")</f>
        <v>75000</v>
      </c>
      <c r="EF545" s="2811">
        <f>SUMIFS($CP$7:$CP$451,$DP$7:$DP$451,$EF$543,$DN$7:$DN$451,DN545,$DQ$7:$DQ$451,"CGR")</f>
        <v>0</v>
      </c>
      <c r="EG545" s="2811">
        <f t="shared" si="665"/>
        <v>75000</v>
      </c>
    </row>
    <row r="546" spans="116:137">
      <c r="DL546" s="3180"/>
      <c r="DN546" s="2792" t="s">
        <v>1415</v>
      </c>
      <c r="DO546" s="2793" t="s">
        <v>1416</v>
      </c>
      <c r="DP546" s="2811">
        <f t="shared" si="666"/>
        <v>0</v>
      </c>
      <c r="DQ546" s="2811">
        <f t="shared" si="666"/>
        <v>0</v>
      </c>
      <c r="DR546" s="2811">
        <f t="shared" si="666"/>
        <v>45000</v>
      </c>
      <c r="DS546" s="2811">
        <f t="shared" si="666"/>
        <v>0</v>
      </c>
      <c r="DT546" s="2811">
        <f t="shared" si="666"/>
        <v>0</v>
      </c>
      <c r="DU546" s="2811">
        <f t="shared" si="667"/>
        <v>45000</v>
      </c>
      <c r="DV546" s="2811">
        <f>SUMIFS($CP$7:$CP$451,$DP$7:$DP$451,$DV$543,$DN$7:$DN$451,DN546,$DQ$7:$DQ$451,"MH")</f>
        <v>0</v>
      </c>
      <c r="DW546" s="2811">
        <f>SUMIFS($CP$7:$CP$451,$DP$7:$DP$451,$DW$543,$DN$7:$DN$451,DN546,$DQ$7:$DQ$451,"MH")</f>
        <v>0</v>
      </c>
      <c r="DX546" s="2811">
        <f>SUMIFS($CP$7:$CP$451,$DP$7:$DP$451,$DX$543,$DN$7:$DN$451,DN546,$DQ$7:$DQ$451,"MH")</f>
        <v>45000</v>
      </c>
      <c r="DY546" s="2811">
        <f>SUMIFS($CP$7:$CP$451,$DP$7:$DP$451,$DY$543,$DN$7:$DN$451,DN546,$DQ$7:$DQ$451,"MH")</f>
        <v>0</v>
      </c>
      <c r="DZ546" s="2811">
        <f>SUMIFS($CP$7:$CP$451,$DP$7:$DP$451,$DZ$543,$DN$7:$DN$451,DN546,$DQ$7:$DQ$451,"MH")</f>
        <v>0</v>
      </c>
      <c r="EA546" s="2811">
        <f t="shared" si="664"/>
        <v>45000</v>
      </c>
      <c r="EB546" s="2811">
        <f>SUMIFS($CP$7:$CP$451,$DP$7:$DP$451,$EB$543,$DN$7:$DN$451,DN546,$DQ$7:$DQ$451,"CGR")</f>
        <v>0</v>
      </c>
      <c r="EC546" s="2811">
        <f>SUMIFS($CP$7:$CP$451,$DP$7:$DP$451,$EC$543,$DN$7:$DN$451,DN548,$DQ$7:$DQ$451,"CGR")</f>
        <v>0</v>
      </c>
      <c r="ED546" s="2811">
        <f>SUMIFS($CP$7:$CP$451,$DP$7:$DP$451,$ED$543,$DN$7:$DN$451,DN546,$DQ$7:$DQ$451,"CGR")</f>
        <v>0</v>
      </c>
      <c r="EE546" s="2811">
        <f>SUMIFS($CP$7:$CP$451,$DP$7:$DP$451,$EE$543,$DN$7:$DN$451,DN546,$DQ$7:$DQ$451,"CGR")</f>
        <v>0</v>
      </c>
      <c r="EF546" s="2811">
        <f>SUMIFS($CP$7:$CP$451,$DP$7:$DP$451,$EF$543,$DN$7:$DN$451,DN546,$DQ$7:$DQ$451,"CGR")</f>
        <v>0</v>
      </c>
      <c r="EG546" s="2811">
        <f t="shared" si="665"/>
        <v>0</v>
      </c>
    </row>
    <row r="547" spans="116:137">
      <c r="DL547" s="3180"/>
      <c r="DN547" s="2794" t="s">
        <v>1669</v>
      </c>
      <c r="DO547" s="2795" t="s">
        <v>1670</v>
      </c>
      <c r="DP547" s="2811">
        <f t="shared" si="666"/>
        <v>0</v>
      </c>
      <c r="DQ547" s="2811">
        <f t="shared" si="666"/>
        <v>0</v>
      </c>
      <c r="DR547" s="2811">
        <f t="shared" si="666"/>
        <v>0</v>
      </c>
      <c r="DS547" s="2811">
        <f t="shared" si="666"/>
        <v>0</v>
      </c>
      <c r="DT547" s="2811">
        <f t="shared" si="666"/>
        <v>0</v>
      </c>
      <c r="DU547" s="2811">
        <f t="shared" si="667"/>
        <v>0</v>
      </c>
      <c r="DV547" s="2811">
        <f>SUMIFS($CP$7:$CP$451,$DP$7:$DP$451,$DV$543,$DN$7:$DN$451,DN547,$DQ$7:$DQ$451,"MH")</f>
        <v>0</v>
      </c>
      <c r="DW547" s="2811">
        <f>SUMIFS($CP$7:$CP$451,$DP$7:$DP$451,$DW$543,$DN$7:$DN$451,DN547,$DQ$7:$DQ$451,"MH")</f>
        <v>0</v>
      </c>
      <c r="DX547" s="2811">
        <f>SUMIFS($CP$7:$CP$451,$DP$7:$DP$451,$DX$543,$DN$7:$DN$451,DN547,$DQ$7:$DQ$451,"MH")</f>
        <v>0</v>
      </c>
      <c r="DY547" s="2811">
        <f>SUMIFS($CP$7:$CP$451,$DP$7:$DP$451,$DY$543,$DN$7:$DN$451,DN547,$DQ$7:$DQ$451,"MH")</f>
        <v>0</v>
      </c>
      <c r="DZ547" s="2811">
        <f>SUMIFS($CP$7:$CP$451,$DP$7:$DP$451,$DZ$543,$DN$7:$DN$451,DN547,$DQ$7:$DQ$451,"MH")</f>
        <v>0</v>
      </c>
      <c r="EA547" s="2811">
        <f t="shared" si="664"/>
        <v>0</v>
      </c>
      <c r="EB547" s="2811">
        <f>SUMIFS($CP$7:$CP$451,$DP$7:$DP$451,$EB$543,$DN$7:$DN$451,DN547,$DQ$7:$DQ$451,"CGR")</f>
        <v>0</v>
      </c>
      <c r="EC547" s="2811">
        <f>SUMIFS($CP$7:$CP$451,$DP$7:$DP$451,$EC$543,$DN$7:$DN$451,DN549,$DQ$7:$DQ$451,"CGR")</f>
        <v>0</v>
      </c>
      <c r="ED547" s="2811">
        <f>SUMIFS($CP$7:$CP$451,$DP$7:$DP$451,$ED$543,$DN$7:$DN$451,DN547,$DQ$7:$DQ$451,"CGR")</f>
        <v>0</v>
      </c>
      <c r="EE547" s="2811">
        <f>SUMIFS($CP$7:$CP$451,$DP$7:$DP$451,$EE$543,$DN$7:$DN$451,DN547,$DQ$7:$DQ$451,"CGR")</f>
        <v>0</v>
      </c>
      <c r="EF547" s="2811">
        <f>SUMIFS($CP$7:$CP$451,$DP$7:$DP$451,$EF$543,$DN$7:$DN$451,DN547,$DQ$7:$DQ$451,"CGR")</f>
        <v>0</v>
      </c>
      <c r="EG547" s="2811">
        <f t="shared" si="665"/>
        <v>0</v>
      </c>
    </row>
    <row r="548" spans="116:137" ht="15">
      <c r="DL548" s="3180"/>
      <c r="DN548" s="2796" t="s">
        <v>1346</v>
      </c>
      <c r="DO548" s="2797" t="s">
        <v>1347</v>
      </c>
      <c r="DP548" s="2811">
        <f t="shared" si="666"/>
        <v>1219100</v>
      </c>
      <c r="DQ548" s="2811">
        <f t="shared" si="666"/>
        <v>2369650</v>
      </c>
      <c r="DR548" s="2811">
        <f t="shared" si="666"/>
        <v>0</v>
      </c>
      <c r="DS548" s="2811">
        <f t="shared" si="666"/>
        <v>0</v>
      </c>
      <c r="DT548" s="2811">
        <f t="shared" si="666"/>
        <v>0</v>
      </c>
      <c r="DU548" s="2811">
        <f t="shared" si="667"/>
        <v>3588750</v>
      </c>
      <c r="DV548" s="2811">
        <f>SUMIFS($CP$7:$CP$451,$DP$7:$DP$451,$DV$543,$DN$7:$DN$451,DN548,$DQ$7:$DQ$451,"MH")</f>
        <v>1111600</v>
      </c>
      <c r="DW548" s="2811">
        <f>SUMIFS($CP$7:$CP$451,$DP$7:$DP$451,$DW$543,$DN$7:$DN$451,DN548,$DQ$7:$DQ$451,"MH")</f>
        <v>0</v>
      </c>
      <c r="DX548" s="2811">
        <f>SUMIFS($CP$7:$CP$451,$DP$7:$DP$451,$DX$543,$DN$7:$DN$451,DN548,$DQ$7:$DQ$451,"MH")</f>
        <v>0</v>
      </c>
      <c r="DY548" s="2811">
        <f>SUMIFS($CP$7:$CP$451,$DP$7:$DP$451,$DY$543,$DN$7:$DN$451,DN548,$DQ$7:$DQ$451,"MH")</f>
        <v>0</v>
      </c>
      <c r="DZ548" s="2811">
        <f>SUMIFS($CP$7:$CP$451,$DP$7:$DP$451,$DZ$543,$DN$7:$DN$451,DN548,$DQ$7:$DQ$451,"MH")</f>
        <v>0</v>
      </c>
      <c r="EA548" s="2811">
        <f t="shared" si="664"/>
        <v>1111600</v>
      </c>
      <c r="EB548" s="2811">
        <f>SUMIFS($CP$7:$CP$451,$DP$7:$DP$451,$EB$543,$DN$7:$DN$451,DN548,$DQ$7:$DQ$451,"CGR")</f>
        <v>107500</v>
      </c>
      <c r="EC548" s="2811">
        <f>SUMIFS($CP$7:$CP$451,$DP$7:$DP$451,$EC$543,$DN$7:$DN$451,DN550,$DQ$7:$DQ$451,"CGR")</f>
        <v>2369650</v>
      </c>
      <c r="ED548" s="2811">
        <f>SUMIFS($CP$7:$CP$451,$DP$7:$DP$451,$ED$543,$DN$7:$DN$451,DN548,$DQ$7:$DQ$451,"CGR")</f>
        <v>0</v>
      </c>
      <c r="EE548" s="2811">
        <f>SUMIFS($CP$7:$CP$451,$DP$7:$DP$451,$EE$543,$DN$7:$DN$451,DN548,$DQ$7:$DQ$451,"CGR")</f>
        <v>0</v>
      </c>
      <c r="EF548" s="2811">
        <f>SUMIFS($CP$7:$CP$451,$DP$7:$DP$451,$EF$543,$DN$7:$DN$451,DN548,$DQ$7:$DQ$451,"CGR")</f>
        <v>0</v>
      </c>
      <c r="EG548" s="2811">
        <f t="shared" si="665"/>
        <v>2477150</v>
      </c>
    </row>
    <row r="549" spans="116:137">
      <c r="DL549" s="3180"/>
      <c r="DN549" s="2792" t="s">
        <v>1180</v>
      </c>
      <c r="DO549" s="2793" t="s">
        <v>1181</v>
      </c>
      <c r="DP549" s="2811">
        <f t="shared" si="666"/>
        <v>0</v>
      </c>
      <c r="DQ549" s="2811">
        <f t="shared" si="666"/>
        <v>13579263.175013334</v>
      </c>
      <c r="DR549" s="2811">
        <f t="shared" si="666"/>
        <v>0</v>
      </c>
      <c r="DS549" s="2811">
        <f t="shared" si="666"/>
        <v>0</v>
      </c>
      <c r="DT549" s="2811">
        <f t="shared" si="666"/>
        <v>0</v>
      </c>
      <c r="DU549" s="2811">
        <f t="shared" si="667"/>
        <v>13579263.175013334</v>
      </c>
      <c r="DV549" s="2811">
        <f>SUMIFS($CP$7:$CP$451,$DP$7:$DP$451,$DV$543,$DN$7:$DN$451,DN549,$DQ$7:$DQ$451,"MH")</f>
        <v>0</v>
      </c>
      <c r="DW549" s="2811">
        <f>SUMIFS($CP$7:$CP$451,$DP$7:$DP$451,$DW$543,$DN$7:$DN$451,DN549,$DQ$7:$DQ$451,"MH")</f>
        <v>13579263.175013334</v>
      </c>
      <c r="DX549" s="2811">
        <f>SUMIFS($CP$7:$CP$451,$DP$7:$DP$451,$DX$543,$DN$7:$DN$451,DN549,$DQ$7:$DQ$451,"MH")</f>
        <v>0</v>
      </c>
      <c r="DY549" s="2811">
        <f>SUMIFS($CP$7:$CP$451,$DP$7:$DP$451,$DY$543,$DN$7:$DN$451,DN549,$DQ$7:$DQ$451,"MH")</f>
        <v>0</v>
      </c>
      <c r="DZ549" s="2811">
        <f>SUMIFS($CP$7:$CP$451,$DP$7:$DP$451,$DZ$543,$DN$7:$DN$451,DN549,$DQ$7:$DQ$451,"MH")</f>
        <v>0</v>
      </c>
      <c r="EA549" s="2811">
        <f t="shared" si="664"/>
        <v>13579263.175013334</v>
      </c>
      <c r="EB549" s="2811">
        <f>SUMIFS($CP$7:$CP$451,$DP$7:$DP$451,$EB$543,$DN$7:$DN$451,DN549,$DQ$7:$DQ$451,"CGR")</f>
        <v>0</v>
      </c>
      <c r="EC549" s="2811">
        <f>SUMIFS($CP$7:$CP$451,$DP$7:$DP$451,$EC$543,$DN$7:$DN$451,DN551,$DQ$7:$DQ$451,"CGR")</f>
        <v>0</v>
      </c>
      <c r="ED549" s="2811">
        <f>SUMIFS($CP$7:$CP$451,$DP$7:$DP$451,$ED$543,$DN$7:$DN$451,DN549,$DQ$7:$DQ$451,"CGR")</f>
        <v>0</v>
      </c>
      <c r="EE549" s="2811">
        <f>SUMIFS($CP$7:$CP$451,$DP$7:$DP$451,$EE$543,$DN$7:$DN$451,DN549,$DQ$7:$DQ$451,"CGR")</f>
        <v>0</v>
      </c>
      <c r="EF549" s="2811">
        <f>SUMIFS($CP$7:$CP$451,$DP$7:$DP$451,$EF$543,$DN$7:$DN$451,DN549,$DQ$7:$DQ$451,"CGR")</f>
        <v>0</v>
      </c>
      <c r="EG549" s="2811">
        <f t="shared" si="665"/>
        <v>0</v>
      </c>
    </row>
    <row r="550" spans="116:137">
      <c r="DL550" s="3180"/>
      <c r="DN550" s="2792" t="s">
        <v>1283</v>
      </c>
      <c r="DO550" s="2793" t="s">
        <v>1284</v>
      </c>
      <c r="DP550" s="2811">
        <f t="shared" si="666"/>
        <v>0</v>
      </c>
      <c r="DQ550" s="2811">
        <f t="shared" si="666"/>
        <v>590159.30000000005</v>
      </c>
      <c r="DR550" s="2811">
        <f t="shared" si="666"/>
        <v>0</v>
      </c>
      <c r="DS550" s="2811">
        <f t="shared" si="666"/>
        <v>0</v>
      </c>
      <c r="DT550" s="2811">
        <f t="shared" si="666"/>
        <v>0</v>
      </c>
      <c r="DU550" s="2811">
        <f t="shared" si="667"/>
        <v>590159.30000000005</v>
      </c>
      <c r="DV550" s="2811">
        <f>SUMIFS($CP$7:$CP$451,$DP$7:$DP$451,$DV$543,$DN$7:$DN$451,DN550,$DQ$7:$DQ$451,"MH")</f>
        <v>0</v>
      </c>
      <c r="DW550" s="2811">
        <f>SUMIFS($CP$7:$CP$451,$DP$7:$DP$451,$DW$543,$DN$7:$DN$451,DN550,$DQ$7:$DQ$451,"MH")</f>
        <v>590159.30000000005</v>
      </c>
      <c r="DX550" s="2811">
        <f>SUMIFS($CP$7:$CP$451,$DP$7:$DP$451,$DX$543,$DN$7:$DN$451,DN550,$DQ$7:$DQ$451,"MH")</f>
        <v>0</v>
      </c>
      <c r="DY550" s="2811">
        <f>SUMIFS($CP$7:$CP$451,$DP$7:$DP$451,$DY$543,$DN$7:$DN$451,DN550,$DQ$7:$DQ$451,"MH")</f>
        <v>0</v>
      </c>
      <c r="DZ550" s="2811">
        <f>SUMIFS($CP$7:$CP$451,$DP$7:$DP$451,$DZ$543,$DN$7:$DN$451,DN550,$DQ$7:$DQ$451,"MH")</f>
        <v>0</v>
      </c>
      <c r="EA550" s="2811">
        <f t="shared" si="664"/>
        <v>590159.30000000005</v>
      </c>
      <c r="EB550" s="2811">
        <f>SUMIFS($CP$7:$CP$451,$DP$7:$DP$451,$EB$543,$DN$7:$DN$451,DN550,$DQ$7:$DQ$451,"CGR")</f>
        <v>0</v>
      </c>
      <c r="EC550" s="2811">
        <f>SUMIFS($CP$7:$CP$451,$DP$7:$DP$451,$EC$543,$DN$7:$DN$451,DN552,$DQ$7:$DQ$451,"CGR")</f>
        <v>0</v>
      </c>
      <c r="ED550" s="2811">
        <f>SUMIFS($CP$7:$CP$451,$DP$7:$DP$451,$ED$543,$DN$7:$DN$451,DN550,$DQ$7:$DQ$451,"CGR")</f>
        <v>0</v>
      </c>
      <c r="EE550" s="2811">
        <f>SUMIFS($CP$7:$CP$451,$DP$7:$DP$451,$EE$543,$DN$7:$DN$451,DN550,$DQ$7:$DQ$451,"CGR")</f>
        <v>0</v>
      </c>
      <c r="EF550" s="2811">
        <f>SUMIFS($CP$7:$CP$451,$DP$7:$DP$451,$EF$543,$DN$7:$DN$451,DN550,$DQ$7:$DQ$451,"CGR")</f>
        <v>0</v>
      </c>
      <c r="EG550" s="2811">
        <f t="shared" si="665"/>
        <v>0</v>
      </c>
    </row>
    <row r="551" spans="116:137">
      <c r="DL551" s="3180"/>
      <c r="DN551" s="2798" t="s">
        <v>1331</v>
      </c>
      <c r="DO551" s="2795" t="s">
        <v>1332</v>
      </c>
      <c r="DP551" s="2811">
        <f t="shared" si="666"/>
        <v>0</v>
      </c>
      <c r="DQ551" s="2811">
        <f t="shared" si="666"/>
        <v>0</v>
      </c>
      <c r="DR551" s="2811">
        <f t="shared" si="666"/>
        <v>0</v>
      </c>
      <c r="DS551" s="2811">
        <f t="shared" si="666"/>
        <v>0</v>
      </c>
      <c r="DT551" s="2811">
        <f t="shared" si="666"/>
        <v>0</v>
      </c>
      <c r="DU551" s="2811">
        <f t="shared" si="667"/>
        <v>0</v>
      </c>
      <c r="DV551" s="2811">
        <f>SUMIFS($CP$7:$CP$451,$DP$7:$DP$451,$DV$543,$DN$7:$DN$451,DN551,$DQ$7:$DQ$451,"MH")</f>
        <v>0</v>
      </c>
      <c r="DW551" s="2811">
        <f>SUMIFS($CP$7:$CP$451,$DP$7:$DP$451,$DW$543,$DN$7:$DN$451,DN551,$DQ$7:$DQ$451,"MH")</f>
        <v>0</v>
      </c>
      <c r="DX551" s="2811">
        <f>SUMIFS($CP$7:$CP$451,$DP$7:$DP$451,$DX$543,$DN$7:$DN$451,DN551,$DQ$7:$DQ$451,"MH")</f>
        <v>0</v>
      </c>
      <c r="DY551" s="2811">
        <f>SUMIFS($CP$7:$CP$451,$DP$7:$DP$451,$DY$543,$DN$7:$DN$451,DN551,$DQ$7:$DQ$451,"MH")</f>
        <v>0</v>
      </c>
      <c r="DZ551" s="2811">
        <f>SUMIFS($CP$7:$CP$451,$DP$7:$DP$451,$DZ$543,$DN$7:$DN$451,DN551,$DQ$7:$DQ$451,"MH")</f>
        <v>0</v>
      </c>
      <c r="EA551" s="2811">
        <f t="shared" si="664"/>
        <v>0</v>
      </c>
      <c r="EB551" s="2811">
        <f>SUMIFS($CP$7:$CP$451,$DP$7:$DP$451,$EB$543,$DN$7:$DN$451,DN551,$DQ$7:$DQ$451,"CGR")</f>
        <v>0</v>
      </c>
      <c r="EC551" s="2811">
        <f>SUMIFS($CP$7:$CP$451,$DP$7:$DP$451,$EC$543,$DN$7:$DN$451,DN553,$DQ$7:$DQ$451,"CGR")</f>
        <v>0</v>
      </c>
      <c r="ED551" s="2811">
        <f>SUMIFS($CP$7:$CP$451,$DP$7:$DP$451,$ED$543,$DN$7:$DN$451,DN551,$DQ$7:$DQ$451,"CGR")</f>
        <v>0</v>
      </c>
      <c r="EE551" s="2811">
        <f>SUMIFS($CP$7:$CP$451,$DP$7:$DP$451,$EE$543,$DN$7:$DN$451,DN551,$DQ$7:$DQ$451,"CGR")</f>
        <v>0</v>
      </c>
      <c r="EF551" s="2811">
        <f>SUMIFS($CP$7:$CP$451,$DP$7:$DP$451,$EF$543,$DN$7:$DN$451,DN551,$DQ$7:$DQ$451,"CGR")</f>
        <v>0</v>
      </c>
      <c r="EG551" s="2811">
        <f t="shared" si="665"/>
        <v>0</v>
      </c>
    </row>
    <row r="552" spans="116:137" ht="15">
      <c r="DL552" s="3180"/>
      <c r="DN552" s="2799" t="s">
        <v>1303</v>
      </c>
      <c r="DO552" s="2800" t="s">
        <v>1304</v>
      </c>
      <c r="DP552" s="2811">
        <f t="shared" si="666"/>
        <v>0</v>
      </c>
      <c r="DQ552" s="2811">
        <f t="shared" si="666"/>
        <v>0</v>
      </c>
      <c r="DR552" s="2811">
        <f t="shared" si="666"/>
        <v>0</v>
      </c>
      <c r="DS552" s="2811">
        <f t="shared" si="666"/>
        <v>4431007.5999999996</v>
      </c>
      <c r="DT552" s="2811">
        <f t="shared" si="666"/>
        <v>0</v>
      </c>
      <c r="DU552" s="2811">
        <f t="shared" si="667"/>
        <v>4431007.5999999996</v>
      </c>
      <c r="DV552" s="2811">
        <f>SUMIFS($CP$7:$CP$451,$DP$7:$DP$451,$DV$543,$DN$7:$DN$451,DN552,$DQ$7:$DQ$451,"MH")</f>
        <v>0</v>
      </c>
      <c r="DW552" s="2811">
        <f>SUMIFS($CP$7:$CP$451,$DP$7:$DP$451,$DW$543,$DN$7:$DN$451,DN552,$DQ$7:$DQ$451,"MH")</f>
        <v>0</v>
      </c>
      <c r="DX552" s="2811">
        <f>SUMIFS($CP$7:$CP$451,$DP$7:$DP$451,$DX$543,$DN$7:$DN$451,DN552,$DQ$7:$DQ$451,"MH")</f>
        <v>0</v>
      </c>
      <c r="DY552" s="2811">
        <f>SUMIFS($CP$7:$CP$451,$DP$7:$DP$451,$DY$543,$DN$7:$DN$451,DN552,$DQ$7:$DQ$451,"MH")</f>
        <v>4431007.5999999996</v>
      </c>
      <c r="DZ552" s="2811">
        <f>SUMIFS($CP$7:$CP$451,$DP$7:$DP$451,$DZ$543,$DN$7:$DN$451,DN552,$DQ$7:$DQ$451,"MH")</f>
        <v>0</v>
      </c>
      <c r="EA552" s="2811">
        <f t="shared" si="664"/>
        <v>4431007.5999999996</v>
      </c>
      <c r="EB552" s="2811">
        <f>SUMIFS($CP$7:$CP$451,$DP$7:$DP$451,$EB$543,$DN$7:$DN$451,DN552,$DQ$7:$DQ$451,"CGR")</f>
        <v>0</v>
      </c>
      <c r="EC552" s="2811">
        <f>SUMIFS($CP$7:$CP$451,$DP$7:$DP$451,$EC$543,$DN$7:$DN$451,DN554,$DQ$7:$DQ$451,"CGR")</f>
        <v>0</v>
      </c>
      <c r="ED552" s="2811">
        <f>SUMIFS($CP$7:$CP$451,$DP$7:$DP$451,$ED$543,$DN$7:$DN$451,DN552,$DQ$7:$DQ$451,"CGR")</f>
        <v>0</v>
      </c>
      <c r="EE552" s="2811">
        <f>SUMIFS($CP$7:$CP$451,$DP$7:$DP$451,$EE$543,$DN$7:$DN$451,DN552,$DQ$7:$DQ$451,"CGR")</f>
        <v>0</v>
      </c>
      <c r="EF552" s="2811">
        <f>SUMIFS($CP$7:$CP$451,$DP$7:$DP$451,$EF$543,$DN$7:$DN$451,DN552,$DQ$7:$DQ$451,"CGR")</f>
        <v>0</v>
      </c>
      <c r="EG552" s="2811">
        <f t="shared" si="665"/>
        <v>0</v>
      </c>
    </row>
    <row r="553" spans="116:137">
      <c r="DL553" s="3180"/>
      <c r="DP553" s="2817">
        <f t="shared" ref="DP553:EG553" si="668">SUM(DP544:DP552)</f>
        <v>1219100</v>
      </c>
      <c r="DQ553" s="2817">
        <f t="shared" si="668"/>
        <v>16539072.475013334</v>
      </c>
      <c r="DR553" s="2817">
        <f t="shared" si="668"/>
        <v>69000</v>
      </c>
      <c r="DS553" s="2817">
        <f t="shared" si="668"/>
        <v>4506007.5999999996</v>
      </c>
      <c r="DT553" s="2817">
        <f t="shared" si="668"/>
        <v>0</v>
      </c>
      <c r="DU553" s="2817">
        <f t="shared" si="668"/>
        <v>22333180.075013332</v>
      </c>
      <c r="DV553" s="2809">
        <f t="shared" si="668"/>
        <v>1111600</v>
      </c>
      <c r="DW553" s="2809">
        <f t="shared" si="668"/>
        <v>14169422.475013334</v>
      </c>
      <c r="DX553" s="2809">
        <f t="shared" si="668"/>
        <v>69000</v>
      </c>
      <c r="DY553" s="2809">
        <f t="shared" si="668"/>
        <v>4431007.5999999996</v>
      </c>
      <c r="DZ553" s="2809">
        <f t="shared" si="668"/>
        <v>0</v>
      </c>
      <c r="EA553" s="2809">
        <f t="shared" si="668"/>
        <v>19781030.075013332</v>
      </c>
      <c r="EB553" s="2818">
        <f t="shared" si="668"/>
        <v>107500</v>
      </c>
      <c r="EC553" s="2818">
        <f t="shared" si="668"/>
        <v>2369650</v>
      </c>
      <c r="ED553" s="2818">
        <f t="shared" si="668"/>
        <v>0</v>
      </c>
      <c r="EE553" s="2818">
        <f t="shared" si="668"/>
        <v>75000</v>
      </c>
      <c r="EF553" s="2818">
        <f t="shared" si="668"/>
        <v>0</v>
      </c>
      <c r="EG553" s="2818">
        <f t="shared" si="668"/>
        <v>2552150</v>
      </c>
    </row>
    <row r="554" spans="116:137">
      <c r="DL554" s="3180"/>
      <c r="DR554" s="152"/>
      <c r="DS554" s="152"/>
      <c r="DT554" s="152"/>
      <c r="DU554" s="152"/>
      <c r="DV554" s="152"/>
      <c r="DW554" s="152"/>
    </row>
    <row r="555" spans="116:137">
      <c r="DL555" s="3180"/>
      <c r="DR555" s="152"/>
      <c r="DS555" s="152"/>
      <c r="DT555" s="152"/>
      <c r="DU555" s="2237">
        <f>DU553-ED477</f>
        <v>0</v>
      </c>
      <c r="DV555" s="152"/>
      <c r="DW555" s="152"/>
      <c r="EA555" s="2237">
        <f>EA553-EB477</f>
        <v>0</v>
      </c>
      <c r="EG555" s="2237">
        <f>EG553-EC477</f>
        <v>0</v>
      </c>
    </row>
    <row r="556" spans="116:137">
      <c r="DL556" s="3180"/>
    </row>
    <row r="557" spans="116:137">
      <c r="DL557" s="3180"/>
      <c r="DP557" s="4048" t="s">
        <v>1736</v>
      </c>
      <c r="DQ557" s="4049"/>
      <c r="DR557" s="4049"/>
      <c r="DS557" s="4049"/>
      <c r="DT557" s="4049"/>
      <c r="DU557" s="4050"/>
      <c r="DV557" s="4029" t="s">
        <v>1737</v>
      </c>
      <c r="DW557" s="4030"/>
      <c r="DX557" s="4030"/>
      <c r="DY557" s="4030"/>
      <c r="DZ557" s="4030"/>
      <c r="EA557" s="4031"/>
      <c r="EB557" s="4057" t="s">
        <v>1738</v>
      </c>
      <c r="EC557" s="4058"/>
      <c r="ED557" s="4058"/>
      <c r="EE557" s="4058"/>
      <c r="EF557" s="4058"/>
      <c r="EG557" s="4059"/>
    </row>
    <row r="558" spans="116:137" ht="30">
      <c r="DL558" s="3180"/>
      <c r="DN558" s="2813" t="s">
        <v>1155</v>
      </c>
      <c r="DO558" s="2813" t="s">
        <v>1156</v>
      </c>
      <c r="DP558" s="2814" t="s">
        <v>1115</v>
      </c>
      <c r="DQ558" s="2814" t="s">
        <v>1117</v>
      </c>
      <c r="DR558" s="2814" t="s">
        <v>1124</v>
      </c>
      <c r="DS558" s="2814" t="s">
        <v>1160</v>
      </c>
      <c r="DT558" s="2814" t="s">
        <v>1173</v>
      </c>
      <c r="DU558" s="2814" t="s">
        <v>1715</v>
      </c>
      <c r="DV558" s="2815" t="s">
        <v>1115</v>
      </c>
      <c r="DW558" s="2815" t="s">
        <v>1117</v>
      </c>
      <c r="DX558" s="2815" t="s">
        <v>1124</v>
      </c>
      <c r="DY558" s="2815" t="s">
        <v>1160</v>
      </c>
      <c r="DZ558" s="2815" t="s">
        <v>1173</v>
      </c>
      <c r="EA558" s="2815" t="s">
        <v>487</v>
      </c>
      <c r="EB558" s="2816" t="s">
        <v>1115</v>
      </c>
      <c r="EC558" s="2816" t="s">
        <v>1117</v>
      </c>
      <c r="ED558" s="2816" t="s">
        <v>1124</v>
      </c>
      <c r="EE558" s="2816" t="s">
        <v>1160</v>
      </c>
      <c r="EF558" s="2816" t="s">
        <v>1173</v>
      </c>
      <c r="EG558" s="2816" t="s">
        <v>487</v>
      </c>
    </row>
    <row r="559" spans="116:137">
      <c r="DL559" s="3180"/>
      <c r="DN559" s="2788" t="s">
        <v>1597</v>
      </c>
      <c r="DO559" s="2789" t="s">
        <v>1598</v>
      </c>
      <c r="DP559" s="2811">
        <f>DV559+EB559</f>
        <v>0</v>
      </c>
      <c r="DQ559" s="2811">
        <f>DW559+EC559</f>
        <v>0</v>
      </c>
      <c r="DR559" s="2811">
        <f>DX559+ED559</f>
        <v>6000</v>
      </c>
      <c r="DS559" s="2811">
        <f>DY559+EE559</f>
        <v>0</v>
      </c>
      <c r="DT559" s="2811">
        <f>DZ559+EF559</f>
        <v>0</v>
      </c>
      <c r="DU559" s="2811">
        <f>SUM(DP559:DT559)</f>
        <v>6000</v>
      </c>
      <c r="DV559" s="2811">
        <f>SUMIFS($DD$7:$DD$451,$DP$7:$DP$451,$DV$558,$DN$7:$DN$451,DN559,$DQ$7:$DQ$451,"MH")</f>
        <v>0</v>
      </c>
      <c r="DW559" s="2811">
        <f>SUMIFS($DD$7:$DD$451,$DP$7:$DP$451,$DW$558,$DN$7:$DN$451,DN559,$DQ$7:$DQ$451,"MH")</f>
        <v>0</v>
      </c>
      <c r="DX559" s="2811">
        <f>SUMIFS($DD$7:$DD$451,$DP$7:$DP$451,$DX$558,$DN$7:$DN$451,DN559,$DQ$7:$DQ$451,"MH")</f>
        <v>6000</v>
      </c>
      <c r="DY559" s="2811">
        <f>SUMIFS($DD$7:$DD$451,$DP$7:$DP$451,$DY$558,$DN$7:$DN$451,DN559,$DQ$7:$DQ$451,"MH")</f>
        <v>0</v>
      </c>
      <c r="DZ559" s="2811">
        <f>SUMIFS($DD$7:$DD$451,$DP$7:$DP$451,$DZ$558,$DN$7:$DN$451,DN559,$DQ$7:$DQ$451,"MH")</f>
        <v>0</v>
      </c>
      <c r="EA559" s="2811">
        <f t="shared" ref="EA559:EA567" si="669">SUM(DV559:DZ559)</f>
        <v>6000</v>
      </c>
      <c r="EB559" s="2811">
        <f>SUMIFS($DD$7:$DD$451,$DP$7:$DP$451,$EB$558,$DN$7:$DN$451,DN559,$DQ$7:$DQ$451,"CGR")</f>
        <v>0</v>
      </c>
      <c r="EC559" s="2811">
        <f>SUMIFS($DD$7:$DD$451,$DP$7:$DP$451,$EC$558,$DN$7:$DN$451,DN561,$DQ$7:$DQ$451,"CGR")</f>
        <v>0</v>
      </c>
      <c r="ED559" s="2811">
        <f>SUMIFS($DD$7:$DD$451,$DP$7:$DP$451,$ED$558,$DN$7:$DN$451,DN559,$DQ$7:$DQ$451,"CGR")</f>
        <v>0</v>
      </c>
      <c r="EE559" s="2811">
        <f>SUMIFS($DD$7:$DD$451,$DP$7:$DP$451,$EE$558,$DN$7:$DN$451,DN559,$DQ$7:$DQ$451,"CGR")</f>
        <v>0</v>
      </c>
      <c r="EF559" s="2811">
        <f>SUMIFS($DD$7:$DD$451,$DP$7:$DP$451,$EF$558,$DN$7:$DN$451,DN559,$DQ$7:$DQ$451,"CGR")</f>
        <v>0</v>
      </c>
      <c r="EG559" s="2811">
        <f t="shared" ref="EG559:EG567" si="670">SUM(EB559:EF559)</f>
        <v>0</v>
      </c>
    </row>
    <row r="560" spans="116:137">
      <c r="DL560" s="3180"/>
      <c r="DN560" s="2792" t="s">
        <v>1535</v>
      </c>
      <c r="DO560" s="2793" t="s">
        <v>1536</v>
      </c>
      <c r="DP560" s="2811">
        <f t="shared" ref="DP560:DT567" si="671">DV560+EB560</f>
        <v>0</v>
      </c>
      <c r="DQ560" s="2811">
        <f t="shared" si="671"/>
        <v>0</v>
      </c>
      <c r="DR560" s="2811">
        <f t="shared" si="671"/>
        <v>0</v>
      </c>
      <c r="DS560" s="2811">
        <f t="shared" si="671"/>
        <v>75000</v>
      </c>
      <c r="DT560" s="2811">
        <f t="shared" si="671"/>
        <v>0</v>
      </c>
      <c r="DU560" s="2811">
        <f t="shared" ref="DU560:DU567" si="672">SUM(DP560:DT560)</f>
        <v>75000</v>
      </c>
      <c r="DV560" s="2811">
        <f>SUMIFS($DD$7:$DD$451,$DP$7:$DP$451,$DV$558,$DN$7:$DN$451,DN560,$DQ$7:$DQ$451,"MH")</f>
        <v>0</v>
      </c>
      <c r="DW560" s="2811">
        <f>SUMIFS($DD$7:$DD$451,$DP$7:$DP$451,$DW$558,$DN$7:$DN$451,DN560,$DQ$7:$DQ$451,"MH")</f>
        <v>0</v>
      </c>
      <c r="DX560" s="2811">
        <f>SUMIFS($DD$7:$DD$451,$DP$7:$DP$451,$DX$558,$DN$7:$DN$451,DN560,$DQ$7:$DQ$451,"MH")</f>
        <v>0</v>
      </c>
      <c r="DY560" s="2811">
        <f>SUMIFS($DD$7:$DD$451,$DP$7:$DP$451,$DY$558,$DN$7:$DN$451,DN560,$DQ$7:$DQ$451,"MH")</f>
        <v>0</v>
      </c>
      <c r="DZ560" s="2811">
        <f>SUMIFS($DD$7:$DD$451,$DP$7:$DP$451,$DZ$558,$DN$7:$DN$451,DN560,$DQ$7:$DQ$451,"MH")</f>
        <v>0</v>
      </c>
      <c r="EA560" s="2811">
        <f t="shared" si="669"/>
        <v>0</v>
      </c>
      <c r="EB560" s="2811">
        <f>SUMIFS($DD$7:$DD$451,$DP$7:$DP$451,$EB$558,$DN$7:$DN$451,DN560,$DQ$7:$DQ$451,"CGR")</f>
        <v>0</v>
      </c>
      <c r="EC560" s="2811">
        <f>SUMIFS($DD$7:$DD$451,$DP$7:$DP$451,$EC$558,$DN$7:$DN$451,DN562,$DQ$7:$DQ$451,"CGR")</f>
        <v>0</v>
      </c>
      <c r="ED560" s="2811">
        <f>SUMIFS($DD$7:$DD$451,$DP$7:$DP$451,$ED$558,$DN$7:$DN$451,DN560,$DQ$7:$DQ$451,"CGR")</f>
        <v>0</v>
      </c>
      <c r="EE560" s="2811">
        <f>SUMIFS($DD$7:$DD$451,$DP$7:$DP$451,$EE$558,$DN$7:$DN$451,DN560,$DQ$7:$DQ$451,"CGR")</f>
        <v>75000</v>
      </c>
      <c r="EF560" s="2811">
        <f>SUMIFS($DD$7:$DD$451,$DP$7:$DP$451,$EF$558,$DN$7:$DN$451,DN560,$DQ$7:$DQ$451,"CGR")</f>
        <v>0</v>
      </c>
      <c r="EG560" s="2811">
        <f t="shared" si="670"/>
        <v>75000</v>
      </c>
    </row>
    <row r="561" spans="116:137">
      <c r="DL561" s="3180"/>
      <c r="DN561" s="2792" t="s">
        <v>1415</v>
      </c>
      <c r="DO561" s="2793" t="s">
        <v>1416</v>
      </c>
      <c r="DP561" s="2811">
        <f t="shared" si="671"/>
        <v>0</v>
      </c>
      <c r="DQ561" s="2811">
        <f t="shared" si="671"/>
        <v>0</v>
      </c>
      <c r="DR561" s="2811">
        <f t="shared" si="671"/>
        <v>0</v>
      </c>
      <c r="DS561" s="2811">
        <f t="shared" si="671"/>
        <v>0</v>
      </c>
      <c r="DT561" s="2811">
        <f t="shared" si="671"/>
        <v>0</v>
      </c>
      <c r="DU561" s="2811">
        <f t="shared" si="672"/>
        <v>0</v>
      </c>
      <c r="DV561" s="2811">
        <f>SUMIFS($DD$7:$DD$451,$DP$7:$DP$451,$DV$558,$DN$7:$DN$451,DN561,$DQ$7:$DQ$451,"MH")</f>
        <v>0</v>
      </c>
      <c r="DW561" s="2811">
        <f>SUMIFS($DD$7:$DD$451,$DP$7:$DP$451,$DW$558,$DN$7:$DN$451,DN561,$DQ$7:$DQ$451,"MH")</f>
        <v>0</v>
      </c>
      <c r="DX561" s="2811">
        <f>SUMIFS($DD$7:$DD$451,$DP$7:$DP$451,$DX$558,$DN$7:$DN$451,DN561,$DQ$7:$DQ$451,"MH")</f>
        <v>0</v>
      </c>
      <c r="DY561" s="2811">
        <f>SUMIFS($DD$7:$DD$451,$DP$7:$DP$451,$DY$558,$DN$7:$DN$451,DN561,$DQ$7:$DQ$451,"MH")</f>
        <v>0</v>
      </c>
      <c r="DZ561" s="2811">
        <f>SUMIFS($DD$7:$DD$451,$DP$7:$DP$451,$DZ$558,$DN$7:$DN$451,DN561,$DQ$7:$DQ$451,"MH")</f>
        <v>0</v>
      </c>
      <c r="EA561" s="2811">
        <f t="shared" si="669"/>
        <v>0</v>
      </c>
      <c r="EB561" s="2811">
        <f>SUMIFS($DD$7:$DD$451,$DP$7:$DP$451,$EB$558,$DN$7:$DN$451,DN561,$DQ$7:$DQ$451,"CGR")</f>
        <v>0</v>
      </c>
      <c r="EC561" s="2811">
        <f>SUMIFS($DD$7:$DD$451,$DP$7:$DP$451,$EC$558,$DN$7:$DN$451,DN563,$DQ$7:$DQ$451,"CGR")</f>
        <v>0</v>
      </c>
      <c r="ED561" s="2811">
        <f>SUMIFS($DD$7:$DD$451,$DP$7:$DP$451,$ED$558,$DN$7:$DN$451,DN561,$DQ$7:$DQ$451,"CGR")</f>
        <v>0</v>
      </c>
      <c r="EE561" s="2811">
        <f>SUMIFS($DD$7:$DD$451,$DP$7:$DP$451,$EE$558,$DN$7:$DN$451,DN561,$DQ$7:$DQ$451,"CGR")</f>
        <v>0</v>
      </c>
      <c r="EF561" s="2811">
        <f>SUMIFS($DD$7:$DD$451,$DP$7:$DP$451,$EF$558,$DN$7:$DN$451,DN561,$DQ$7:$DQ$451,"CGR")</f>
        <v>0</v>
      </c>
      <c r="EG561" s="2811">
        <f t="shared" si="670"/>
        <v>0</v>
      </c>
    </row>
    <row r="562" spans="116:137">
      <c r="DL562" s="3180"/>
      <c r="DN562" s="2794" t="s">
        <v>1669</v>
      </c>
      <c r="DO562" s="2795" t="s">
        <v>1670</v>
      </c>
      <c r="DP562" s="2811">
        <f t="shared" si="671"/>
        <v>0</v>
      </c>
      <c r="DQ562" s="2811">
        <f t="shared" si="671"/>
        <v>0</v>
      </c>
      <c r="DR562" s="2811">
        <f t="shared" si="671"/>
        <v>0</v>
      </c>
      <c r="DS562" s="2811">
        <f t="shared" si="671"/>
        <v>0</v>
      </c>
      <c r="DT562" s="2811">
        <f t="shared" si="671"/>
        <v>0</v>
      </c>
      <c r="DU562" s="2811">
        <f t="shared" si="672"/>
        <v>0</v>
      </c>
      <c r="DV562" s="2811">
        <f>SUMIFS($DD$7:$DD$451,$DP$7:$DP$451,$DV$558,$DN$7:$DN$451,DN562,$DQ$7:$DQ$451,"MH")</f>
        <v>0</v>
      </c>
      <c r="DW562" s="2811">
        <f>SUMIFS($DD$7:$DD$451,$DP$7:$DP$451,$DW$558,$DN$7:$DN$451,DN562,$DQ$7:$DQ$451,"MH")</f>
        <v>0</v>
      </c>
      <c r="DX562" s="2811">
        <f>SUMIFS($DD$7:$DD$451,$DP$7:$DP$451,$DX$558,$DN$7:$DN$451,DN562,$DQ$7:$DQ$451,"MH")</f>
        <v>0</v>
      </c>
      <c r="DY562" s="2811">
        <f>SUMIFS($DD$7:$DD$451,$DP$7:$DP$451,$DY$558,$DN$7:$DN$451,DN562,$DQ$7:$DQ$451,"MH")</f>
        <v>0</v>
      </c>
      <c r="DZ562" s="2811">
        <f>SUMIFS($DD$7:$DD$451,$DP$7:$DP$451,$DZ$558,$DN$7:$DN$451,DN562,$DQ$7:$DQ$451,"MH")</f>
        <v>0</v>
      </c>
      <c r="EA562" s="2811">
        <f t="shared" si="669"/>
        <v>0</v>
      </c>
      <c r="EB562" s="2811">
        <f>SUMIFS($DD$7:$DD$451,$DP$7:$DP$451,$EB$558,$DN$7:$DN$451,DN562,$DQ$7:$DQ$451,"CGR")</f>
        <v>0</v>
      </c>
      <c r="EC562" s="2811">
        <f>SUMIFS($DD$7:$DD$451,$DP$7:$DP$451,$EC$558,$DN$7:$DN$451,DN564,$DQ$7:$DQ$451,"CGR")</f>
        <v>0</v>
      </c>
      <c r="ED562" s="2811">
        <f>SUMIFS($DD$7:$DD$451,$DP$7:$DP$451,$ED$558,$DN$7:$DN$451,DN562,$DQ$7:$DQ$451,"CGR")</f>
        <v>0</v>
      </c>
      <c r="EE562" s="2811">
        <f>SUMIFS($DD$7:$DD$451,$DP$7:$DP$451,$EE$558,$DN$7:$DN$451,DN562,$DQ$7:$DQ$451,"CGR")</f>
        <v>0</v>
      </c>
      <c r="EF562" s="2811">
        <f>SUMIFS($DD$7:$DD$451,$DP$7:$DP$451,$EF$558,$DN$7:$DN$451,DN562,$DQ$7:$DQ$451,"CGR")</f>
        <v>0</v>
      </c>
      <c r="EG562" s="2811">
        <f t="shared" si="670"/>
        <v>0</v>
      </c>
    </row>
    <row r="563" spans="116:137" ht="15">
      <c r="DL563" s="3180"/>
      <c r="DN563" s="2796" t="s">
        <v>1346</v>
      </c>
      <c r="DO563" s="2797" t="s">
        <v>1347</v>
      </c>
      <c r="DP563" s="2811">
        <f t="shared" si="671"/>
        <v>575500</v>
      </c>
      <c r="DQ563" s="2811">
        <f t="shared" si="671"/>
        <v>1821925</v>
      </c>
      <c r="DR563" s="2811">
        <f t="shared" si="671"/>
        <v>0</v>
      </c>
      <c r="DS563" s="2811">
        <f t="shared" si="671"/>
        <v>0</v>
      </c>
      <c r="DT563" s="2811">
        <f t="shared" si="671"/>
        <v>0</v>
      </c>
      <c r="DU563" s="2811">
        <f t="shared" si="672"/>
        <v>2397425</v>
      </c>
      <c r="DV563" s="2811">
        <f>SUMIFS($DD$7:$DD$451,$DP$7:$DP$451,$DV$558,$DN$7:$DN$451,DN563,$DQ$7:$DQ$451,"MH")</f>
        <v>515500</v>
      </c>
      <c r="DW563" s="2811">
        <f>SUMIFS($DD$7:$DD$451,$DP$7:$DP$451,$DW$558,$DN$7:$DN$451,DN563,$DQ$7:$DQ$451,"MH")</f>
        <v>0</v>
      </c>
      <c r="DX563" s="2811">
        <f>SUMIFS($DD$7:$DD$451,$DP$7:$DP$451,$DX$558,$DN$7:$DN$451,DN563,$DQ$7:$DQ$451,"MH")</f>
        <v>0</v>
      </c>
      <c r="DY563" s="2811">
        <f>SUMIFS($DD$7:$DD$451,$DP$7:$DP$451,$DY$558,$DN$7:$DN$451,DN563,$DQ$7:$DQ$451,"MH")</f>
        <v>0</v>
      </c>
      <c r="DZ563" s="2811">
        <f>SUMIFS($DD$7:$DD$451,$DP$7:$DP$451,$DZ$558,$DN$7:$DN$451,DN563,$DQ$7:$DQ$451,"MH")</f>
        <v>0</v>
      </c>
      <c r="EA563" s="2811">
        <f t="shared" si="669"/>
        <v>515500</v>
      </c>
      <c r="EB563" s="2811">
        <f>SUMIFS($DD$7:$DD$451,$DP$7:$DP$451,$EB$558,$DN$7:$DN$451,DN563,$DQ$7:$DQ$451,"CGR")</f>
        <v>60000</v>
      </c>
      <c r="EC563" s="2811">
        <f>SUMIFS($DD$7:$DD$451,$DP$7:$DP$451,$EC$558,$DN$7:$DN$451,DN565,$DQ$7:$DQ$451,"CGR")</f>
        <v>1821925</v>
      </c>
      <c r="ED563" s="2811">
        <f>SUMIFS($DD$7:$DD$451,$DP$7:$DP$451,$ED$558,$DN$7:$DN$451,DN563,$DQ$7:$DQ$451,"CGR")</f>
        <v>0</v>
      </c>
      <c r="EE563" s="2811">
        <f>SUMIFS($DD$7:$DD$451,$DP$7:$DP$451,$EE$558,$DN$7:$DN$451,DN563,$DQ$7:$DQ$451,"CGR")</f>
        <v>0</v>
      </c>
      <c r="EF563" s="2811">
        <f>SUMIFS($DD$7:$DD$451,$DP$7:$DP$451,$EF$558,$DN$7:$DN$451,DN563,$DQ$7:$DQ$451,"CGR")</f>
        <v>0</v>
      </c>
      <c r="EG563" s="2811">
        <f t="shared" si="670"/>
        <v>1881925</v>
      </c>
    </row>
    <row r="564" spans="116:137">
      <c r="DL564" s="3180"/>
      <c r="DN564" s="2792" t="s">
        <v>1180</v>
      </c>
      <c r="DO564" s="2793" t="s">
        <v>1181</v>
      </c>
      <c r="DP564" s="2811">
        <f t="shared" si="671"/>
        <v>0</v>
      </c>
      <c r="DQ564" s="2811">
        <f t="shared" si="671"/>
        <v>13206655.356586667</v>
      </c>
      <c r="DR564" s="2811">
        <f t="shared" si="671"/>
        <v>0</v>
      </c>
      <c r="DS564" s="2811">
        <f t="shared" si="671"/>
        <v>0</v>
      </c>
      <c r="DT564" s="2811">
        <f t="shared" si="671"/>
        <v>0</v>
      </c>
      <c r="DU564" s="2811">
        <f t="shared" si="672"/>
        <v>13206655.356586667</v>
      </c>
      <c r="DV564" s="2811">
        <f>SUMIFS($DD$7:$DD$451,$DP$7:$DP$451,$DV$558,$DN$7:$DN$451,DN564,$DQ$7:$DQ$451,"MH")</f>
        <v>0</v>
      </c>
      <c r="DW564" s="2811">
        <f>SUMIFS($DD$7:$DD$451,$DP$7:$DP$451,$DW$558,$DN$7:$DN$451,DN564,$DQ$7:$DQ$451,"MH")</f>
        <v>13206655.356586667</v>
      </c>
      <c r="DX564" s="2811">
        <f>SUMIFS($DD$7:$DD$451,$DP$7:$DP$451,$DX$558,$DN$7:$DN$451,DN564,$DQ$7:$DQ$451,"MH")</f>
        <v>0</v>
      </c>
      <c r="DY564" s="2811">
        <f>SUMIFS($DD$7:$DD$451,$DP$7:$DP$451,$DY$558,$DN$7:$DN$451,DN564,$DQ$7:$DQ$451,"MH")</f>
        <v>0</v>
      </c>
      <c r="DZ564" s="2811">
        <f>SUMIFS($DD$7:$DD$451,$DP$7:$DP$451,$DZ$558,$DN$7:$DN$451,DN564,$DQ$7:$DQ$451,"MH")</f>
        <v>0</v>
      </c>
      <c r="EA564" s="2811">
        <f t="shared" si="669"/>
        <v>13206655.356586667</v>
      </c>
      <c r="EB564" s="2811">
        <f>SUMIFS($DD$7:$DD$451,$DP$7:$DP$451,$EB$558,$DN$7:$DN$451,DN564,$DQ$7:$DQ$451,"CGR")</f>
        <v>0</v>
      </c>
      <c r="EC564" s="2811">
        <f>SUMIFS($DD$7:$DD$451,$DP$7:$DP$451,$EC$558,$DN$7:$DN$451,DN566,$DQ$7:$DQ$451,"CGR")</f>
        <v>0</v>
      </c>
      <c r="ED564" s="2811">
        <f>SUMIFS($DD$7:$DD$451,$DP$7:$DP$451,$ED$558,$DN$7:$DN$451,DN564,$DQ$7:$DQ$451,"CGR")</f>
        <v>0</v>
      </c>
      <c r="EE564" s="2811">
        <f>SUMIFS($DD$7:$DD$451,$DP$7:$DP$451,$EE$558,$DN$7:$DN$451,DN564,$DQ$7:$DQ$451,"CGR")</f>
        <v>0</v>
      </c>
      <c r="EF564" s="2811">
        <f>SUMIFS($DD$7:$DD$451,$DP$7:$DP$451,$EF$558,$DN$7:$DN$451,DN564,$DQ$7:$DQ$451,"CGR")</f>
        <v>0</v>
      </c>
      <c r="EG564" s="2811">
        <f t="shared" si="670"/>
        <v>0</v>
      </c>
    </row>
    <row r="565" spans="116:137">
      <c r="DL565" s="3180"/>
      <c r="DN565" s="2792" t="s">
        <v>1283</v>
      </c>
      <c r="DO565" s="2793" t="s">
        <v>1284</v>
      </c>
      <c r="DP565" s="2811">
        <f t="shared" si="671"/>
        <v>0</v>
      </c>
      <c r="DQ565" s="2811">
        <f t="shared" si="671"/>
        <v>479325</v>
      </c>
      <c r="DR565" s="2811">
        <f t="shared" si="671"/>
        <v>0</v>
      </c>
      <c r="DS565" s="2811">
        <f t="shared" si="671"/>
        <v>0</v>
      </c>
      <c r="DT565" s="2811">
        <f t="shared" si="671"/>
        <v>0</v>
      </c>
      <c r="DU565" s="2811">
        <f t="shared" si="672"/>
        <v>479325</v>
      </c>
      <c r="DV565" s="2811">
        <f>SUMIFS($DD$7:$DD$451,$DP$7:$DP$451,$DV$558,$DN$7:$DN$451,DN565,$DQ$7:$DQ$451,"MH")</f>
        <v>0</v>
      </c>
      <c r="DW565" s="2811">
        <f>SUMIFS($DD$7:$DD$451,$DP$7:$DP$451,$DW$558,$DN$7:$DN$451,DN565,$DQ$7:$DQ$451,"MH")</f>
        <v>479325</v>
      </c>
      <c r="DX565" s="2811">
        <f>SUMIFS($DD$7:$DD$451,$DP$7:$DP$451,$DX$558,$DN$7:$DN$451,DN565,$DQ$7:$DQ$451,"MH")</f>
        <v>0</v>
      </c>
      <c r="DY565" s="2811">
        <f>SUMIFS($DD$7:$DD$451,$DP$7:$DP$451,$DY$558,$DN$7:$DN$451,DN565,$DQ$7:$DQ$451,"MH")</f>
        <v>0</v>
      </c>
      <c r="DZ565" s="2811">
        <f>SUMIFS($DD$7:$DD$451,$DP$7:$DP$451,$DZ$558,$DN$7:$DN$451,DN565,$DQ$7:$DQ$451,"MH")</f>
        <v>0</v>
      </c>
      <c r="EA565" s="2811">
        <f t="shared" si="669"/>
        <v>479325</v>
      </c>
      <c r="EB565" s="2811">
        <f>SUMIFS($DD$7:$DD$451,$DP$7:$DP$451,$EB$558,$DN$7:$DN$451,DN565,$DQ$7:$DQ$451,"CGR")</f>
        <v>0</v>
      </c>
      <c r="EC565" s="2811">
        <f>SUMIFS($DD$7:$DD$451,$DP$7:$DP$451,$EC$558,$DN$7:$DN$451,DN567,$DQ$7:$DQ$451,"CGR")</f>
        <v>0</v>
      </c>
      <c r="ED565" s="2811">
        <f>SUMIFS($DD$7:$DD$451,$DP$7:$DP$451,$ED$558,$DN$7:$DN$451,DN565,$DQ$7:$DQ$451,"CGR")</f>
        <v>0</v>
      </c>
      <c r="EE565" s="2811">
        <f>SUMIFS($DD$7:$DD$451,$DP$7:$DP$451,$EE$558,$DN$7:$DN$451,DN565,$DQ$7:$DQ$451,"CGR")</f>
        <v>0</v>
      </c>
      <c r="EF565" s="2811">
        <f>SUMIFS($DD$7:$DD$451,$DP$7:$DP$451,$EF$558,$DN$7:$DN$451,DN565,$DQ$7:$DQ$451,"CGR")</f>
        <v>0</v>
      </c>
      <c r="EG565" s="2811">
        <f t="shared" si="670"/>
        <v>0</v>
      </c>
    </row>
    <row r="566" spans="116:137">
      <c r="DL566" s="3180"/>
      <c r="DN566" s="2798" t="s">
        <v>1331</v>
      </c>
      <c r="DO566" s="2795" t="s">
        <v>1332</v>
      </c>
      <c r="DP566" s="2811">
        <f t="shared" si="671"/>
        <v>0</v>
      </c>
      <c r="DQ566" s="2811">
        <f t="shared" si="671"/>
        <v>0</v>
      </c>
      <c r="DR566" s="2811">
        <f t="shared" si="671"/>
        <v>0</v>
      </c>
      <c r="DS566" s="2811">
        <f t="shared" si="671"/>
        <v>80000</v>
      </c>
      <c r="DT566" s="2811">
        <f t="shared" si="671"/>
        <v>0</v>
      </c>
      <c r="DU566" s="2811">
        <f t="shared" si="672"/>
        <v>80000</v>
      </c>
      <c r="DV566" s="2811">
        <f>SUMIFS($DD$7:$DD$451,$DP$7:$DP$451,$DV$558,$DN$7:$DN$451,DN566,$DQ$7:$DQ$451,"MH")</f>
        <v>0</v>
      </c>
      <c r="DW566" s="2811">
        <f>SUMIFS($DD$7:$DD$451,$DP$7:$DP$451,$DW$558,$DN$7:$DN$451,DN566,$DQ$7:$DQ$451,"MH")</f>
        <v>0</v>
      </c>
      <c r="DX566" s="2811">
        <f>SUMIFS($DD$7:$DD$451,$DP$7:$DP$451,$DX$558,$DN$7:$DN$451,DN566,$DQ$7:$DQ$451,"MH")</f>
        <v>0</v>
      </c>
      <c r="DY566" s="2811">
        <f>SUMIFS($DD$7:$DD$451,$DP$7:$DP$451,$DY$558,$DN$7:$DN$451,DN566,$DQ$7:$DQ$451,"MH")</f>
        <v>80000</v>
      </c>
      <c r="DZ566" s="2811">
        <f>SUMIFS($DD$7:$DD$451,$DP$7:$DP$451,$DZ$558,$DN$7:$DN$451,DN566,$DQ$7:$DQ$451,"MH")</f>
        <v>0</v>
      </c>
      <c r="EA566" s="2811">
        <f t="shared" si="669"/>
        <v>80000</v>
      </c>
      <c r="EB566" s="2811">
        <f>SUMIFS($DD$7:$DD$451,$DP$7:$DP$451,$EB$558,$DN$7:$DN$451,DN566,$DQ$7:$DQ$451,"CGR")</f>
        <v>0</v>
      </c>
      <c r="EC566" s="2811">
        <f>SUMIFS($DD$7:$DD$451,$DP$7:$DP$451,$EC$558,$DN$7:$DN$451,DN568,$DQ$7:$DQ$451,"CGR")</f>
        <v>0</v>
      </c>
      <c r="ED566" s="2811">
        <f>SUMIFS($DD$7:$DD$451,$DP$7:$DP$451,$ED$558,$DN$7:$DN$451,DN566,$DQ$7:$DQ$451,"CGR")</f>
        <v>0</v>
      </c>
      <c r="EE566" s="2811">
        <f>SUMIFS($DD$7:$DD$451,$DP$7:$DP$451,$EE$558,$DN$7:$DN$451,DN566,$DQ$7:$DQ$451,"CGR")</f>
        <v>0</v>
      </c>
      <c r="EF566" s="2811">
        <f>SUMIFS($DD$7:$DD$451,$DP$7:$DP$451,$EF$558,$DN$7:$DN$451,DN566,$DQ$7:$DQ$451,"CGR")</f>
        <v>0</v>
      </c>
      <c r="EG566" s="2811">
        <f t="shared" si="670"/>
        <v>0</v>
      </c>
    </row>
    <row r="567" spans="116:137" ht="15">
      <c r="DL567" s="3180"/>
      <c r="DN567" s="2799" t="s">
        <v>1303</v>
      </c>
      <c r="DO567" s="2800" t="s">
        <v>1304</v>
      </c>
      <c r="DP567" s="2811">
        <f t="shared" si="671"/>
        <v>0</v>
      </c>
      <c r="DQ567" s="2811">
        <f t="shared" si="671"/>
        <v>0</v>
      </c>
      <c r="DR567" s="2811">
        <f t="shared" si="671"/>
        <v>0</v>
      </c>
      <c r="DS567" s="2811">
        <f t="shared" si="671"/>
        <v>2824030.4</v>
      </c>
      <c r="DT567" s="2811">
        <f t="shared" si="671"/>
        <v>0</v>
      </c>
      <c r="DU567" s="2811">
        <f t="shared" si="672"/>
        <v>2824030.4</v>
      </c>
      <c r="DV567" s="2811">
        <f>SUMIFS($DD$7:$DD$451,$DP$7:$DP$451,$DV$558,$DN$7:$DN$451,DN567,$DQ$7:$DQ$451,"MH")</f>
        <v>0</v>
      </c>
      <c r="DW567" s="2811">
        <f>SUMIFS($DD$7:$DD$451,$DP$7:$DP$451,$DW$558,$DN$7:$DN$451,DN567,$DQ$7:$DQ$451,"MH")</f>
        <v>0</v>
      </c>
      <c r="DX567" s="2811">
        <f>SUMIFS($DD$7:$DD$451,$DP$7:$DP$451,$DX$558,$DN$7:$DN$451,DN567,$DQ$7:$DQ$451,"MH")</f>
        <v>0</v>
      </c>
      <c r="DY567" s="2811">
        <f>SUMIFS($DD$7:$DD$451,$DP$7:$DP$451,$DY$558,$DN$7:$DN$451,DN567,$DQ$7:$DQ$451,"MH")</f>
        <v>2824030.4</v>
      </c>
      <c r="DZ567" s="2811">
        <f>SUMIFS($DD$7:$DD$451,$DP$7:$DP$451,$DZ$558,$DN$7:$DN$451,DN567,$DQ$7:$DQ$451,"MH")</f>
        <v>0</v>
      </c>
      <c r="EA567" s="2811">
        <f t="shared" si="669"/>
        <v>2824030.4</v>
      </c>
      <c r="EB567" s="2811">
        <f>SUMIFS($DD$7:$DD$451,$DP$7:$DP$451,$EB$558,$DN$7:$DN$451,DN567,$DQ$7:$DQ$451,"CGR")</f>
        <v>0</v>
      </c>
      <c r="EC567" s="2811">
        <f>SUMIFS($DD$7:$DD$451,$DP$7:$DP$451,$EC$558,$DN$7:$DN$451,DN569,$DQ$7:$DQ$451,"CGR")</f>
        <v>0</v>
      </c>
      <c r="ED567" s="2811">
        <f>SUMIFS($DD$7:$DD$451,$DP$7:$DP$451,$ED$558,$DN$7:$DN$451,DN567,$DQ$7:$DQ$451,"CGR")</f>
        <v>0</v>
      </c>
      <c r="EE567" s="2811">
        <f>SUMIFS($DD$7:$DD$451,$DP$7:$DP$451,$EE$558,$DN$7:$DN$451,DN567,$DQ$7:$DQ$451,"CGR")</f>
        <v>0</v>
      </c>
      <c r="EF567" s="2811">
        <f>SUMIFS($DD$7:$DD$451,$DP$7:$DP$451,$EF$558,$DN$7:$DN$451,DN567,$DQ$7:$DQ$451,"CGR")</f>
        <v>0</v>
      </c>
      <c r="EG567" s="2811">
        <f t="shared" si="670"/>
        <v>0</v>
      </c>
    </row>
    <row r="568" spans="116:137">
      <c r="DL568" s="3180"/>
      <c r="DP568" s="2817">
        <f t="shared" ref="DP568:EG568" si="673">SUM(DP559:DP567)</f>
        <v>575500</v>
      </c>
      <c r="DQ568" s="2817">
        <f t="shared" si="673"/>
        <v>15507905.356586667</v>
      </c>
      <c r="DR568" s="2817">
        <f t="shared" si="673"/>
        <v>6000</v>
      </c>
      <c r="DS568" s="2817">
        <f t="shared" si="673"/>
        <v>2979030.4</v>
      </c>
      <c r="DT568" s="2817">
        <f t="shared" si="673"/>
        <v>0</v>
      </c>
      <c r="DU568" s="2817">
        <f t="shared" si="673"/>
        <v>19068435.756586667</v>
      </c>
      <c r="DV568" s="2809">
        <f t="shared" si="673"/>
        <v>515500</v>
      </c>
      <c r="DW568" s="2809">
        <f t="shared" si="673"/>
        <v>13685980.356586667</v>
      </c>
      <c r="DX568" s="2809">
        <f t="shared" si="673"/>
        <v>6000</v>
      </c>
      <c r="DY568" s="2809">
        <f t="shared" si="673"/>
        <v>2904030.4</v>
      </c>
      <c r="DZ568" s="2809">
        <f t="shared" si="673"/>
        <v>0</v>
      </c>
      <c r="EA568" s="2809">
        <f t="shared" si="673"/>
        <v>17111510.756586667</v>
      </c>
      <c r="EB568" s="2818">
        <f t="shared" si="673"/>
        <v>60000</v>
      </c>
      <c r="EC568" s="2818">
        <f t="shared" si="673"/>
        <v>1821925</v>
      </c>
      <c r="ED568" s="2818">
        <f t="shared" si="673"/>
        <v>0</v>
      </c>
      <c r="EE568" s="2818">
        <f t="shared" si="673"/>
        <v>75000</v>
      </c>
      <c r="EF568" s="2818">
        <f t="shared" si="673"/>
        <v>0</v>
      </c>
      <c r="EG568" s="2818">
        <f t="shared" si="673"/>
        <v>1956925</v>
      </c>
    </row>
    <row r="569" spans="116:137">
      <c r="DL569" s="3180"/>
      <c r="DR569" s="152"/>
      <c r="DS569" s="152"/>
      <c r="DT569" s="152"/>
      <c r="DU569" s="152"/>
      <c r="DV569" s="152"/>
      <c r="DW569" s="152"/>
    </row>
    <row r="570" spans="116:137">
      <c r="DL570" s="3180"/>
      <c r="DR570" s="152"/>
      <c r="DS570" s="152"/>
      <c r="DT570" s="152"/>
      <c r="DU570" s="2237">
        <f>DU568-EG468</f>
        <v>0</v>
      </c>
      <c r="DV570" s="152"/>
      <c r="DW570" s="152"/>
      <c r="EA570" s="2237">
        <f>EA568-EE477</f>
        <v>0</v>
      </c>
      <c r="EG570" s="2237">
        <f>EG568-EF477</f>
        <v>0</v>
      </c>
    </row>
    <row r="571" spans="116:137">
      <c r="DL571" s="3180"/>
    </row>
    <row r="572" spans="116:137">
      <c r="DL572" s="3180"/>
      <c r="DP572" s="4048" t="s">
        <v>1739</v>
      </c>
      <c r="DQ572" s="4049"/>
      <c r="DR572" s="4049"/>
      <c r="DS572" s="4049"/>
      <c r="DT572" s="4049"/>
      <c r="DU572" s="4050"/>
      <c r="DV572" s="4029" t="s">
        <v>1740</v>
      </c>
      <c r="DW572" s="4030"/>
      <c r="DX572" s="4030"/>
      <c r="DY572" s="4030"/>
      <c r="DZ572" s="4030"/>
      <c r="EA572" s="4031"/>
      <c r="EB572" s="4057" t="s">
        <v>1741</v>
      </c>
      <c r="EC572" s="4058"/>
      <c r="ED572" s="4058"/>
      <c r="EE572" s="4058"/>
      <c r="EF572" s="4058"/>
      <c r="EG572" s="4059"/>
    </row>
    <row r="573" spans="116:137" ht="30">
      <c r="DL573" s="3180"/>
      <c r="DN573" s="2813" t="s">
        <v>1155</v>
      </c>
      <c r="DO573" s="2813" t="s">
        <v>1156</v>
      </c>
      <c r="DP573" s="2814" t="s">
        <v>1115</v>
      </c>
      <c r="DQ573" s="2814" t="s">
        <v>1117</v>
      </c>
      <c r="DR573" s="2814" t="s">
        <v>1124</v>
      </c>
      <c r="DS573" s="2814" t="s">
        <v>1160</v>
      </c>
      <c r="DT573" s="2814" t="s">
        <v>1173</v>
      </c>
      <c r="DU573" s="2814" t="s">
        <v>1715</v>
      </c>
      <c r="DV573" s="2815" t="s">
        <v>1115</v>
      </c>
      <c r="DW573" s="2815" t="s">
        <v>1117</v>
      </c>
      <c r="DX573" s="2815" t="s">
        <v>1124</v>
      </c>
      <c r="DY573" s="2815" t="s">
        <v>1160</v>
      </c>
      <c r="DZ573" s="2815" t="s">
        <v>1173</v>
      </c>
      <c r="EA573" s="2815" t="s">
        <v>487</v>
      </c>
      <c r="EB573" s="2816" t="s">
        <v>1115</v>
      </c>
      <c r="EC573" s="2816" t="s">
        <v>1117</v>
      </c>
      <c r="ED573" s="2816" t="s">
        <v>1124</v>
      </c>
      <c r="EE573" s="2816" t="s">
        <v>1160</v>
      </c>
      <c r="EF573" s="2816" t="s">
        <v>1173</v>
      </c>
      <c r="EG573" s="2816" t="s">
        <v>487</v>
      </c>
    </row>
    <row r="574" spans="116:137">
      <c r="DL574" s="3180"/>
      <c r="DN574" s="2788" t="s">
        <v>1597</v>
      </c>
      <c r="DO574" s="2789" t="s">
        <v>1598</v>
      </c>
      <c r="DP574" s="2811">
        <f>DV574+EB574</f>
        <v>0</v>
      </c>
      <c r="DQ574" s="2811">
        <f>DW574+EC574</f>
        <v>0</v>
      </c>
      <c r="DR574" s="2811">
        <f>DX574+ED574</f>
        <v>0</v>
      </c>
      <c r="DS574" s="2811">
        <f>DY574+EE574</f>
        <v>0</v>
      </c>
      <c r="DT574" s="2811">
        <f>DZ574+EF574</f>
        <v>0</v>
      </c>
      <c r="DU574" s="2811">
        <f>SUM(DP574:DT574)</f>
        <v>0</v>
      </c>
      <c r="DV574" s="2811">
        <f>SUMIFS($DI$7:$DI$451,$DP$7:$DP$451,$DV$573,$DN$7:$DN$451,DN574,$DQ$7:$DQ$451,"MH")</f>
        <v>0</v>
      </c>
      <c r="DW574" s="2811">
        <f>SUMIFS($DI$7:$DI$451,$DP$7:$DP$451,$DW$573,$DN$7:$DN$451,DN574,$DQ$7:$DQ$451,"MH")</f>
        <v>0</v>
      </c>
      <c r="DX574" s="2811">
        <f>SUMIFS($DI$7:$DI$451,$DP$7:$DP$451,$DX$573,$DN$7:$DN$451,DN574,$DQ$7:$DQ$451,"MH")</f>
        <v>0</v>
      </c>
      <c r="DY574" s="2811">
        <f>SUMIFS($DI$7:$DI$451,$DP$7:$DP$451,$DY$573,$DN$7:$DN$451,DN574,$DQ$7:$DQ$451,"MH")</f>
        <v>0</v>
      </c>
      <c r="DZ574" s="2811">
        <f>SUMIFS($DI$7:$DI$451,$DP$7:$DP$451,$DZ$573,$DN$7:$DN$451,DN574,$DQ$7:$DQ$451,"MH")</f>
        <v>0</v>
      </c>
      <c r="EA574" s="2811">
        <f t="shared" ref="EA574:EA582" si="674">SUM(DV574:DZ574)</f>
        <v>0</v>
      </c>
      <c r="EB574" s="2811">
        <f>SUMIFS($DI$7:$DI$451,$DP$7:$DP$451,$EB$573,$DN$7:$DN$451,DN574,$DQ$7:$DQ$451,"CGR")</f>
        <v>0</v>
      </c>
      <c r="EC574" s="2811">
        <f>SUMIFS($DI$7:$DI$451,$DP$7:$DP$451,$EC$573,$DN$7:$DN$451,DN576,$DQ$7:$DQ$451,"CGR")</f>
        <v>0</v>
      </c>
      <c r="ED574" s="2811">
        <f>SUMIFS($DI$7:$DI$451,$DP$7:$DP$451,$ED$573,$DN$7:$DN$451,DN574,$DQ$7:$DQ$451,"CGR")</f>
        <v>0</v>
      </c>
      <c r="EE574" s="2811">
        <f>SUMIFS($DI$7:$DI$451,$DP$7:$DP$451,$EE$573,$DN$7:$DN$451,DN574,$DQ$7:$DQ$451,"CGR")</f>
        <v>0</v>
      </c>
      <c r="EF574" s="2811">
        <f>SUMIFS($DI$7:$DI$451,$DP$7:$DP$451,$EF$573,$DN$7:$DN$451,DN574,$DQ$7:$DQ$451,"CGR")</f>
        <v>0</v>
      </c>
      <c r="EG574" s="2811">
        <f t="shared" ref="EG574:EG582" si="675">SUM(EB574:EF574)</f>
        <v>0</v>
      </c>
    </row>
    <row r="575" spans="116:137">
      <c r="DL575" s="3180"/>
      <c r="DN575" s="2792" t="s">
        <v>1535</v>
      </c>
      <c r="DO575" s="2793" t="s">
        <v>1536</v>
      </c>
      <c r="DP575" s="2811">
        <f t="shared" ref="DP575:DT582" si="676">DV575+EB575</f>
        <v>0</v>
      </c>
      <c r="DQ575" s="2811">
        <f t="shared" si="676"/>
        <v>0</v>
      </c>
      <c r="DR575" s="2811">
        <f t="shared" si="676"/>
        <v>0</v>
      </c>
      <c r="DS575" s="2811">
        <f t="shared" si="676"/>
        <v>0</v>
      </c>
      <c r="DT575" s="2811">
        <f t="shared" si="676"/>
        <v>0</v>
      </c>
      <c r="DU575" s="2811">
        <f t="shared" ref="DU575:DU582" si="677">SUM(DP575:DT575)</f>
        <v>0</v>
      </c>
      <c r="DV575" s="2811">
        <f>SUMIFS($DI$7:$DI$451,$DP$7:$DP$451,$DV$573,$DN$7:$DN$451,DN575,$DQ$7:$DQ$451,"MH")</f>
        <v>0</v>
      </c>
      <c r="DW575" s="2811">
        <f>SUMIFS($DI$7:$DI$451,$DP$7:$DP$451,$DW$573,$DN$7:$DN$451,DN575,$DQ$7:$DQ$451,"MH")</f>
        <v>0</v>
      </c>
      <c r="DX575" s="2811">
        <f>SUMIFS($DI$7:$DI$451,$DP$7:$DP$451,$DX$573,$DN$7:$DN$451,DN575,$DQ$7:$DQ$451,"MH")</f>
        <v>0</v>
      </c>
      <c r="DY575" s="2811">
        <f>SUMIFS($DI$7:$DI$451,$DP$7:$DP$451,$DY$573,$DN$7:$DN$451,DN575,$DQ$7:$DQ$451,"MH")</f>
        <v>0</v>
      </c>
      <c r="DZ575" s="2811">
        <f>SUMIFS($DI$7:$DI$451,$DP$7:$DP$451,$DZ$573,$DN$7:$DN$451,DN575,$DQ$7:$DQ$451,"MH")</f>
        <v>0</v>
      </c>
      <c r="EA575" s="2811">
        <f t="shared" si="674"/>
        <v>0</v>
      </c>
      <c r="EB575" s="2811">
        <f>SUMIFS($DI$7:$DI$451,$DP$7:$DP$451,$EB$573,$DN$7:$DN$451,DN575,$DQ$7:$DQ$451,"CGR")</f>
        <v>0</v>
      </c>
      <c r="EC575" s="2811">
        <f>SUMIFS($DI$7:$DI$451,$DP$7:$DP$451,$EC$573,$DN$7:$DN$451,DN577,$DQ$7:$DQ$451,"CGR")</f>
        <v>0</v>
      </c>
      <c r="ED575" s="2811">
        <f>SUMIFS($DI$7:$DI$451,$DP$7:$DP$451,$ED$573,$DN$7:$DN$451,DN575,$DQ$7:$DQ$451,"CGR")</f>
        <v>0</v>
      </c>
      <c r="EE575" s="2811">
        <f>SUMIFS($DI$7:$DI$451,$DP$7:$DP$451,$EE$573,$DN$7:$DN$451,DN575,$DQ$7:$DQ$451,"CGR")</f>
        <v>0</v>
      </c>
      <c r="EF575" s="2811">
        <f>SUMIFS($DI$7:$DI$451,$DP$7:$DP$451,$EF$573,$DN$7:$DN$451,DN575,$DQ$7:$DQ$451,"CGR")</f>
        <v>0</v>
      </c>
      <c r="EG575" s="2811">
        <f t="shared" si="675"/>
        <v>0</v>
      </c>
    </row>
    <row r="576" spans="116:137">
      <c r="DL576" s="3180"/>
      <c r="DN576" s="2792" t="s">
        <v>1415</v>
      </c>
      <c r="DO576" s="2793" t="s">
        <v>1416</v>
      </c>
      <c r="DP576" s="2811">
        <f t="shared" si="676"/>
        <v>0</v>
      </c>
      <c r="DQ576" s="2811">
        <f t="shared" si="676"/>
        <v>0</v>
      </c>
      <c r="DR576" s="2811">
        <f t="shared" si="676"/>
        <v>86000</v>
      </c>
      <c r="DS576" s="2811">
        <f t="shared" si="676"/>
        <v>0</v>
      </c>
      <c r="DT576" s="2811">
        <f t="shared" si="676"/>
        <v>0</v>
      </c>
      <c r="DU576" s="2811">
        <f t="shared" si="677"/>
        <v>86000</v>
      </c>
      <c r="DV576" s="2811">
        <f>SUMIFS($DI$7:$DI$451,$DP$7:$DP$451,$DV$573,$DN$7:$DN$451,DN576,$DQ$7:$DQ$451,"MH")</f>
        <v>0</v>
      </c>
      <c r="DW576" s="2811">
        <f>SUMIFS($DI$7:$DI$451,$DP$7:$DP$451,$DW$573,$DN$7:$DN$451,DN576,$DQ$7:$DQ$451,"MH")</f>
        <v>0</v>
      </c>
      <c r="DX576" s="2811">
        <f>SUMIFS($DI$7:$DI$451,$DP$7:$DP$451,$DX$573,$DN$7:$DN$451,DN576,$DQ$7:$DQ$451,"MH")</f>
        <v>86000</v>
      </c>
      <c r="DY576" s="2811">
        <f>SUMIFS($DI$7:$DI$451,$DP$7:$DP$451,$DY$573,$DN$7:$DN$451,DN576,$DQ$7:$DQ$451,"MH")</f>
        <v>0</v>
      </c>
      <c r="DZ576" s="2811">
        <f>SUMIFS($DI$7:$DI$451,$DP$7:$DP$451,$DZ$573,$DN$7:$DN$451,DN576,$DQ$7:$DQ$451,"MH")</f>
        <v>0</v>
      </c>
      <c r="EA576" s="2811">
        <f t="shared" si="674"/>
        <v>86000</v>
      </c>
      <c r="EB576" s="2811">
        <f>SUMIFS($DI$7:$DI$451,$DP$7:$DP$451,$EB$573,$DN$7:$DN$451,DN576,$DQ$7:$DQ$451,"CGR")</f>
        <v>0</v>
      </c>
      <c r="EC576" s="2811">
        <f>SUMIFS($DI$7:$DI$451,$DP$7:$DP$451,$EC$573,$DN$7:$DN$451,DN578,$DQ$7:$DQ$451,"CGR")</f>
        <v>0</v>
      </c>
      <c r="ED576" s="2811">
        <f>SUMIFS($DI$7:$DI$451,$DP$7:$DP$451,$ED$573,$DN$7:$DN$451,DN576,$DQ$7:$DQ$451,"CGR")</f>
        <v>0</v>
      </c>
      <c r="EE576" s="2811">
        <f>SUMIFS($DI$7:$DI$451,$DP$7:$DP$451,$EE$573,$DN$7:$DN$451,DN576,$DQ$7:$DQ$451,"CGR")</f>
        <v>0</v>
      </c>
      <c r="EF576" s="2811">
        <f>SUMIFS($DI$7:$DI$451,$DP$7:$DP$451,$EF$573,$DN$7:$DN$451,DN576,$DQ$7:$DQ$451,"CGR")</f>
        <v>0</v>
      </c>
      <c r="EG576" s="2811">
        <f t="shared" si="675"/>
        <v>0</v>
      </c>
    </row>
    <row r="577" spans="116:137">
      <c r="DL577" s="3180"/>
      <c r="DN577" s="2794" t="s">
        <v>1669</v>
      </c>
      <c r="DO577" s="2795" t="s">
        <v>1670</v>
      </c>
      <c r="DP577" s="2811">
        <f t="shared" si="676"/>
        <v>0</v>
      </c>
      <c r="DQ577" s="2811">
        <f t="shared" si="676"/>
        <v>0</v>
      </c>
      <c r="DR577" s="2811">
        <f t="shared" si="676"/>
        <v>0</v>
      </c>
      <c r="DS577" s="2811">
        <f t="shared" si="676"/>
        <v>0</v>
      </c>
      <c r="DT577" s="2811">
        <f t="shared" si="676"/>
        <v>0</v>
      </c>
      <c r="DU577" s="2811">
        <f t="shared" si="677"/>
        <v>0</v>
      </c>
      <c r="DV577" s="2811">
        <f>SUMIFS($DI$7:$DI$451,$DP$7:$DP$451,$DV$573,$DN$7:$DN$451,DN577,$DQ$7:$DQ$451,"MH")</f>
        <v>0</v>
      </c>
      <c r="DW577" s="2811">
        <f>SUMIFS($DI$7:$DI$451,$DP$7:$DP$451,$DW$573,$DN$7:$DN$451,DN577,$DQ$7:$DQ$451,"MH")</f>
        <v>0</v>
      </c>
      <c r="DX577" s="2811">
        <f>SUMIFS($DI$7:$DI$451,$DP$7:$DP$451,$DX$573,$DN$7:$DN$451,DN577,$DQ$7:$DQ$451,"MH")</f>
        <v>0</v>
      </c>
      <c r="DY577" s="2811">
        <f>SUMIFS($DI$7:$DI$451,$DP$7:$DP$451,$DY$573,$DN$7:$DN$451,DN577,$DQ$7:$DQ$451,"MH")</f>
        <v>0</v>
      </c>
      <c r="DZ577" s="2811">
        <f>SUMIFS($DI$7:$DI$451,$DP$7:$DP$451,$DZ$573,$DN$7:$DN$451,DN577,$DQ$7:$DQ$451,"MH")</f>
        <v>0</v>
      </c>
      <c r="EA577" s="2811">
        <f t="shared" si="674"/>
        <v>0</v>
      </c>
      <c r="EB577" s="2811">
        <f>SUMIFS($DI$7:$DI$451,$DP$7:$DP$451,$EB$573,$DN$7:$DN$451,DN577,$DQ$7:$DQ$451,"CGR")</f>
        <v>0</v>
      </c>
      <c r="EC577" s="2811">
        <f>SUMIFS($DI$7:$DI$451,$DP$7:$DP$451,$EC$573,$DN$7:$DN$451,DN579,$DQ$7:$DQ$451,"CGR")</f>
        <v>0</v>
      </c>
      <c r="ED577" s="2811">
        <f>SUMIFS($DI$7:$DI$451,$DP$7:$DP$451,$ED$573,$DN$7:$DN$451,DN577,$DQ$7:$DQ$451,"CGR")</f>
        <v>0</v>
      </c>
      <c r="EE577" s="2811">
        <f>SUMIFS($DI$7:$DI$451,$DP$7:$DP$451,$EE$573,$DN$7:$DN$451,DN577,$DQ$7:$DQ$451,"CGR")</f>
        <v>0</v>
      </c>
      <c r="EF577" s="2811">
        <f>SUMIFS($DI$7:$DI$451,$DP$7:$DP$451,$EF$573,$DN$7:$DN$451,DN577,$DQ$7:$DQ$451,"CGR")</f>
        <v>0</v>
      </c>
      <c r="EG577" s="2811">
        <f t="shared" si="675"/>
        <v>0</v>
      </c>
    </row>
    <row r="578" spans="116:137" ht="15">
      <c r="DL578" s="3180"/>
      <c r="DN578" s="2796" t="s">
        <v>1346</v>
      </c>
      <c r="DO578" s="2797" t="s">
        <v>1347</v>
      </c>
      <c r="DP578" s="2811">
        <f t="shared" si="676"/>
        <v>47500</v>
      </c>
      <c r="DQ578" s="2811">
        <f t="shared" si="676"/>
        <v>100000</v>
      </c>
      <c r="DR578" s="2811">
        <f t="shared" si="676"/>
        <v>0</v>
      </c>
      <c r="DS578" s="2811">
        <f t="shared" si="676"/>
        <v>0</v>
      </c>
      <c r="DT578" s="2811">
        <f t="shared" si="676"/>
        <v>0</v>
      </c>
      <c r="DU578" s="2811">
        <f t="shared" si="677"/>
        <v>147500</v>
      </c>
      <c r="DV578" s="2811">
        <f>SUMIFS($DI$7:$DI$451,$DP$7:$DP$451,$DV$573,$DN$7:$DN$451,DN578,$DQ$7:$DQ$451,"MH")</f>
        <v>47500</v>
      </c>
      <c r="DW578" s="2811">
        <f>SUMIFS($DI$7:$DI$451,$DP$7:$DP$451,$DW$573,$DN$7:$DN$451,DN578,$DQ$7:$DQ$451,"MH")</f>
        <v>0</v>
      </c>
      <c r="DX578" s="2811">
        <f>SUMIFS($DI$7:$DI$451,$DP$7:$DP$451,$DX$573,$DN$7:$DN$451,DN578,$DQ$7:$DQ$451,"MH")</f>
        <v>0</v>
      </c>
      <c r="DY578" s="2811">
        <f>SUMIFS($DI$7:$DI$451,$DP$7:$DP$451,$DY$573,$DN$7:$DN$451,DN578,$DQ$7:$DQ$451,"MH")</f>
        <v>0</v>
      </c>
      <c r="DZ578" s="2811">
        <f>SUMIFS($DI$7:$DI$451,$DP$7:$DP$451,$DZ$573,$DN$7:$DN$451,DN578,$DQ$7:$DQ$451,"MH")</f>
        <v>0</v>
      </c>
      <c r="EA578" s="2811">
        <f t="shared" si="674"/>
        <v>47500</v>
      </c>
      <c r="EB578" s="2811">
        <f>SUMIFS($DI$7:$DI$451,$DP$7:$DP$451,$EB$573,$DN$7:$DN$451,DN578,$DQ$7:$DQ$451,"CGR")</f>
        <v>0</v>
      </c>
      <c r="EC578" s="2811">
        <f>SUMIFS($DI$7:$DI$451,$DP$7:$DP$451,$EC$573,$DN$7:$DN$451,DN580,$DQ$7:$DQ$451,"CGR")</f>
        <v>100000</v>
      </c>
      <c r="ED578" s="2811">
        <f>SUMIFS($DI$7:$DI$451,$DP$7:$DP$451,$ED$573,$DN$7:$DN$451,DN578,$DQ$7:$DQ$451,"CGR")</f>
        <v>0</v>
      </c>
      <c r="EE578" s="2811">
        <f>SUMIFS($DI$7:$DI$451,$DP$7:$DP$451,$EE$573,$DN$7:$DN$451,DN578,$DQ$7:$DQ$451,"CGR")</f>
        <v>0</v>
      </c>
      <c r="EF578" s="2811">
        <f>SUMIFS($DI$7:$DI$451,$DP$7:$DP$451,$EF$573,$DN$7:$DN$451,DN578,$DQ$7:$DQ$451,"CGR")</f>
        <v>0</v>
      </c>
      <c r="EG578" s="2811">
        <f t="shared" si="675"/>
        <v>100000</v>
      </c>
    </row>
    <row r="579" spans="116:137">
      <c r="DL579" s="3180"/>
      <c r="DN579" s="2792" t="s">
        <v>1180</v>
      </c>
      <c r="DO579" s="2793" t="s">
        <v>1181</v>
      </c>
      <c r="DP579" s="2811">
        <f t="shared" si="676"/>
        <v>0</v>
      </c>
      <c r="DQ579" s="2811">
        <f t="shared" si="676"/>
        <v>489000</v>
      </c>
      <c r="DR579" s="2811">
        <f t="shared" si="676"/>
        <v>0</v>
      </c>
      <c r="DS579" s="2811">
        <f t="shared" si="676"/>
        <v>0</v>
      </c>
      <c r="DT579" s="2811">
        <f t="shared" si="676"/>
        <v>0</v>
      </c>
      <c r="DU579" s="2811">
        <f t="shared" si="677"/>
        <v>489000</v>
      </c>
      <c r="DV579" s="2811">
        <f>SUMIFS($DI$7:$DI$451,$DP$7:$DP$451,$DV$573,$DN$7:$DN$451,DN579,$DQ$7:$DQ$451,"MH")</f>
        <v>0</v>
      </c>
      <c r="DW579" s="2811">
        <f>SUMIFS($DI$7:$DI$451,$DP$7:$DP$451,$DW$573,$DN$7:$DN$451,DN579,$DQ$7:$DQ$451,"MH")</f>
        <v>489000</v>
      </c>
      <c r="DX579" s="2811">
        <f>SUMIFS($DI$7:$DI$451,$DP$7:$DP$451,$DX$573,$DN$7:$DN$451,DN579,$DQ$7:$DQ$451,"MH")</f>
        <v>0</v>
      </c>
      <c r="DY579" s="2811">
        <f>SUMIFS($DI$7:$DI$451,$DP$7:$DP$451,$DY$573,$DN$7:$DN$451,DN579,$DQ$7:$DQ$451,"MH")</f>
        <v>0</v>
      </c>
      <c r="DZ579" s="2811">
        <f>SUMIFS($DI$7:$DI$451,$DP$7:$DP$451,$DZ$573,$DN$7:$DN$451,DN579,$DQ$7:$DQ$451,"MH")</f>
        <v>0</v>
      </c>
      <c r="EA579" s="2811">
        <f t="shared" si="674"/>
        <v>489000</v>
      </c>
      <c r="EB579" s="2811">
        <f>SUMIFS($DI$7:$DI$451,$DP$7:$DP$451,$EB$573,$DN$7:$DN$451,DN579,$DQ$7:$DQ$451,"CGR")</f>
        <v>0</v>
      </c>
      <c r="EC579" s="2811">
        <f>SUMIFS($DI$7:$DI$451,$DP$7:$DP$451,$EC$573,$DN$7:$DN$451,DN581,$DQ$7:$DQ$451,"CGR")</f>
        <v>0</v>
      </c>
      <c r="ED579" s="2811">
        <f>SUMIFS($DI$7:$DI$451,$DP$7:$DP$451,$ED$573,$DN$7:$DN$451,DN579,$DQ$7:$DQ$451,"CGR")</f>
        <v>0</v>
      </c>
      <c r="EE579" s="2811">
        <f>SUMIFS($DI$7:$DI$451,$DP$7:$DP$451,$EE$573,$DN$7:$DN$451,DN579,$DQ$7:$DQ$451,"CGR")</f>
        <v>0</v>
      </c>
      <c r="EF579" s="2811">
        <f>SUMIFS($DI$7:$DI$451,$DP$7:$DP$451,$EF$573,$DN$7:$DN$451,DN579,$DQ$7:$DQ$451,"CGR")</f>
        <v>0</v>
      </c>
      <c r="EG579" s="2811">
        <f t="shared" si="675"/>
        <v>0</v>
      </c>
    </row>
    <row r="580" spans="116:137">
      <c r="DL580" s="3180"/>
      <c r="DN580" s="2792" t="s">
        <v>1283</v>
      </c>
      <c r="DO580" s="2793" t="s">
        <v>1284</v>
      </c>
      <c r="DP580" s="2811">
        <f t="shared" si="676"/>
        <v>0</v>
      </c>
      <c r="DQ580" s="2811">
        <f t="shared" si="676"/>
        <v>62300</v>
      </c>
      <c r="DR580" s="2811">
        <f t="shared" si="676"/>
        <v>0</v>
      </c>
      <c r="DS580" s="2811">
        <f t="shared" si="676"/>
        <v>0</v>
      </c>
      <c r="DT580" s="2811">
        <f t="shared" si="676"/>
        <v>0</v>
      </c>
      <c r="DU580" s="2811">
        <f t="shared" si="677"/>
        <v>62300</v>
      </c>
      <c r="DV580" s="2811">
        <f>SUMIFS($DI$7:$DI$451,$DP$7:$DP$451,$DV$573,$DN$7:$DN$451,DN580,$DQ$7:$DQ$451,"MH")</f>
        <v>0</v>
      </c>
      <c r="DW580" s="2811">
        <f>SUMIFS($DI$7:$DI$451,$DP$7:$DP$451,$DW$573,$DN$7:$DN$451,DN580,$DQ$7:$DQ$451,"MH")</f>
        <v>62300</v>
      </c>
      <c r="DX580" s="2811">
        <f>SUMIFS($DI$7:$DI$451,$DP$7:$DP$451,$DX$573,$DN$7:$DN$451,DN580,$DQ$7:$DQ$451,"MH")</f>
        <v>0</v>
      </c>
      <c r="DY580" s="2811">
        <f>SUMIFS($DI$7:$DI$451,$DP$7:$DP$451,$DY$573,$DN$7:$DN$451,DN580,$DQ$7:$DQ$451,"MH")</f>
        <v>0</v>
      </c>
      <c r="DZ580" s="2811">
        <f>SUMIFS($DI$7:$DI$451,$DP$7:$DP$451,$DZ$573,$DN$7:$DN$451,DN580,$DQ$7:$DQ$451,"MH")</f>
        <v>0</v>
      </c>
      <c r="EA580" s="2811">
        <f t="shared" si="674"/>
        <v>62300</v>
      </c>
      <c r="EB580" s="2811">
        <f>SUMIFS($DI$7:$DI$451,$DP$7:$DP$451,$EB$573,$DN$7:$DN$451,DN580,$DQ$7:$DQ$451,"CGR")</f>
        <v>0</v>
      </c>
      <c r="EC580" s="2811">
        <f>SUMIFS($DI$7:$DI$451,$DP$7:$DP$451,$EC$573,$DN$7:$DN$451,DN582,$DQ$7:$DQ$451,"CGR")</f>
        <v>0</v>
      </c>
      <c r="ED580" s="2811">
        <f>SUMIFS($DI$7:$DI$451,$DP$7:$DP$451,$ED$573,$DN$7:$DN$451,DN580,$DQ$7:$DQ$451,"CGR")</f>
        <v>0</v>
      </c>
      <c r="EE580" s="2811">
        <f>SUMIFS($DI$7:$DI$451,$DP$7:$DP$451,$EE$573,$DN$7:$DN$451,DN580,$DQ$7:$DQ$451,"CGR")</f>
        <v>0</v>
      </c>
      <c r="EF580" s="2811">
        <f>SUMIFS($DI$7:$DI$451,$DP$7:$DP$451,$EF$573,$DN$7:$DN$451,DN580,$DQ$7:$DQ$451,"CGR")</f>
        <v>0</v>
      </c>
      <c r="EG580" s="2811">
        <f t="shared" si="675"/>
        <v>0</v>
      </c>
    </row>
    <row r="581" spans="116:137">
      <c r="DL581" s="3180"/>
      <c r="DN581" s="2798" t="s">
        <v>1331</v>
      </c>
      <c r="DO581" s="2795" t="s">
        <v>1332</v>
      </c>
      <c r="DP581" s="2811">
        <f t="shared" si="676"/>
        <v>0</v>
      </c>
      <c r="DQ581" s="2811">
        <f t="shared" si="676"/>
        <v>0</v>
      </c>
      <c r="DR581" s="2811">
        <f t="shared" si="676"/>
        <v>0</v>
      </c>
      <c r="DS581" s="2811">
        <f t="shared" si="676"/>
        <v>0</v>
      </c>
      <c r="DT581" s="2811">
        <f t="shared" si="676"/>
        <v>0</v>
      </c>
      <c r="DU581" s="2811">
        <f t="shared" si="677"/>
        <v>0</v>
      </c>
      <c r="DV581" s="2811">
        <f>SUMIFS($DI$7:$DI$451,$DP$7:$DP$451,$DV$573,$DN$7:$DN$451,DN581,$DQ$7:$DQ$451,"MH")</f>
        <v>0</v>
      </c>
      <c r="DW581" s="2811">
        <f>SUMIFS($DI$7:$DI$451,$DP$7:$DP$451,$DW$573,$DN$7:$DN$451,DN581,$DQ$7:$DQ$451,"MH")</f>
        <v>0</v>
      </c>
      <c r="DX581" s="2811">
        <f>SUMIFS($DI$7:$DI$451,$DP$7:$DP$451,$DX$573,$DN$7:$DN$451,DN581,$DQ$7:$DQ$451,"MH")</f>
        <v>0</v>
      </c>
      <c r="DY581" s="2811">
        <f>SUMIFS($DI$7:$DI$451,$DP$7:$DP$451,$DY$573,$DN$7:$DN$451,DN581,$DQ$7:$DQ$451,"MH")</f>
        <v>0</v>
      </c>
      <c r="DZ581" s="2811">
        <f>SUMIFS($DI$7:$DI$451,$DP$7:$DP$451,$DZ$573,$DN$7:$DN$451,DN581,$DQ$7:$DQ$451,"MH")</f>
        <v>0</v>
      </c>
      <c r="EA581" s="2811">
        <f t="shared" si="674"/>
        <v>0</v>
      </c>
      <c r="EB581" s="2811">
        <f>SUMIFS($DI$7:$DI$451,$DP$7:$DP$451,$EB$573,$DN$7:$DN$451,DN581,$DQ$7:$DQ$451,"CGR")</f>
        <v>0</v>
      </c>
      <c r="EC581" s="2811">
        <f>SUMIFS($DI$7:$DI$451,$DP$7:$DP$451,$EC$573,$DN$7:$DN$451,DN583,$DQ$7:$DQ$451,"CGR")</f>
        <v>0</v>
      </c>
      <c r="ED581" s="2811">
        <f>SUMIFS($DI$7:$DI$451,$DP$7:$DP$451,$ED$573,$DN$7:$DN$451,DN581,$DQ$7:$DQ$451,"CGR")</f>
        <v>0</v>
      </c>
      <c r="EE581" s="2811">
        <f>SUMIFS($DI$7:$DI$451,$DP$7:$DP$451,$EE$573,$DN$7:$DN$451,DN581,$DQ$7:$DQ$451,"CGR")</f>
        <v>0</v>
      </c>
      <c r="EF581" s="2811">
        <f>SUMIFS($DI$7:$DI$451,$DP$7:$DP$451,$EF$573,$DN$7:$DN$451,DN581,$DQ$7:$DQ$451,"CGR")</f>
        <v>0</v>
      </c>
      <c r="EG581" s="2811">
        <f t="shared" si="675"/>
        <v>0</v>
      </c>
    </row>
    <row r="582" spans="116:137" ht="15">
      <c r="DL582" s="3180"/>
      <c r="DN582" s="2799" t="s">
        <v>1303</v>
      </c>
      <c r="DO582" s="2800" t="s">
        <v>1304</v>
      </c>
      <c r="DP582" s="2811">
        <f t="shared" si="676"/>
        <v>0</v>
      </c>
      <c r="DQ582" s="2811">
        <f t="shared" si="676"/>
        <v>0</v>
      </c>
      <c r="DR582" s="2811">
        <f t="shared" si="676"/>
        <v>0</v>
      </c>
      <c r="DS582" s="2811">
        <f t="shared" si="676"/>
        <v>0</v>
      </c>
      <c r="DT582" s="2811">
        <f t="shared" si="676"/>
        <v>0</v>
      </c>
      <c r="DU582" s="2811">
        <f t="shared" si="677"/>
        <v>0</v>
      </c>
      <c r="DV582" s="2811">
        <f>SUMIFS($DI$7:$DI$451,$DP$7:$DP$451,$DV$573,$DN$7:$DN$451,DN582,$DQ$7:$DQ$451,"MH")</f>
        <v>0</v>
      </c>
      <c r="DW582" s="2811">
        <f>SUMIFS($DI$7:$DI$451,$DP$7:$DP$451,$DW$573,$DN$7:$DN$451,DN582,$DQ$7:$DQ$451,"MH")</f>
        <v>0</v>
      </c>
      <c r="DX582" s="2811">
        <f>SUMIFS($DI$7:$DI$451,$DP$7:$DP$451,$DX$573,$DN$7:$DN$451,DN582,$DQ$7:$DQ$451,"MH")</f>
        <v>0</v>
      </c>
      <c r="DY582" s="2811">
        <f>SUMIFS($DI$7:$DI$451,$DP$7:$DP$451,$DY$573,$DN$7:$DN$451,DN582,$DQ$7:$DQ$451,"MH")</f>
        <v>0</v>
      </c>
      <c r="DZ582" s="2811">
        <f>SUMIFS($DI$7:$DI$451,$DP$7:$DP$451,$DZ$573,$DN$7:$DN$451,DN582,$DQ$7:$DQ$451,"MH")</f>
        <v>0</v>
      </c>
      <c r="EA582" s="2811">
        <f t="shared" si="674"/>
        <v>0</v>
      </c>
      <c r="EB582" s="2811">
        <f>SUMIFS($DI$7:$DI$451,$DP$7:$DP$451,$EB$573,$DN$7:$DN$451,DN582,$DQ$7:$DQ$451,"CGR")</f>
        <v>0</v>
      </c>
      <c r="EC582" s="2811">
        <f>SUMIFS($DI$7:$DI$451,$DP$7:$DP$451,$EC$573,$DN$7:$DN$451,DN584,$DQ$7:$DQ$451,"CGR")</f>
        <v>0</v>
      </c>
      <c r="ED582" s="2811">
        <f>SUMIFS($DI$7:$DI$451,$DP$7:$DP$451,$ED$573,$DN$7:$DN$451,DN582,$DQ$7:$DQ$451,"CGR")</f>
        <v>0</v>
      </c>
      <c r="EE582" s="2811">
        <f>SUMIFS($DI$7:$DI$451,$DP$7:$DP$451,$EE$573,$DN$7:$DN$451,DN582,$DQ$7:$DQ$451,"CGR")</f>
        <v>0</v>
      </c>
      <c r="EF582" s="2811">
        <f>SUMIFS($DI$7:$DI$451,$DP$7:$DP$451,$EF$573,$DN$7:$DN$451,DN582,$DQ$7:$DQ$451,"CGR")</f>
        <v>0</v>
      </c>
      <c r="EG582" s="2811">
        <f t="shared" si="675"/>
        <v>0</v>
      </c>
    </row>
    <row r="583" spans="116:137">
      <c r="DL583" s="3180"/>
      <c r="DP583" s="2817">
        <f t="shared" ref="DP583:EG583" si="678">SUM(DP574:DP582)</f>
        <v>47500</v>
      </c>
      <c r="DQ583" s="2817">
        <f t="shared" si="678"/>
        <v>651300</v>
      </c>
      <c r="DR583" s="2817">
        <f t="shared" si="678"/>
        <v>86000</v>
      </c>
      <c r="DS583" s="2817">
        <f t="shared" si="678"/>
        <v>0</v>
      </c>
      <c r="DT583" s="2817">
        <f t="shared" si="678"/>
        <v>0</v>
      </c>
      <c r="DU583" s="2817">
        <f t="shared" si="678"/>
        <v>784800</v>
      </c>
      <c r="DV583" s="2809">
        <f t="shared" si="678"/>
        <v>47500</v>
      </c>
      <c r="DW583" s="2809">
        <f t="shared" si="678"/>
        <v>551300</v>
      </c>
      <c r="DX583" s="2809">
        <f t="shared" si="678"/>
        <v>86000</v>
      </c>
      <c r="DY583" s="2809">
        <f t="shared" si="678"/>
        <v>0</v>
      </c>
      <c r="DZ583" s="2809">
        <f t="shared" si="678"/>
        <v>0</v>
      </c>
      <c r="EA583" s="2809">
        <f t="shared" si="678"/>
        <v>684800</v>
      </c>
      <c r="EB583" s="2818">
        <f t="shared" si="678"/>
        <v>0</v>
      </c>
      <c r="EC583" s="2818">
        <f t="shared" si="678"/>
        <v>100000</v>
      </c>
      <c r="ED583" s="2818">
        <f t="shared" si="678"/>
        <v>0</v>
      </c>
      <c r="EE583" s="2818">
        <f t="shared" si="678"/>
        <v>0</v>
      </c>
      <c r="EF583" s="2818">
        <f t="shared" si="678"/>
        <v>0</v>
      </c>
      <c r="EG583" s="2818">
        <f t="shared" si="678"/>
        <v>100000</v>
      </c>
    </row>
    <row r="584" spans="116:137">
      <c r="DL584" s="3180"/>
      <c r="DR584" s="152"/>
      <c r="DS584" s="152"/>
      <c r="DT584" s="152"/>
      <c r="DU584" s="152"/>
      <c r="DV584" s="152"/>
      <c r="DW584" s="152"/>
    </row>
    <row r="585" spans="116:137">
      <c r="DL585" s="3180"/>
      <c r="DR585" s="152"/>
      <c r="DS585" s="152"/>
      <c r="DT585" s="152"/>
      <c r="DU585" s="2237">
        <f>DU583-EJ477</f>
        <v>0</v>
      </c>
      <c r="DV585" s="152"/>
      <c r="DW585" s="152"/>
      <c r="EA585" s="2237">
        <f>EA583-EH477</f>
        <v>0</v>
      </c>
      <c r="EG585" s="2237">
        <f>EG583-EI477</f>
        <v>0</v>
      </c>
    </row>
    <row r="586" spans="116:137">
      <c r="DL586" s="3180"/>
    </row>
    <row r="587" spans="116:137">
      <c r="DL587" s="3180"/>
      <c r="DP587" s="4048" t="s">
        <v>1715</v>
      </c>
      <c r="DQ587" s="4049"/>
      <c r="DR587" s="4049"/>
      <c r="DS587" s="4049"/>
      <c r="DT587" s="4049"/>
      <c r="DU587" s="4050"/>
      <c r="DV587" s="4029" t="s">
        <v>1742</v>
      </c>
      <c r="DW587" s="4030"/>
      <c r="DX587" s="4030"/>
      <c r="DY587" s="4030"/>
      <c r="DZ587" s="4030"/>
      <c r="EA587" s="4031"/>
      <c r="EB587" s="4057" t="s">
        <v>1743</v>
      </c>
      <c r="EC587" s="4058"/>
      <c r="ED587" s="4058"/>
      <c r="EE587" s="4058"/>
      <c r="EF587" s="4058"/>
      <c r="EG587" s="4059"/>
    </row>
    <row r="588" spans="116:137" ht="30">
      <c r="DL588" s="3180"/>
      <c r="DN588" s="2813" t="s">
        <v>1155</v>
      </c>
      <c r="DO588" s="2813" t="s">
        <v>1156</v>
      </c>
      <c r="DP588" s="2814" t="s">
        <v>1115</v>
      </c>
      <c r="DQ588" s="2814" t="s">
        <v>1117</v>
      </c>
      <c r="DR588" s="2814" t="s">
        <v>1124</v>
      </c>
      <c r="DS588" s="2814" t="s">
        <v>1160</v>
      </c>
      <c r="DT588" s="2814" t="s">
        <v>1173</v>
      </c>
      <c r="DU588" s="2814" t="s">
        <v>1715</v>
      </c>
      <c r="DV588" s="2815" t="s">
        <v>1115</v>
      </c>
      <c r="DW588" s="2815" t="s">
        <v>1117</v>
      </c>
      <c r="DX588" s="2815" t="s">
        <v>1124</v>
      </c>
      <c r="DY588" s="2815" t="s">
        <v>1160</v>
      </c>
      <c r="DZ588" s="2815" t="s">
        <v>1173</v>
      </c>
      <c r="EA588" s="2815" t="s">
        <v>487</v>
      </c>
      <c r="EB588" s="2816" t="s">
        <v>1115</v>
      </c>
      <c r="EC588" s="2816" t="s">
        <v>1117</v>
      </c>
      <c r="ED588" s="2816" t="s">
        <v>1124</v>
      </c>
      <c r="EE588" s="2816" t="s">
        <v>1160</v>
      </c>
      <c r="EF588" s="2816" t="s">
        <v>1173</v>
      </c>
      <c r="EG588" s="2816" t="s">
        <v>487</v>
      </c>
    </row>
    <row r="589" spans="116:137">
      <c r="DL589" s="3180"/>
      <c r="DN589" s="2788" t="s">
        <v>1597</v>
      </c>
      <c r="DO589" s="2789" t="s">
        <v>1598</v>
      </c>
      <c r="DP589" s="2811">
        <f>DV589+EB589</f>
        <v>0</v>
      </c>
      <c r="DQ589" s="2811">
        <f>DW589+EC589</f>
        <v>0</v>
      </c>
      <c r="DR589" s="2811">
        <f>DX589+ED589</f>
        <v>30000</v>
      </c>
      <c r="DS589" s="2811">
        <f>DY589+EE589</f>
        <v>0</v>
      </c>
      <c r="DT589" s="2811">
        <f>DZ589+EF589</f>
        <v>0</v>
      </c>
      <c r="DU589" s="2811">
        <f>SUM(DP589:DT589)</f>
        <v>30000</v>
      </c>
      <c r="DV589" s="2811">
        <f>SUMIFS($DJ$7:$DJ$451,$DP$7:$DP$451,$DV$588,$DN$7:$DN$451,DN589,$DQ$7:$DQ$451,"MH")</f>
        <v>0</v>
      </c>
      <c r="DW589" s="2811">
        <f>SUMIFS($DJ$7:$DJ$451,$DP$7:$DP$451,$DW$588,$DN$7:$DN$451,DN589,$DQ$7:$DQ$451,"MH")</f>
        <v>0</v>
      </c>
      <c r="DX589" s="2811">
        <f>SUMIFS($DJ$7:$DJ$451,$DP$7:$DP$451,$DX$588,$DN$7:$DN$451,DN589,$DQ$7:$DQ$451,"MH")</f>
        <v>30000</v>
      </c>
      <c r="DY589" s="2811">
        <f>SUMIFS($DJ$7:$DJ$451,$DP$7:$DP$451,$DY$588,$DN$7:$DN$451,DN589,$DQ$7:$DQ$451,"MH")</f>
        <v>0</v>
      </c>
      <c r="DZ589" s="2811">
        <f>SUMIFS($DJ$7:$DJ$451,$DP$7:$DP$451,$DZ$588,$DN$7:$DN$451,DN589,$DQ$7:$DQ$451,"MH")</f>
        <v>0</v>
      </c>
      <c r="EA589" s="2811">
        <f t="shared" ref="EA589:EA597" si="679">SUM(DV589:DZ589)</f>
        <v>30000</v>
      </c>
      <c r="EB589" s="2811">
        <f>SUMIFS($DJ$7:$DJ$451,$DP$7:$DP$451,$EB$588,$DN$7:$DN$451,DN589,$DQ$7:$DQ$451,"CGR")</f>
        <v>0</v>
      </c>
      <c r="EC589" s="2811">
        <f>SUMIFS($DJ$7:$DJ$451,$DP$7:$DP$451,$EC$588,$DN$7:$DN$451,DN591,$DQ$7:$DQ$451,"CGR")</f>
        <v>0</v>
      </c>
      <c r="ED589" s="2811">
        <f>SUMIFS($DJ$7:$DJ$451,$DP$7:$DP$451,$ED$588,$DN$7:$DN$451,DN589,$DQ$7:$DQ$451,"CGR")</f>
        <v>0</v>
      </c>
      <c r="EE589" s="2811">
        <f>SUMIFS($DJ$7:$DJ$451,$DP$7:$DP$451,$EE$588,$DN$7:$DN$451,DN589,$DQ$7:$DQ$451,"CGR")</f>
        <v>0</v>
      </c>
      <c r="EF589" s="2811">
        <f>SUMIFS($DJ$7:$DJ$451,$DP$7:$DP$451,$EF$588,$DN$7:$DN$451,DN589,$DQ$7:$DQ$451,"CGR")</f>
        <v>0</v>
      </c>
      <c r="EG589" s="2811">
        <f t="shared" ref="EG589:EG597" si="680">SUM(EB589:EF589)</f>
        <v>0</v>
      </c>
    </row>
    <row r="590" spans="116:137">
      <c r="DL590" s="3180"/>
      <c r="DN590" s="2792" t="s">
        <v>1535</v>
      </c>
      <c r="DO590" s="2793" t="s">
        <v>1536</v>
      </c>
      <c r="DP590" s="2811">
        <f t="shared" ref="DP590:DT597" si="681">DV590+EB590</f>
        <v>0</v>
      </c>
      <c r="DQ590" s="2811">
        <f t="shared" si="681"/>
        <v>0</v>
      </c>
      <c r="DR590" s="2811">
        <f t="shared" si="681"/>
        <v>0</v>
      </c>
      <c r="DS590" s="2811">
        <f t="shared" si="681"/>
        <v>300000</v>
      </c>
      <c r="DT590" s="2811">
        <f t="shared" si="681"/>
        <v>0</v>
      </c>
      <c r="DU590" s="2811">
        <f t="shared" ref="DU590:DU597" si="682">SUM(DP590:DT590)</f>
        <v>300000</v>
      </c>
      <c r="DV590" s="2811">
        <f>SUMIFS($DJ$7:$DJ$451,$DP$7:$DP$451,$DV$588,$DN$7:$DN$451,DN590,$DQ$7:$DQ$451,"MH")</f>
        <v>0</v>
      </c>
      <c r="DW590" s="2811">
        <f>SUMIFS($DJ$7:$DJ$451,$DP$7:$DP$451,$DW$588,$DN$7:$DN$451,DN590,$DQ$7:$DQ$451,"MH")</f>
        <v>0</v>
      </c>
      <c r="DX590" s="2811">
        <f>SUMIFS($DJ$7:$DJ$451,$DP$7:$DP$451,$DX$588,$DN$7:$DN$451,DN590,$DQ$7:$DQ$451,"MH")</f>
        <v>0</v>
      </c>
      <c r="DY590" s="2811">
        <f>SUMIFS($DJ$7:$DJ$451,$DP$7:$DP$451,$DY$588,$DN$7:$DN$451,DN590,$DQ$7:$DQ$451,"MH")</f>
        <v>0</v>
      </c>
      <c r="DZ590" s="2811">
        <f>SUMIFS($DJ$7:$DJ$451,$DP$7:$DP$451,$DZ$588,$DN$7:$DN$451,DN590,$DQ$7:$DQ$451,"MH")</f>
        <v>0</v>
      </c>
      <c r="EA590" s="2811">
        <f t="shared" si="679"/>
        <v>0</v>
      </c>
      <c r="EB590" s="2811">
        <f>SUMIFS($DJ$7:$DJ$451,$DP$7:$DP$451,$EB$588,$DN$7:$DN$451,DN590,$DQ$7:$DQ$451,"CGR")</f>
        <v>0</v>
      </c>
      <c r="EC590" s="2811">
        <f>SUMIFS($DJ$7:$DJ$451,$DP$7:$DP$451,$EC$588,$DN$7:$DN$451,DN592,$DQ$7:$DQ$451,"CGR")</f>
        <v>0</v>
      </c>
      <c r="ED590" s="2811">
        <f>SUMIFS($DJ$7:$DJ$451,$DP$7:$DP$451,$ED$588,$DN$7:$DN$451,DN590,$DQ$7:$DQ$451,"CGR")</f>
        <v>0</v>
      </c>
      <c r="EE590" s="2811">
        <f>SUMIFS($DJ$7:$DJ$451,$DP$7:$DP$451,$EE$588,$DN$7:$DN$451,DN590,$DQ$7:$DQ$451,"CGR")</f>
        <v>300000</v>
      </c>
      <c r="EF590" s="2811">
        <f>SUMIFS($DJ$7:$DJ$451,$DP$7:$DP$451,$EF$588,$DN$7:$DN$451,DN590,$DQ$7:$DQ$451,"CGR")</f>
        <v>0</v>
      </c>
      <c r="EG590" s="2811">
        <f t="shared" si="680"/>
        <v>300000</v>
      </c>
    </row>
    <row r="591" spans="116:137">
      <c r="DL591" s="3180"/>
      <c r="DN591" s="2792" t="s">
        <v>1415</v>
      </c>
      <c r="DO591" s="2793" t="s">
        <v>1416</v>
      </c>
      <c r="DP591" s="2811">
        <f t="shared" si="681"/>
        <v>0</v>
      </c>
      <c r="DQ591" s="2811">
        <f t="shared" si="681"/>
        <v>0</v>
      </c>
      <c r="DR591" s="2811">
        <f t="shared" si="681"/>
        <v>436000</v>
      </c>
      <c r="DS591" s="2811">
        <f t="shared" si="681"/>
        <v>0</v>
      </c>
      <c r="DT591" s="2811">
        <f t="shared" si="681"/>
        <v>0</v>
      </c>
      <c r="DU591" s="2811">
        <f t="shared" si="682"/>
        <v>436000</v>
      </c>
      <c r="DV591" s="2811">
        <f>SUMIFS($DJ$7:$DJ$451,$DP$7:$DP$451,$DV$588,$DN$7:$DN$451,DN591,$DQ$7:$DQ$451,"MH")</f>
        <v>0</v>
      </c>
      <c r="DW591" s="2811">
        <f>SUMIFS($DJ$7:$DJ$451,$DP$7:$DP$451,$DW$588,$DN$7:$DN$451,DN591,$DQ$7:$DQ$451,"MH")</f>
        <v>0</v>
      </c>
      <c r="DX591" s="2811">
        <f>SUMIFS($DJ$7:$DJ$451,$DP$7:$DP$451,$DX$588,$DN$7:$DN$451,DN591,$DQ$7:$DQ$451,"MH")</f>
        <v>436000</v>
      </c>
      <c r="DY591" s="2811">
        <f>SUMIFS($DJ$7:$DJ$451,$DP$7:$DP$451,$DY$588,$DN$7:$DN$451,DN591,$DQ$7:$DQ$451,"MH")</f>
        <v>0</v>
      </c>
      <c r="DZ591" s="2811">
        <f>SUMIFS($DJ$7:$DJ$451,$DP$7:$DP$451,$DZ$588,$DN$7:$DN$451,DN591,$DQ$7:$DQ$451,"MH")</f>
        <v>0</v>
      </c>
      <c r="EA591" s="2811">
        <f t="shared" si="679"/>
        <v>436000</v>
      </c>
      <c r="EB591" s="2811">
        <f>SUMIFS($DJ$7:$DJ$451,$DP$7:$DP$451,$EB$588,$DN$7:$DN$451,DN591,$DQ$7:$DQ$451,"CGR")</f>
        <v>0</v>
      </c>
      <c r="EC591" s="2811">
        <f>SUMIFS($DJ$7:$DJ$451,$DP$7:$DP$451,$EC$588,$DN$7:$DN$451,DN593,$DQ$7:$DQ$451,"CGR")</f>
        <v>0</v>
      </c>
      <c r="ED591" s="2811">
        <f>SUMIFS($DJ$7:$DJ$451,$DP$7:$DP$451,$ED$588,$DN$7:$DN$451,DN591,$DQ$7:$DQ$451,"CGR")</f>
        <v>0</v>
      </c>
      <c r="EE591" s="2811">
        <f>SUMIFS($DJ$7:$DJ$451,$DP$7:$DP$451,$EE$588,$DN$7:$DN$451,DN591,$DQ$7:$DQ$451,"CGR")</f>
        <v>0</v>
      </c>
      <c r="EF591" s="2811">
        <f>SUMIFS($DJ$7:$DJ$451,$DP$7:$DP$451,$EF$588,$DN$7:$DN$451,DN591,$DQ$7:$DQ$451,"CGR")</f>
        <v>0</v>
      </c>
      <c r="EG591" s="2811">
        <f t="shared" si="680"/>
        <v>0</v>
      </c>
    </row>
    <row r="592" spans="116:137">
      <c r="DL592" s="3180"/>
      <c r="DN592" s="2794" t="s">
        <v>1669</v>
      </c>
      <c r="DO592" s="2795" t="s">
        <v>1670</v>
      </c>
      <c r="DP592" s="2811">
        <f t="shared" si="681"/>
        <v>0</v>
      </c>
      <c r="DQ592" s="2811">
        <f t="shared" si="681"/>
        <v>0</v>
      </c>
      <c r="DR592" s="2811">
        <f t="shared" si="681"/>
        <v>0</v>
      </c>
      <c r="DS592" s="2811">
        <f t="shared" si="681"/>
        <v>0</v>
      </c>
      <c r="DT592" s="2811">
        <f t="shared" si="681"/>
        <v>0</v>
      </c>
      <c r="DU592" s="2811">
        <f t="shared" si="682"/>
        <v>0</v>
      </c>
      <c r="DV592" s="2811">
        <f>SUMIFS($DJ$7:$DJ$451,$DP$7:$DP$451,$DV$588,$DN$7:$DN$451,DN592,$DQ$7:$DQ$451,"MH")</f>
        <v>0</v>
      </c>
      <c r="DW592" s="2811">
        <f>SUMIFS($DJ$7:$DJ$451,$DP$7:$DP$451,$DW$588,$DN$7:$DN$451,DN592,$DQ$7:$DQ$451,"MH")</f>
        <v>0</v>
      </c>
      <c r="DX592" s="2811">
        <f>SUMIFS($DJ$7:$DJ$451,$DP$7:$DP$451,$DX$588,$DN$7:$DN$451,DN592,$DQ$7:$DQ$451,"MH")</f>
        <v>0</v>
      </c>
      <c r="DY592" s="2811">
        <f>SUMIFS($DJ$7:$DJ$451,$DP$7:$DP$451,$DY$588,$DN$7:$DN$451,DN592,$DQ$7:$DQ$451,"MH")</f>
        <v>0</v>
      </c>
      <c r="DZ592" s="2811">
        <f>SUMIFS($DJ$7:$DJ$451,$DP$7:$DP$451,$DZ$588,$DN$7:$DN$451,DN592,$DQ$7:$DQ$451,"MH")</f>
        <v>0</v>
      </c>
      <c r="EA592" s="2811">
        <f t="shared" si="679"/>
        <v>0</v>
      </c>
      <c r="EB592" s="2811">
        <f>SUMIFS($DJ$7:$DJ$451,$DP$7:$DP$451,$EB$588,$DN$7:$DN$451,DN592,$DQ$7:$DQ$451,"CGR")</f>
        <v>0</v>
      </c>
      <c r="EC592" s="2811">
        <f>SUMIFS($DJ$7:$DJ$451,$DP$7:$DP$451,$EC$588,$DN$7:$DN$451,DN594,$DQ$7:$DQ$451,"CGR")</f>
        <v>0</v>
      </c>
      <c r="ED592" s="2811">
        <f>SUMIFS($DJ$7:$DJ$451,$DP$7:$DP$451,$ED$588,$DN$7:$DN$451,DN592,$DQ$7:$DQ$451,"CGR")</f>
        <v>0</v>
      </c>
      <c r="EE592" s="2811">
        <f>SUMIFS($DJ$7:$DJ$451,$DP$7:$DP$451,$EE$588,$DN$7:$DN$451,DN592,$DQ$7:$DQ$451,"CGR")</f>
        <v>0</v>
      </c>
      <c r="EF592" s="2811">
        <f>SUMIFS($DJ$7:$DJ$451,$DP$7:$DP$451,$EF$588,$DN$7:$DN$451,DN592,$DQ$7:$DQ$451,"CGR")</f>
        <v>0</v>
      </c>
      <c r="EG592" s="2811">
        <f t="shared" si="680"/>
        <v>0</v>
      </c>
    </row>
    <row r="593" spans="116:137" ht="15">
      <c r="DL593" s="3180"/>
      <c r="DN593" s="2796" t="s">
        <v>1346</v>
      </c>
      <c r="DO593" s="2797" t="s">
        <v>1347</v>
      </c>
      <c r="DP593" s="2811">
        <f t="shared" si="681"/>
        <v>1990000</v>
      </c>
      <c r="DQ593" s="2811">
        <f t="shared" si="681"/>
        <v>6176500</v>
      </c>
      <c r="DR593" s="2811">
        <f t="shared" si="681"/>
        <v>0</v>
      </c>
      <c r="DS593" s="2811">
        <f t="shared" si="681"/>
        <v>0</v>
      </c>
      <c r="DT593" s="2811">
        <f t="shared" si="681"/>
        <v>0</v>
      </c>
      <c r="DU593" s="2811">
        <f t="shared" si="682"/>
        <v>8166500</v>
      </c>
      <c r="DV593" s="2811">
        <f>SUMIFS($DJ$7:$DJ$451,$DP$7:$DP$451,$DV$588,$DN$7:$DN$451,DN593,$DQ$7:$DQ$451,"MH")</f>
        <v>1790000</v>
      </c>
      <c r="DW593" s="2811">
        <f>SUMIFS($DJ$7:$DJ$451,$DP$7:$DP$451,$DW$588,$DN$7:$DN$451,DN593,$DQ$7:$DQ$451,"MH")</f>
        <v>0</v>
      </c>
      <c r="DX593" s="2811">
        <f>SUMIFS($DJ$7:$DJ$451,$DP$7:$DP$451,$DX$588,$DN$7:$DN$451,DN593,$DQ$7:$DQ$451,"MH")</f>
        <v>0</v>
      </c>
      <c r="DY593" s="2811">
        <f>SUMIFS($DJ$7:$DJ$451,$DP$7:$DP$451,$DY$588,$DN$7:$DN$451,DN593,$DQ$7:$DQ$451,"MH")</f>
        <v>0</v>
      </c>
      <c r="DZ593" s="2811">
        <f>SUMIFS($DJ$7:$DJ$451,$DP$7:$DP$451,$DZ$588,$DN$7:$DN$451,DN593,$DQ$7:$DQ$451,"MH")</f>
        <v>0</v>
      </c>
      <c r="EA593" s="2811">
        <f t="shared" si="679"/>
        <v>1790000</v>
      </c>
      <c r="EB593" s="2811">
        <f>SUMIFS($DJ$7:$DJ$451,$DP$7:$DP$451,$EB$588,$DN$7:$DN$451,DN593,$DQ$7:$DQ$451,"CGR")</f>
        <v>200000</v>
      </c>
      <c r="EC593" s="2811">
        <f>SUMIFS($DJ$7:$DJ$451,$DP$7:$DP$451,$EC$588,$DN$7:$DN$451,DN595,$DQ$7:$DQ$451,"CGR")</f>
        <v>6176500</v>
      </c>
      <c r="ED593" s="2811">
        <f>SUMIFS($DJ$7:$DJ$451,$DP$7:$DP$451,$ED$588,$DN$7:$DN$451,DN593,$DQ$7:$DQ$451,"CGR")</f>
        <v>0</v>
      </c>
      <c r="EE593" s="2811">
        <f>SUMIFS($DJ$7:$DJ$451,$DP$7:$DP$451,$EE$588,$DN$7:$DN$451,DN593,$DQ$7:$DQ$451,"CGR")</f>
        <v>0</v>
      </c>
      <c r="EF593" s="2811">
        <f>SUMIFS($DJ$7:$DJ$451,$DP$7:$DP$451,$EF$588,$DN$7:$DN$451,DN593,$DQ$7:$DQ$451,"CGR")</f>
        <v>0</v>
      </c>
      <c r="EG593" s="2811">
        <f t="shared" si="680"/>
        <v>6376500</v>
      </c>
    </row>
    <row r="594" spans="116:137">
      <c r="DL594" s="3180"/>
      <c r="DN594" s="2792" t="s">
        <v>1180</v>
      </c>
      <c r="DO594" s="2793" t="s">
        <v>1181</v>
      </c>
      <c r="DP594" s="2811">
        <f t="shared" si="681"/>
        <v>0</v>
      </c>
      <c r="DQ594" s="2811">
        <f t="shared" si="681"/>
        <v>29881334.271680001</v>
      </c>
      <c r="DR594" s="2811">
        <f t="shared" si="681"/>
        <v>0</v>
      </c>
      <c r="DS594" s="2811">
        <f t="shared" si="681"/>
        <v>0</v>
      </c>
      <c r="DT594" s="2811">
        <f t="shared" si="681"/>
        <v>0</v>
      </c>
      <c r="DU594" s="2811">
        <f t="shared" si="682"/>
        <v>29881334.271680001</v>
      </c>
      <c r="DV594" s="2811">
        <f>SUMIFS($DJ$7:$DJ$451,$DP$7:$DP$451,$DV$588,$DN$7:$DN$451,DN594,$DQ$7:$DQ$451,"MH")</f>
        <v>0</v>
      </c>
      <c r="DW594" s="2811">
        <f>SUMIFS($DJ$7:$DJ$451,$DP$7:$DP$451,$DW$588,$DN$7:$DN$451,DN594,$DQ$7:$DQ$451,"MH")</f>
        <v>29881334.271680001</v>
      </c>
      <c r="DX594" s="2811">
        <f>SUMIFS($DJ$7:$DJ$451,$DP$7:$DP$451,$DX$588,$DN$7:$DN$451,DN594,$DQ$7:$DQ$451,"MH")</f>
        <v>0</v>
      </c>
      <c r="DY594" s="2811">
        <f>SUMIFS($DJ$7:$DJ$451,$DP$7:$DP$451,$DY$588,$DN$7:$DN$451,DN594,$DQ$7:$DQ$451,"MH")</f>
        <v>0</v>
      </c>
      <c r="DZ594" s="2811">
        <f>SUMIFS($DJ$7:$DJ$451,$DP$7:$DP$451,$DZ$588,$DN$7:$DN$451,DN594,$DQ$7:$DQ$451,"MH")</f>
        <v>0</v>
      </c>
      <c r="EA594" s="2811">
        <f t="shared" si="679"/>
        <v>29881334.271680001</v>
      </c>
      <c r="EB594" s="2811">
        <f>SUMIFS($DJ$7:$DJ$451,$DP$7:$DP$451,$EB$588,$DN$7:$DN$451,DN594,$DQ$7:$DQ$451,"CGR")</f>
        <v>0</v>
      </c>
      <c r="EC594" s="2811">
        <f>SUMIFS($DJ$7:$DJ$451,$DP$7:$DP$451,$EC$588,$DN$7:$DN$451,DN596,$DQ$7:$DQ$451,"CGR")</f>
        <v>0</v>
      </c>
      <c r="ED594" s="2811">
        <f>SUMIFS($DJ$7:$DJ$451,$DP$7:$DP$451,$ED$588,$DN$7:$DN$451,DN594,$DQ$7:$DQ$451,"CGR")</f>
        <v>0</v>
      </c>
      <c r="EE594" s="2811">
        <f>SUMIFS($DJ$7:$DJ$451,$DP$7:$DP$451,$EE$588,$DN$7:$DN$451,DN594,$DQ$7:$DQ$451,"CGR")</f>
        <v>0</v>
      </c>
      <c r="EF594" s="2811">
        <f>SUMIFS($DJ$7:$DJ$451,$DP$7:$DP$451,$EF$588,$DN$7:$DN$451,DN594,$DQ$7:$DQ$451,"CGR")</f>
        <v>0</v>
      </c>
      <c r="EG594" s="2811">
        <f t="shared" si="680"/>
        <v>0</v>
      </c>
    </row>
    <row r="595" spans="116:137">
      <c r="DN595" s="2792" t="s">
        <v>1283</v>
      </c>
      <c r="DO595" s="2793" t="s">
        <v>1284</v>
      </c>
      <c r="DP595" s="2811">
        <f t="shared" si="681"/>
        <v>0</v>
      </c>
      <c r="DQ595" s="2811">
        <f t="shared" si="681"/>
        <v>1322031</v>
      </c>
      <c r="DR595" s="2811">
        <f t="shared" si="681"/>
        <v>0</v>
      </c>
      <c r="DS595" s="2811">
        <f t="shared" si="681"/>
        <v>0</v>
      </c>
      <c r="DT595" s="2811">
        <f t="shared" si="681"/>
        <v>0</v>
      </c>
      <c r="DU595" s="2811">
        <f t="shared" si="682"/>
        <v>1322031</v>
      </c>
      <c r="DV595" s="2811">
        <f>SUMIFS($DJ$7:$DJ$451,$DP$7:$DP$451,$DV$588,$DN$7:$DN$451,DN595,$DQ$7:$DQ$451,"MH")</f>
        <v>0</v>
      </c>
      <c r="DW595" s="2811">
        <f>SUMIFS($DJ$7:$DJ$451,$DP$7:$DP$451,$DW$588,$DN$7:$DN$451,DN595,$DQ$7:$DQ$451,"MH")</f>
        <v>1322031</v>
      </c>
      <c r="DX595" s="2811">
        <f>SUMIFS($DJ$7:$DJ$451,$DP$7:$DP$451,$DX$588,$DN$7:$DN$451,DN595,$DQ$7:$DQ$451,"MH")</f>
        <v>0</v>
      </c>
      <c r="DY595" s="2811">
        <f>SUMIFS($DJ$7:$DJ$451,$DP$7:$DP$451,$DY$588,$DN$7:$DN$451,DN595,$DQ$7:$DQ$451,"MH")</f>
        <v>0</v>
      </c>
      <c r="DZ595" s="2811">
        <f>SUMIFS($DJ$7:$DJ$451,$DP$7:$DP$451,$DZ$588,$DN$7:$DN$451,DN595,$DQ$7:$DQ$451,"MH")</f>
        <v>0</v>
      </c>
      <c r="EA595" s="2811">
        <f t="shared" si="679"/>
        <v>1322031</v>
      </c>
      <c r="EB595" s="2811">
        <f>SUMIFS($DJ$7:$DJ$451,$DP$7:$DP$451,$EB$588,$DN$7:$DN$451,DN595,$DQ$7:$DQ$451,"CGR")</f>
        <v>0</v>
      </c>
      <c r="EC595" s="2811">
        <f>SUMIFS($DJ$7:$DJ$451,$DP$7:$DP$451,$EC$588,$DN$7:$DN$451,DN597,$DQ$7:$DQ$451,"CGR")</f>
        <v>0</v>
      </c>
      <c r="ED595" s="2811">
        <f>SUMIFS($DJ$7:$DJ$451,$DP$7:$DP$451,$ED$588,$DN$7:$DN$451,DN595,$DQ$7:$DQ$451,"CGR")</f>
        <v>0</v>
      </c>
      <c r="EE595" s="2811">
        <f>SUMIFS($DJ$7:$DJ$451,$DP$7:$DP$451,$EE$588,$DN$7:$DN$451,DN595,$DQ$7:$DQ$451,"CGR")</f>
        <v>0</v>
      </c>
      <c r="EF595" s="2811">
        <f>SUMIFS($DJ$7:$DJ$451,$DP$7:$DP$451,$EF$588,$DN$7:$DN$451,DN595,$DQ$7:$DQ$451,"CGR")</f>
        <v>0</v>
      </c>
      <c r="EG595" s="2811">
        <f t="shared" si="680"/>
        <v>0</v>
      </c>
    </row>
    <row r="596" spans="116:137">
      <c r="DN596" s="2798" t="s">
        <v>1331</v>
      </c>
      <c r="DO596" s="2795" t="s">
        <v>1332</v>
      </c>
      <c r="DP596" s="2811">
        <f t="shared" si="681"/>
        <v>0</v>
      </c>
      <c r="DQ596" s="2811">
        <f t="shared" si="681"/>
        <v>0</v>
      </c>
      <c r="DR596" s="2811">
        <f t="shared" si="681"/>
        <v>0</v>
      </c>
      <c r="DS596" s="2811">
        <f t="shared" si="681"/>
        <v>1451588.9999999998</v>
      </c>
      <c r="DT596" s="2811">
        <f t="shared" si="681"/>
        <v>0</v>
      </c>
      <c r="DU596" s="2811">
        <f t="shared" si="682"/>
        <v>1451588.9999999998</v>
      </c>
      <c r="DV596" s="2811">
        <f>SUMIFS($DJ$7:$DJ$451,$DP$7:$DP$451,$DV$588,$DN$7:$DN$451,DN596,$DQ$7:$DQ$451,"MH")</f>
        <v>0</v>
      </c>
      <c r="DW596" s="2811">
        <f>SUMIFS($DJ$7:$DJ$451,$DP$7:$DP$451,$DW$588,$DN$7:$DN$451,DN596,$DQ$7:$DQ$451,"MH")</f>
        <v>0</v>
      </c>
      <c r="DX596" s="2811">
        <f>SUMIFS($DJ$7:$DJ$451,$DP$7:$DP$451,$DX$588,$DN$7:$DN$451,DN596,$DQ$7:$DQ$451,"MH")</f>
        <v>0</v>
      </c>
      <c r="DY596" s="2811">
        <f>SUMIFS($DJ$7:$DJ$451,$DP$7:$DP$451,$DY$588,$DN$7:$DN$451,DN596,$DQ$7:$DQ$451,"MH")</f>
        <v>1451588.9999999998</v>
      </c>
      <c r="DZ596" s="2811">
        <f>SUMIFS($DJ$7:$DJ$451,$DP$7:$DP$451,$DZ$588,$DN$7:$DN$451,DN596,$DQ$7:$DQ$451,"MH")</f>
        <v>0</v>
      </c>
      <c r="EA596" s="2811">
        <f t="shared" si="679"/>
        <v>1451588.9999999998</v>
      </c>
      <c r="EB596" s="2811">
        <f>SUMIFS($DJ$7:$DJ$451,$DP$7:$DP$451,$EB$588,$DN$7:$DN$451,DN596,$DQ$7:$DQ$451,"CGR")</f>
        <v>0</v>
      </c>
      <c r="EC596" s="2811">
        <f>SUMIFS($DJ$7:$DJ$451,$DP$7:$DP$451,$EC$588,$DN$7:$DN$451,DN598,$DQ$7:$DQ$451,"CGR")</f>
        <v>0</v>
      </c>
      <c r="ED596" s="2811">
        <f>SUMIFS($DJ$7:$DJ$451,$DP$7:$DP$451,$ED$588,$DN$7:$DN$451,DN596,$DQ$7:$DQ$451,"CGR")</f>
        <v>0</v>
      </c>
      <c r="EE596" s="2811">
        <f>SUMIFS($DJ$7:$DJ$451,$DP$7:$DP$451,$EE$588,$DN$7:$DN$451,DN596,$DQ$7:$DQ$451,"CGR")</f>
        <v>0</v>
      </c>
      <c r="EF596" s="2811">
        <f>SUMIFS($DJ$7:$DJ$451,$DP$7:$DP$451,$EF$588,$DN$7:$DN$451,DN596,$DQ$7:$DQ$451,"CGR")</f>
        <v>0</v>
      </c>
      <c r="EG596" s="2811">
        <f t="shared" si="680"/>
        <v>0</v>
      </c>
    </row>
    <row r="597" spans="116:137" ht="15">
      <c r="DN597" s="2799" t="s">
        <v>1303</v>
      </c>
      <c r="DO597" s="2800" t="s">
        <v>1304</v>
      </c>
      <c r="DP597" s="2811">
        <f t="shared" si="681"/>
        <v>0</v>
      </c>
      <c r="DQ597" s="2811">
        <f t="shared" si="681"/>
        <v>0</v>
      </c>
      <c r="DR597" s="2811">
        <f t="shared" si="681"/>
        <v>0</v>
      </c>
      <c r="DS597" s="2811">
        <f t="shared" si="681"/>
        <v>7255038</v>
      </c>
      <c r="DT597" s="2811">
        <f t="shared" si="681"/>
        <v>0</v>
      </c>
      <c r="DU597" s="2811">
        <f t="shared" si="682"/>
        <v>7255038</v>
      </c>
      <c r="DV597" s="2811">
        <f>SUMIFS($DJ$7:$DJ$451,$DP$7:$DP$451,$DV$588,$DN$7:$DN$451,DN597,$DQ$7:$DQ$451,"MH")</f>
        <v>0</v>
      </c>
      <c r="DW597" s="2811">
        <f>SUMIFS($DJ$7:$DJ$451,$DP$7:$DP$451,$DW$588,$DN$7:$DN$451,DN597,$DQ$7:$DQ$451,"MH")</f>
        <v>0</v>
      </c>
      <c r="DX597" s="2811">
        <f>SUMIFS($DJ$7:$DJ$451,$DP$7:$DP$451,$DX$588,$DN$7:$DN$451,DN597,$DQ$7:$DQ$451,"MH")</f>
        <v>0</v>
      </c>
      <c r="DY597" s="2811">
        <f>SUMIFS($DJ$7:$DJ$451,$DP$7:$DP$451,$DY$588,$DN$7:$DN$451,DN597,$DQ$7:$DQ$451,"MH")</f>
        <v>7255038</v>
      </c>
      <c r="DZ597" s="2811">
        <f>SUMIFS($DJ$7:$DJ$451,$DP$7:$DP$451,$DZ$588,$DN$7:$DN$451,DN597,$DQ$7:$DQ$451,"MH")</f>
        <v>0</v>
      </c>
      <c r="EA597" s="2811">
        <f t="shared" si="679"/>
        <v>7255038</v>
      </c>
      <c r="EB597" s="2811">
        <f>SUMIFS($DJ$7:$DJ$451,$DP$7:$DP$451,$EB$588,$DN$7:$DN$451,DN597,$DQ$7:$DQ$451,"CGR")</f>
        <v>0</v>
      </c>
      <c r="EC597" s="2811">
        <f>SUMIFS($DJ$7:$DJ$451,$DP$7:$DP$451,$EC$588,$DN$7:$DN$451,DN599,$DQ$7:$DQ$451,"CGR")</f>
        <v>0</v>
      </c>
      <c r="ED597" s="2811">
        <f>SUMIFS($DJ$7:$DJ$451,$DP$7:$DP$451,$ED$588,$DN$7:$DN$451,DN597,$DQ$7:$DQ$451,"CGR")</f>
        <v>0</v>
      </c>
      <c r="EE597" s="2811">
        <f>SUMIFS($DJ$7:$DJ$451,$DP$7:$DP$451,$EE$588,$DN$7:$DN$451,DN597,$DQ$7:$DQ$451,"CGR")</f>
        <v>0</v>
      </c>
      <c r="EF597" s="2811">
        <f>SUMIFS($DJ$7:$DJ$451,$DP$7:$DP$451,$EF$588,$DN$7:$DN$451,DN597,$DQ$7:$DQ$451,"CGR")</f>
        <v>0</v>
      </c>
      <c r="EG597" s="2811">
        <f t="shared" si="680"/>
        <v>0</v>
      </c>
    </row>
    <row r="598" spans="116:137">
      <c r="DP598" s="2817">
        <f t="shared" ref="DP598:EG598" si="683">SUM(DP589:DP597)</f>
        <v>1990000</v>
      </c>
      <c r="DQ598" s="2817">
        <f t="shared" si="683"/>
        <v>37379865.271679997</v>
      </c>
      <c r="DR598" s="2817">
        <f t="shared" si="683"/>
        <v>466000</v>
      </c>
      <c r="DS598" s="2817">
        <f t="shared" si="683"/>
        <v>9006627</v>
      </c>
      <c r="DT598" s="2817">
        <f t="shared" si="683"/>
        <v>0</v>
      </c>
      <c r="DU598" s="2817">
        <f t="shared" si="683"/>
        <v>48842492.271679997</v>
      </c>
      <c r="DV598" s="2809">
        <f t="shared" si="683"/>
        <v>1790000</v>
      </c>
      <c r="DW598" s="2809">
        <f t="shared" si="683"/>
        <v>31203365.271680001</v>
      </c>
      <c r="DX598" s="2809">
        <f t="shared" si="683"/>
        <v>466000</v>
      </c>
      <c r="DY598" s="2809">
        <f t="shared" si="683"/>
        <v>8706627</v>
      </c>
      <c r="DZ598" s="2809">
        <f t="shared" si="683"/>
        <v>0</v>
      </c>
      <c r="EA598" s="2809">
        <f t="shared" si="683"/>
        <v>42165992.271679997</v>
      </c>
      <c r="EB598" s="2818">
        <f t="shared" si="683"/>
        <v>200000</v>
      </c>
      <c r="EC598" s="2818">
        <f t="shared" si="683"/>
        <v>6176500</v>
      </c>
      <c r="ED598" s="2818">
        <f t="shared" si="683"/>
        <v>0</v>
      </c>
      <c r="EE598" s="2818">
        <f t="shared" si="683"/>
        <v>300000</v>
      </c>
      <c r="EF598" s="2818">
        <f t="shared" si="683"/>
        <v>0</v>
      </c>
      <c r="EG598" s="2818">
        <f t="shared" si="683"/>
        <v>6676500</v>
      </c>
    </row>
    <row r="599" spans="116:137">
      <c r="DR599" s="152"/>
      <c r="DS599" s="152"/>
      <c r="DT599" s="152"/>
      <c r="DU599" s="152"/>
      <c r="DV599" s="152"/>
      <c r="DW599" s="152"/>
    </row>
    <row r="600" spans="116:137">
      <c r="DR600" s="152"/>
      <c r="DS600" s="152"/>
      <c r="DT600" s="152"/>
      <c r="DU600" s="2237">
        <f>DU598-DR468</f>
        <v>0</v>
      </c>
      <c r="DV600" s="152"/>
      <c r="DW600" s="152"/>
      <c r="EA600" s="2237">
        <f>EA598-DP468</f>
        <v>-0.33000000566244125</v>
      </c>
      <c r="EG600" s="2237">
        <f>EG598-DQ468</f>
        <v>0</v>
      </c>
    </row>
  </sheetData>
  <dataConsolidate link="1"/>
  <mergeCells count="1358">
    <mergeCell ref="AR350:AR355"/>
    <mergeCell ref="AS350:AS355"/>
    <mergeCell ref="AW350:AW355"/>
    <mergeCell ref="AX350:AX355"/>
    <mergeCell ref="AY350:AY355"/>
    <mergeCell ref="AZ350:AZ355"/>
    <mergeCell ref="BR350:BR355"/>
    <mergeCell ref="BS350:BS355"/>
    <mergeCell ref="BQ350:BQ355"/>
    <mergeCell ref="BT350:BT355"/>
    <mergeCell ref="BU350:BU355"/>
    <mergeCell ref="BI350:BI355"/>
    <mergeCell ref="BJ350:BJ355"/>
    <mergeCell ref="BK350:BK355"/>
    <mergeCell ref="BL350:BL355"/>
    <mergeCell ref="BD350:BD355"/>
    <mergeCell ref="BD329:BD338"/>
    <mergeCell ref="BF350:BF355"/>
    <mergeCell ref="BM350:BM355"/>
    <mergeCell ref="BN350:BN355"/>
    <mergeCell ref="BO350:BO355"/>
    <mergeCell ref="BE350:BE355"/>
    <mergeCell ref="BK329:BK338"/>
    <mergeCell ref="BP329:BP338"/>
    <mergeCell ref="BR329:BR338"/>
    <mergeCell ref="BQ329:BQ338"/>
    <mergeCell ref="BG350:BG355"/>
    <mergeCell ref="BC350:BC355"/>
    <mergeCell ref="AU350:AU355"/>
    <mergeCell ref="AV350:AV355"/>
    <mergeCell ref="AS329:AS338"/>
    <mergeCell ref="BO329:BO338"/>
    <mergeCell ref="AX267:AX274"/>
    <mergeCell ref="BE256:BE257"/>
    <mergeCell ref="AY317:AY320"/>
    <mergeCell ref="BE329:BE338"/>
    <mergeCell ref="BD250:BD254"/>
    <mergeCell ref="BE250:BE254"/>
    <mergeCell ref="BF250:BF254"/>
    <mergeCell ref="CS329:CS338"/>
    <mergeCell ref="CK329:CK338"/>
    <mergeCell ref="CB280:CB286"/>
    <mergeCell ref="BY280:BY286"/>
    <mergeCell ref="BY317:BY320"/>
    <mergeCell ref="CA317:CA320"/>
    <mergeCell ref="BD256:BD257"/>
    <mergeCell ref="CP256:CP257"/>
    <mergeCell ref="CQ329:CQ338"/>
    <mergeCell ref="CR329:CR338"/>
    <mergeCell ref="CJ329:CJ338"/>
    <mergeCell ref="CD280:CD286"/>
    <mergeCell ref="CJ280:CJ286"/>
    <mergeCell ref="CP280:CP286"/>
    <mergeCell ref="BI329:BI338"/>
    <mergeCell ref="CM250:CM254"/>
    <mergeCell ref="BN256:BN257"/>
    <mergeCell ref="BW267:BW274"/>
    <mergeCell ref="CB250:CB254"/>
    <mergeCell ref="CC250:CC254"/>
    <mergeCell ref="BC329:BC338"/>
    <mergeCell ref="BS329:BS338"/>
    <mergeCell ref="CO329:CO338"/>
    <mergeCell ref="AY329:AY338"/>
    <mergeCell ref="AZ329:AZ338"/>
    <mergeCell ref="CC329:CC338"/>
    <mergeCell ref="BJ329:BJ338"/>
    <mergeCell ref="BB350:BB355"/>
    <mergeCell ref="CI329:CI338"/>
    <mergeCell ref="DB329:DB338"/>
    <mergeCell ref="DC329:DC338"/>
    <mergeCell ref="CZ317:CZ320"/>
    <mergeCell ref="BD317:BD320"/>
    <mergeCell ref="CP329:CP338"/>
    <mergeCell ref="CP350:CP355"/>
    <mergeCell ref="BD280:BD286"/>
    <mergeCell ref="BG329:BG338"/>
    <mergeCell ref="CN317:CN320"/>
    <mergeCell ref="CN280:CN286"/>
    <mergeCell ref="CO280:CO286"/>
    <mergeCell ref="BV350:BV355"/>
    <mergeCell ref="BW350:BW355"/>
    <mergeCell ref="BX350:BX355"/>
    <mergeCell ref="BY350:BY355"/>
    <mergeCell ref="BZ350:BZ355"/>
    <mergeCell ref="CA350:CA355"/>
    <mergeCell ref="CB350:CB355"/>
    <mergeCell ref="CC350:CC355"/>
    <mergeCell ref="CD350:CD355"/>
    <mergeCell ref="BH329:BH338"/>
    <mergeCell ref="BB329:BB338"/>
    <mergeCell ref="CN329:CN338"/>
    <mergeCell ref="CU329:CU338"/>
    <mergeCell ref="CT350:CT355"/>
    <mergeCell ref="DA350:DA355"/>
    <mergeCell ref="DA329:DA338"/>
    <mergeCell ref="CZ350:CZ355"/>
    <mergeCell ref="DP267:DP274"/>
    <mergeCell ref="DQ267:DQ274"/>
    <mergeCell ref="DP280:DP286"/>
    <mergeCell ref="CD317:CD320"/>
    <mergeCell ref="CE317:CE320"/>
    <mergeCell ref="CF317:CF320"/>
    <mergeCell ref="CG317:CG320"/>
    <mergeCell ref="DN256:DN257"/>
    <mergeCell ref="DO256:DO257"/>
    <mergeCell ref="DP350:DP355"/>
    <mergeCell ref="DQ350:DQ355"/>
    <mergeCell ref="DG329:DG338"/>
    <mergeCell ref="CH350:CH355"/>
    <mergeCell ref="CI350:CI355"/>
    <mergeCell ref="BH350:BH355"/>
    <mergeCell ref="CM329:CM338"/>
    <mergeCell ref="BP350:BP355"/>
    <mergeCell ref="CQ350:CQ355"/>
    <mergeCell ref="CS350:CS355"/>
    <mergeCell ref="CE350:CE355"/>
    <mergeCell ref="DJ350:DJ355"/>
    <mergeCell ref="DJ329:DJ338"/>
    <mergeCell ref="CD329:CD338"/>
    <mergeCell ref="DC280:DC286"/>
    <mergeCell ref="DG267:DG274"/>
    <mergeCell ref="DH267:DH274"/>
    <mergeCell ref="DA317:DA320"/>
    <mergeCell ref="CK350:CK355"/>
    <mergeCell ref="DN317:DN320"/>
    <mergeCell ref="DF267:DF274"/>
    <mergeCell ref="DH280:DH286"/>
    <mergeCell ref="CM317:CM320"/>
    <mergeCell ref="DD329:DD338"/>
    <mergeCell ref="DF350:DF355"/>
    <mergeCell ref="CX350:CX355"/>
    <mergeCell ref="DI350:DI355"/>
    <mergeCell ref="CV317:CV320"/>
    <mergeCell ref="CW317:CW320"/>
    <mergeCell ref="DF317:DF320"/>
    <mergeCell ref="DG317:DG320"/>
    <mergeCell ref="DH317:DH320"/>
    <mergeCell ref="CV350:CV355"/>
    <mergeCell ref="CN350:CN355"/>
    <mergeCell ref="CO350:CO355"/>
    <mergeCell ref="CE329:CE338"/>
    <mergeCell ref="CT329:CT338"/>
    <mergeCell ref="CV329:CV338"/>
    <mergeCell ref="CW329:CW338"/>
    <mergeCell ref="CU350:CU355"/>
    <mergeCell ref="DH329:DH338"/>
    <mergeCell ref="DD350:DD355"/>
    <mergeCell ref="CL329:CL338"/>
    <mergeCell ref="CX329:CX338"/>
    <mergeCell ref="CY329:CY338"/>
    <mergeCell ref="CF350:CF355"/>
    <mergeCell ref="CF329:CF338"/>
    <mergeCell ref="CG329:CG338"/>
    <mergeCell ref="CJ350:CJ355"/>
    <mergeCell ref="CG350:CG355"/>
    <mergeCell ref="CL350:CL355"/>
    <mergeCell ref="DF280:DF286"/>
    <mergeCell ref="CP267:CP274"/>
    <mergeCell ref="CR317:CR320"/>
    <mergeCell ref="CS317:CS320"/>
    <mergeCell ref="DA267:DA274"/>
    <mergeCell ref="DB267:DB274"/>
    <mergeCell ref="DC267:DC274"/>
    <mergeCell ref="CR280:CR286"/>
    <mergeCell ref="CS280:CS286"/>
    <mergeCell ref="CF280:CF286"/>
    <mergeCell ref="CG280:CG286"/>
    <mergeCell ref="CH280:CH286"/>
    <mergeCell ref="CI280:CI286"/>
    <mergeCell ref="CY267:CY274"/>
    <mergeCell ref="CE267:CE274"/>
    <mergeCell ref="CR267:CR274"/>
    <mergeCell ref="CK280:CK286"/>
    <mergeCell ref="CL280:CL286"/>
    <mergeCell ref="CM280:CM286"/>
    <mergeCell ref="CW267:CW274"/>
    <mergeCell ref="CO317:CO320"/>
    <mergeCell ref="CU267:CU274"/>
    <mergeCell ref="DB280:DB286"/>
    <mergeCell ref="CO267:CO274"/>
    <mergeCell ref="CV267:CV274"/>
    <mergeCell ref="DD267:DD274"/>
    <mergeCell ref="DD317:DD320"/>
    <mergeCell ref="DD280:DD286"/>
    <mergeCell ref="CE280:CE286"/>
    <mergeCell ref="CT280:CT286"/>
    <mergeCell ref="CY280:CY286"/>
    <mergeCell ref="CA329:CA338"/>
    <mergeCell ref="BD267:BD274"/>
    <mergeCell ref="DJ256:DJ257"/>
    <mergeCell ref="DI267:DI274"/>
    <mergeCell ref="DE350:DE355"/>
    <mergeCell ref="DH350:DH355"/>
    <mergeCell ref="EB572:EG572"/>
    <mergeCell ref="DP587:DU587"/>
    <mergeCell ref="DV587:EA587"/>
    <mergeCell ref="EB587:EG587"/>
    <mergeCell ref="EB470:ED470"/>
    <mergeCell ref="EE470:EG470"/>
    <mergeCell ref="DP497:DU497"/>
    <mergeCell ref="DV497:EA497"/>
    <mergeCell ref="EB497:EG497"/>
    <mergeCell ref="DP512:DU512"/>
    <mergeCell ref="DV512:EA512"/>
    <mergeCell ref="EB512:EG512"/>
    <mergeCell ref="EE457:EG457"/>
    <mergeCell ref="DP470:DR470"/>
    <mergeCell ref="EB557:EG557"/>
    <mergeCell ref="DP542:DU542"/>
    <mergeCell ref="DV542:EA542"/>
    <mergeCell ref="EB542:EG542"/>
    <mergeCell ref="DP457:DR457"/>
    <mergeCell ref="DS457:DU457"/>
    <mergeCell ref="DV457:DX457"/>
    <mergeCell ref="DY457:EA457"/>
    <mergeCell ref="DP527:DU527"/>
    <mergeCell ref="DV527:EA527"/>
    <mergeCell ref="EB527:EG527"/>
    <mergeCell ref="DP572:DU572"/>
    <mergeCell ref="DV572:EA572"/>
    <mergeCell ref="DJ203:DJ205"/>
    <mergeCell ref="DN203:DN205"/>
    <mergeCell ref="DO203:DO205"/>
    <mergeCell ref="DP203:DP205"/>
    <mergeCell ref="DQ203:DQ205"/>
    <mergeCell ref="DR203:DR205"/>
    <mergeCell ref="CZ280:CZ286"/>
    <mergeCell ref="DA280:DA286"/>
    <mergeCell ref="DB350:DB355"/>
    <mergeCell ref="DP557:DU557"/>
    <mergeCell ref="DP233:DP241"/>
    <mergeCell ref="DQ233:DQ241"/>
    <mergeCell ref="DP192:DP195"/>
    <mergeCell ref="DQ192:DQ195"/>
    <mergeCell ref="DR317:DR320"/>
    <mergeCell ref="DP250:DP254"/>
    <mergeCell ref="DI256:DI257"/>
    <mergeCell ref="DH233:DH241"/>
    <mergeCell ref="DC350:DC355"/>
    <mergeCell ref="DI317:DI320"/>
    <mergeCell ref="DJ280:DJ286"/>
    <mergeCell ref="DC233:DC241"/>
    <mergeCell ref="DA250:DA254"/>
    <mergeCell ref="DJ250:DJ254"/>
    <mergeCell ref="DE329:DE338"/>
    <mergeCell ref="DF329:DF338"/>
    <mergeCell ref="CZ329:CZ338"/>
    <mergeCell ref="DE250:DE254"/>
    <mergeCell ref="DQ250:DQ254"/>
    <mergeCell ref="DP317:DP320"/>
    <mergeCell ref="DP256:DP257"/>
    <mergeCell ref="EH470:EJ470"/>
    <mergeCell ref="DP481:EQ481"/>
    <mergeCell ref="DP482:DS482"/>
    <mergeCell ref="DT482:DW482"/>
    <mergeCell ref="DX482:EA482"/>
    <mergeCell ref="EB482:EE482"/>
    <mergeCell ref="EF482:EI482"/>
    <mergeCell ref="EJ482:EM482"/>
    <mergeCell ref="EN482:EQ482"/>
    <mergeCell ref="DR350:DR355"/>
    <mergeCell ref="DD233:DD241"/>
    <mergeCell ref="DB203:DB205"/>
    <mergeCell ref="DC203:DC205"/>
    <mergeCell ref="DV557:EA557"/>
    <mergeCell ref="DQ329:DQ338"/>
    <mergeCell ref="DD256:DD257"/>
    <mergeCell ref="DR329:DR338"/>
    <mergeCell ref="EB457:ED457"/>
    <mergeCell ref="EH457:EJ457"/>
    <mergeCell ref="DS470:DU470"/>
    <mergeCell ref="DV470:DX470"/>
    <mergeCell ref="DY470:EA470"/>
    <mergeCell ref="DG350:DG355"/>
    <mergeCell ref="DI329:DI338"/>
    <mergeCell ref="DQ280:DQ286"/>
    <mergeCell ref="DJ317:DJ320"/>
    <mergeCell ref="DJ267:DJ274"/>
    <mergeCell ref="DI280:DI286"/>
    <mergeCell ref="DQ317:DQ320"/>
    <mergeCell ref="DP329:DP338"/>
    <mergeCell ref="DJ233:DJ241"/>
    <mergeCell ref="DG280:DG286"/>
    <mergeCell ref="DO5:DO6"/>
    <mergeCell ref="DP5:DP6"/>
    <mergeCell ref="DQ5:DQ6"/>
    <mergeCell ref="DN11:DN12"/>
    <mergeCell ref="DO11:DO12"/>
    <mergeCell ref="DP11:DP12"/>
    <mergeCell ref="DQ11:DQ12"/>
    <mergeCell ref="DN40:DN41"/>
    <mergeCell ref="DO40:DO41"/>
    <mergeCell ref="DP40:DP41"/>
    <mergeCell ref="DQ40:DQ41"/>
    <mergeCell ref="DN14:DN15"/>
    <mergeCell ref="DO14:DO15"/>
    <mergeCell ref="DP14:DP15"/>
    <mergeCell ref="DQ14:DQ15"/>
    <mergeCell ref="DN20:DN21"/>
    <mergeCell ref="DO20:DO21"/>
    <mergeCell ref="DN5:DN6"/>
    <mergeCell ref="DP22:DP23"/>
    <mergeCell ref="DQ22:DQ23"/>
    <mergeCell ref="DP20:DP21"/>
    <mergeCell ref="DQ20:DQ21"/>
    <mergeCell ref="DO22:DO23"/>
    <mergeCell ref="DN17:DN18"/>
    <mergeCell ref="DO17:DO18"/>
    <mergeCell ref="DP17:DP18"/>
    <mergeCell ref="DN22:DN23"/>
    <mergeCell ref="DQ256:DQ257"/>
    <mergeCell ref="CO250:CO254"/>
    <mergeCell ref="CU280:CU286"/>
    <mergeCell ref="CV280:CV286"/>
    <mergeCell ref="CW280:CW286"/>
    <mergeCell ref="CX280:CX286"/>
    <mergeCell ref="CY317:CY320"/>
    <mergeCell ref="CX317:CX320"/>
    <mergeCell ref="DC317:DC320"/>
    <mergeCell ref="CF267:CF274"/>
    <mergeCell ref="CG267:CG274"/>
    <mergeCell ref="CM267:CM274"/>
    <mergeCell ref="CN267:CN274"/>
    <mergeCell ref="CZ267:CZ274"/>
    <mergeCell ref="CR256:CR257"/>
    <mergeCell ref="DB317:DB320"/>
    <mergeCell ref="CT317:CT320"/>
    <mergeCell ref="CU317:CU320"/>
    <mergeCell ref="CH317:CH320"/>
    <mergeCell ref="CI317:CI320"/>
    <mergeCell ref="CJ317:CJ320"/>
    <mergeCell ref="CK317:CK320"/>
    <mergeCell ref="CL317:CL320"/>
    <mergeCell ref="CV250:CV254"/>
    <mergeCell ref="CS256:CS257"/>
    <mergeCell ref="CT256:CT257"/>
    <mergeCell ref="CW250:CW254"/>
    <mergeCell ref="CX250:CX254"/>
    <mergeCell ref="CX267:CX274"/>
    <mergeCell ref="CS267:CS274"/>
    <mergeCell ref="CT267:CT274"/>
    <mergeCell ref="CJ267:CJ274"/>
    <mergeCell ref="CU233:CU241"/>
    <mergeCell ref="CR233:CR241"/>
    <mergeCell ref="CR250:CR254"/>
    <mergeCell ref="CK233:CK241"/>
    <mergeCell ref="CL233:CL241"/>
    <mergeCell ref="CM233:CM241"/>
    <mergeCell ref="CH233:CH241"/>
    <mergeCell ref="CY256:CY257"/>
    <mergeCell ref="CH250:CH254"/>
    <mergeCell ref="CT250:CT254"/>
    <mergeCell ref="CL250:CL254"/>
    <mergeCell ref="CP233:CP241"/>
    <mergeCell ref="CK267:CK274"/>
    <mergeCell ref="CL267:CL274"/>
    <mergeCell ref="CP317:CP320"/>
    <mergeCell ref="CR350:CR355"/>
    <mergeCell ref="CM350:CM355"/>
    <mergeCell ref="CY350:CY355"/>
    <mergeCell ref="CW350:CW355"/>
    <mergeCell ref="CU250:CU254"/>
    <mergeCell ref="CO256:CO257"/>
    <mergeCell ref="CO233:CO241"/>
    <mergeCell ref="CI233:CI241"/>
    <mergeCell ref="CJ233:CJ241"/>
    <mergeCell ref="CI250:CI254"/>
    <mergeCell ref="CN250:CN254"/>
    <mergeCell ref="BT280:BT286"/>
    <mergeCell ref="DI250:DI254"/>
    <mergeCell ref="DA233:DA241"/>
    <mergeCell ref="CU256:CU257"/>
    <mergeCell ref="CV256:CV257"/>
    <mergeCell ref="CS233:CS241"/>
    <mergeCell ref="CX233:CX241"/>
    <mergeCell ref="DI233:DI241"/>
    <mergeCell ref="CS250:CS254"/>
    <mergeCell ref="DH250:DH254"/>
    <mergeCell ref="DB256:DB257"/>
    <mergeCell ref="DC256:DC257"/>
    <mergeCell ref="DD250:DD254"/>
    <mergeCell ref="DB233:DB241"/>
    <mergeCell ref="DF256:DF257"/>
    <mergeCell ref="DG256:DG257"/>
    <mergeCell ref="DH256:DH257"/>
    <mergeCell ref="DF233:DF241"/>
    <mergeCell ref="DG233:DG241"/>
    <mergeCell ref="CV233:CV241"/>
    <mergeCell ref="CZ233:CZ241"/>
    <mergeCell ref="CT233:CT241"/>
    <mergeCell ref="DA256:DA257"/>
    <mergeCell ref="CZ256:CZ257"/>
    <mergeCell ref="CW256:CW257"/>
    <mergeCell ref="CX256:CX257"/>
    <mergeCell ref="DB250:DB254"/>
    <mergeCell ref="DC250:DC254"/>
    <mergeCell ref="CW233:CW241"/>
    <mergeCell ref="CY233:CY241"/>
    <mergeCell ref="CY250:CY254"/>
    <mergeCell ref="DG250:DG254"/>
    <mergeCell ref="BY329:BY338"/>
    <mergeCell ref="BU233:BU241"/>
    <mergeCell ref="BV233:BV241"/>
    <mergeCell ref="BU329:BU338"/>
    <mergeCell ref="BW317:BW320"/>
    <mergeCell ref="CB256:CB257"/>
    <mergeCell ref="BX256:BX257"/>
    <mergeCell ref="BY256:BY257"/>
    <mergeCell ref="BN280:BN286"/>
    <mergeCell ref="BX250:BX254"/>
    <mergeCell ref="BZ250:BZ254"/>
    <mergeCell ref="BZ256:BZ257"/>
    <mergeCell ref="CA256:CA257"/>
    <mergeCell ref="CB233:CB241"/>
    <mergeCell ref="CE233:CE241"/>
    <mergeCell ref="CH267:CH274"/>
    <mergeCell ref="CH256:CH257"/>
    <mergeCell ref="BW233:BW241"/>
    <mergeCell ref="BX233:BX241"/>
    <mergeCell ref="BY233:BY241"/>
    <mergeCell ref="BZ233:BZ241"/>
    <mergeCell ref="CA233:CA241"/>
    <mergeCell ref="CD256:CD257"/>
    <mergeCell ref="CE256:CE257"/>
    <mergeCell ref="CF256:CF257"/>
    <mergeCell ref="CG256:CG257"/>
    <mergeCell ref="CH329:CH338"/>
    <mergeCell ref="CB329:CB338"/>
    <mergeCell ref="BW250:BW254"/>
    <mergeCell ref="BY250:BY254"/>
    <mergeCell ref="BU280:BU286"/>
    <mergeCell ref="BP256:BP257"/>
    <mergeCell ref="BK256:BK257"/>
    <mergeCell ref="BP280:BP286"/>
    <mergeCell ref="BZ329:BZ338"/>
    <mergeCell ref="CB317:CB320"/>
    <mergeCell ref="BV250:BV254"/>
    <mergeCell ref="CJ256:CJ257"/>
    <mergeCell ref="BG267:BG274"/>
    <mergeCell ref="BK280:BK286"/>
    <mergeCell ref="BL280:BL286"/>
    <mergeCell ref="BU256:BU257"/>
    <mergeCell ref="BT267:BT274"/>
    <mergeCell ref="BU267:BU274"/>
    <mergeCell ref="BM267:BM274"/>
    <mergeCell ref="BV267:BV274"/>
    <mergeCell ref="BV256:BV257"/>
    <mergeCell ref="BW256:BW257"/>
    <mergeCell ref="BZ280:BZ286"/>
    <mergeCell ref="CA280:CA286"/>
    <mergeCell ref="BS317:BS320"/>
    <mergeCell ref="BS280:BS286"/>
    <mergeCell ref="BT329:BT338"/>
    <mergeCell ref="BV329:BV338"/>
    <mergeCell ref="BW329:BW338"/>
    <mergeCell ref="BX329:BX338"/>
    <mergeCell ref="BZ317:BZ320"/>
    <mergeCell ref="BX317:BX320"/>
    <mergeCell ref="BX280:BX286"/>
    <mergeCell ref="BI280:BI286"/>
    <mergeCell ref="CD250:CD254"/>
    <mergeCell ref="BM329:BM338"/>
    <mergeCell ref="BN329:BN338"/>
    <mergeCell ref="BN317:BN320"/>
    <mergeCell ref="BB256:BB257"/>
    <mergeCell ref="BF256:BF257"/>
    <mergeCell ref="BJ317:BJ320"/>
    <mergeCell ref="BK317:BK320"/>
    <mergeCell ref="BL317:BL320"/>
    <mergeCell ref="BG233:BG241"/>
    <mergeCell ref="BH267:BH274"/>
    <mergeCell ref="BF267:BF274"/>
    <mergeCell ref="BD233:BD241"/>
    <mergeCell ref="BN267:BN274"/>
    <mergeCell ref="BQ256:BQ257"/>
    <mergeCell ref="BQ250:BQ254"/>
    <mergeCell ref="BQ267:BQ274"/>
    <mergeCell ref="BP233:BP241"/>
    <mergeCell ref="BT233:BT241"/>
    <mergeCell ref="BR267:BR274"/>
    <mergeCell ref="BG256:BG257"/>
    <mergeCell ref="BH256:BH257"/>
    <mergeCell ref="BI256:BI257"/>
    <mergeCell ref="BT256:BT257"/>
    <mergeCell ref="BR233:BR241"/>
    <mergeCell ref="BS233:BS241"/>
    <mergeCell ref="BL267:BL274"/>
    <mergeCell ref="BJ256:BJ257"/>
    <mergeCell ref="BJ267:BJ274"/>
    <mergeCell ref="BK267:BK274"/>
    <mergeCell ref="BM233:BM241"/>
    <mergeCell ref="BQ233:BQ241"/>
    <mergeCell ref="BN233:BN241"/>
    <mergeCell ref="BS267:BS274"/>
    <mergeCell ref="BG250:BG254"/>
    <mergeCell ref="BL250:BL254"/>
    <mergeCell ref="AM64:AM66"/>
    <mergeCell ref="AX250:AX254"/>
    <mergeCell ref="AY250:AY254"/>
    <mergeCell ref="AZ250:AZ254"/>
    <mergeCell ref="BF233:BF241"/>
    <mergeCell ref="BF125:BF128"/>
    <mergeCell ref="AX256:AX257"/>
    <mergeCell ref="BP317:BP320"/>
    <mergeCell ref="BQ317:BQ320"/>
    <mergeCell ref="CM256:CM257"/>
    <mergeCell ref="CN256:CN257"/>
    <mergeCell ref="BP267:BP274"/>
    <mergeCell ref="BN250:BN254"/>
    <mergeCell ref="CL256:CL257"/>
    <mergeCell ref="CJ250:CJ254"/>
    <mergeCell ref="CK250:CK254"/>
    <mergeCell ref="CK256:CK257"/>
    <mergeCell ref="CD267:CD274"/>
    <mergeCell ref="BV280:BV286"/>
    <mergeCell ref="BW280:BW286"/>
    <mergeCell ref="BP250:BP254"/>
    <mergeCell ref="BR256:BR257"/>
    <mergeCell ref="BS256:BS257"/>
    <mergeCell ref="BS250:BS254"/>
    <mergeCell ref="BR250:BR254"/>
    <mergeCell ref="BU317:BU320"/>
    <mergeCell ref="BQ280:BQ286"/>
    <mergeCell ref="BT317:BT320"/>
    <mergeCell ref="BE267:BE274"/>
    <mergeCell ref="AY267:AY274"/>
    <mergeCell ref="BL256:BL257"/>
    <mergeCell ref="BM256:BM257"/>
    <mergeCell ref="AV22:AV23"/>
    <mergeCell ref="AW22:AW23"/>
    <mergeCell ref="AW250:AW254"/>
    <mergeCell ref="BK125:BK128"/>
    <mergeCell ref="AV187:AV191"/>
    <mergeCell ref="BB125:BB128"/>
    <mergeCell ref="BC125:BC128"/>
    <mergeCell ref="BD125:BD128"/>
    <mergeCell ref="BE125:BE128"/>
    <mergeCell ref="AS187:AS191"/>
    <mergeCell ref="BI250:BI254"/>
    <mergeCell ref="BC187:BC191"/>
    <mergeCell ref="BD187:BD191"/>
    <mergeCell ref="BE187:BE191"/>
    <mergeCell ref="BF187:BF191"/>
    <mergeCell ref="BG187:BG191"/>
    <mergeCell ref="BH187:BH191"/>
    <mergeCell ref="BH250:BH254"/>
    <mergeCell ref="BK187:BK191"/>
    <mergeCell ref="AX125:AX128"/>
    <mergeCell ref="AY125:AY128"/>
    <mergeCell ref="AZ125:AZ128"/>
    <mergeCell ref="BJ125:BJ128"/>
    <mergeCell ref="AW187:AW191"/>
    <mergeCell ref="AX187:AX191"/>
    <mergeCell ref="AY187:AY191"/>
    <mergeCell ref="AZ187:AZ191"/>
    <mergeCell ref="BB187:BB191"/>
    <mergeCell ref="BG203:BG205"/>
    <mergeCell ref="BH203:BH205"/>
    <mergeCell ref="BK203:BK205"/>
    <mergeCell ref="AN280:AN286"/>
    <mergeCell ref="AM317:AM320"/>
    <mergeCell ref="AT280:AT286"/>
    <mergeCell ref="AL250:AL254"/>
    <mergeCell ref="AI250:AI254"/>
    <mergeCell ref="AG233:AG241"/>
    <mergeCell ref="AF233:AF241"/>
    <mergeCell ref="AI280:AI286"/>
    <mergeCell ref="AB192:AB195"/>
    <mergeCell ref="AH280:AH286"/>
    <mergeCell ref="AE250:AE254"/>
    <mergeCell ref="AF250:AF254"/>
    <mergeCell ref="AD233:AD241"/>
    <mergeCell ref="AD250:AD254"/>
    <mergeCell ref="AM256:AM257"/>
    <mergeCell ref="AS280:AS286"/>
    <mergeCell ref="AL317:AL320"/>
    <mergeCell ref="AM287:AM288"/>
    <mergeCell ref="AQ203:AQ205"/>
    <mergeCell ref="AR203:AR205"/>
    <mergeCell ref="AS203:AS205"/>
    <mergeCell ref="AT203:AT205"/>
    <mergeCell ref="AS250:AS254"/>
    <mergeCell ref="AT267:AT274"/>
    <mergeCell ref="AM267:AM274"/>
    <mergeCell ref="AL267:AL274"/>
    <mergeCell ref="AQ317:AQ320"/>
    <mergeCell ref="W446:W448"/>
    <mergeCell ref="Y446:Y448"/>
    <mergeCell ref="Z425:Z436"/>
    <mergeCell ref="B267:B274"/>
    <mergeCell ref="B280:B286"/>
    <mergeCell ref="B287:B288"/>
    <mergeCell ref="B317:B320"/>
    <mergeCell ref="B329:B338"/>
    <mergeCell ref="B350:B355"/>
    <mergeCell ref="B256:B257"/>
    <mergeCell ref="AD329:AD338"/>
    <mergeCell ref="AE329:AE338"/>
    <mergeCell ref="AF329:AF338"/>
    <mergeCell ref="X256:X257"/>
    <mergeCell ref="Z256:Z257"/>
    <mergeCell ref="AF267:AF274"/>
    <mergeCell ref="AB446:AB448"/>
    <mergeCell ref="AA446:AA448"/>
    <mergeCell ref="X446:X448"/>
    <mergeCell ref="Y425:Y436"/>
    <mergeCell ref="X425:X436"/>
    <mergeCell ref="W350:W355"/>
    <mergeCell ref="Y350:Y355"/>
    <mergeCell ref="AA329:AA338"/>
    <mergeCell ref="AB267:AB274"/>
    <mergeCell ref="W425:W436"/>
    <mergeCell ref="AF280:AF286"/>
    <mergeCell ref="AB256:AB257"/>
    <mergeCell ref="AD256:AD257"/>
    <mergeCell ref="AE256:AE257"/>
    <mergeCell ref="AB350:AB355"/>
    <mergeCell ref="AD350:AD355"/>
    <mergeCell ref="P76:P77"/>
    <mergeCell ref="Z329:Z338"/>
    <mergeCell ref="B233:B241"/>
    <mergeCell ref="AA350:AA355"/>
    <mergeCell ref="W233:W241"/>
    <mergeCell ref="X233:X241"/>
    <mergeCell ref="Y233:Y241"/>
    <mergeCell ref="Y317:Y320"/>
    <mergeCell ref="AA317:AA320"/>
    <mergeCell ref="W317:W320"/>
    <mergeCell ref="W267:W274"/>
    <mergeCell ref="X350:X355"/>
    <mergeCell ref="Z350:Z355"/>
    <mergeCell ref="W256:W257"/>
    <mergeCell ref="AA256:AA257"/>
    <mergeCell ref="AA343:AA347"/>
    <mergeCell ref="Y343:Y347"/>
    <mergeCell ref="Y267:Y274"/>
    <mergeCell ref="Z267:Z274"/>
    <mergeCell ref="Z343:Z347"/>
    <mergeCell ref="X250:X254"/>
    <mergeCell ref="B192:B195"/>
    <mergeCell ref="W192:W195"/>
    <mergeCell ref="X192:X195"/>
    <mergeCell ref="Y192:Y195"/>
    <mergeCell ref="Z192:Z195"/>
    <mergeCell ref="AA192:AA195"/>
    <mergeCell ref="Z280:Z285"/>
    <mergeCell ref="Z317:Z320"/>
    <mergeCell ref="Y329:Y338"/>
    <mergeCell ref="Y256:Y257"/>
    <mergeCell ref="AA280:AA288"/>
    <mergeCell ref="X280:X285"/>
    <mergeCell ref="Y280:Y288"/>
    <mergeCell ref="AG280:AG286"/>
    <mergeCell ref="Y311:Y315"/>
    <mergeCell ref="AI256:AI257"/>
    <mergeCell ref="AH250:AH254"/>
    <mergeCell ref="AB250:AB253"/>
    <mergeCell ref="AB329:AB338"/>
    <mergeCell ref="AG329:AG338"/>
    <mergeCell ref="AH329:AH338"/>
    <mergeCell ref="W343:W347"/>
    <mergeCell ref="W328:W339"/>
    <mergeCell ref="W280:W288"/>
    <mergeCell ref="X343:X347"/>
    <mergeCell ref="Z233:Z241"/>
    <mergeCell ref="AB233:AB241"/>
    <mergeCell ref="X267:X274"/>
    <mergeCell ref="AG250:AG254"/>
    <mergeCell ref="AG256:AG257"/>
    <mergeCell ref="AH256:AH257"/>
    <mergeCell ref="AE317:AE320"/>
    <mergeCell ref="AH317:AH320"/>
    <mergeCell ref="AF287:AF288"/>
    <mergeCell ref="AN5:AN6"/>
    <mergeCell ref="AJ5:AJ6"/>
    <mergeCell ref="AL5:AL6"/>
    <mergeCell ref="AM5:AM6"/>
    <mergeCell ref="AD5:AD6"/>
    <mergeCell ref="AE5:AE6"/>
    <mergeCell ref="AF5:AF6"/>
    <mergeCell ref="AG5:AG6"/>
    <mergeCell ref="U5:U6"/>
    <mergeCell ref="D5:D6"/>
    <mergeCell ref="H5:H6"/>
    <mergeCell ref="Y5:Y6"/>
    <mergeCell ref="AI233:AI241"/>
    <mergeCell ref="X329:X338"/>
    <mergeCell ref="AB259:AB262"/>
    <mergeCell ref="AE267:AE274"/>
    <mergeCell ref="AH267:AH274"/>
    <mergeCell ref="AI267:AI274"/>
    <mergeCell ref="L5:L6"/>
    <mergeCell ref="O5:O6"/>
    <mergeCell ref="W5:W6"/>
    <mergeCell ref="X5:X6"/>
    <mergeCell ref="Q5:Q6"/>
    <mergeCell ref="R5:R6"/>
    <mergeCell ref="Z29:Z33"/>
    <mergeCell ref="N5:N6"/>
    <mergeCell ref="AB11:AB12"/>
    <mergeCell ref="AA5:AA6"/>
    <mergeCell ref="X317:X320"/>
    <mergeCell ref="AD267:AD274"/>
    <mergeCell ref="X17:X18"/>
    <mergeCell ref="Z17:Z18"/>
    <mergeCell ref="F5:F6"/>
    <mergeCell ref="Y250:Y254"/>
    <mergeCell ref="AE233:AE241"/>
    <mergeCell ref="AL233:AL241"/>
    <mergeCell ref="W250:W254"/>
    <mergeCell ref="Z250:Z254"/>
    <mergeCell ref="S76:S77"/>
    <mergeCell ref="U76:U77"/>
    <mergeCell ref="Q76:Q77"/>
    <mergeCell ref="B250:B254"/>
    <mergeCell ref="R76:R77"/>
    <mergeCell ref="L76:L77"/>
    <mergeCell ref="B64:B66"/>
    <mergeCell ref="X64:X66"/>
    <mergeCell ref="AH64:AH66"/>
    <mergeCell ref="AG64:AG66"/>
    <mergeCell ref="W64:W66"/>
    <mergeCell ref="T5:T6"/>
    <mergeCell ref="C5:C6"/>
    <mergeCell ref="B5:B6"/>
    <mergeCell ref="B125:B128"/>
    <mergeCell ref="Y17:Y18"/>
    <mergeCell ref="B203:B205"/>
    <mergeCell ref="AD203:AD205"/>
    <mergeCell ref="AE203:AE205"/>
    <mergeCell ref="AF203:AF205"/>
    <mergeCell ref="AG203:AG205"/>
    <mergeCell ref="AH203:AH205"/>
    <mergeCell ref="AI203:AI205"/>
    <mergeCell ref="M76:M77"/>
    <mergeCell ref="N76:N77"/>
    <mergeCell ref="O76:O77"/>
    <mergeCell ref="AP4:DJ4"/>
    <mergeCell ref="CP5:CP6"/>
    <mergeCell ref="DD5:DD6"/>
    <mergeCell ref="AJ11:AJ12"/>
    <mergeCell ref="W17:W18"/>
    <mergeCell ref="DJ5:DJ6"/>
    <mergeCell ref="DF5:DH5"/>
    <mergeCell ref="AH5:AH6"/>
    <mergeCell ref="P5:P6"/>
    <mergeCell ref="Z5:Z6"/>
    <mergeCell ref="G5:G6"/>
    <mergeCell ref="J5:J6"/>
    <mergeCell ref="I5:I6"/>
    <mergeCell ref="M5:M6"/>
    <mergeCell ref="AR11:AR12"/>
    <mergeCell ref="AA14:AA15"/>
    <mergeCell ref="AB14:AB15"/>
    <mergeCell ref="AP14:AP15"/>
    <mergeCell ref="AV14:AV15"/>
    <mergeCell ref="AX11:AX12"/>
    <mergeCell ref="AV11:AV12"/>
    <mergeCell ref="AY11:AY12"/>
    <mergeCell ref="AA11:AA12"/>
    <mergeCell ref="AI5:AI6"/>
    <mergeCell ref="AT11:AT12"/>
    <mergeCell ref="D4:J4"/>
    <mergeCell ref="AD4:AJ4"/>
    <mergeCell ref="AL4:AN4"/>
    <mergeCell ref="W4:AB4"/>
    <mergeCell ref="L4:U4"/>
    <mergeCell ref="S5:S6"/>
    <mergeCell ref="AB5:AB6"/>
    <mergeCell ref="W29:W33"/>
    <mergeCell ref="Y29:Y33"/>
    <mergeCell ref="AF256:AF257"/>
    <mergeCell ref="AJ233:AJ241"/>
    <mergeCell ref="Y64:Y66"/>
    <mergeCell ref="AF64:AF66"/>
    <mergeCell ref="AJ250:AJ254"/>
    <mergeCell ref="AB220:AB223"/>
    <mergeCell ref="Z64:Z66"/>
    <mergeCell ref="AA64:AA66"/>
    <mergeCell ref="AL256:AL257"/>
    <mergeCell ref="AM40:AM41"/>
    <mergeCell ref="AN233:AN241"/>
    <mergeCell ref="AM250:AM254"/>
    <mergeCell ref="AM233:AM241"/>
    <mergeCell ref="AN250:AN254"/>
    <mergeCell ref="AJ125:AJ128"/>
    <mergeCell ref="AI64:AI66"/>
    <mergeCell ref="X29:X33"/>
    <mergeCell ref="AE64:AE66"/>
    <mergeCell ref="AD64:AD66"/>
    <mergeCell ref="AD192:AD195"/>
    <mergeCell ref="AE192:AE195"/>
    <mergeCell ref="AF192:AF195"/>
    <mergeCell ref="AG192:AG195"/>
    <mergeCell ref="AN64:AN66"/>
    <mergeCell ref="AN256:AN257"/>
    <mergeCell ref="AM203:AM205"/>
    <mergeCell ref="AN203:AN205"/>
    <mergeCell ref="AL203:AL205"/>
    <mergeCell ref="AJ56:AJ60"/>
    <mergeCell ref="AJ183:AJ184"/>
    <mergeCell ref="AZ317:AZ320"/>
    <mergeCell ref="BI267:BI274"/>
    <mergeCell ref="AP329:AP338"/>
    <mergeCell ref="AQ329:AQ338"/>
    <mergeCell ref="AT329:AT338"/>
    <mergeCell ref="AW267:AW274"/>
    <mergeCell ref="AQ267:AQ274"/>
    <mergeCell ref="AR267:AR274"/>
    <mergeCell ref="AP250:AP254"/>
    <mergeCell ref="AQ187:AQ191"/>
    <mergeCell ref="AS256:AS257"/>
    <mergeCell ref="BM250:BM254"/>
    <mergeCell ref="AY256:AY257"/>
    <mergeCell ref="AY233:AY241"/>
    <mergeCell ref="AU233:AU241"/>
    <mergeCell ref="BH317:BH320"/>
    <mergeCell ref="BI317:BI320"/>
    <mergeCell ref="AY280:AY286"/>
    <mergeCell ref="AV250:AV254"/>
    <mergeCell ref="BC317:BC320"/>
    <mergeCell ref="BE317:BE320"/>
    <mergeCell ref="AR250:AR254"/>
    <mergeCell ref="BB267:BB274"/>
    <mergeCell ref="AV267:AV274"/>
    <mergeCell ref="BC267:BC274"/>
    <mergeCell ref="BK250:BK254"/>
    <mergeCell ref="AU317:AU320"/>
    <mergeCell ref="AW233:AW241"/>
    <mergeCell ref="AW280:AW286"/>
    <mergeCell ref="AQ250:AQ254"/>
    <mergeCell ref="AT187:AT191"/>
    <mergeCell ref="AU187:AU191"/>
    <mergeCell ref="AZ267:AZ274"/>
    <mergeCell ref="BB233:BB241"/>
    <mergeCell ref="AQ256:AQ257"/>
    <mergeCell ref="AR14:AR15"/>
    <mergeCell ref="AS14:AS15"/>
    <mergeCell ref="AT14:AT15"/>
    <mergeCell ref="AW14:AW15"/>
    <mergeCell ref="AP5:AY5"/>
    <mergeCell ref="AV233:AV241"/>
    <mergeCell ref="AZ256:AZ257"/>
    <mergeCell ref="BJ250:BJ254"/>
    <mergeCell ref="BH233:BH241"/>
    <mergeCell ref="AS233:AS241"/>
    <mergeCell ref="BC250:BC254"/>
    <mergeCell ref="AW256:AW257"/>
    <mergeCell ref="BI187:BI191"/>
    <mergeCell ref="AX17:AX18"/>
    <mergeCell ref="BC256:BC257"/>
    <mergeCell ref="AZ17:AZ18"/>
    <mergeCell ref="AT250:AT254"/>
    <mergeCell ref="AU250:AU254"/>
    <mergeCell ref="BC233:BC241"/>
    <mergeCell ref="AR256:AR257"/>
    <mergeCell ref="AR233:AR241"/>
    <mergeCell ref="AP267:AP274"/>
    <mergeCell ref="AP256:AP257"/>
    <mergeCell ref="AP233:AP241"/>
    <mergeCell ref="AU267:AU274"/>
    <mergeCell ref="AZ22:AZ23"/>
    <mergeCell ref="AX22:AX23"/>
    <mergeCell ref="AW125:AW128"/>
    <mergeCell ref="AU22:AU23"/>
    <mergeCell ref="AU329:AU338"/>
    <mergeCell ref="AZ5:AZ6"/>
    <mergeCell ref="CD5:CO5"/>
    <mergeCell ref="AU14:AU15"/>
    <mergeCell ref="BN5:BN6"/>
    <mergeCell ref="AQ14:AQ15"/>
    <mergeCell ref="AZ20:AZ21"/>
    <mergeCell ref="AT22:AT23"/>
    <mergeCell ref="AR17:AR18"/>
    <mergeCell ref="AU17:AU18"/>
    <mergeCell ref="AQ22:AQ23"/>
    <mergeCell ref="AR22:AR23"/>
    <mergeCell ref="BG192:BG195"/>
    <mergeCell ref="BH192:BH195"/>
    <mergeCell ref="CG233:CG241"/>
    <mergeCell ref="CF250:CF254"/>
    <mergeCell ref="CG250:CG254"/>
    <mergeCell ref="BM192:BM195"/>
    <mergeCell ref="BN192:BN195"/>
    <mergeCell ref="BP192:BP195"/>
    <mergeCell ref="AW11:AW12"/>
    <mergeCell ref="AY20:AY21"/>
    <mergeCell ref="BU125:BU128"/>
    <mergeCell ref="BM187:BM191"/>
    <mergeCell ref="AS20:AS21"/>
    <mergeCell ref="BI233:BI241"/>
    <mergeCell ref="AT20:AT21"/>
    <mergeCell ref="AU20:AU21"/>
    <mergeCell ref="BP125:BP128"/>
    <mergeCell ref="BQ125:BQ128"/>
    <mergeCell ref="BR125:BR128"/>
    <mergeCell ref="BS125:BS128"/>
    <mergeCell ref="AV280:AV286"/>
    <mergeCell ref="AX317:AX320"/>
    <mergeCell ref="BB317:BB320"/>
    <mergeCell ref="AT256:AT257"/>
    <mergeCell ref="AP280:AP286"/>
    <mergeCell ref="AQ233:AQ241"/>
    <mergeCell ref="DI5:DI6"/>
    <mergeCell ref="AS11:AS12"/>
    <mergeCell ref="AU11:AU12"/>
    <mergeCell ref="AQ11:AQ12"/>
    <mergeCell ref="AY22:AY23"/>
    <mergeCell ref="CR5:DC5"/>
    <mergeCell ref="AY14:AY15"/>
    <mergeCell ref="AZ14:AZ15"/>
    <mergeCell ref="AZ11:AZ12"/>
    <mergeCell ref="CB5:CB6"/>
    <mergeCell ref="AP11:AP12"/>
    <mergeCell ref="AV17:AV18"/>
    <mergeCell ref="AW17:AW18"/>
    <mergeCell ref="AP20:AP21"/>
    <mergeCell ref="AQ20:AQ21"/>
    <mergeCell ref="AR20:AR21"/>
    <mergeCell ref="AP22:AP23"/>
    <mergeCell ref="BP5:CA5"/>
    <mergeCell ref="AV317:AV320"/>
    <mergeCell ref="AX14:AX15"/>
    <mergeCell ref="BB5:BM5"/>
    <mergeCell ref="AV20:AV21"/>
    <mergeCell ref="AW20:AW21"/>
    <mergeCell ref="AX20:AX21"/>
    <mergeCell ref="BT250:BT254"/>
    <mergeCell ref="BU250:BU254"/>
    <mergeCell ref="AE350:AE355"/>
    <mergeCell ref="AF317:AF320"/>
    <mergeCell ref="AE287:AE288"/>
    <mergeCell ref="AB343:AB347"/>
    <mergeCell ref="AN317:AN320"/>
    <mergeCell ref="AG317:AG320"/>
    <mergeCell ref="AJ317:AJ320"/>
    <mergeCell ref="AG287:AG288"/>
    <mergeCell ref="AP350:AP355"/>
    <mergeCell ref="AQ350:AQ355"/>
    <mergeCell ref="AI317:AI320"/>
    <mergeCell ref="AF350:AF355"/>
    <mergeCell ref="AG350:AG355"/>
    <mergeCell ref="AP317:AP320"/>
    <mergeCell ref="AI329:AI338"/>
    <mergeCell ref="AH350:AH355"/>
    <mergeCell ref="AM350:AM355"/>
    <mergeCell ref="AJ329:AJ338"/>
    <mergeCell ref="AJ287:AJ288"/>
    <mergeCell ref="AL287:AL288"/>
    <mergeCell ref="AL329:AL338"/>
    <mergeCell ref="AM329:AM338"/>
    <mergeCell ref="AN329:AN338"/>
    <mergeCell ref="AB425:AB436"/>
    <mergeCell ref="BV317:BV320"/>
    <mergeCell ref="AV256:AV257"/>
    <mergeCell ref="AG267:AG274"/>
    <mergeCell ref="AJ267:AJ274"/>
    <mergeCell ref="AA425:AA436"/>
    <mergeCell ref="AD317:AD320"/>
    <mergeCell ref="AT233:AT241"/>
    <mergeCell ref="AR317:AR320"/>
    <mergeCell ref="AS317:AS320"/>
    <mergeCell ref="AS267:AS274"/>
    <mergeCell ref="AR280:AR286"/>
    <mergeCell ref="AQ280:AQ286"/>
    <mergeCell ref="AN287:AN288"/>
    <mergeCell ref="AT317:AT320"/>
    <mergeCell ref="AN267:AN274"/>
    <mergeCell ref="AJ280:AJ286"/>
    <mergeCell ref="AL280:AL286"/>
    <mergeCell ref="AD287:AD288"/>
    <mergeCell ref="AH287:AH288"/>
    <mergeCell ref="AI287:AI288"/>
    <mergeCell ref="AD280:AD286"/>
    <mergeCell ref="AE280:AE286"/>
    <mergeCell ref="AI350:AI355"/>
    <mergeCell ref="AJ350:AJ355"/>
    <mergeCell ref="AL350:AL355"/>
    <mergeCell ref="AM280:AM286"/>
    <mergeCell ref="AT350:AT355"/>
    <mergeCell ref="BM317:BM320"/>
    <mergeCell ref="BL329:BL338"/>
    <mergeCell ref="AN350:AN355"/>
    <mergeCell ref="AB317:AB320"/>
    <mergeCell ref="DR5:DR6"/>
    <mergeCell ref="DR11:DR12"/>
    <mergeCell ref="DR40:DR41"/>
    <mergeCell ref="DR250:DR254"/>
    <mergeCell ref="DR256:DR257"/>
    <mergeCell ref="DR233:DR241"/>
    <mergeCell ref="DR267:DR274"/>
    <mergeCell ref="DR280:DR286"/>
    <mergeCell ref="BX267:BX274"/>
    <mergeCell ref="CB267:CB274"/>
    <mergeCell ref="CQ250:CQ254"/>
    <mergeCell ref="CP250:CP254"/>
    <mergeCell ref="CF233:CF241"/>
    <mergeCell ref="DQ17:DQ18"/>
    <mergeCell ref="DR17:DR18"/>
    <mergeCell ref="DR20:DR21"/>
    <mergeCell ref="DR14:DR15"/>
    <mergeCell ref="CA250:CA254"/>
    <mergeCell ref="BZ267:BZ274"/>
    <mergeCell ref="CA267:CA274"/>
    <mergeCell ref="CN233:CN241"/>
    <mergeCell ref="DR22:DR23"/>
    <mergeCell ref="BZ125:BZ128"/>
    <mergeCell ref="CA125:CA128"/>
    <mergeCell ref="CB125:CB128"/>
    <mergeCell ref="CD233:CD241"/>
    <mergeCell ref="CE250:CE254"/>
    <mergeCell ref="BY267:BY274"/>
    <mergeCell ref="CI267:CI274"/>
    <mergeCell ref="CI256:CI257"/>
    <mergeCell ref="CZ250:CZ254"/>
    <mergeCell ref="DF250:DF254"/>
    <mergeCell ref="B40:B41"/>
    <mergeCell ref="AS22:AS23"/>
    <mergeCell ref="AV329:AV338"/>
    <mergeCell ref="AX329:AX338"/>
    <mergeCell ref="AZ280:AZ286"/>
    <mergeCell ref="BR280:BR286"/>
    <mergeCell ref="BH280:BH286"/>
    <mergeCell ref="BG317:BG320"/>
    <mergeCell ref="BB250:BB254"/>
    <mergeCell ref="BE233:BE241"/>
    <mergeCell ref="BR317:BR320"/>
    <mergeCell ref="BG280:BG286"/>
    <mergeCell ref="BC280:BC286"/>
    <mergeCell ref="BE280:BE286"/>
    <mergeCell ref="AU256:AU257"/>
    <mergeCell ref="BB280:BB286"/>
    <mergeCell ref="BF280:BF286"/>
    <mergeCell ref="AW329:AW338"/>
    <mergeCell ref="AW317:AW320"/>
    <mergeCell ref="BF317:BF320"/>
    <mergeCell ref="AX233:AX241"/>
    <mergeCell ref="BK233:BK241"/>
    <mergeCell ref="AZ233:AZ241"/>
    <mergeCell ref="AX280:AX286"/>
    <mergeCell ref="BL233:BL241"/>
    <mergeCell ref="BJ280:BJ286"/>
    <mergeCell ref="BJ233:BJ241"/>
    <mergeCell ref="BF329:BF338"/>
    <mergeCell ref="BM280:BM286"/>
    <mergeCell ref="AR329:AR338"/>
    <mergeCell ref="AU280:AU286"/>
    <mergeCell ref="BO250:BO254"/>
    <mergeCell ref="AA17:AA18"/>
    <mergeCell ref="AB17:AB18"/>
    <mergeCell ref="AJ17:AJ18"/>
    <mergeCell ref="AP17:AP18"/>
    <mergeCell ref="AQ17:AQ18"/>
    <mergeCell ref="AS17:AS18"/>
    <mergeCell ref="AT17:AT18"/>
    <mergeCell ref="BL125:BL128"/>
    <mergeCell ref="BM125:BM128"/>
    <mergeCell ref="BN125:BN128"/>
    <mergeCell ref="AL64:AL66"/>
    <mergeCell ref="AY17:AY18"/>
    <mergeCell ref="AH192:AH195"/>
    <mergeCell ref="AI192:AI195"/>
    <mergeCell ref="AL192:AL195"/>
    <mergeCell ref="AM192:AM195"/>
    <mergeCell ref="AN192:AN195"/>
    <mergeCell ref="AP192:AP195"/>
    <mergeCell ref="BC192:BC195"/>
    <mergeCell ref="BD192:BD195"/>
    <mergeCell ref="BE192:BE195"/>
    <mergeCell ref="BF192:BF195"/>
    <mergeCell ref="AL125:AL128"/>
    <mergeCell ref="AM125:AM128"/>
    <mergeCell ref="AN125:AN128"/>
    <mergeCell ref="AP125:AP128"/>
    <mergeCell ref="AQ125:AQ128"/>
    <mergeCell ref="AR125:AR128"/>
    <mergeCell ref="AS125:AS128"/>
    <mergeCell ref="AT125:AT128"/>
    <mergeCell ref="AU125:AU128"/>
    <mergeCell ref="AV125:AV128"/>
    <mergeCell ref="BT125:BT128"/>
    <mergeCell ref="BX125:BX128"/>
    <mergeCell ref="BV125:BV128"/>
    <mergeCell ref="BW125:BW128"/>
    <mergeCell ref="CL125:CL128"/>
    <mergeCell ref="CM125:CM128"/>
    <mergeCell ref="CN125:CN128"/>
    <mergeCell ref="CO125:CO128"/>
    <mergeCell ref="CI125:CI128"/>
    <mergeCell ref="CJ125:CJ128"/>
    <mergeCell ref="CP125:CP128"/>
    <mergeCell ref="CR125:CR128"/>
    <mergeCell ref="BG125:BG128"/>
    <mergeCell ref="BH125:BH128"/>
    <mergeCell ref="BI125:BI128"/>
    <mergeCell ref="CS125:CS128"/>
    <mergeCell ref="CT125:CT128"/>
    <mergeCell ref="CU125:CU128"/>
    <mergeCell ref="CV125:CV128"/>
    <mergeCell ref="CW125:CW128"/>
    <mergeCell ref="CD125:CD128"/>
    <mergeCell ref="CE125:CE128"/>
    <mergeCell ref="CF125:CF128"/>
    <mergeCell ref="CG125:CG128"/>
    <mergeCell ref="CH125:CH128"/>
    <mergeCell ref="BY125:BY128"/>
    <mergeCell ref="CK125:CK128"/>
    <mergeCell ref="CX125:CX128"/>
    <mergeCell ref="CY125:CY128"/>
    <mergeCell ref="CZ125:CZ128"/>
    <mergeCell ref="DA125:DA128"/>
    <mergeCell ref="DB125:DB128"/>
    <mergeCell ref="DC125:DC128"/>
    <mergeCell ref="DD125:DD128"/>
    <mergeCell ref="DF125:DF128"/>
    <mergeCell ref="DG125:DG128"/>
    <mergeCell ref="DH125:DH128"/>
    <mergeCell ref="DI125:DI128"/>
    <mergeCell ref="DJ125:DJ128"/>
    <mergeCell ref="DK125:DK128"/>
    <mergeCell ref="DL125:DL128"/>
    <mergeCell ref="DN125:DN128"/>
    <mergeCell ref="DO125:DO128"/>
    <mergeCell ref="DP125:DP128"/>
    <mergeCell ref="DQ125:DQ128"/>
    <mergeCell ref="DR125:DR128"/>
    <mergeCell ref="B132:B133"/>
    <mergeCell ref="AJ132:AJ133"/>
    <mergeCell ref="AM132:AM133"/>
    <mergeCell ref="AP132:AP133"/>
    <mergeCell ref="AQ132:AQ133"/>
    <mergeCell ref="AR132:AR133"/>
    <mergeCell ref="AS132:AS133"/>
    <mergeCell ref="AT132:AT133"/>
    <mergeCell ref="AU132:AU133"/>
    <mergeCell ref="AV132:AV133"/>
    <mergeCell ref="AW132:AW133"/>
    <mergeCell ref="AX132:AX133"/>
    <mergeCell ref="AY132:AY133"/>
    <mergeCell ref="CR132:CR133"/>
    <mergeCell ref="CS132:CS133"/>
    <mergeCell ref="CT132:CT133"/>
    <mergeCell ref="CU132:CU133"/>
    <mergeCell ref="CV132:CV133"/>
    <mergeCell ref="CW132:CW133"/>
    <mergeCell ref="CX132:CX133"/>
    <mergeCell ref="CY132:CY133"/>
    <mergeCell ref="CZ132:CZ133"/>
    <mergeCell ref="DA132:DA133"/>
    <mergeCell ref="DB132:DB133"/>
    <mergeCell ref="DC132:DC133"/>
    <mergeCell ref="DF132:DF133"/>
    <mergeCell ref="DG132:DG133"/>
    <mergeCell ref="DH132:DH133"/>
    <mergeCell ref="DK132:DK133"/>
    <mergeCell ref="DN132:DN133"/>
    <mergeCell ref="DO132:DO133"/>
    <mergeCell ref="DP132:DP133"/>
    <mergeCell ref="DQ132:DQ133"/>
    <mergeCell ref="DR132:DR133"/>
    <mergeCell ref="W151:W160"/>
    <mergeCell ref="X151:X160"/>
    <mergeCell ref="Y151:Y160"/>
    <mergeCell ref="Z151:Z160"/>
    <mergeCell ref="AA151:AA160"/>
    <mergeCell ref="AB151:AB160"/>
    <mergeCell ref="CA192:CA195"/>
    <mergeCell ref="BZ187:BZ191"/>
    <mergeCell ref="CA187:CA191"/>
    <mergeCell ref="CB187:CB191"/>
    <mergeCell ref="CD187:CD191"/>
    <mergeCell ref="CE187:CE191"/>
    <mergeCell ref="CF187:CF191"/>
    <mergeCell ref="CG187:CG191"/>
    <mergeCell ref="DN187:DN191"/>
    <mergeCell ref="DO187:DO191"/>
    <mergeCell ref="DP187:DP191"/>
    <mergeCell ref="CK187:CK191"/>
    <mergeCell ref="CL187:CL191"/>
    <mergeCell ref="B187:B191"/>
    <mergeCell ref="W187:W191"/>
    <mergeCell ref="X187:X191"/>
    <mergeCell ref="Y187:Y191"/>
    <mergeCell ref="Z187:Z191"/>
    <mergeCell ref="AA187:AA191"/>
    <mergeCell ref="AB187:AB191"/>
    <mergeCell ref="AD187:AD191"/>
    <mergeCell ref="AE187:AE191"/>
    <mergeCell ref="AF187:AF191"/>
    <mergeCell ref="AG187:AG191"/>
    <mergeCell ref="AH187:AH191"/>
    <mergeCell ref="AI187:AI191"/>
    <mergeCell ref="AL187:AL191"/>
    <mergeCell ref="AM187:AM191"/>
    <mergeCell ref="AN187:AN191"/>
    <mergeCell ref="AR187:AR191"/>
    <mergeCell ref="AP187:AP191"/>
    <mergeCell ref="BL187:BL191"/>
    <mergeCell ref="DA187:DA191"/>
    <mergeCell ref="DB187:DB191"/>
    <mergeCell ref="DC187:DC191"/>
    <mergeCell ref="DD187:DD191"/>
    <mergeCell ref="DI187:DI191"/>
    <mergeCell ref="DJ187:DJ191"/>
    <mergeCell ref="CZ192:CZ195"/>
    <mergeCell ref="DA192:DA195"/>
    <mergeCell ref="DH187:DH191"/>
    <mergeCell ref="DF187:DF191"/>
    <mergeCell ref="DI192:DI195"/>
    <mergeCell ref="DJ192:DJ195"/>
    <mergeCell ref="DH192:DH195"/>
    <mergeCell ref="DQ187:DQ191"/>
    <mergeCell ref="DR187:DR191"/>
    <mergeCell ref="AJ188:AJ191"/>
    <mergeCell ref="AQ192:AQ195"/>
    <mergeCell ref="AR192:AR195"/>
    <mergeCell ref="AS192:AS195"/>
    <mergeCell ref="AT192:AT195"/>
    <mergeCell ref="AU192:AU195"/>
    <mergeCell ref="AV192:AV195"/>
    <mergeCell ref="AW192:AW195"/>
    <mergeCell ref="AX192:AX195"/>
    <mergeCell ref="AY192:AY195"/>
    <mergeCell ref="BT187:BT191"/>
    <mergeCell ref="BU187:BU191"/>
    <mergeCell ref="BX187:BX191"/>
    <mergeCell ref="BV187:BV191"/>
    <mergeCell ref="BW187:BW191"/>
    <mergeCell ref="BY187:BY191"/>
    <mergeCell ref="BZ192:BZ195"/>
    <mergeCell ref="DN192:DN195"/>
    <mergeCell ref="DO192:DO195"/>
    <mergeCell ref="CU187:CU191"/>
    <mergeCell ref="CO187:CO191"/>
    <mergeCell ref="CP187:CP191"/>
    <mergeCell ref="CR187:CR191"/>
    <mergeCell ref="CS187:CS191"/>
    <mergeCell ref="CT187:CT191"/>
    <mergeCell ref="CM192:CM195"/>
    <mergeCell ref="CN192:CN195"/>
    <mergeCell ref="DR192:DR195"/>
    <mergeCell ref="AJ193:AJ195"/>
    <mergeCell ref="W200:W205"/>
    <mergeCell ref="X200:X205"/>
    <mergeCell ref="Y200:Y205"/>
    <mergeCell ref="AA200:AA205"/>
    <mergeCell ref="AB200:AB205"/>
    <mergeCell ref="AJ200:AJ205"/>
    <mergeCell ref="Z202:Z205"/>
    <mergeCell ref="AW203:AW205"/>
    <mergeCell ref="AX203:AX205"/>
    <mergeCell ref="AY203:AY205"/>
    <mergeCell ref="AZ203:AZ205"/>
    <mergeCell ref="BB203:BB205"/>
    <mergeCell ref="BC203:BC205"/>
    <mergeCell ref="BD203:BD205"/>
    <mergeCell ref="BE203:BE205"/>
    <mergeCell ref="BF203:BF205"/>
    <mergeCell ref="BI192:BI195"/>
    <mergeCell ref="BJ192:BJ195"/>
    <mergeCell ref="BK192:BK195"/>
    <mergeCell ref="BL192:BL195"/>
    <mergeCell ref="BQ192:BQ195"/>
    <mergeCell ref="BR192:BR195"/>
    <mergeCell ref="BS192:BS195"/>
    <mergeCell ref="BX192:BX195"/>
    <mergeCell ref="BY192:BY195"/>
    <mergeCell ref="DD203:DD205"/>
    <mergeCell ref="BT192:BT195"/>
    <mergeCell ref="BU192:BU195"/>
    <mergeCell ref="BV192:BV195"/>
    <mergeCell ref="BW192:BW195"/>
    <mergeCell ref="DG187:DG191"/>
    <mergeCell ref="BN187:BN191"/>
    <mergeCell ref="BP187:BP191"/>
    <mergeCell ref="BQ187:BQ191"/>
    <mergeCell ref="DB192:DB195"/>
    <mergeCell ref="DC192:DC195"/>
    <mergeCell ref="DD192:DD195"/>
    <mergeCell ref="DF192:DF195"/>
    <mergeCell ref="DG192:DG195"/>
    <mergeCell ref="CH187:CH191"/>
    <mergeCell ref="CI187:CI191"/>
    <mergeCell ref="CM187:CM191"/>
    <mergeCell ref="CN187:CN191"/>
    <mergeCell ref="CJ187:CJ191"/>
    <mergeCell ref="DF203:DF205"/>
    <mergeCell ref="DG203:DG205"/>
    <mergeCell ref="BW203:BW205"/>
    <mergeCell ref="CV187:CV191"/>
    <mergeCell ref="CW187:CW191"/>
    <mergeCell ref="CX187:CX191"/>
    <mergeCell ref="CY187:CY191"/>
    <mergeCell ref="CZ187:CZ191"/>
    <mergeCell ref="DH203:DH205"/>
    <mergeCell ref="CS203:CS205"/>
    <mergeCell ref="CU203:CU205"/>
    <mergeCell ref="CY203:CY205"/>
    <mergeCell ref="CU192:CU195"/>
    <mergeCell ref="CV192:CV195"/>
    <mergeCell ref="CW192:CW195"/>
    <mergeCell ref="BR187:BR191"/>
    <mergeCell ref="BS187:BS191"/>
    <mergeCell ref="CO192:CO195"/>
    <mergeCell ref="CP192:CP195"/>
    <mergeCell ref="CR192:CR195"/>
    <mergeCell ref="CS192:CS195"/>
    <mergeCell ref="CT192:CT195"/>
    <mergeCell ref="W210:W213"/>
    <mergeCell ref="X210:X213"/>
    <mergeCell ref="Y210:Y213"/>
    <mergeCell ref="AA210:AA213"/>
    <mergeCell ref="AB210:AB213"/>
    <mergeCell ref="BY203:BY205"/>
    <mergeCell ref="BZ203:BZ205"/>
    <mergeCell ref="CA203:CA205"/>
    <mergeCell ref="CB203:CB205"/>
    <mergeCell ref="CD203:CD205"/>
    <mergeCell ref="CE203:CE205"/>
    <mergeCell ref="CF203:CF205"/>
    <mergeCell ref="CG203:CG205"/>
    <mergeCell ref="CK203:CK205"/>
    <mergeCell ref="CL203:CL205"/>
    <mergeCell ref="CM203:CM205"/>
    <mergeCell ref="CN203:CN205"/>
    <mergeCell ref="BI203:BI205"/>
    <mergeCell ref="BL203:BL205"/>
    <mergeCell ref="BM203:BM205"/>
    <mergeCell ref="BN203:BN205"/>
    <mergeCell ref="BP203:BP205"/>
    <mergeCell ref="BQ203:BQ205"/>
    <mergeCell ref="BR203:BR205"/>
    <mergeCell ref="BS203:BS205"/>
    <mergeCell ref="BT203:BT205"/>
    <mergeCell ref="BJ203:BJ205"/>
    <mergeCell ref="BX203:BX205"/>
    <mergeCell ref="AP203:AP205"/>
    <mergeCell ref="AU203:AU205"/>
    <mergeCell ref="DI203:DI205"/>
    <mergeCell ref="CO203:CO205"/>
    <mergeCell ref="CP203:CP205"/>
    <mergeCell ref="AV203:AV205"/>
    <mergeCell ref="CB192:CB195"/>
    <mergeCell ref="CD192:CD195"/>
    <mergeCell ref="AZ192:AZ195"/>
    <mergeCell ref="BB192:BB195"/>
    <mergeCell ref="CX192:CX195"/>
    <mergeCell ref="CY192:CY195"/>
    <mergeCell ref="CE192:CE195"/>
    <mergeCell ref="CF192:CF195"/>
    <mergeCell ref="CG192:CG195"/>
    <mergeCell ref="CH192:CH195"/>
    <mergeCell ref="CI192:CI195"/>
    <mergeCell ref="CJ192:CJ195"/>
    <mergeCell ref="CK192:CK195"/>
    <mergeCell ref="CL192:CL195"/>
    <mergeCell ref="BU203:BU205"/>
    <mergeCell ref="BV203:BV205"/>
  </mergeCells>
  <phoneticPr fontId="9" type="noConversion"/>
  <conditionalFormatting sqref="C139">
    <cfRule type="duplicateValues" dxfId="173" priority="91"/>
  </conditionalFormatting>
  <conditionalFormatting sqref="C140:C141">
    <cfRule type="duplicateValues" dxfId="172" priority="92"/>
  </conditionalFormatting>
  <conditionalFormatting sqref="C145:C149">
    <cfRule type="duplicateValues" dxfId="171" priority="18"/>
  </conditionalFormatting>
  <conditionalFormatting sqref="C151:C160 C162:C166">
    <cfRule type="duplicateValues" dxfId="170" priority="17"/>
  </conditionalFormatting>
  <conditionalFormatting sqref="C168">
    <cfRule type="duplicateValues" dxfId="169" priority="16"/>
  </conditionalFormatting>
  <conditionalFormatting sqref="C170">
    <cfRule type="duplicateValues" dxfId="168" priority="15"/>
  </conditionalFormatting>
  <conditionalFormatting sqref="C172:C175">
    <cfRule type="duplicateValues" dxfId="167" priority="14"/>
  </conditionalFormatting>
  <conditionalFormatting sqref="C177:C179">
    <cfRule type="duplicateValues" dxfId="166" priority="13"/>
  </conditionalFormatting>
  <conditionalFormatting sqref="C186:C196">
    <cfRule type="duplicateValues" dxfId="165" priority="10"/>
  </conditionalFormatting>
  <conditionalFormatting sqref="C187">
    <cfRule type="duplicateValues" dxfId="164" priority="90"/>
  </conditionalFormatting>
  <conditionalFormatting sqref="C192">
    <cfRule type="duplicateValues" dxfId="163" priority="89"/>
  </conditionalFormatting>
  <conditionalFormatting sqref="C198:C205">
    <cfRule type="duplicateValues" dxfId="162" priority="8"/>
  </conditionalFormatting>
  <conditionalFormatting sqref="C207">
    <cfRule type="duplicateValues" dxfId="161" priority="7"/>
  </conditionalFormatting>
  <conditionalFormatting sqref="C209:C214">
    <cfRule type="duplicateValues" dxfId="160" priority="6"/>
  </conditionalFormatting>
  <conditionalFormatting sqref="G28:G234 D8:D10 G1:G10 G367:G1048576">
    <cfRule type="expression" dxfId="159" priority="67">
      <formula>$G1="Sí"</formula>
    </cfRule>
    <cfRule type="expression" dxfId="158" priority="68">
      <formula>$G1="Si"</formula>
    </cfRule>
  </conditionalFormatting>
  <conditionalFormatting sqref="D13">
    <cfRule type="expression" dxfId="157" priority="65">
      <formula>$G13="Sí"</formula>
    </cfRule>
    <cfRule type="expression" dxfId="156" priority="66">
      <formula>$G13="Si"</formula>
    </cfRule>
  </conditionalFormatting>
  <conditionalFormatting sqref="D16">
    <cfRule type="expression" dxfId="155" priority="63">
      <formula>$G16="Sí"</formula>
    </cfRule>
    <cfRule type="expression" dxfId="154" priority="64">
      <formula>$G16="Si"</formula>
    </cfRule>
  </conditionalFormatting>
  <conditionalFormatting sqref="D19">
    <cfRule type="expression" dxfId="153" priority="61">
      <formula>$G19="Sí"</formula>
    </cfRule>
    <cfRule type="expression" dxfId="152" priority="62">
      <formula>$G19="Si"</formula>
    </cfRule>
  </conditionalFormatting>
  <conditionalFormatting sqref="D24:D25">
    <cfRule type="expression" dxfId="151" priority="59">
      <formula>$G24="Sí"</formula>
    </cfRule>
    <cfRule type="expression" dxfId="150" priority="60">
      <formula>$G24="Si"</formula>
    </cfRule>
  </conditionalFormatting>
  <conditionalFormatting sqref="D28">
    <cfRule type="expression" dxfId="149" priority="57">
      <formula>$G28="Sí"</formula>
    </cfRule>
    <cfRule type="expression" dxfId="148" priority="58">
      <formula>$G28="Si"</formula>
    </cfRule>
  </conditionalFormatting>
  <conditionalFormatting sqref="D39">
    <cfRule type="expression" dxfId="147" priority="55">
      <formula>$G39="Sí"</formula>
    </cfRule>
    <cfRule type="expression" dxfId="146" priority="56">
      <formula>$G39="Si"</formula>
    </cfRule>
  </conditionalFormatting>
  <conditionalFormatting sqref="D44">
    <cfRule type="expression" dxfId="145" priority="53">
      <formula>$G44="Sí"</formula>
    </cfRule>
    <cfRule type="expression" dxfId="144" priority="54">
      <formula>$G44="Si"</formula>
    </cfRule>
  </conditionalFormatting>
  <conditionalFormatting sqref="D52:D53">
    <cfRule type="expression" dxfId="143" priority="51">
      <formula>$G52="Sí"</formula>
    </cfRule>
    <cfRule type="expression" dxfId="142" priority="52">
      <formula>$G52="Si"</formula>
    </cfRule>
  </conditionalFormatting>
  <conditionalFormatting sqref="D61">
    <cfRule type="expression" dxfId="141" priority="49">
      <formula>$G61="Sí"</formula>
    </cfRule>
    <cfRule type="expression" dxfId="140" priority="50">
      <formula>$G61="Si"</formula>
    </cfRule>
  </conditionalFormatting>
  <conditionalFormatting sqref="D73:D75">
    <cfRule type="expression" dxfId="139" priority="25">
      <formula>$G73="Sí"</formula>
    </cfRule>
    <cfRule type="expression" dxfId="138" priority="26">
      <formula>$G73="Si"</formula>
    </cfRule>
  </conditionalFormatting>
  <conditionalFormatting sqref="D78">
    <cfRule type="expression" dxfId="137" priority="45">
      <formula>$G78="Sí"</formula>
    </cfRule>
    <cfRule type="expression" dxfId="136" priority="46">
      <formula>$G78="Si"</formula>
    </cfRule>
  </conditionalFormatting>
  <conditionalFormatting sqref="D81">
    <cfRule type="expression" dxfId="135" priority="43">
      <formula>$G81="Sí"</formula>
    </cfRule>
    <cfRule type="expression" dxfId="134" priority="44">
      <formula>$G81="Si"</formula>
    </cfRule>
  </conditionalFormatting>
  <conditionalFormatting sqref="D86">
    <cfRule type="expression" dxfId="133" priority="41">
      <formula>$G86="Sí"</formula>
    </cfRule>
    <cfRule type="expression" dxfId="132" priority="42">
      <formula>$G86="Si"</formula>
    </cfRule>
  </conditionalFormatting>
  <conditionalFormatting sqref="D91">
    <cfRule type="expression" dxfId="131" priority="39">
      <formula>$G91="Sí"</formula>
    </cfRule>
    <cfRule type="expression" dxfId="130" priority="40">
      <formula>$G91="Si"</formula>
    </cfRule>
  </conditionalFormatting>
  <conditionalFormatting sqref="D94">
    <cfRule type="expression" dxfId="129" priority="27">
      <formula>$G94="Sí"</formula>
    </cfRule>
    <cfRule type="expression" dxfId="128" priority="28">
      <formula>$G94="Si"</formula>
    </cfRule>
  </conditionalFormatting>
  <conditionalFormatting sqref="D97">
    <cfRule type="expression" dxfId="127" priority="37">
      <formula>$G97="Sí"</formula>
    </cfRule>
    <cfRule type="expression" dxfId="126" priority="38">
      <formula>$G97="Si"</formula>
    </cfRule>
  </conditionalFormatting>
  <conditionalFormatting sqref="D108">
    <cfRule type="expression" dxfId="125" priority="35">
      <formula>$G108="Sí"</formula>
    </cfRule>
    <cfRule type="expression" dxfId="124" priority="36">
      <formula>$G108="Si"</formula>
    </cfRule>
  </conditionalFormatting>
  <conditionalFormatting sqref="D111:D112">
    <cfRule type="expression" dxfId="123" priority="3">
      <formula>$G111="Sí"</formula>
    </cfRule>
    <cfRule type="expression" dxfId="122" priority="4">
      <formula>$G111="Si"</formula>
    </cfRule>
  </conditionalFormatting>
  <conditionalFormatting sqref="D118">
    <cfRule type="expression" dxfId="121" priority="1">
      <formula>$G118="Sí"</formula>
    </cfRule>
    <cfRule type="expression" dxfId="120" priority="2">
      <formula>$G118="Si"</formula>
    </cfRule>
  </conditionalFormatting>
  <conditionalFormatting sqref="D121:D122">
    <cfRule type="expression" dxfId="119" priority="23">
      <formula>$G121="Sí"</formula>
    </cfRule>
    <cfRule type="expression" dxfId="118" priority="24">
      <formula>$G121="Si"</formula>
    </cfRule>
  </conditionalFormatting>
  <conditionalFormatting sqref="D124">
    <cfRule type="expression" dxfId="117" priority="33">
      <formula>$G124="Sí"</formula>
    </cfRule>
    <cfRule type="expression" dxfId="116" priority="34">
      <formula>$G124="Si"</formula>
    </cfRule>
  </conditionalFormatting>
  <conditionalFormatting sqref="D129">
    <cfRule type="expression" dxfId="115" priority="31">
      <formula>$G129="Sí"</formula>
    </cfRule>
    <cfRule type="expression" dxfId="114" priority="32">
      <formula>$G129="Si"</formula>
    </cfRule>
  </conditionalFormatting>
  <conditionalFormatting sqref="D131">
    <cfRule type="expression" dxfId="113" priority="29">
      <formula>$G131="Sí"</formula>
    </cfRule>
    <cfRule type="expression" dxfId="112" priority="30">
      <formula>$G131="Si"</formula>
    </cfRule>
  </conditionalFormatting>
  <conditionalFormatting sqref="D134:D135">
    <cfRule type="expression" dxfId="111" priority="21">
      <formula>$G134="Sí"</formula>
    </cfRule>
    <cfRule type="expression" dxfId="110" priority="22">
      <formula>$G134="Si"</formula>
    </cfRule>
  </conditionalFormatting>
  <conditionalFormatting sqref="D143:D144">
    <cfRule type="expression" dxfId="109" priority="19">
      <formula>$G143="Sí"</formula>
    </cfRule>
    <cfRule type="expression" dxfId="108" priority="20">
      <formula>$G143="Si"</formula>
    </cfRule>
  </conditionalFormatting>
  <conditionalFormatting sqref="D180:D182">
    <cfRule type="expression" dxfId="107" priority="11">
      <formula>$G180="Sí"</formula>
    </cfRule>
    <cfRule type="expression" dxfId="106" priority="12">
      <formula>$G180="Si"</formula>
    </cfRule>
  </conditionalFormatting>
  <conditionalFormatting sqref="D197:D214 D1:D186">
    <cfRule type="duplicateValues" dxfId="105" priority="9"/>
  </conditionalFormatting>
  <conditionalFormatting sqref="D215:D1048576">
    <cfRule type="duplicateValues" dxfId="104" priority="118"/>
  </conditionalFormatting>
  <conditionalFormatting sqref="D68:E68">
    <cfRule type="expression" dxfId="103" priority="47">
      <formula>$G68="Sí"</formula>
    </cfRule>
    <cfRule type="expression" dxfId="102" priority="48">
      <formula>$G68="Si"</formula>
    </cfRule>
  </conditionalFormatting>
  <conditionalFormatting sqref="D138:E142 D145:D149 D151:D160 D168 D170 D172:D175 D177:D179 D186 D198:D205 D207 D209:D214 D162:D166 E143:E214 E52:E137">
    <cfRule type="duplicateValues" dxfId="101" priority="108"/>
  </conditionalFormatting>
  <conditionalFormatting sqref="D368:F378 D382:F448">
    <cfRule type="duplicateValues" dxfId="100" priority="321"/>
  </conditionalFormatting>
  <conditionalFormatting sqref="D405:F405">
    <cfRule type="expression" dxfId="99" priority="338">
      <formula>$G405="Sí"</formula>
    </cfRule>
    <cfRule type="expression" dxfId="98" priority="339">
      <formula>$G405="Si"</formula>
    </cfRule>
  </conditionalFormatting>
  <conditionalFormatting sqref="D421:F421">
    <cfRule type="expression" dxfId="97" priority="336">
      <formula>$G421="Sí"</formula>
    </cfRule>
    <cfRule type="expression" dxfId="96" priority="337">
      <formula>$G421="Si"</formula>
    </cfRule>
  </conditionalFormatting>
  <conditionalFormatting sqref="D439:F439">
    <cfRule type="expression" dxfId="95" priority="334">
      <formula>$G439="Sí"</formula>
    </cfRule>
    <cfRule type="expression" dxfId="94" priority="335">
      <formula>$G439="Si"</formula>
    </cfRule>
  </conditionalFormatting>
  <conditionalFormatting sqref="E11:E12">
    <cfRule type="duplicateValues" dxfId="93" priority="88"/>
  </conditionalFormatting>
  <conditionalFormatting sqref="E14">
    <cfRule type="duplicateValues" dxfId="92" priority="86"/>
  </conditionalFormatting>
  <conditionalFormatting sqref="E15">
    <cfRule type="duplicateValues" dxfId="91" priority="87"/>
  </conditionalFormatting>
  <conditionalFormatting sqref="E17:E18">
    <cfRule type="duplicateValues" dxfId="90" priority="85"/>
  </conditionalFormatting>
  <conditionalFormatting sqref="E20">
    <cfRule type="duplicateValues" dxfId="89" priority="84"/>
  </conditionalFormatting>
  <conditionalFormatting sqref="E21">
    <cfRule type="duplicateValues" dxfId="88" priority="83"/>
  </conditionalFormatting>
  <conditionalFormatting sqref="E22">
    <cfRule type="duplicateValues" dxfId="87" priority="82"/>
  </conditionalFormatting>
  <conditionalFormatting sqref="E23">
    <cfRule type="duplicateValues" dxfId="86" priority="81"/>
  </conditionalFormatting>
  <conditionalFormatting sqref="E26">
    <cfRule type="duplicateValues" dxfId="85" priority="80"/>
  </conditionalFormatting>
  <conditionalFormatting sqref="E27">
    <cfRule type="duplicateValues" dxfId="84" priority="79"/>
  </conditionalFormatting>
  <conditionalFormatting sqref="E29">
    <cfRule type="duplicateValues" dxfId="83" priority="78"/>
  </conditionalFormatting>
  <conditionalFormatting sqref="E30:E38">
    <cfRule type="duplicateValues" dxfId="82" priority="109"/>
  </conditionalFormatting>
  <conditionalFormatting sqref="E40:E43">
    <cfRule type="duplicateValues" dxfId="81" priority="77"/>
  </conditionalFormatting>
  <conditionalFormatting sqref="E45:E49">
    <cfRule type="duplicateValues" dxfId="80" priority="76"/>
  </conditionalFormatting>
  <conditionalFormatting sqref="E50:E51 E28 E13 E25 E7:E11">
    <cfRule type="duplicateValues" dxfId="79" priority="107"/>
  </conditionalFormatting>
  <conditionalFormatting sqref="E143">
    <cfRule type="expression" dxfId="78" priority="103">
      <formula>$G143="Sí"</formula>
    </cfRule>
    <cfRule type="expression" dxfId="77" priority="104">
      <formula>$G143="Si"</formula>
    </cfRule>
  </conditionalFormatting>
  <conditionalFormatting sqref="E180">
    <cfRule type="expression" dxfId="76" priority="101">
      <formula>$G180="Sí"</formula>
    </cfRule>
    <cfRule type="expression" dxfId="75" priority="102">
      <formula>$G180="Si"</formula>
    </cfRule>
  </conditionalFormatting>
  <conditionalFormatting sqref="F50:F51 F71:F72">
    <cfRule type="duplicateValues" dxfId="74" priority="73"/>
  </conditionalFormatting>
  <conditionalFormatting sqref="F50:F51">
    <cfRule type="duplicateValues" dxfId="73" priority="75"/>
  </conditionalFormatting>
  <conditionalFormatting sqref="F71:F72">
    <cfRule type="duplicateValues" dxfId="72" priority="74"/>
  </conditionalFormatting>
  <conditionalFormatting sqref="F151:F160 F162:F166">
    <cfRule type="duplicateValues" dxfId="71" priority="69"/>
    <cfRule type="duplicateValues" dxfId="70" priority="70"/>
  </conditionalFormatting>
  <conditionalFormatting sqref="F215:F1048576">
    <cfRule type="duplicateValues" dxfId="69" priority="114"/>
  </conditionalFormatting>
  <conditionalFormatting sqref="G11:G12">
    <cfRule type="duplicateValues" dxfId="68" priority="95"/>
  </conditionalFormatting>
  <conditionalFormatting sqref="G13">
    <cfRule type="expression" dxfId="67" priority="105">
      <formula>$G13="Sí"</formula>
    </cfRule>
    <cfRule type="expression" dxfId="66" priority="106">
      <formula>$G13="Si"</formula>
    </cfRule>
  </conditionalFormatting>
  <conditionalFormatting sqref="G14:G15">
    <cfRule type="duplicateValues" dxfId="65" priority="96"/>
  </conditionalFormatting>
  <conditionalFormatting sqref="G16 G19 G24:G26 E52 E73:E74">
    <cfRule type="expression" dxfId="64" priority="99">
      <formula>$G16="Sí"</formula>
    </cfRule>
    <cfRule type="expression" dxfId="63" priority="100">
      <formula>$G16="Si"</formula>
    </cfRule>
  </conditionalFormatting>
  <conditionalFormatting sqref="G17:G18">
    <cfRule type="duplicateValues" dxfId="62" priority="93"/>
  </conditionalFormatting>
  <conditionalFormatting sqref="G20:G23">
    <cfRule type="duplicateValues" dxfId="61" priority="94"/>
  </conditionalFormatting>
  <conditionalFormatting sqref="G236:G364">
    <cfRule type="expression" dxfId="60" priority="354">
      <formula>$G236="Sí"</formula>
    </cfRule>
    <cfRule type="expression" dxfId="59" priority="355">
      <formula>$G236="Si"</formula>
    </cfRule>
  </conditionalFormatting>
  <conditionalFormatting sqref="H151">
    <cfRule type="duplicateValues" dxfId="58" priority="71"/>
    <cfRule type="duplicateValues" dxfId="57" priority="72"/>
  </conditionalFormatting>
  <conditionalFormatting sqref="H275">
    <cfRule type="expression" dxfId="56" priority="388">
      <formula>$G275="Sí"</formula>
    </cfRule>
    <cfRule type="expression" dxfId="55" priority="389">
      <formula>$G275="Si"</formula>
    </cfRule>
  </conditionalFormatting>
  <conditionalFormatting sqref="H282">
    <cfRule type="expression" dxfId="54" priority="386">
      <formula>$G282="Sí"</formula>
    </cfRule>
    <cfRule type="expression" dxfId="53" priority="387">
      <formula>$G282="Si"</formula>
    </cfRule>
  </conditionalFormatting>
  <conditionalFormatting sqref="H449:H451">
    <cfRule type="expression" dxfId="52" priority="332">
      <formula>$G449="Sí"</formula>
    </cfRule>
    <cfRule type="expression" dxfId="51" priority="333">
      <formula>$G449="Si"</formula>
    </cfRule>
  </conditionalFormatting>
  <conditionalFormatting sqref="F1:F214">
    <cfRule type="duplicateValues" dxfId="50" priority="850"/>
  </conditionalFormatting>
  <dataValidations disablePrompts="1" count="3">
    <dataValidation allowBlank="1" showErrorMessage="1" sqref="Y403 Y418:Y419 Y443" xr:uid="{00000000-0002-0000-1000-000000000000}"/>
    <dataValidation type="list" allowBlank="1" showInputMessage="1" showErrorMessage="1" sqref="DP7:DP53 DP55:DP451" xr:uid="{00000000-0002-0000-1000-000001000000}">
      <formula1>$DU$2:$DU$6</formula1>
    </dataValidation>
    <dataValidation type="list" allowBlank="1" showInputMessage="1" showErrorMessage="1" sqref="DP54" xr:uid="{00000000-0002-0000-1000-000002000000}">
      <formula1>$DT$2:$DT$6</formula1>
    </dataValidation>
  </dataValidations>
  <pageMargins left="0.7" right="0.7" top="0.75" bottom="0.75" header="0.3" footer="0.3"/>
  <pageSetup scale="10" orientation="landscape" r:id="rId1"/>
  <ignoredErrors>
    <ignoredError sqref="D412 D439 D420:D423 D404:D406 D368:D370 D393" numberStoredAsText="1"/>
    <ignoredError sqref="AL410:AM410 AL408 AL404:AM404 AM403 AL399:AM399 AM400 AL444 AI424 AM405 AL398 DI405" formula="1"/>
  </ignoredError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D13"/>
  <sheetViews>
    <sheetView showGridLines="0" topLeftCell="J1" zoomScale="70" zoomScaleNormal="70" workbookViewId="0">
      <selection activeCell="AG9" sqref="AG9"/>
    </sheetView>
  </sheetViews>
  <sheetFormatPr baseColWidth="10" defaultColWidth="10.83203125" defaultRowHeight="15"/>
  <cols>
    <col min="1" max="1" width="2.5" style="24" customWidth="1"/>
    <col min="2" max="2" width="22.83203125" style="24" customWidth="1"/>
    <col min="3" max="3" width="16.5" style="24" customWidth="1"/>
    <col min="4" max="4" width="16.1640625" style="24" customWidth="1"/>
    <col min="5" max="8" width="17.5" style="24" customWidth="1"/>
    <col min="9" max="9" width="3.5" style="24" customWidth="1"/>
    <col min="10" max="11" width="10.83203125" style="24"/>
    <col min="12" max="13" width="12.33203125" style="24" bestFit="1" customWidth="1"/>
    <col min="14" max="17" width="13.33203125" style="24" bestFit="1" customWidth="1"/>
    <col min="18" max="24" width="10.83203125" style="24"/>
    <col min="25" max="26" width="12.33203125" style="24" bestFit="1" customWidth="1"/>
    <col min="27" max="30" width="13.33203125" style="24" bestFit="1" customWidth="1"/>
    <col min="31" max="16384" width="10.83203125" style="24"/>
  </cols>
  <sheetData>
    <row r="1" spans="2:30" ht="21">
      <c r="B1" s="4076" t="s">
        <v>1744</v>
      </c>
      <c r="C1" s="4076"/>
      <c r="D1" s="4076"/>
      <c r="E1" s="4076"/>
      <c r="F1" s="4076"/>
      <c r="G1" s="4076"/>
      <c r="H1" s="4076"/>
    </row>
    <row r="2" spans="2:30" ht="6.75" customHeight="1"/>
    <row r="3" spans="2:30" ht="35.25" customHeight="1">
      <c r="B3" s="33" t="s">
        <v>1745</v>
      </c>
      <c r="C3" s="4073" t="s">
        <v>138</v>
      </c>
      <c r="D3" s="4074"/>
      <c r="E3" s="4074"/>
      <c r="F3" s="4074"/>
      <c r="G3" s="4074"/>
      <c r="H3" s="4074"/>
      <c r="J3" s="2101"/>
    </row>
    <row r="4" spans="2:30">
      <c r="B4" s="408" t="s">
        <v>1746</v>
      </c>
      <c r="C4" s="2101">
        <v>44986</v>
      </c>
      <c r="D4" s="2101"/>
      <c r="E4" s="4075" t="s">
        <v>1747</v>
      </c>
      <c r="F4" s="4075"/>
      <c r="G4" s="2101">
        <v>46823</v>
      </c>
      <c r="H4" s="2101"/>
    </row>
    <row r="5" spans="2:30" ht="5.25" customHeight="1">
      <c r="B5" s="25"/>
      <c r="C5" s="26"/>
      <c r="D5" s="26"/>
      <c r="E5" s="26"/>
      <c r="F5" s="26"/>
      <c r="G5" s="26"/>
      <c r="H5" s="26"/>
    </row>
    <row r="6" spans="2:30" ht="32">
      <c r="B6" s="27"/>
      <c r="C6" s="2100" t="s">
        <v>187</v>
      </c>
      <c r="D6" s="2100" t="s">
        <v>188</v>
      </c>
      <c r="E6" s="2100" t="s">
        <v>189</v>
      </c>
      <c r="F6" s="2100" t="s">
        <v>190</v>
      </c>
      <c r="G6" s="2100" t="s">
        <v>191</v>
      </c>
      <c r="H6" s="2100" t="s">
        <v>192</v>
      </c>
      <c r="K6" s="27"/>
      <c r="L6" s="2100" t="s">
        <v>187</v>
      </c>
      <c r="M6" s="2100" t="s">
        <v>188</v>
      </c>
      <c r="N6" s="2100" t="s">
        <v>189</v>
      </c>
      <c r="O6" s="2100" t="s">
        <v>190</v>
      </c>
      <c r="P6" s="2100" t="s">
        <v>191</v>
      </c>
      <c r="Q6" s="2100" t="s">
        <v>192</v>
      </c>
      <c r="X6" s="27"/>
      <c r="Y6" s="2100" t="s">
        <v>187</v>
      </c>
      <c r="Z6" s="2100" t="s">
        <v>188</v>
      </c>
      <c r="AA6" s="2100" t="s">
        <v>189</v>
      </c>
      <c r="AB6" s="2100" t="s">
        <v>190</v>
      </c>
      <c r="AC6" s="2100" t="s">
        <v>191</v>
      </c>
      <c r="AD6" s="2100" t="s">
        <v>192</v>
      </c>
    </row>
    <row r="7" spans="2:30">
      <c r="B7" s="28" t="s">
        <v>1075</v>
      </c>
      <c r="C7" s="29" t="e">
        <f>+'6_PD'!B9</f>
        <v>#REF!</v>
      </c>
      <c r="D7" s="29" t="e">
        <f>+'6_PD'!C9</f>
        <v>#REF!</v>
      </c>
      <c r="E7" s="29" t="e">
        <f>+'6_PD'!D9</f>
        <v>#REF!</v>
      </c>
      <c r="F7" s="29" t="e">
        <f>+'6_PD'!E9</f>
        <v>#REF!</v>
      </c>
      <c r="G7" s="29" t="e">
        <f>+'6_PD'!F9</f>
        <v>#REF!</v>
      </c>
      <c r="H7" s="29" t="e">
        <f>+'6_PD'!G9</f>
        <v>#REF!</v>
      </c>
      <c r="K7" s="28" t="s">
        <v>1075</v>
      </c>
      <c r="L7" s="29" t="e">
        <f>+GETPIVOTDATA("Monto",#REF!,"Año de Ejecución",2023)</f>
        <v>#REF!</v>
      </c>
      <c r="M7" s="29" t="e">
        <f>+GETPIVOTDATA("Monto",#REF!,"Año de Ejecución",2024)</f>
        <v>#REF!</v>
      </c>
      <c r="N7" s="29" t="e">
        <f>+GETPIVOTDATA("Monto",#REF!,"Año de Ejecución",2025)</f>
        <v>#REF!</v>
      </c>
      <c r="O7" s="29" t="e">
        <f>+GETPIVOTDATA("Monto",#REF!,"Año de Ejecución",2026)</f>
        <v>#REF!</v>
      </c>
      <c r="P7" s="29" t="e">
        <f>+GETPIVOTDATA("Monto",#REF!,"Año de Ejecución",2027)</f>
        <v>#REF!</v>
      </c>
      <c r="Q7" s="29" t="e">
        <f>+GETPIVOTDATA("Monto",#REF!,"Año de Ejecución",2028)</f>
        <v>#REF!</v>
      </c>
      <c r="X7" s="28" t="s">
        <v>1075</v>
      </c>
      <c r="Y7" s="29" t="e">
        <f>+GETPIVOTDATA("Monto",#REF!,"Año P/R",2023)</f>
        <v>#REF!</v>
      </c>
      <c r="Z7" s="29" t="e">
        <f>+GETPIVOTDATA("Monto",#REF!,"Año P/R",2024)</f>
        <v>#REF!</v>
      </c>
      <c r="AA7" s="29" t="e">
        <f>+GETPIVOTDATA("Monto",#REF!,"Año P/R",2025)</f>
        <v>#REF!</v>
      </c>
      <c r="AB7" s="29" t="e">
        <f>+GETPIVOTDATA("Monto",#REF!,"Año P/R",2026)</f>
        <v>#REF!</v>
      </c>
      <c r="AC7" s="29" t="e">
        <f>+GETPIVOTDATA("Monto",#REF!,"Año P/R",2027)</f>
        <v>#REF!</v>
      </c>
      <c r="AD7" s="29" t="e">
        <f>+GETPIVOTDATA("Monto",#REF!,"Año P/R",)</f>
        <v>#REF!</v>
      </c>
    </row>
    <row r="8" spans="2:30">
      <c r="B8" s="408" t="s">
        <v>1748</v>
      </c>
      <c r="C8" s="29" t="e">
        <f>C7</f>
        <v>#REF!</v>
      </c>
      <c r="D8" s="29" t="e">
        <f>+D7+C8</f>
        <v>#REF!</v>
      </c>
      <c r="E8" s="29" t="e">
        <f>+E7+D8</f>
        <v>#REF!</v>
      </c>
      <c r="F8" s="29" t="e">
        <f>+F7+E8</f>
        <v>#REF!</v>
      </c>
      <c r="G8" s="29" t="e">
        <f>+G7+F8</f>
        <v>#REF!</v>
      </c>
      <c r="H8" s="29" t="e">
        <f>+H7+G8</f>
        <v>#REF!</v>
      </c>
      <c r="K8" s="408" t="s">
        <v>1748</v>
      </c>
      <c r="L8" s="29" t="e">
        <f>L7</f>
        <v>#REF!</v>
      </c>
      <c r="M8" s="29" t="e">
        <f>+M7+L8</f>
        <v>#REF!</v>
      </c>
      <c r="N8" s="29" t="e">
        <f>+N7+M8</f>
        <v>#REF!</v>
      </c>
      <c r="O8" s="29" t="e">
        <f>+O7+N8</f>
        <v>#REF!</v>
      </c>
      <c r="P8" s="29" t="e">
        <f>+P7+O8</f>
        <v>#REF!</v>
      </c>
      <c r="Q8" s="29" t="e">
        <f>+Q7+P8</f>
        <v>#REF!</v>
      </c>
      <c r="X8" s="408" t="s">
        <v>1748</v>
      </c>
      <c r="Y8" s="29" t="e">
        <f>+GETPIVOTDATA("Monto",#REF!,"Año de Ejecución",2023)</f>
        <v>#REF!</v>
      </c>
      <c r="Z8" s="29" t="e">
        <f>+GETPIVOTDATA("Monto",#REF!,"Año de Ejecución",2024)</f>
        <v>#REF!</v>
      </c>
      <c r="AA8" s="29" t="e">
        <f>+GETPIVOTDATA("Monto",#REF!,"Año de Ejecución",2025)</f>
        <v>#REF!</v>
      </c>
      <c r="AB8" s="29" t="e">
        <f>+GETPIVOTDATA("Monto",#REF!,"Año de Ejecución",2026)</f>
        <v>#REF!</v>
      </c>
      <c r="AC8" s="29" t="e">
        <f>+GETPIVOTDATA("Monto",#REF!,"Año de Ejecución",2027)</f>
        <v>#REF!</v>
      </c>
      <c r="AD8" s="29" t="e">
        <f>+GETPIVOTDATA("Monto",#REF!,"Año de Ejecución",2028)</f>
        <v>#REF!</v>
      </c>
    </row>
    <row r="9" spans="2:30">
      <c r="B9" s="408" t="s">
        <v>1072</v>
      </c>
      <c r="C9" s="3178">
        <f>101075.01*0</f>
        <v>0</v>
      </c>
      <c r="D9" s="3178">
        <f>1667743.88*0</f>
        <v>0</v>
      </c>
      <c r="E9" s="3178"/>
      <c r="F9" s="3178">
        <v>0</v>
      </c>
      <c r="G9" s="3178">
        <v>0</v>
      </c>
      <c r="H9" s="3178">
        <v>0</v>
      </c>
      <c r="K9" s="408" t="s">
        <v>1072</v>
      </c>
      <c r="L9" s="3178">
        <f>101075.01*0</f>
        <v>0</v>
      </c>
      <c r="M9" s="3178">
        <f>1667743.88*0</f>
        <v>0</v>
      </c>
      <c r="N9" s="3178"/>
      <c r="O9" s="3178">
        <v>0</v>
      </c>
      <c r="P9" s="3178">
        <v>0</v>
      </c>
      <c r="Q9" s="3178">
        <v>0</v>
      </c>
      <c r="X9" s="408" t="s">
        <v>1072</v>
      </c>
      <c r="Y9" s="3178">
        <f>101075.01*0</f>
        <v>0</v>
      </c>
      <c r="Z9" s="3178">
        <f>1667743.88*0</f>
        <v>0</v>
      </c>
      <c r="AA9" s="3178"/>
      <c r="AB9" s="3178">
        <v>0</v>
      </c>
      <c r="AC9" s="3178">
        <v>0</v>
      </c>
      <c r="AD9" s="3178">
        <v>0</v>
      </c>
    </row>
    <row r="10" spans="2:30">
      <c r="B10" s="408" t="s">
        <v>1749</v>
      </c>
      <c r="C10" s="29">
        <f>C9</f>
        <v>0</v>
      </c>
      <c r="D10" s="29">
        <f>+D9+C10</f>
        <v>0</v>
      </c>
      <c r="E10" s="29">
        <f>+E9+D10</f>
        <v>0</v>
      </c>
      <c r="F10" s="29">
        <f>+F9+E10</f>
        <v>0</v>
      </c>
      <c r="G10" s="29">
        <f>+G9+F10</f>
        <v>0</v>
      </c>
      <c r="H10" s="29">
        <f>+H9+G10</f>
        <v>0</v>
      </c>
      <c r="K10" s="408" t="s">
        <v>1749</v>
      </c>
      <c r="L10" s="29">
        <f>L9</f>
        <v>0</v>
      </c>
      <c r="M10" s="29">
        <f>+M9+L10</f>
        <v>0</v>
      </c>
      <c r="N10" s="29">
        <f>+N9+M10</f>
        <v>0</v>
      </c>
      <c r="O10" s="29">
        <f>+O9+N10</f>
        <v>0</v>
      </c>
      <c r="P10" s="29">
        <f>+P9+O10</f>
        <v>0</v>
      </c>
      <c r="Q10" s="29">
        <f>+Q9+P10</f>
        <v>0</v>
      </c>
      <c r="X10" s="408" t="s">
        <v>1749</v>
      </c>
      <c r="Y10" s="29">
        <f>Y9</f>
        <v>0</v>
      </c>
      <c r="Z10" s="29">
        <f>+Z9+Y10</f>
        <v>0</v>
      </c>
      <c r="AA10" s="29">
        <f>+AA9+Z10</f>
        <v>0</v>
      </c>
      <c r="AB10" s="29">
        <f>+AB9+AA10</f>
        <v>0</v>
      </c>
      <c r="AC10" s="29">
        <f>+AC9+AB10</f>
        <v>0</v>
      </c>
      <c r="AD10" s="29">
        <f>+AD9+AC10</f>
        <v>0</v>
      </c>
    </row>
    <row r="11" spans="2:30">
      <c r="B11" s="408" t="s">
        <v>488</v>
      </c>
      <c r="C11" s="29" t="e">
        <f t="shared" ref="C11:H11" si="0">+C7+C9</f>
        <v>#REF!</v>
      </c>
      <c r="D11" s="29" t="e">
        <f t="shared" si="0"/>
        <v>#REF!</v>
      </c>
      <c r="E11" s="29" t="e">
        <f t="shared" si="0"/>
        <v>#REF!</v>
      </c>
      <c r="F11" s="29" t="e">
        <f t="shared" si="0"/>
        <v>#REF!</v>
      </c>
      <c r="G11" s="29" t="e">
        <f t="shared" si="0"/>
        <v>#REF!</v>
      </c>
      <c r="H11" s="29" t="e">
        <f t="shared" si="0"/>
        <v>#REF!</v>
      </c>
      <c r="K11" s="408" t="s">
        <v>488</v>
      </c>
      <c r="L11" s="29" t="e">
        <f t="shared" ref="L11:Q11" si="1">+L7+L9</f>
        <v>#REF!</v>
      </c>
      <c r="M11" s="29" t="e">
        <f t="shared" si="1"/>
        <v>#REF!</v>
      </c>
      <c r="N11" s="29" t="e">
        <f t="shared" si="1"/>
        <v>#REF!</v>
      </c>
      <c r="O11" s="29" t="e">
        <f t="shared" si="1"/>
        <v>#REF!</v>
      </c>
      <c r="P11" s="29" t="e">
        <f t="shared" si="1"/>
        <v>#REF!</v>
      </c>
      <c r="Q11" s="29" t="e">
        <f t="shared" si="1"/>
        <v>#REF!</v>
      </c>
      <c r="X11" s="408" t="s">
        <v>488</v>
      </c>
      <c r="Y11" s="29" t="e">
        <f t="shared" ref="Y11:AD11" si="2">+Y7+Y9</f>
        <v>#REF!</v>
      </c>
      <c r="Z11" s="29" t="e">
        <f t="shared" si="2"/>
        <v>#REF!</v>
      </c>
      <c r="AA11" s="29" t="e">
        <f t="shared" si="2"/>
        <v>#REF!</v>
      </c>
      <c r="AB11" s="29" t="e">
        <f t="shared" si="2"/>
        <v>#REF!</v>
      </c>
      <c r="AC11" s="29" t="e">
        <f t="shared" si="2"/>
        <v>#REF!</v>
      </c>
      <c r="AD11" s="29" t="e">
        <f t="shared" si="2"/>
        <v>#REF!</v>
      </c>
    </row>
    <row r="12" spans="2:30">
      <c r="B12" s="408" t="s">
        <v>1750</v>
      </c>
      <c r="C12" s="29" t="e">
        <f>C11</f>
        <v>#REF!</v>
      </c>
      <c r="D12" s="29" t="e">
        <f>+D11+C12</f>
        <v>#REF!</v>
      </c>
      <c r="E12" s="29" t="e">
        <f>+E11+D12</f>
        <v>#REF!</v>
      </c>
      <c r="F12" s="29" t="e">
        <f>+F11+E12</f>
        <v>#REF!</v>
      </c>
      <c r="G12" s="29" t="e">
        <f>+G11+F12</f>
        <v>#REF!</v>
      </c>
      <c r="H12" s="29" t="e">
        <f>+H11+G12</f>
        <v>#REF!</v>
      </c>
      <c r="K12" s="408" t="s">
        <v>1750</v>
      </c>
      <c r="L12" s="29" t="e">
        <f>L11</f>
        <v>#REF!</v>
      </c>
      <c r="M12" s="29" t="e">
        <f>+M11+L12</f>
        <v>#REF!</v>
      </c>
      <c r="N12" s="29" t="e">
        <f>+N11+M12</f>
        <v>#REF!</v>
      </c>
      <c r="O12" s="29" t="e">
        <f>+O11+N12</f>
        <v>#REF!</v>
      </c>
      <c r="P12" s="29" t="e">
        <f>+P11+O12</f>
        <v>#REF!</v>
      </c>
      <c r="Q12" s="29" t="e">
        <f>+Q11+P12</f>
        <v>#REF!</v>
      </c>
      <c r="X12" s="408" t="s">
        <v>1750</v>
      </c>
      <c r="Y12" s="29" t="e">
        <f>Y11</f>
        <v>#REF!</v>
      </c>
      <c r="Z12" s="29" t="e">
        <f>+Z11+Y12</f>
        <v>#REF!</v>
      </c>
      <c r="AA12" s="29" t="e">
        <f>+AA11+Z12</f>
        <v>#REF!</v>
      </c>
      <c r="AB12" s="29" t="e">
        <f>+AB11+AA12</f>
        <v>#REF!</v>
      </c>
      <c r="AC12" s="29" t="e">
        <f>+AC11+AB12</f>
        <v>#REF!</v>
      </c>
      <c r="AD12" s="29" t="e">
        <f>+AD11+AC12</f>
        <v>#REF!</v>
      </c>
    </row>
    <row r="13" spans="2:30">
      <c r="B13" s="30"/>
      <c r="C13" s="31"/>
      <c r="D13" s="32"/>
    </row>
  </sheetData>
  <mergeCells count="3">
    <mergeCell ref="C3:H3"/>
    <mergeCell ref="E4:F4"/>
    <mergeCell ref="B1:H1"/>
  </mergeCells>
  <phoneticPr fontId="9" type="noConversion"/>
  <pageMargins left="0.7" right="0.7" top="0.75" bottom="0.75" header="0.3" footer="0.3"/>
  <pageSetup scale="32"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zoomScale="60" zoomScaleNormal="60" workbookViewId="0">
      <selection activeCell="N2" sqref="N2"/>
    </sheetView>
  </sheetViews>
  <sheetFormatPr baseColWidth="10" defaultColWidth="11.5"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D41"/>
  <sheetViews>
    <sheetView showGridLines="0" zoomScale="80" zoomScaleNormal="80" zoomScalePageLayoutView="110" workbookViewId="0">
      <selection activeCell="J19" sqref="J19"/>
    </sheetView>
  </sheetViews>
  <sheetFormatPr baseColWidth="10" defaultColWidth="11.5" defaultRowHeight="15"/>
  <cols>
    <col min="1" max="1" width="4.5" style="83" customWidth="1"/>
    <col min="2" max="2" width="20.5" style="83" customWidth="1"/>
    <col min="3" max="3" width="42.1640625" style="83" customWidth="1"/>
    <col min="4" max="4" width="52.5" style="83" customWidth="1"/>
    <col min="5" max="16384" width="11.5" style="81"/>
  </cols>
  <sheetData>
    <row r="1" spans="1:4" ht="18.75" customHeight="1">
      <c r="A1" s="3552" t="s">
        <v>64</v>
      </c>
      <c r="B1" s="3552"/>
      <c r="C1" s="3552"/>
      <c r="D1" s="3552"/>
    </row>
    <row r="2" spans="1:4" ht="6.75" hidden="1" customHeight="1">
      <c r="A2" s="1"/>
      <c r="B2" s="1"/>
      <c r="C2" s="1"/>
      <c r="D2" s="1"/>
    </row>
    <row r="3" spans="1:4" ht="24.75" customHeight="1">
      <c r="A3" s="3553" t="s">
        <v>65</v>
      </c>
      <c r="B3" s="3553"/>
      <c r="C3" s="3553"/>
      <c r="D3" s="3553"/>
    </row>
    <row r="4" spans="1:4" ht="21.75" customHeight="1">
      <c r="A4" s="3554" t="s">
        <v>66</v>
      </c>
      <c r="B4" s="3554"/>
      <c r="C4" s="3554"/>
      <c r="D4" s="3554"/>
    </row>
    <row r="5" spans="1:4" ht="6" customHeight="1">
      <c r="A5" s="3555"/>
      <c r="B5" s="3555"/>
      <c r="C5" s="3555"/>
      <c r="D5" s="3555"/>
    </row>
    <row r="6" spans="1:4">
      <c r="A6" s="82" t="s">
        <v>67</v>
      </c>
      <c r="B6" s="82" t="s">
        <v>68</v>
      </c>
      <c r="C6" s="82" t="s">
        <v>69</v>
      </c>
      <c r="D6" s="82" t="s">
        <v>70</v>
      </c>
    </row>
    <row r="7" spans="1:4" hidden="1">
      <c r="A7" s="82"/>
      <c r="B7" s="2141" t="s">
        <v>71</v>
      </c>
      <c r="C7" s="2140" t="s">
        <v>71</v>
      </c>
      <c r="D7" s="2139"/>
    </row>
    <row r="8" spans="1:4" hidden="1">
      <c r="A8" s="82"/>
      <c r="B8" s="2141" t="s">
        <v>72</v>
      </c>
      <c r="C8" s="2140" t="s">
        <v>73</v>
      </c>
      <c r="D8" s="2139"/>
    </row>
    <row r="9" spans="1:4">
      <c r="A9" s="128"/>
      <c r="B9" s="112" t="s">
        <v>74</v>
      </c>
      <c r="C9" s="111" t="s">
        <v>75</v>
      </c>
      <c r="D9" s="111"/>
    </row>
    <row r="10" spans="1:4">
      <c r="A10" s="128"/>
      <c r="B10" s="112" t="s">
        <v>76</v>
      </c>
      <c r="C10" s="111" t="s">
        <v>77</v>
      </c>
      <c r="D10" s="404" t="s">
        <v>78</v>
      </c>
    </row>
    <row r="11" spans="1:4">
      <c r="A11" s="128"/>
      <c r="B11" s="112" t="s">
        <v>79</v>
      </c>
      <c r="C11" s="111" t="s">
        <v>80</v>
      </c>
      <c r="D11" s="404"/>
    </row>
    <row r="12" spans="1:4" ht="30">
      <c r="A12" s="128"/>
      <c r="B12" s="112" t="s">
        <v>81</v>
      </c>
      <c r="C12" s="111" t="s">
        <v>82</v>
      </c>
      <c r="D12" s="404"/>
    </row>
    <row r="13" spans="1:4" hidden="1">
      <c r="A13" s="128"/>
      <c r="B13" s="112" t="s">
        <v>83</v>
      </c>
      <c r="C13" s="111" t="s">
        <v>84</v>
      </c>
      <c r="D13" s="404"/>
    </row>
    <row r="14" spans="1:4" ht="30" customHeight="1">
      <c r="A14" s="128"/>
      <c r="B14" s="112" t="s">
        <v>85</v>
      </c>
      <c r="C14" s="111" t="s">
        <v>86</v>
      </c>
      <c r="D14" s="113"/>
    </row>
    <row r="15" spans="1:4" ht="30" customHeight="1">
      <c r="A15" s="2143"/>
      <c r="B15" s="112" t="s">
        <v>87</v>
      </c>
      <c r="C15" s="111" t="s">
        <v>88</v>
      </c>
      <c r="D15" s="113"/>
    </row>
    <row r="16" spans="1:4" ht="30" customHeight="1">
      <c r="A16" s="2143"/>
      <c r="B16" s="112" t="s">
        <v>89</v>
      </c>
      <c r="C16" s="111" t="s">
        <v>90</v>
      </c>
      <c r="D16" s="113"/>
    </row>
    <row r="17" spans="1:4" ht="31.5" customHeight="1">
      <c r="A17" s="128"/>
      <c r="B17" s="114" t="s">
        <v>91</v>
      </c>
      <c r="C17" s="111" t="s">
        <v>92</v>
      </c>
      <c r="D17" s="404" t="s">
        <v>93</v>
      </c>
    </row>
    <row r="18" spans="1:4" ht="30.75" customHeight="1">
      <c r="A18" s="129"/>
      <c r="B18" s="112" t="s">
        <v>94</v>
      </c>
      <c r="C18" s="111" t="s">
        <v>95</v>
      </c>
      <c r="D18" s="113"/>
    </row>
    <row r="19" spans="1:4" ht="75">
      <c r="A19" s="130"/>
      <c r="B19" s="112" t="s">
        <v>96</v>
      </c>
      <c r="C19" s="111" t="s">
        <v>97</v>
      </c>
      <c r="D19" s="111" t="s">
        <v>98</v>
      </c>
    </row>
    <row r="20" spans="1:4">
      <c r="A20" s="2138"/>
      <c r="B20" s="112" t="s">
        <v>99</v>
      </c>
      <c r="C20" s="111"/>
      <c r="D20" s="111"/>
    </row>
    <row r="21" spans="1:4">
      <c r="A21" s="131"/>
      <c r="B21" s="112" t="s">
        <v>100</v>
      </c>
      <c r="C21" s="111" t="s">
        <v>101</v>
      </c>
      <c r="D21" s="111"/>
    </row>
    <row r="22" spans="1:4" ht="30" hidden="1">
      <c r="A22" s="131"/>
      <c r="B22" s="112" t="s">
        <v>102</v>
      </c>
      <c r="C22" s="111" t="s">
        <v>103</v>
      </c>
      <c r="D22" s="111"/>
    </row>
    <row r="23" spans="1:4" hidden="1">
      <c r="A23" s="131"/>
      <c r="B23" s="112" t="s">
        <v>104</v>
      </c>
      <c r="C23" s="111" t="s">
        <v>105</v>
      </c>
      <c r="D23" s="111"/>
    </row>
    <row r="24" spans="1:4" hidden="1">
      <c r="A24" s="131"/>
      <c r="B24" s="112" t="s">
        <v>106</v>
      </c>
      <c r="C24" s="111" t="s">
        <v>107</v>
      </c>
      <c r="D24" s="111"/>
    </row>
    <row r="25" spans="1:4" hidden="1">
      <c r="A25" s="131"/>
      <c r="B25" s="112" t="s">
        <v>108</v>
      </c>
      <c r="C25" s="111" t="s">
        <v>109</v>
      </c>
      <c r="D25" s="111"/>
    </row>
    <row r="26" spans="1:4" ht="28" hidden="1">
      <c r="A26" s="2137"/>
      <c r="B26" s="112" t="s">
        <v>110</v>
      </c>
      <c r="C26" s="111" t="s">
        <v>101</v>
      </c>
      <c r="D26" s="111"/>
    </row>
    <row r="27" spans="1:4" ht="30" hidden="1">
      <c r="A27" s="2137"/>
      <c r="B27" s="112" t="s">
        <v>111</v>
      </c>
      <c r="C27" s="111" t="s">
        <v>103</v>
      </c>
      <c r="D27" s="111"/>
    </row>
    <row r="28" spans="1:4" hidden="1">
      <c r="A28" s="2137"/>
      <c r="B28" s="112" t="s">
        <v>112</v>
      </c>
      <c r="C28" s="111" t="s">
        <v>105</v>
      </c>
      <c r="D28" s="111"/>
    </row>
    <row r="29" spans="1:4" hidden="1">
      <c r="A29" s="2137"/>
      <c r="B29" s="112" t="s">
        <v>113</v>
      </c>
      <c r="C29" s="111" t="s">
        <v>107</v>
      </c>
      <c r="D29" s="111"/>
    </row>
    <row r="30" spans="1:4" hidden="1">
      <c r="A30" s="2137"/>
      <c r="B30" s="112" t="s">
        <v>114</v>
      </c>
      <c r="C30" s="111" t="s">
        <v>109</v>
      </c>
      <c r="D30" s="111"/>
    </row>
    <row r="31" spans="1:4">
      <c r="A31" s="2142"/>
      <c r="B31" s="112" t="s">
        <v>115</v>
      </c>
      <c r="C31" s="111" t="s">
        <v>116</v>
      </c>
      <c r="D31" s="111"/>
    </row>
    <row r="32" spans="1:4" hidden="1">
      <c r="A32" s="132" t="s">
        <v>117</v>
      </c>
      <c r="B32" s="133"/>
      <c r="C32" s="133"/>
      <c r="D32" s="133"/>
    </row>
    <row r="33" spans="1:4" ht="32" hidden="1">
      <c r="A33" s="134"/>
      <c r="B33" s="112" t="s">
        <v>118</v>
      </c>
      <c r="C33" s="111" t="s">
        <v>119</v>
      </c>
      <c r="D33" s="111"/>
    </row>
    <row r="34" spans="1:4" ht="30" hidden="1">
      <c r="A34" s="134"/>
      <c r="B34" s="112" t="s">
        <v>120</v>
      </c>
      <c r="C34" s="111" t="s">
        <v>121</v>
      </c>
      <c r="D34" s="111"/>
    </row>
    <row r="35" spans="1:4" hidden="1">
      <c r="A35" s="134"/>
      <c r="B35" s="1037" t="s">
        <v>122</v>
      </c>
      <c r="C35" s="135" t="s">
        <v>123</v>
      </c>
      <c r="D35" s="111"/>
    </row>
    <row r="36" spans="1:4" ht="30" hidden="1">
      <c r="A36" s="134"/>
      <c r="B36" s="1037" t="s">
        <v>124</v>
      </c>
      <c r="C36" s="135" t="s">
        <v>125</v>
      </c>
      <c r="D36" s="111"/>
    </row>
    <row r="37" spans="1:4" hidden="1">
      <c r="A37" s="134"/>
      <c r="B37" s="1037" t="s">
        <v>126</v>
      </c>
      <c r="C37" s="135" t="s">
        <v>127</v>
      </c>
      <c r="D37" s="111"/>
    </row>
    <row r="38" spans="1:4" hidden="1">
      <c r="A38" s="134"/>
      <c r="B38" s="1037" t="s">
        <v>128</v>
      </c>
      <c r="C38" s="135" t="s">
        <v>129</v>
      </c>
      <c r="D38" s="111"/>
    </row>
    <row r="39" spans="1:4" hidden="1">
      <c r="A39" s="134"/>
      <c r="B39" s="1037" t="s">
        <v>130</v>
      </c>
      <c r="C39" s="135" t="s">
        <v>131</v>
      </c>
      <c r="D39" s="111"/>
    </row>
    <row r="40" spans="1:4" hidden="1">
      <c r="A40" s="134"/>
      <c r="B40" s="1037" t="s">
        <v>132</v>
      </c>
      <c r="C40" s="136" t="s">
        <v>133</v>
      </c>
      <c r="D40" s="136"/>
    </row>
    <row r="41" spans="1:4" hidden="1">
      <c r="A41" s="134"/>
      <c r="B41" s="1037" t="s">
        <v>134</v>
      </c>
      <c r="C41" s="1037" t="s">
        <v>135</v>
      </c>
      <c r="D41" s="1037"/>
    </row>
  </sheetData>
  <mergeCells count="4">
    <mergeCell ref="A1:D1"/>
    <mergeCell ref="A3:D3"/>
    <mergeCell ref="A4:D4"/>
    <mergeCell ref="A5:D5"/>
  </mergeCells>
  <hyperlinks>
    <hyperlink ref="B14" location="'5_Info_PMR'!A1" display="5_Info_PMR" xr:uid="{00000000-0004-0000-0100-000000000000}"/>
    <hyperlink ref="B9" location="'1_MdR'!A1" display="1_MR" xr:uid="{00000000-0004-0000-0100-000001000000}"/>
    <hyperlink ref="B10" location="'2_EDT'!A1" display="2_EDT" xr:uid="{00000000-0004-0000-0100-000002000000}"/>
    <hyperlink ref="B11" location="'3_EE'!A1" display="3_EE" xr:uid="{00000000-0004-0000-0100-000003000000}"/>
    <hyperlink ref="B12" location="'4.1_CC C'!A1" display="4.1_CC C" xr:uid="{00000000-0004-0000-0100-000004000000}"/>
    <hyperlink ref="B13" location="'4.2_CC P'!A1" display="4.2_CC P" xr:uid="{00000000-0004-0000-0100-000005000000}"/>
    <hyperlink ref="B18" location="'7_Curva S'!A1" display="'7_Curva S'!A1" xr:uid="{00000000-0004-0000-0100-000006000000}"/>
    <hyperlink ref="B33" location="CA1_ET!A1" display="CA1_ET!A1" xr:uid="{00000000-0004-0000-0100-000007000000}"/>
    <hyperlink ref="B34" location="CA2_U!A1" display="CA2_U!A1" xr:uid="{00000000-0004-0000-0100-000008000000}"/>
    <hyperlink ref="B19" location="'8_MP'!A1" display="8_MP" xr:uid="{00000000-0004-0000-0100-000009000000}"/>
    <hyperlink ref="B17" location="'6_PD'!A1" display="6.2_PD" xr:uid="{00000000-0004-0000-0100-00000A000000}"/>
    <hyperlink ref="B21" location="'9_Resumen del PA - MH'!A1" display="9_Resumen del PA - MH" xr:uid="{00000000-0004-0000-0100-00000B000000}"/>
    <hyperlink ref="B22" location="'9.1_PA_OB&amp;S - MH'!A1" display="9.1_PA_OB&amp;S - MH" xr:uid="{00000000-0004-0000-0100-00000C000000}"/>
    <hyperlink ref="B23" location="'9.2_PA_SC - MH'!A1" display="9.2_PA_SC - MH" xr:uid="{00000000-0004-0000-0100-00000D000000}"/>
    <hyperlink ref="B24" location="'9.3_PA_Aud. - MH'!A1" display="9.3_PA_Aud. - MH" xr:uid="{00000000-0004-0000-0100-00000E000000}"/>
    <hyperlink ref="B25" location="'9.4_PA_SN - MH'!A1" display="9.4_PA_SN - MH" xr:uid="{00000000-0004-0000-0100-00000F000000}"/>
    <hyperlink ref="B26" location="'10_Resumen del PA - CGR'!A1" display="10_Resumen del PA - CGR" xr:uid="{00000000-0004-0000-0100-000010000000}"/>
    <hyperlink ref="B27" location="'10.1_PA_OB&amp;S - CGR'!A1" display="10.1_PA_OB&amp;S - CGR" xr:uid="{00000000-0004-0000-0100-000011000000}"/>
    <hyperlink ref="B28" location="'10.2_PA_SC - CGR'!A1" display="10.2_PA_SC - CGR" xr:uid="{00000000-0004-0000-0100-000012000000}"/>
    <hyperlink ref="B29" location="'10.3_PA_Aud. - CGR'!A1" display="10.3_PA_Aud. - CGR" xr:uid="{00000000-0004-0000-0100-000013000000}"/>
    <hyperlink ref="B30" location="'10.4_PA_SN - CGR'!A1" display="10.4_PA_SN - CGR" xr:uid="{00000000-0004-0000-0100-000014000000}"/>
    <hyperlink ref="B20" location="PA_Inicial!A1" display="PA_Inicial" xr:uid="{00000000-0004-0000-0100-000015000000}"/>
    <hyperlink ref="B7" location="'Quick Wins'!A1" display="Quick Wins" xr:uid="{00000000-0004-0000-0100-000016000000}"/>
    <hyperlink ref="B8" location="'Prior 18m'!A1" display="Prior 18m" xr:uid="{00000000-0004-0000-0100-000017000000}"/>
    <hyperlink ref="B15" location="'GC_CC P'!A1" display="GC_CC P" xr:uid="{00000000-0004-0000-0100-000018000000}"/>
    <hyperlink ref="B16" location="'GC_Estruc. Prod.'!A1" display="GC_Estruc. Prod." xr:uid="{00000000-0004-0000-0100-000019000000}"/>
    <hyperlink ref="B31" location="'Tiempos adq.'!A1" display="Tiempos adq" xr:uid="{00000000-0004-0000-0100-00001A000000}"/>
  </hyperlinks>
  <pageMargins left="0.7" right="0.7" top="0.75" bottom="0.75" header="0.3" footer="0.3"/>
  <pageSetup paperSize="9" orientation="portrait" horizontalDpi="4294967293"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N120"/>
  <sheetViews>
    <sheetView showGridLines="0" zoomScale="60" zoomScaleNormal="60" workbookViewId="0">
      <pane ySplit="9" topLeftCell="A26" activePane="bottomLeft" state="frozen"/>
      <selection pane="bottomLeft" activeCell="C124" sqref="C124"/>
    </sheetView>
  </sheetViews>
  <sheetFormatPr baseColWidth="10" defaultColWidth="11.5" defaultRowHeight="16" outlineLevelRow="1" outlineLevelCol="1"/>
  <cols>
    <col min="1" max="1" width="5" style="2238" customWidth="1"/>
    <col min="2" max="2" width="47" style="2239" customWidth="1"/>
    <col min="3" max="3" width="39.83203125" style="2239" customWidth="1"/>
    <col min="4" max="5" width="36.5" style="2239" customWidth="1"/>
    <col min="6" max="6" width="33.5" style="2239" customWidth="1"/>
    <col min="7" max="7" width="20.83203125" style="2240" customWidth="1" outlineLevel="1"/>
    <col min="8" max="8" width="20.5" style="2239" customWidth="1" outlineLevel="1"/>
    <col min="9" max="9" width="39.5" style="2239" customWidth="1"/>
    <col min="10" max="10" width="17.5" style="2239" bestFit="1" customWidth="1"/>
    <col min="11" max="11" width="21.83203125" style="2239" customWidth="1"/>
    <col min="12" max="12" width="11.5" style="2239" customWidth="1"/>
    <col min="13" max="13" width="24.5" style="2239" customWidth="1"/>
    <col min="14" max="15" width="11.5" style="2239" customWidth="1"/>
    <col min="16" max="16384" width="11.5" style="2239"/>
  </cols>
  <sheetData>
    <row r="2" spans="1:14" ht="15.5" hidden="1" customHeight="1" outlineLevel="1">
      <c r="B2" s="771" t="s">
        <v>137</v>
      </c>
      <c r="C2" s="4130" t="s">
        <v>138</v>
      </c>
      <c r="D2" s="4131"/>
      <c r="E2" s="4131"/>
      <c r="F2" s="4131"/>
      <c r="G2" s="4131"/>
      <c r="H2" s="4131"/>
      <c r="I2" s="4132"/>
    </row>
    <row r="3" spans="1:14" ht="15.5" hidden="1" customHeight="1" outlineLevel="1">
      <c r="B3" s="771" t="s">
        <v>139</v>
      </c>
      <c r="C3" s="4127" t="s">
        <v>140</v>
      </c>
      <c r="D3" s="4128"/>
      <c r="E3" s="4128"/>
      <c r="F3" s="4128"/>
      <c r="G3" s="4128"/>
      <c r="H3" s="4128"/>
      <c r="I3" s="4129"/>
    </row>
    <row r="4" spans="1:14" ht="47" hidden="1" customHeight="1" outlineLevel="1">
      <c r="B4" s="771" t="s">
        <v>141</v>
      </c>
      <c r="C4" s="4127" t="s">
        <v>142</v>
      </c>
      <c r="D4" s="4128"/>
      <c r="E4" s="4128"/>
      <c r="F4" s="4128"/>
      <c r="G4" s="4128"/>
      <c r="H4" s="4128"/>
      <c r="I4" s="4129"/>
    </row>
    <row r="5" spans="1:14" ht="33" hidden="1" customHeight="1" outlineLevel="1">
      <c r="B5" s="771" t="s">
        <v>1751</v>
      </c>
      <c r="C5" s="4127" t="s">
        <v>1752</v>
      </c>
      <c r="D5" s="4128"/>
      <c r="E5" s="4128"/>
      <c r="F5" s="4128"/>
      <c r="G5" s="4128"/>
      <c r="H5" s="4128"/>
      <c r="I5" s="4129"/>
    </row>
    <row r="6" spans="1:14" collapsed="1">
      <c r="B6" s="2279"/>
      <c r="C6" s="217"/>
      <c r="D6" s="217"/>
      <c r="E6" s="217"/>
      <c r="F6" s="217"/>
      <c r="G6" s="217"/>
      <c r="H6" s="217"/>
      <c r="I6" s="217"/>
    </row>
    <row r="8" spans="1:14" ht="19">
      <c r="B8" s="4139" t="s">
        <v>1753</v>
      </c>
      <c r="C8" s="4139" t="s">
        <v>1754</v>
      </c>
      <c r="D8" s="4134" t="s">
        <v>8</v>
      </c>
      <c r="E8" s="4135"/>
      <c r="F8" s="4136"/>
      <c r="G8" s="4134" t="s">
        <v>1755</v>
      </c>
      <c r="H8" s="4136"/>
      <c r="I8" s="4137" t="s">
        <v>1756</v>
      </c>
    </row>
    <row r="9" spans="1:14" ht="20">
      <c r="B9" s="4140"/>
      <c r="C9" s="4140"/>
      <c r="D9" s="2253" t="s">
        <v>1757</v>
      </c>
      <c r="E9" s="2254" t="s">
        <v>1758</v>
      </c>
      <c r="F9" s="2253" t="s">
        <v>1759</v>
      </c>
      <c r="G9" s="2253" t="s">
        <v>1760</v>
      </c>
      <c r="H9" s="2254" t="s">
        <v>1761</v>
      </c>
      <c r="I9" s="4138"/>
    </row>
    <row r="10" spans="1:14" ht="19">
      <c r="B10" s="4102" t="e">
        <f>+'8_MP'!#REF!</f>
        <v>#REF!</v>
      </c>
      <c r="C10" s="4133"/>
      <c r="D10" s="4133"/>
      <c r="E10" s="4133"/>
      <c r="F10" s="4133"/>
      <c r="G10" s="4133"/>
      <c r="H10" s="4133"/>
      <c r="I10" s="4133"/>
    </row>
    <row r="11" spans="1:14" ht="68" outlineLevel="1">
      <c r="B11" s="2282" t="s">
        <v>1762</v>
      </c>
      <c r="C11" s="2283" t="s">
        <v>1763</v>
      </c>
      <c r="D11" s="2284" t="s">
        <v>157</v>
      </c>
      <c r="E11" s="2282" t="s">
        <v>157</v>
      </c>
      <c r="F11" s="2284" t="s">
        <v>157</v>
      </c>
      <c r="G11" s="2285" t="s">
        <v>157</v>
      </c>
      <c r="H11" s="2286" t="s">
        <v>157</v>
      </c>
      <c r="I11" s="2282" t="s">
        <v>157</v>
      </c>
    </row>
    <row r="12" spans="1:14" ht="30.5" customHeight="1">
      <c r="B12" s="2280" t="s">
        <v>1764</v>
      </c>
      <c r="C12" s="2280"/>
      <c r="D12" s="2280"/>
      <c r="E12" s="2280"/>
      <c r="F12" s="2280"/>
      <c r="G12" s="2288">
        <f>SUM(G14:G19)</f>
        <v>6997000</v>
      </c>
      <c r="H12" s="2288">
        <f>SUM(H14:H19)</f>
        <v>6997000</v>
      </c>
      <c r="I12" s="2281"/>
    </row>
    <row r="13" spans="1:14" ht="50.5" customHeight="1" outlineLevel="1">
      <c r="A13" s="2239"/>
      <c r="B13" s="2287" t="s">
        <v>1765</v>
      </c>
      <c r="C13" s="2283" t="s">
        <v>1766</v>
      </c>
      <c r="D13" s="2284"/>
      <c r="E13" s="2282"/>
      <c r="F13" s="2284"/>
      <c r="G13" s="2285"/>
      <c r="H13" s="2285"/>
      <c r="I13" s="2282"/>
    </row>
    <row r="14" spans="1:14" ht="171.5" customHeight="1" outlineLevel="1">
      <c r="B14" s="4080" t="s">
        <v>1767</v>
      </c>
      <c r="C14" s="2242" t="s">
        <v>1768</v>
      </c>
      <c r="D14" s="4120" t="s">
        <v>500</v>
      </c>
      <c r="E14" s="4091" t="s">
        <v>1769</v>
      </c>
      <c r="F14" s="4111" t="s">
        <v>1770</v>
      </c>
      <c r="G14" s="4088">
        <v>3450000</v>
      </c>
      <c r="H14" s="4109">
        <f>+G14+G19+O14</f>
        <v>4950000</v>
      </c>
      <c r="I14" s="4106" t="s">
        <v>406</v>
      </c>
      <c r="L14" s="2289">
        <f>+G14+G16+G17+G19</f>
        <v>6500000</v>
      </c>
      <c r="M14" s="2290">
        <f>+H14/$L$14</f>
        <v>0.7615384615384615</v>
      </c>
      <c r="N14" s="2289">
        <f>+M14*$G$18</f>
        <v>378484.61538461538</v>
      </c>
    </row>
    <row r="15" spans="1:14" ht="51" outlineLevel="1">
      <c r="B15" s="4082"/>
      <c r="C15" s="2241" t="s">
        <v>1771</v>
      </c>
      <c r="D15" s="4121"/>
      <c r="E15" s="4093"/>
      <c r="F15" s="4112"/>
      <c r="G15" s="4090"/>
      <c r="H15" s="4110"/>
      <c r="I15" s="4107"/>
      <c r="M15" s="2290"/>
    </row>
    <row r="16" spans="1:14" ht="158" customHeight="1" outlineLevel="1">
      <c r="B16" s="4080" t="s">
        <v>1772</v>
      </c>
      <c r="C16" s="2242" t="s">
        <v>1773</v>
      </c>
      <c r="D16" s="2268" t="s">
        <v>13</v>
      </c>
      <c r="E16" s="2270" t="s">
        <v>676</v>
      </c>
      <c r="F16" s="2298"/>
      <c r="G16" s="2255">
        <v>550000</v>
      </c>
      <c r="H16" s="2271">
        <f>+G16+O16+G17</f>
        <v>1550000</v>
      </c>
      <c r="I16" s="4107"/>
      <c r="M16" s="2290">
        <f>+H16/$L$14</f>
        <v>0.23846153846153847</v>
      </c>
      <c r="N16" s="2289">
        <f>+M16*$G$18</f>
        <v>118515.38461538462</v>
      </c>
    </row>
    <row r="17" spans="1:14" ht="64.25" customHeight="1" outlineLevel="1">
      <c r="B17" s="4082"/>
      <c r="C17" s="2242" t="s">
        <v>1774</v>
      </c>
      <c r="D17" s="2272" t="s">
        <v>14</v>
      </c>
      <c r="E17" s="2270"/>
      <c r="F17" s="2298"/>
      <c r="G17" s="2255">
        <v>1000000</v>
      </c>
      <c r="H17" s="2271"/>
      <c r="I17" s="4107"/>
      <c r="M17" s="2290">
        <f>+H17/$L$14</f>
        <v>0</v>
      </c>
      <c r="N17" s="2289">
        <f>+M17*$G$18</f>
        <v>0</v>
      </c>
    </row>
    <row r="18" spans="1:14" ht="51" outlineLevel="1">
      <c r="B18" s="2270"/>
      <c r="C18" s="2242" t="s">
        <v>1775</v>
      </c>
      <c r="D18" s="2268" t="s">
        <v>15</v>
      </c>
      <c r="E18" s="2406" t="s">
        <v>1776</v>
      </c>
      <c r="F18" s="2300"/>
      <c r="G18" s="2255">
        <v>497000</v>
      </c>
      <c r="H18" s="2291">
        <f>+G18</f>
        <v>497000</v>
      </c>
      <c r="I18" s="4107"/>
    </row>
    <row r="19" spans="1:14" ht="58.5" customHeight="1" outlineLevel="1">
      <c r="B19" s="2270"/>
      <c r="C19" s="2242"/>
      <c r="D19" s="2406" t="s">
        <v>17</v>
      </c>
      <c r="E19" s="2270" t="s">
        <v>157</v>
      </c>
      <c r="F19" s="2270" t="s">
        <v>1777</v>
      </c>
      <c r="G19" s="2255">
        <v>1500000</v>
      </c>
      <c r="H19" s="2291" t="s">
        <v>157</v>
      </c>
      <c r="I19" s="4108"/>
    </row>
    <row r="20" spans="1:14" ht="32" customHeight="1">
      <c r="B20" s="2280" t="s">
        <v>1778</v>
      </c>
      <c r="C20" s="2281"/>
      <c r="D20" s="2281"/>
      <c r="E20" s="2281"/>
      <c r="F20" s="2281"/>
      <c r="G20" s="2288">
        <f>SUM(G22:G26)</f>
        <v>15750000</v>
      </c>
      <c r="H20" s="2288">
        <f>SUM(H22:H26)</f>
        <v>15750000</v>
      </c>
      <c r="I20" s="2281"/>
    </row>
    <row r="21" spans="1:14" ht="61.25" customHeight="1" outlineLevel="1">
      <c r="A21" s="2239"/>
      <c r="B21" s="2287" t="s">
        <v>1779</v>
      </c>
      <c r="C21" s="2283" t="s">
        <v>1780</v>
      </c>
      <c r="D21" s="2284"/>
      <c r="E21" s="2282"/>
      <c r="F21" s="2284"/>
      <c r="G21" s="2285"/>
      <c r="H21" s="2285"/>
      <c r="I21" s="2282"/>
    </row>
    <row r="22" spans="1:14" ht="152.75" customHeight="1" outlineLevel="1">
      <c r="B22" s="4080" t="s">
        <v>1781</v>
      </c>
      <c r="C22" s="2242" t="s">
        <v>1782</v>
      </c>
      <c r="D22" s="2407" t="s">
        <v>20</v>
      </c>
      <c r="E22" s="2270" t="s">
        <v>1783</v>
      </c>
      <c r="F22" s="2299" t="s">
        <v>1784</v>
      </c>
      <c r="G22" s="2255">
        <v>11060000</v>
      </c>
      <c r="H22" s="2274">
        <f>+G22+G23+G24</f>
        <v>14804000</v>
      </c>
      <c r="I22" s="4080" t="s">
        <v>160</v>
      </c>
    </row>
    <row r="23" spans="1:14" ht="64.5" customHeight="1" outlineLevel="1">
      <c r="B23" s="4082"/>
      <c r="C23" s="2242" t="s">
        <v>1785</v>
      </c>
      <c r="D23" s="2268" t="s">
        <v>21</v>
      </c>
      <c r="E23" s="2270" t="s">
        <v>157</v>
      </c>
      <c r="F23" s="2270" t="s">
        <v>1786</v>
      </c>
      <c r="G23" s="2255">
        <v>2269000</v>
      </c>
      <c r="H23" s="2273" t="s">
        <v>157</v>
      </c>
      <c r="I23" s="4081"/>
    </row>
    <row r="24" spans="1:14" ht="69.5" customHeight="1" outlineLevel="1">
      <c r="B24" s="2241" t="s">
        <v>1787</v>
      </c>
      <c r="C24" s="2242" t="s">
        <v>1788</v>
      </c>
      <c r="D24" s="2269" t="s">
        <v>23</v>
      </c>
      <c r="E24" s="2270"/>
      <c r="F24" s="2270" t="s">
        <v>1786</v>
      </c>
      <c r="G24" s="2255">
        <v>1475000</v>
      </c>
      <c r="H24" s="2277"/>
      <c r="I24" s="4081"/>
    </row>
    <row r="25" spans="1:14" ht="85" outlineLevel="1">
      <c r="B25" s="2241" t="s">
        <v>1789</v>
      </c>
      <c r="C25" s="2242" t="s">
        <v>1790</v>
      </c>
      <c r="D25" s="2269" t="s">
        <v>25</v>
      </c>
      <c r="E25" s="2270" t="s">
        <v>1791</v>
      </c>
      <c r="F25" s="2269" t="s">
        <v>157</v>
      </c>
      <c r="G25" s="2276">
        <v>446000</v>
      </c>
      <c r="H25" s="2255">
        <v>446000</v>
      </c>
      <c r="I25" s="4105"/>
    </row>
    <row r="26" spans="1:14" ht="94.5" customHeight="1" outlineLevel="1">
      <c r="B26" s="2241" t="s">
        <v>1792</v>
      </c>
      <c r="C26" s="2242" t="s">
        <v>1793</v>
      </c>
      <c r="D26" s="2269" t="s">
        <v>27</v>
      </c>
      <c r="E26" s="2275" t="str">
        <f>+D26</f>
        <v>Producto 10: Estrategia de compra pública sostenible, diseñada e implementada</v>
      </c>
      <c r="F26" s="2270"/>
      <c r="G26" s="2285">
        <v>500000</v>
      </c>
      <c r="H26" s="2408">
        <f>+G26</f>
        <v>500000</v>
      </c>
      <c r="I26" s="2241" t="s">
        <v>163</v>
      </c>
    </row>
    <row r="27" spans="1:14" ht="32" customHeight="1">
      <c r="B27" s="2280" t="s">
        <v>29</v>
      </c>
      <c r="C27" s="2281"/>
      <c r="D27" s="2281"/>
      <c r="E27" s="2281"/>
      <c r="F27" s="2281"/>
      <c r="G27" s="2288">
        <f>SUM(G29:G31)</f>
        <v>8000000.0000000065</v>
      </c>
      <c r="H27" s="2288">
        <f>SUM(H29:H31)</f>
        <v>7999999.666666667</v>
      </c>
      <c r="I27" s="2281"/>
      <c r="K27" s="2301">
        <f>1364383-865.66666667</f>
        <v>1363517.33333333</v>
      </c>
    </row>
    <row r="28" spans="1:14" ht="17" outlineLevel="1">
      <c r="A28" s="2239"/>
      <c r="B28" s="2287" t="s">
        <v>1794</v>
      </c>
      <c r="C28" s="2283" t="s">
        <v>1795</v>
      </c>
      <c r="D28" s="2284"/>
      <c r="E28" s="2282"/>
      <c r="F28" s="2284"/>
      <c r="G28" s="2285"/>
      <c r="H28" s="2285"/>
      <c r="I28" s="2282"/>
    </row>
    <row r="29" spans="1:14" ht="110" customHeight="1" outlineLevel="1">
      <c r="B29" s="4080" t="s">
        <v>1796</v>
      </c>
      <c r="C29" s="2242" t="s">
        <v>1797</v>
      </c>
      <c r="D29" s="2241" t="s">
        <v>30</v>
      </c>
      <c r="E29" s="2270" t="s">
        <v>1798</v>
      </c>
      <c r="F29" s="2300" t="s">
        <v>1799</v>
      </c>
      <c r="G29" s="2255">
        <v>2756483.666666667</v>
      </c>
      <c r="H29" s="2309">
        <f>+G29+1907651+865.33333333</f>
        <v>4664999.9999999972</v>
      </c>
      <c r="I29" s="4080" t="s">
        <v>165</v>
      </c>
      <c r="J29" s="2123"/>
      <c r="K29" s="2289">
        <f>+G29+G30</f>
        <v>4727966.3333333367</v>
      </c>
      <c r="L29" s="2297">
        <f>+G29/K29</f>
        <v>0.58301677134051755</v>
      </c>
      <c r="M29" s="2289">
        <f>+L29*G31</f>
        <v>1907650.504057477</v>
      </c>
    </row>
    <row r="30" spans="1:14" ht="106.25" customHeight="1" outlineLevel="1">
      <c r="B30" s="4081"/>
      <c r="C30" s="4122" t="s">
        <v>1800</v>
      </c>
      <c r="D30" s="2241" t="s">
        <v>31</v>
      </c>
      <c r="E30" s="2270"/>
      <c r="F30" s="2298" t="s">
        <v>1801</v>
      </c>
      <c r="G30" s="2255">
        <v>1971482.66666667</v>
      </c>
      <c r="H30" s="2317">
        <f>+G30+1364383-866</f>
        <v>3334999.6666666698</v>
      </c>
      <c r="I30" s="4081"/>
      <c r="J30" s="2123"/>
      <c r="L30" s="2297">
        <f>+G30/K29</f>
        <v>0.41698322865948256</v>
      </c>
      <c r="M30" s="2289">
        <f>+L30*G31</f>
        <v>1364383.162609193</v>
      </c>
    </row>
    <row r="31" spans="1:14" ht="117.5" customHeight="1" outlineLevel="1">
      <c r="B31" s="4082"/>
      <c r="C31" s="4123"/>
      <c r="D31" s="2241" t="s">
        <v>32</v>
      </c>
      <c r="E31" s="2273" t="s">
        <v>157</v>
      </c>
      <c r="F31" s="2300" t="s">
        <v>1802</v>
      </c>
      <c r="G31" s="2255">
        <v>3272033.6666666698</v>
      </c>
      <c r="H31" s="2273" t="s">
        <v>157</v>
      </c>
      <c r="I31" s="4082"/>
    </row>
    <row r="32" spans="1:14" ht="32" customHeight="1">
      <c r="B32" s="2280" t="s">
        <v>34</v>
      </c>
      <c r="C32" s="2281"/>
      <c r="D32" s="2281"/>
      <c r="E32" s="2281"/>
      <c r="F32" s="2281"/>
      <c r="G32" s="2288">
        <f>SUM(G33:G35)</f>
        <v>6120000</v>
      </c>
      <c r="H32" s="2288">
        <f>SUM(H33:H35)</f>
        <v>6120000</v>
      </c>
      <c r="I32" s="2281"/>
    </row>
    <row r="33" spans="1:14" ht="51" outlineLevel="1">
      <c r="A33" s="2239"/>
      <c r="B33" s="2287" t="s">
        <v>1803</v>
      </c>
      <c r="C33" s="2283" t="s">
        <v>1804</v>
      </c>
      <c r="D33" s="2284"/>
      <c r="E33" s="2282"/>
      <c r="F33" s="2284"/>
      <c r="G33" s="2285"/>
      <c r="H33" s="2285"/>
      <c r="I33" s="2282"/>
    </row>
    <row r="34" spans="1:14" ht="114.5" customHeight="1" outlineLevel="1">
      <c r="B34" s="4080" t="s">
        <v>1805</v>
      </c>
      <c r="C34" s="2241" t="s">
        <v>1806</v>
      </c>
      <c r="D34" s="2241" t="s">
        <v>35</v>
      </c>
      <c r="E34" s="2270" t="s">
        <v>1807</v>
      </c>
      <c r="F34" s="2270" t="s">
        <v>1808</v>
      </c>
      <c r="G34" s="2255">
        <v>5180000</v>
      </c>
      <c r="H34" s="2275">
        <f>+G34+G35</f>
        <v>6120000</v>
      </c>
      <c r="I34" s="4094" t="s">
        <v>157</v>
      </c>
    </row>
    <row r="35" spans="1:14" ht="179.75" customHeight="1" outlineLevel="1">
      <c r="B35" s="4082"/>
      <c r="C35" s="2242" t="s">
        <v>1809</v>
      </c>
      <c r="D35" s="2241" t="s">
        <v>36</v>
      </c>
      <c r="E35" s="2286" t="s">
        <v>157</v>
      </c>
      <c r="F35" s="2270" t="s">
        <v>1810</v>
      </c>
      <c r="G35" s="2255">
        <v>940000</v>
      </c>
      <c r="H35" s="2273" t="s">
        <v>157</v>
      </c>
      <c r="I35" s="4095"/>
    </row>
    <row r="36" spans="1:14" ht="28.25" customHeight="1">
      <c r="B36" s="4102" t="s">
        <v>258</v>
      </c>
      <c r="C36" s="4103"/>
      <c r="D36" s="4103"/>
      <c r="E36" s="4103"/>
      <c r="F36" s="4103"/>
      <c r="G36" s="4103"/>
      <c r="H36" s="4103"/>
      <c r="I36" s="4103"/>
    </row>
    <row r="37" spans="1:14" ht="34" hidden="1" outlineLevel="1">
      <c r="B37" s="2282" t="s">
        <v>1811</v>
      </c>
      <c r="C37" s="2283" t="s">
        <v>1812</v>
      </c>
      <c r="D37" s="2284" t="s">
        <v>157</v>
      </c>
      <c r="E37" s="2282" t="s">
        <v>157</v>
      </c>
      <c r="F37" s="2284" t="s">
        <v>157</v>
      </c>
      <c r="G37" s="2285" t="s">
        <v>157</v>
      </c>
      <c r="H37" s="2286" t="s">
        <v>157</v>
      </c>
      <c r="I37" s="2282" t="s">
        <v>157</v>
      </c>
    </row>
    <row r="38" spans="1:14" ht="32" customHeight="1" collapsed="1">
      <c r="B38" s="2280" t="s">
        <v>259</v>
      </c>
      <c r="C38" s="2281"/>
      <c r="D38" s="2281"/>
      <c r="E38" s="2281"/>
      <c r="F38" s="2281"/>
      <c r="G38" s="2288">
        <f>SUM(G40:G43)</f>
        <v>2307500</v>
      </c>
      <c r="H38" s="2288">
        <f>SUM(H40:H43)</f>
        <v>2307500</v>
      </c>
      <c r="I38" s="2281"/>
    </row>
    <row r="39" spans="1:14" ht="85" outlineLevel="1">
      <c r="A39" s="2239"/>
      <c r="B39" s="2294" t="s">
        <v>1813</v>
      </c>
      <c r="C39" s="2283" t="s">
        <v>1814</v>
      </c>
      <c r="D39" s="2284" t="s">
        <v>157</v>
      </c>
      <c r="E39" s="2282" t="s">
        <v>157</v>
      </c>
      <c r="F39" s="2284" t="s">
        <v>157</v>
      </c>
      <c r="G39" s="2285" t="s">
        <v>157</v>
      </c>
      <c r="H39" s="2285" t="s">
        <v>157</v>
      </c>
      <c r="I39" s="2282" t="s">
        <v>157</v>
      </c>
    </row>
    <row r="40" spans="1:14" ht="85" outlineLevel="1">
      <c r="B40" s="4078" t="s">
        <v>1815</v>
      </c>
      <c r="C40" s="2306" t="s">
        <v>1816</v>
      </c>
      <c r="D40" s="2292" t="s">
        <v>260</v>
      </c>
      <c r="E40" s="2296" t="s">
        <v>1817</v>
      </c>
      <c r="F40" s="2270" t="s">
        <v>1818</v>
      </c>
      <c r="G40" s="2295">
        <v>438000</v>
      </c>
      <c r="H40" s="2278">
        <f>+G40+G42</f>
        <v>922500</v>
      </c>
      <c r="I40" s="2307"/>
      <c r="L40" s="2289"/>
      <c r="M40" s="2290"/>
      <c r="N40" s="2289"/>
    </row>
    <row r="41" spans="1:14" ht="54.5" customHeight="1" outlineLevel="1">
      <c r="B41" s="4104"/>
      <c r="C41" s="2306" t="s">
        <v>1819</v>
      </c>
      <c r="D41" s="2284" t="s">
        <v>261</v>
      </c>
      <c r="E41" s="2271" t="s">
        <v>1820</v>
      </c>
      <c r="F41" s="2299" t="s">
        <v>1821</v>
      </c>
      <c r="G41" s="2285">
        <v>935000</v>
      </c>
      <c r="H41" s="2278">
        <f>+G41</f>
        <v>935000</v>
      </c>
      <c r="I41" s="2278"/>
      <c r="M41" s="2290"/>
      <c r="N41" s="2289"/>
    </row>
    <row r="42" spans="1:14" ht="85" outlineLevel="1">
      <c r="B42" s="4104"/>
      <c r="C42" s="2283" t="s">
        <v>1822</v>
      </c>
      <c r="D42" s="2284" t="s">
        <v>1823</v>
      </c>
      <c r="E42" s="2271" t="s">
        <v>157</v>
      </c>
      <c r="F42" s="2270" t="s">
        <v>1824</v>
      </c>
      <c r="G42" s="2285">
        <v>484500</v>
      </c>
      <c r="H42" s="2291">
        <v>0</v>
      </c>
      <c r="I42" s="2307" t="s">
        <v>170</v>
      </c>
    </row>
    <row r="43" spans="1:14" ht="68" outlineLevel="1">
      <c r="B43" s="4079"/>
      <c r="C43" s="2283" t="s">
        <v>1825</v>
      </c>
      <c r="D43" s="2284" t="s">
        <v>265</v>
      </c>
      <c r="E43" s="2299" t="s">
        <v>1826</v>
      </c>
      <c r="F43" s="2299" t="s">
        <v>1827</v>
      </c>
      <c r="G43" s="2285">
        <v>450000</v>
      </c>
      <c r="H43" s="2291">
        <f>+G43</f>
        <v>450000</v>
      </c>
      <c r="I43" s="2291"/>
    </row>
    <row r="44" spans="1:14" ht="32" customHeight="1">
      <c r="B44" s="2280" t="s">
        <v>268</v>
      </c>
      <c r="C44" s="2281"/>
      <c r="D44" s="2281"/>
      <c r="E44" s="2281"/>
      <c r="F44" s="2281"/>
      <c r="G44" s="2288">
        <f>SUM(G46:G49)</f>
        <v>1340000</v>
      </c>
      <c r="H44" s="2288">
        <f>SUM(H46:H49)</f>
        <v>1340000</v>
      </c>
      <c r="I44" s="2281"/>
    </row>
    <row r="45" spans="1:14" ht="85" outlineLevel="1">
      <c r="A45" s="2239"/>
      <c r="B45" s="2287" t="s">
        <v>1828</v>
      </c>
      <c r="C45" s="2283" t="s">
        <v>1829</v>
      </c>
      <c r="D45" s="2284" t="s">
        <v>157</v>
      </c>
      <c r="E45" s="2282" t="s">
        <v>157</v>
      </c>
      <c r="F45" s="2284" t="s">
        <v>157</v>
      </c>
      <c r="G45" s="2285" t="s">
        <v>157</v>
      </c>
      <c r="H45" s="2285" t="s">
        <v>157</v>
      </c>
      <c r="I45" s="2241" t="s">
        <v>157</v>
      </c>
    </row>
    <row r="46" spans="1:14" ht="136" outlineLevel="1">
      <c r="B46" s="2242" t="s">
        <v>1830</v>
      </c>
      <c r="C46" s="2242" t="s">
        <v>1831</v>
      </c>
      <c r="D46" s="2268" t="s">
        <v>269</v>
      </c>
      <c r="E46" s="2268" t="s">
        <v>1832</v>
      </c>
      <c r="F46" s="2308" t="s">
        <v>1833</v>
      </c>
      <c r="G46" s="2255">
        <v>450000</v>
      </c>
      <c r="H46" s="2309">
        <f>+G46</f>
        <v>450000</v>
      </c>
      <c r="I46" s="2302"/>
    </row>
    <row r="47" spans="1:14" ht="102" outlineLevel="1">
      <c r="B47" s="2242"/>
      <c r="C47" s="2242" t="s">
        <v>1834</v>
      </c>
      <c r="D47" s="2268" t="s">
        <v>275</v>
      </c>
      <c r="E47" s="2268" t="s">
        <v>1835</v>
      </c>
      <c r="F47" s="2300" t="s">
        <v>1836</v>
      </c>
      <c r="G47" s="2255">
        <v>460000</v>
      </c>
      <c r="H47" s="2309">
        <f>+G47</f>
        <v>460000</v>
      </c>
      <c r="I47" s="2303"/>
    </row>
    <row r="48" spans="1:14" ht="68" outlineLevel="1">
      <c r="B48" s="2242"/>
      <c r="C48" s="2242" t="s">
        <v>1837</v>
      </c>
      <c r="D48" s="2269" t="s">
        <v>278</v>
      </c>
      <c r="E48" s="2270" t="s">
        <v>1838</v>
      </c>
      <c r="F48" s="2270" t="s">
        <v>1839</v>
      </c>
      <c r="G48" s="2255">
        <v>230000</v>
      </c>
      <c r="H48" s="2271">
        <f>+G48+G49</f>
        <v>430000</v>
      </c>
      <c r="I48" s="2303"/>
    </row>
    <row r="49" spans="1:14" ht="51" outlineLevel="1">
      <c r="B49" s="2242"/>
      <c r="C49" s="2242"/>
      <c r="D49" s="2269" t="s">
        <v>280</v>
      </c>
      <c r="E49" s="2270"/>
      <c r="F49" s="2270" t="s">
        <v>1840</v>
      </c>
      <c r="G49" s="2255">
        <v>200000</v>
      </c>
      <c r="H49" s="2255"/>
      <c r="I49" s="2303"/>
    </row>
    <row r="50" spans="1:14" ht="32" customHeight="1">
      <c r="B50" s="2280" t="s">
        <v>281</v>
      </c>
      <c r="C50" s="2281"/>
      <c r="D50" s="2281"/>
      <c r="E50" s="2281"/>
      <c r="F50" s="2281"/>
      <c r="G50" s="2288">
        <f>SUM(G52:G58)</f>
        <v>6832500</v>
      </c>
      <c r="H50" s="2288">
        <f>SUM(H52:H58)</f>
        <v>6832500</v>
      </c>
      <c r="I50" s="2281"/>
    </row>
    <row r="51" spans="1:14" ht="102" outlineLevel="1">
      <c r="A51" s="2239"/>
      <c r="B51" s="2287" t="s">
        <v>1841</v>
      </c>
      <c r="C51" s="2283" t="s">
        <v>1842</v>
      </c>
      <c r="D51" s="2284" t="s">
        <v>157</v>
      </c>
      <c r="E51" s="2282" t="s">
        <v>157</v>
      </c>
      <c r="F51" s="2284" t="s">
        <v>157</v>
      </c>
      <c r="G51" s="2285" t="s">
        <v>157</v>
      </c>
      <c r="H51" s="2285" t="s">
        <v>157</v>
      </c>
      <c r="I51" s="2282" t="s">
        <v>157</v>
      </c>
    </row>
    <row r="52" spans="1:14" ht="140.5" customHeight="1" outlineLevel="1">
      <c r="B52" s="4083" t="s">
        <v>1843</v>
      </c>
      <c r="C52" s="2241" t="s">
        <v>1844</v>
      </c>
      <c r="D52" s="2241" t="s">
        <v>1845</v>
      </c>
      <c r="E52" s="2270" t="s">
        <v>1846</v>
      </c>
      <c r="F52" s="2270" t="s">
        <v>1847</v>
      </c>
      <c r="G52" s="2255">
        <v>1030000</v>
      </c>
      <c r="H52" s="2271">
        <f>+G52+G53+G54+G58</f>
        <v>5339000</v>
      </c>
      <c r="I52" s="2241"/>
    </row>
    <row r="53" spans="1:14" ht="68" outlineLevel="1">
      <c r="B53" s="4084"/>
      <c r="C53" s="2241" t="s">
        <v>1848</v>
      </c>
      <c r="D53" s="2241" t="s">
        <v>1849</v>
      </c>
      <c r="E53" s="2241" t="s">
        <v>157</v>
      </c>
      <c r="F53" s="2270" t="s">
        <v>1850</v>
      </c>
      <c r="G53" s="2255">
        <v>3209000</v>
      </c>
      <c r="H53" s="2255">
        <v>0</v>
      </c>
      <c r="I53" s="2241"/>
    </row>
    <row r="54" spans="1:14" ht="68" outlineLevel="1">
      <c r="B54" s="4084"/>
      <c r="C54" s="2241" t="s">
        <v>1851</v>
      </c>
      <c r="D54" s="4080" t="s">
        <v>285</v>
      </c>
      <c r="E54" s="4080" t="s">
        <v>157</v>
      </c>
      <c r="F54" s="4091" t="s">
        <v>1850</v>
      </c>
      <c r="G54" s="4088">
        <v>800000</v>
      </c>
      <c r="H54" s="4088">
        <v>0</v>
      </c>
      <c r="I54" s="4085"/>
    </row>
    <row r="55" spans="1:14" ht="34" outlineLevel="1">
      <c r="B55" s="4084"/>
      <c r="C55" s="2241" t="s">
        <v>1852</v>
      </c>
      <c r="D55" s="4081"/>
      <c r="E55" s="4081"/>
      <c r="F55" s="4092"/>
      <c r="G55" s="4089"/>
      <c r="H55" s="4089"/>
      <c r="I55" s="4086"/>
    </row>
    <row r="56" spans="1:14" ht="51" outlineLevel="1">
      <c r="B56" s="4084"/>
      <c r="C56" s="2241" t="s">
        <v>1853</v>
      </c>
      <c r="D56" s="4082"/>
      <c r="E56" s="4082"/>
      <c r="F56" s="4093"/>
      <c r="G56" s="4090"/>
      <c r="H56" s="4090"/>
      <c r="I56" s="4087"/>
    </row>
    <row r="57" spans="1:14" ht="68" outlineLevel="1">
      <c r="B57" s="4084"/>
      <c r="C57" s="2241"/>
      <c r="D57" s="2241" t="s">
        <v>286</v>
      </c>
      <c r="E57" s="2270" t="s">
        <v>1854</v>
      </c>
      <c r="F57" s="2241"/>
      <c r="G57" s="2255">
        <v>1493500</v>
      </c>
      <c r="H57" s="2271">
        <f>+G57</f>
        <v>1493500</v>
      </c>
      <c r="I57" s="2241"/>
    </row>
    <row r="58" spans="1:14" ht="68" outlineLevel="1">
      <c r="B58" s="4084"/>
      <c r="C58" s="2241" t="s">
        <v>1855</v>
      </c>
      <c r="D58" s="2241" t="s">
        <v>1856</v>
      </c>
      <c r="E58" s="2241" t="s">
        <v>157</v>
      </c>
      <c r="F58" s="2270" t="s">
        <v>1850</v>
      </c>
      <c r="G58" s="2255">
        <v>300000</v>
      </c>
      <c r="H58" s="2255">
        <v>0</v>
      </c>
      <c r="I58" s="2241"/>
    </row>
    <row r="59" spans="1:14" ht="18" customHeight="1">
      <c r="B59" s="2311" t="s">
        <v>554</v>
      </c>
      <c r="C59" s="2310"/>
      <c r="D59" s="2310"/>
      <c r="E59" s="2310"/>
      <c r="F59" s="2310"/>
      <c r="G59" s="2312">
        <f>+G61+G69+G73+G78</f>
        <v>7205000</v>
      </c>
      <c r="H59" s="2312">
        <f>+H61+H69+H73+H78</f>
        <v>7205000</v>
      </c>
      <c r="I59" s="2310"/>
    </row>
    <row r="60" spans="1:14" ht="68">
      <c r="B60" s="2282" t="s">
        <v>1857</v>
      </c>
      <c r="C60" s="2283" t="s">
        <v>1858</v>
      </c>
      <c r="D60" s="2284" t="s">
        <v>157</v>
      </c>
      <c r="E60" s="2282" t="s">
        <v>157</v>
      </c>
      <c r="F60" s="2284" t="s">
        <v>157</v>
      </c>
      <c r="G60" s="2285" t="s">
        <v>157</v>
      </c>
      <c r="H60" s="2286" t="s">
        <v>157</v>
      </c>
      <c r="I60" s="2282" t="s">
        <v>157</v>
      </c>
    </row>
    <row r="61" spans="1:14" ht="32" customHeight="1">
      <c r="B61" s="2280" t="s">
        <v>39</v>
      </c>
      <c r="C61" s="2281"/>
      <c r="D61" s="2281"/>
      <c r="E61" s="2281"/>
      <c r="F61" s="2281"/>
      <c r="G61" s="2288">
        <f>SUM(G63:G68)</f>
        <v>1908000</v>
      </c>
      <c r="H61" s="2288">
        <f>SUM(H63:H68)</f>
        <v>1908000</v>
      </c>
      <c r="I61" s="2281"/>
    </row>
    <row r="62" spans="1:14" ht="50.5" customHeight="1" outlineLevel="1">
      <c r="A62" s="2239"/>
      <c r="B62" s="2294" t="s">
        <v>1859</v>
      </c>
      <c r="C62" s="2283" t="s">
        <v>1860</v>
      </c>
      <c r="D62" s="2284" t="s">
        <v>157</v>
      </c>
      <c r="E62" s="2282" t="s">
        <v>157</v>
      </c>
      <c r="F62" s="2284" t="s">
        <v>157</v>
      </c>
      <c r="G62" s="2285" t="s">
        <v>157</v>
      </c>
      <c r="H62" s="2285" t="s">
        <v>157</v>
      </c>
      <c r="I62" s="2282" t="s">
        <v>157</v>
      </c>
    </row>
    <row r="63" spans="1:14" ht="119" outlineLevel="1">
      <c r="B63" s="2293" t="s">
        <v>1861</v>
      </c>
      <c r="C63" s="4078" t="s">
        <v>1862</v>
      </c>
      <c r="D63" s="2292" t="s">
        <v>41</v>
      </c>
      <c r="E63" s="2379" t="s">
        <v>1863</v>
      </c>
      <c r="F63" s="2304" t="s">
        <v>1864</v>
      </c>
      <c r="G63" s="2295">
        <v>997000</v>
      </c>
      <c r="H63" s="2278">
        <f>+G63+G65+G68</f>
        <v>1414000</v>
      </c>
      <c r="I63" s="4080" t="s">
        <v>174</v>
      </c>
      <c r="L63" s="2289"/>
      <c r="M63" s="2290"/>
      <c r="N63" s="2289"/>
    </row>
    <row r="64" spans="1:14" ht="79.5" customHeight="1" outlineLevel="1">
      <c r="B64" s="2293" t="s">
        <v>1865</v>
      </c>
      <c r="C64" s="4079"/>
      <c r="D64" s="2284" t="s">
        <v>43</v>
      </c>
      <c r="E64" s="2271" t="s">
        <v>1866</v>
      </c>
      <c r="F64" s="2284"/>
      <c r="G64" s="2285">
        <v>80000</v>
      </c>
      <c r="H64" s="2278">
        <v>80000</v>
      </c>
      <c r="I64" s="4081"/>
      <c r="M64" s="2290"/>
      <c r="N64" s="2289"/>
    </row>
    <row r="65" spans="1:9" ht="120" customHeight="1" outlineLevel="1">
      <c r="B65" s="2282" t="s">
        <v>1867</v>
      </c>
      <c r="C65" s="2283" t="s">
        <v>1868</v>
      </c>
      <c r="D65" s="2284" t="s">
        <v>44</v>
      </c>
      <c r="E65" s="2271" t="s">
        <v>157</v>
      </c>
      <c r="F65" s="2270" t="s">
        <v>1869</v>
      </c>
      <c r="G65" s="2285">
        <v>180000</v>
      </c>
      <c r="H65" s="2291"/>
      <c r="I65" s="4081"/>
    </row>
    <row r="66" spans="1:9" ht="34" outlineLevel="1">
      <c r="B66" s="2282" t="s">
        <v>1870</v>
      </c>
      <c r="C66" s="2283" t="s">
        <v>1871</v>
      </c>
      <c r="D66" s="2284"/>
      <c r="E66" s="2271"/>
      <c r="F66" s="2284" t="s">
        <v>157</v>
      </c>
      <c r="G66" s="2285"/>
      <c r="H66" s="2291"/>
      <c r="I66" s="4081"/>
    </row>
    <row r="67" spans="1:9" ht="51" outlineLevel="1">
      <c r="B67" s="2282" t="s">
        <v>1872</v>
      </c>
      <c r="C67" s="2283" t="s">
        <v>1873</v>
      </c>
      <c r="D67" s="2284" t="s">
        <v>46</v>
      </c>
      <c r="E67" s="2271" t="s">
        <v>1874</v>
      </c>
      <c r="F67" s="2282" t="s">
        <v>157</v>
      </c>
      <c r="G67" s="2285">
        <v>414000</v>
      </c>
      <c r="H67" s="2291">
        <v>414000</v>
      </c>
      <c r="I67" s="4081"/>
    </row>
    <row r="68" spans="1:9" ht="85" outlineLevel="1">
      <c r="B68" s="2282"/>
      <c r="C68" s="2283" t="s">
        <v>1875</v>
      </c>
      <c r="D68" s="2284" t="s">
        <v>47</v>
      </c>
      <c r="E68" s="2271" t="s">
        <v>157</v>
      </c>
      <c r="F68" s="2270" t="s">
        <v>1869</v>
      </c>
      <c r="G68" s="2285">
        <v>237000</v>
      </c>
      <c r="H68" s="2291"/>
      <c r="I68" s="4082"/>
    </row>
    <row r="69" spans="1:9" ht="32" customHeight="1">
      <c r="B69" s="2280" t="s">
        <v>49</v>
      </c>
      <c r="C69" s="2281"/>
      <c r="D69" s="2281"/>
      <c r="E69" s="2281"/>
      <c r="F69" s="2281"/>
      <c r="G69" s="2288">
        <f>SUM(G71:G72)</f>
        <v>915000</v>
      </c>
      <c r="H69" s="2288">
        <f>SUM(H71:H72)</f>
        <v>915000</v>
      </c>
      <c r="I69" s="2281"/>
    </row>
    <row r="70" spans="1:9" ht="17" outlineLevel="1">
      <c r="A70" s="2239"/>
      <c r="B70" s="2287" t="s">
        <v>1876</v>
      </c>
      <c r="C70" s="2283" t="s">
        <v>1877</v>
      </c>
      <c r="D70" s="2284" t="s">
        <v>157</v>
      </c>
      <c r="E70" s="2282" t="s">
        <v>157</v>
      </c>
      <c r="F70" s="2284" t="s">
        <v>157</v>
      </c>
      <c r="G70" s="2285" t="s">
        <v>157</v>
      </c>
      <c r="H70" s="2285" t="s">
        <v>157</v>
      </c>
      <c r="I70" s="2241" t="s">
        <v>157</v>
      </c>
    </row>
    <row r="71" spans="1:9" ht="119" outlineLevel="1">
      <c r="B71" s="2242" t="s">
        <v>1878</v>
      </c>
      <c r="C71" s="2242" t="s">
        <v>1879</v>
      </c>
      <c r="D71" s="2268" t="s">
        <v>51</v>
      </c>
      <c r="E71" s="2270" t="s">
        <v>1880</v>
      </c>
      <c r="F71" s="2268" t="s">
        <v>1881</v>
      </c>
      <c r="G71" s="2255">
        <v>450000</v>
      </c>
      <c r="H71" s="2271">
        <f>450000+465000</f>
        <v>915000</v>
      </c>
      <c r="I71" s="4080" t="s">
        <v>177</v>
      </c>
    </row>
    <row r="72" spans="1:9" ht="68" outlineLevel="1">
      <c r="B72" s="2242" t="s">
        <v>1882</v>
      </c>
      <c r="C72" s="2242" t="s">
        <v>1883</v>
      </c>
      <c r="D72" s="2269" t="s">
        <v>52</v>
      </c>
      <c r="E72" s="2282"/>
      <c r="F72" s="2382"/>
      <c r="G72" s="2255">
        <v>465000</v>
      </c>
      <c r="H72" s="2309"/>
      <c r="I72" s="4081"/>
    </row>
    <row r="73" spans="1:9" ht="32" customHeight="1">
      <c r="B73" s="2280" t="s">
        <v>54</v>
      </c>
      <c r="C73" s="2281"/>
      <c r="D73" s="2281"/>
      <c r="E73" s="2281"/>
      <c r="F73" s="2281"/>
      <c r="G73" s="2288">
        <f>+G75</f>
        <v>3325000</v>
      </c>
      <c r="H73" s="2288">
        <f>+H75</f>
        <v>3325000</v>
      </c>
      <c r="I73" s="2281"/>
    </row>
    <row r="74" spans="1:9" ht="77" customHeight="1" outlineLevel="1">
      <c r="A74" s="2239"/>
      <c r="B74" s="2287" t="s">
        <v>1884</v>
      </c>
      <c r="C74" s="2283" t="s">
        <v>1885</v>
      </c>
      <c r="D74" s="2284" t="s">
        <v>157</v>
      </c>
      <c r="E74" s="2282"/>
      <c r="F74" s="2284" t="s">
        <v>157</v>
      </c>
      <c r="G74" s="2285" t="s">
        <v>157</v>
      </c>
      <c r="H74" s="2285" t="s">
        <v>157</v>
      </c>
      <c r="I74" s="2282" t="s">
        <v>157</v>
      </c>
    </row>
    <row r="75" spans="1:9" ht="110" customHeight="1" outlineLevel="1">
      <c r="B75" s="2241" t="s">
        <v>1886</v>
      </c>
      <c r="C75" s="4080" t="s">
        <v>1887</v>
      </c>
      <c r="D75" s="4080" t="s">
        <v>56</v>
      </c>
      <c r="E75" s="4080" t="s">
        <v>1888</v>
      </c>
      <c r="F75" s="4124" t="s">
        <v>1889</v>
      </c>
      <c r="G75" s="4096">
        <v>3325000</v>
      </c>
      <c r="H75" s="4099">
        <v>3325000</v>
      </c>
      <c r="I75" s="4080" t="s">
        <v>1890</v>
      </c>
    </row>
    <row r="76" spans="1:9" ht="55.5" customHeight="1" outlineLevel="1">
      <c r="B76" s="2241" t="s">
        <v>1891</v>
      </c>
      <c r="C76" s="4081"/>
      <c r="D76" s="4081"/>
      <c r="E76" s="4081"/>
      <c r="F76" s="4125"/>
      <c r="G76" s="4097"/>
      <c r="H76" s="4100"/>
      <c r="I76" s="4081"/>
    </row>
    <row r="77" spans="1:9" ht="34" outlineLevel="1">
      <c r="B77" s="2241" t="s">
        <v>1892</v>
      </c>
      <c r="C77" s="4082"/>
      <c r="D77" s="4082"/>
      <c r="E77" s="4082"/>
      <c r="F77" s="4126"/>
      <c r="G77" s="4098"/>
      <c r="H77" s="4101"/>
      <c r="I77" s="4082"/>
    </row>
    <row r="78" spans="1:9" ht="32" customHeight="1">
      <c r="B78" s="2280" t="s">
        <v>58</v>
      </c>
      <c r="C78" s="2281"/>
      <c r="D78" s="2281"/>
      <c r="E78" s="2281"/>
      <c r="F78" s="2281"/>
      <c r="G78" s="2288">
        <f>+G80+G81</f>
        <v>1057000</v>
      </c>
      <c r="H78" s="2288">
        <f>+H80+H81</f>
        <v>1057000</v>
      </c>
      <c r="I78" s="2281"/>
    </row>
    <row r="79" spans="1:9" ht="34" outlineLevel="1">
      <c r="A79" s="2239"/>
      <c r="B79" s="2287" t="s">
        <v>1884</v>
      </c>
      <c r="C79" s="2283" t="s">
        <v>1893</v>
      </c>
      <c r="D79" s="2284"/>
      <c r="E79" s="2282"/>
      <c r="F79" s="2284"/>
      <c r="G79" s="2285"/>
      <c r="H79" s="2285"/>
      <c r="I79" s="2241"/>
    </row>
    <row r="80" spans="1:9" ht="114.5" customHeight="1" outlineLevel="1">
      <c r="B80" s="4080" t="s">
        <v>1894</v>
      </c>
      <c r="C80" s="2241" t="s">
        <v>1895</v>
      </c>
      <c r="D80" s="2241" t="s">
        <v>60</v>
      </c>
      <c r="E80" s="2270" t="s">
        <v>1896</v>
      </c>
      <c r="F80" s="2304" t="s">
        <v>1897</v>
      </c>
      <c r="G80" s="2255">
        <v>623000</v>
      </c>
      <c r="H80" s="2271">
        <f>+G80+G81</f>
        <v>1057000</v>
      </c>
      <c r="I80" s="2241"/>
    </row>
    <row r="81" spans="1:9" ht="114.5" customHeight="1" outlineLevel="1">
      <c r="B81" s="4082"/>
      <c r="C81" s="2242" t="s">
        <v>1898</v>
      </c>
      <c r="D81" s="2241" t="s">
        <v>62</v>
      </c>
      <c r="E81" s="2286"/>
      <c r="F81" s="2273" t="s">
        <v>1899</v>
      </c>
      <c r="G81" s="2255">
        <v>434000</v>
      </c>
      <c r="H81" s="2305"/>
      <c r="I81" s="2241"/>
    </row>
    <row r="82" spans="1:9" ht="19">
      <c r="B82" s="2241"/>
      <c r="C82" s="2242"/>
      <c r="D82" s="2241"/>
      <c r="E82" s="2241"/>
      <c r="F82" s="2241"/>
      <c r="G82" s="2255"/>
      <c r="H82" s="2241"/>
      <c r="I82" s="2243"/>
    </row>
    <row r="83" spans="1:9" ht="145.25" hidden="1" customHeight="1">
      <c r="A83" s="4119" t="s">
        <v>10</v>
      </c>
      <c r="B83" s="2256" t="s">
        <v>1900</v>
      </c>
      <c r="C83" s="2244" t="s">
        <v>1901</v>
      </c>
      <c r="D83" s="2256" t="s">
        <v>1902</v>
      </c>
      <c r="E83" s="2256" t="s">
        <v>1903</v>
      </c>
      <c r="F83" s="2256"/>
      <c r="G83" s="2255"/>
      <c r="H83" s="2256" t="s">
        <v>1903</v>
      </c>
      <c r="I83" s="2257" t="s">
        <v>1904</v>
      </c>
    </row>
    <row r="84" spans="1:9" ht="62.5" hidden="1" customHeight="1">
      <c r="A84" s="4119"/>
      <c r="B84" s="2259" t="s">
        <v>1905</v>
      </c>
      <c r="C84" s="2259" t="s">
        <v>1906</v>
      </c>
      <c r="D84" s="2256" t="s">
        <v>1907</v>
      </c>
      <c r="E84" s="2256" t="s">
        <v>1908</v>
      </c>
      <c r="F84" s="2256"/>
      <c r="G84" s="2255"/>
      <c r="H84" s="2256" t="s">
        <v>1908</v>
      </c>
      <c r="I84" s="2257"/>
    </row>
    <row r="85" spans="1:9" ht="255" hidden="1">
      <c r="A85" s="4119"/>
      <c r="B85" s="2259"/>
      <c r="C85" s="2259" t="s">
        <v>1909</v>
      </c>
      <c r="D85" s="2256" t="s">
        <v>1910</v>
      </c>
      <c r="E85" s="2256" t="s">
        <v>1911</v>
      </c>
      <c r="F85" s="2256"/>
      <c r="G85" s="2255"/>
      <c r="H85" s="2256" t="s">
        <v>1911</v>
      </c>
      <c r="I85" s="2257"/>
    </row>
    <row r="86" spans="1:9" ht="170" hidden="1">
      <c r="A86" s="4119"/>
      <c r="B86" s="2259"/>
      <c r="C86" s="2259" t="s">
        <v>1912</v>
      </c>
      <c r="D86" s="2256" t="s">
        <v>1913</v>
      </c>
      <c r="E86" s="2260" t="s">
        <v>1914</v>
      </c>
      <c r="F86" s="2256"/>
      <c r="G86" s="2255"/>
      <c r="H86" s="2260" t="s">
        <v>1914</v>
      </c>
      <c r="I86" s="2257"/>
    </row>
    <row r="87" spans="1:9" ht="204" hidden="1">
      <c r="A87" s="4119"/>
      <c r="B87" s="2259"/>
      <c r="C87" s="2259" t="s">
        <v>1915</v>
      </c>
      <c r="D87" s="2256" t="s">
        <v>1916</v>
      </c>
      <c r="E87" s="2256" t="s">
        <v>1917</v>
      </c>
      <c r="F87" s="2256"/>
      <c r="G87" s="2255"/>
      <c r="H87" s="2256" t="s">
        <v>1917</v>
      </c>
      <c r="I87" s="2257"/>
    </row>
    <row r="88" spans="1:9" ht="238" hidden="1">
      <c r="A88" s="4119"/>
      <c r="B88" s="2259"/>
      <c r="C88" s="2259" t="s">
        <v>1918</v>
      </c>
      <c r="D88" s="2256" t="s">
        <v>1919</v>
      </c>
      <c r="E88" s="2259" t="s">
        <v>1920</v>
      </c>
      <c r="F88" s="2256"/>
      <c r="G88" s="2255"/>
      <c r="H88" s="2259" t="s">
        <v>1920</v>
      </c>
      <c r="I88" s="2257" t="s">
        <v>1921</v>
      </c>
    </row>
    <row r="89" spans="1:9" ht="78" hidden="1" customHeight="1">
      <c r="A89" s="4119"/>
      <c r="B89" s="2259" t="s">
        <v>1922</v>
      </c>
      <c r="C89" s="2259" t="s">
        <v>1923</v>
      </c>
      <c r="D89" s="2256" t="s">
        <v>1924</v>
      </c>
      <c r="E89" s="2244" t="s">
        <v>1925</v>
      </c>
      <c r="F89" s="2256"/>
      <c r="G89" s="2255"/>
      <c r="H89" s="2244" t="s">
        <v>1925</v>
      </c>
      <c r="I89" s="2259" t="s">
        <v>1926</v>
      </c>
    </row>
    <row r="90" spans="1:9" ht="85" hidden="1">
      <c r="A90" s="4119"/>
      <c r="B90" s="2259"/>
      <c r="C90" s="2261" t="s">
        <v>1927</v>
      </c>
      <c r="D90" s="2256" t="s">
        <v>1928</v>
      </c>
      <c r="E90" s="2244"/>
      <c r="F90" s="2256"/>
      <c r="G90" s="2255"/>
      <c r="H90" s="2244"/>
      <c r="I90" s="2259"/>
    </row>
    <row r="91" spans="1:9" ht="85" hidden="1">
      <c r="A91" s="4119"/>
      <c r="B91" s="2259"/>
      <c r="C91" s="2259" t="s">
        <v>1929</v>
      </c>
      <c r="D91" s="2256" t="s">
        <v>1930</v>
      </c>
      <c r="E91" s="2244"/>
      <c r="F91" s="2256"/>
      <c r="G91" s="2255"/>
      <c r="H91" s="2244"/>
      <c r="I91" s="2259"/>
    </row>
    <row r="92" spans="1:9" ht="102" hidden="1">
      <c r="A92" s="4119"/>
      <c r="B92" s="2259"/>
      <c r="C92" s="2259" t="s">
        <v>1931</v>
      </c>
      <c r="D92" s="2258" t="s">
        <v>1932</v>
      </c>
      <c r="E92" s="2244"/>
      <c r="F92" s="2258"/>
      <c r="G92" s="2255"/>
      <c r="H92" s="2244"/>
      <c r="I92" s="2259"/>
    </row>
    <row r="93" spans="1:9" ht="85" hidden="1">
      <c r="A93" s="4119"/>
      <c r="B93" s="2259"/>
      <c r="C93" s="2259" t="s">
        <v>1933</v>
      </c>
      <c r="D93" s="2258"/>
      <c r="E93" s="2244"/>
      <c r="F93" s="2258"/>
      <c r="G93" s="2255"/>
      <c r="H93" s="2244"/>
      <c r="I93" s="2259"/>
    </row>
    <row r="94" spans="1:9" ht="409.6" hidden="1">
      <c r="A94" s="4119"/>
      <c r="B94" s="2259" t="s">
        <v>1934</v>
      </c>
      <c r="C94" s="2259" t="s">
        <v>1935</v>
      </c>
      <c r="D94" s="2256" t="s">
        <v>1936</v>
      </c>
      <c r="E94" s="2259" t="s">
        <v>1937</v>
      </c>
      <c r="F94" s="2256"/>
      <c r="G94" s="2255"/>
      <c r="H94" s="2259" t="s">
        <v>1937</v>
      </c>
      <c r="I94" s="2259"/>
    </row>
    <row r="95" spans="1:9" ht="204" hidden="1">
      <c r="A95" s="4119"/>
      <c r="B95" s="2259"/>
      <c r="C95" s="2259" t="s">
        <v>1938</v>
      </c>
      <c r="D95" s="2256" t="s">
        <v>1939</v>
      </c>
      <c r="E95" s="2259" t="s">
        <v>1940</v>
      </c>
      <c r="F95" s="2256"/>
      <c r="G95" s="2255"/>
      <c r="H95" s="2259" t="s">
        <v>1940</v>
      </c>
      <c r="I95" s="2259"/>
    </row>
    <row r="96" spans="1:9" ht="85" hidden="1">
      <c r="A96" s="4119"/>
      <c r="B96" s="2259"/>
      <c r="C96" s="2259" t="s">
        <v>1941</v>
      </c>
      <c r="D96" s="2256" t="s">
        <v>1942</v>
      </c>
      <c r="E96" s="2259"/>
      <c r="F96" s="2256"/>
      <c r="G96" s="2255"/>
      <c r="H96" s="2259"/>
      <c r="I96" s="2259"/>
    </row>
    <row r="97" spans="1:9" hidden="1">
      <c r="A97" s="4119"/>
      <c r="B97" s="2260"/>
      <c r="C97" s="2259"/>
      <c r="D97" s="2259"/>
      <c r="E97" s="2259"/>
      <c r="F97" s="2259"/>
      <c r="G97" s="2255"/>
      <c r="H97" s="2259"/>
      <c r="I97" s="2256"/>
    </row>
    <row r="98" spans="1:9" ht="78" hidden="1" customHeight="1">
      <c r="A98" s="4119"/>
      <c r="B98" s="2259" t="s">
        <v>1943</v>
      </c>
      <c r="C98" s="2244" t="s">
        <v>1944</v>
      </c>
      <c r="D98" s="2259" t="s">
        <v>1945</v>
      </c>
      <c r="E98" s="2262" t="s">
        <v>1946</v>
      </c>
      <c r="F98" s="2259"/>
      <c r="G98" s="2255"/>
      <c r="H98" s="2262" t="s">
        <v>1946</v>
      </c>
      <c r="I98" s="2259" t="s">
        <v>1947</v>
      </c>
    </row>
    <row r="99" spans="1:9" ht="51" hidden="1">
      <c r="A99" s="4119"/>
      <c r="B99" s="2259"/>
      <c r="C99" s="2244" t="s">
        <v>1948</v>
      </c>
      <c r="D99" s="2259" t="s">
        <v>1949</v>
      </c>
      <c r="E99" s="2262"/>
      <c r="F99" s="2259"/>
      <c r="G99" s="2255"/>
      <c r="H99" s="2262"/>
      <c r="I99" s="2259"/>
    </row>
    <row r="100" spans="1:9" ht="240" hidden="1">
      <c r="A100" s="4119"/>
      <c r="B100" s="2259"/>
      <c r="C100" s="2259" t="s">
        <v>1950</v>
      </c>
      <c r="D100" s="2259" t="s">
        <v>1951</v>
      </c>
      <c r="E100" s="2262" t="s">
        <v>1952</v>
      </c>
      <c r="F100" s="2259"/>
      <c r="G100" s="2255"/>
      <c r="H100" s="2262" t="s">
        <v>1952</v>
      </c>
      <c r="I100" s="2259"/>
    </row>
    <row r="101" spans="1:9" hidden="1">
      <c r="A101" s="4113" t="s">
        <v>1953</v>
      </c>
      <c r="B101" s="2263"/>
      <c r="C101" s="2264"/>
      <c r="D101" s="2264"/>
      <c r="E101" s="2264"/>
      <c r="F101" s="2264"/>
      <c r="G101" s="2255"/>
      <c r="H101" s="2264"/>
      <c r="I101" s="2264"/>
    </row>
    <row r="102" spans="1:9" hidden="1" outlineLevel="1">
      <c r="A102" s="4114"/>
      <c r="B102" s="2264"/>
      <c r="C102" s="2264"/>
      <c r="D102" s="2264"/>
      <c r="E102" s="2263"/>
      <c r="F102" s="2264"/>
      <c r="G102" s="2255"/>
      <c r="H102" s="2263"/>
      <c r="I102" s="2264"/>
    </row>
    <row r="103" spans="1:9" hidden="1" outlineLevel="1">
      <c r="A103" s="4114"/>
      <c r="B103" s="2264"/>
      <c r="C103" s="2264"/>
      <c r="D103" s="2264"/>
      <c r="E103" s="2264"/>
      <c r="F103" s="2264"/>
      <c r="G103" s="2255"/>
      <c r="H103" s="2264"/>
      <c r="I103" s="2264"/>
    </row>
    <row r="104" spans="1:9" hidden="1" outlineLevel="1">
      <c r="A104" s="4114"/>
      <c r="B104" s="2264"/>
      <c r="C104" s="2264"/>
      <c r="D104" s="2264"/>
      <c r="E104" s="2264"/>
      <c r="F104" s="2264"/>
      <c r="G104" s="2255"/>
      <c r="H104" s="2264"/>
      <c r="I104" s="2264"/>
    </row>
    <row r="105" spans="1:9" hidden="1" outlineLevel="1">
      <c r="A105" s="4114"/>
      <c r="B105" s="2264"/>
      <c r="C105" s="2264"/>
      <c r="D105" s="2264"/>
      <c r="E105" s="2264"/>
      <c r="F105" s="2264"/>
      <c r="G105" s="2255"/>
      <c r="H105" s="2264"/>
      <c r="I105" s="2264"/>
    </row>
    <row r="106" spans="1:9" hidden="1" outlineLevel="1">
      <c r="A106" s="4115"/>
      <c r="B106" s="2264"/>
      <c r="C106" s="2264"/>
      <c r="D106" s="2264"/>
      <c r="E106" s="2264"/>
      <c r="F106" s="2264"/>
      <c r="G106" s="2255"/>
      <c r="H106" s="2264"/>
      <c r="I106" s="2264"/>
    </row>
    <row r="107" spans="1:9" ht="89.25" hidden="1" customHeight="1" collapsed="1">
      <c r="A107" s="4116" t="s">
        <v>1954</v>
      </c>
      <c r="B107" s="2265" t="s">
        <v>1955</v>
      </c>
      <c r="C107" s="2265" t="s">
        <v>1956</v>
      </c>
      <c r="D107" s="2265" t="s">
        <v>1957</v>
      </c>
      <c r="E107" s="2266" t="s">
        <v>1958</v>
      </c>
      <c r="F107" s="2265"/>
      <c r="G107" s="2255"/>
      <c r="H107" s="2266" t="s">
        <v>1958</v>
      </c>
      <c r="I107" s="2265" t="s">
        <v>1959</v>
      </c>
    </row>
    <row r="108" spans="1:9" ht="53.5" hidden="1" customHeight="1">
      <c r="A108" s="4117"/>
      <c r="B108" s="2267" t="s">
        <v>1960</v>
      </c>
      <c r="C108" s="2265"/>
      <c r="D108" s="2265"/>
      <c r="E108" s="2265"/>
      <c r="F108" s="2265"/>
      <c r="G108" s="2255"/>
      <c r="H108" s="2265"/>
      <c r="I108" s="2265"/>
    </row>
    <row r="109" spans="1:9" ht="68.5" hidden="1" customHeight="1">
      <c r="A109" s="4117"/>
      <c r="B109" s="2265" t="s">
        <v>1961</v>
      </c>
      <c r="C109" s="2267" t="s">
        <v>1962</v>
      </c>
      <c r="D109" s="2267" t="s">
        <v>1963</v>
      </c>
      <c r="E109" s="2267" t="s">
        <v>1964</v>
      </c>
      <c r="F109" s="2267"/>
      <c r="G109" s="2255"/>
      <c r="H109" s="2267" t="s">
        <v>1964</v>
      </c>
      <c r="I109" s="2265"/>
    </row>
    <row r="110" spans="1:9" ht="67.25" hidden="1" customHeight="1">
      <c r="A110" s="4117"/>
      <c r="B110" s="2265"/>
      <c r="C110" s="2265" t="s">
        <v>1965</v>
      </c>
      <c r="D110" s="2267" t="s">
        <v>1966</v>
      </c>
      <c r="E110" s="2266" t="s">
        <v>1967</v>
      </c>
      <c r="F110" s="2267"/>
      <c r="G110" s="2255"/>
      <c r="H110" s="2266" t="s">
        <v>1967</v>
      </c>
      <c r="I110" s="2265"/>
    </row>
    <row r="111" spans="1:9" ht="62.5" hidden="1" customHeight="1">
      <c r="A111" s="4117"/>
      <c r="B111" s="2265"/>
      <c r="C111" s="2265"/>
      <c r="D111" s="2267" t="s">
        <v>1968</v>
      </c>
      <c r="E111" s="2265"/>
      <c r="F111" s="2267"/>
      <c r="G111" s="2255"/>
      <c r="H111" s="2265"/>
      <c r="I111" s="2265"/>
    </row>
    <row r="112" spans="1:9" ht="66.5" hidden="1" customHeight="1">
      <c r="A112" s="4117"/>
      <c r="B112" s="2265"/>
      <c r="C112" s="2265"/>
      <c r="D112" s="2267" t="s">
        <v>1969</v>
      </c>
      <c r="E112" s="2265"/>
      <c r="F112" s="2267"/>
      <c r="G112" s="2255"/>
      <c r="H112" s="2265"/>
      <c r="I112" s="2265" t="s">
        <v>1970</v>
      </c>
    </row>
    <row r="113" spans="1:9" ht="68" hidden="1">
      <c r="A113" s="4117"/>
      <c r="B113" s="2265"/>
      <c r="C113" s="2265"/>
      <c r="D113" s="2267" t="s">
        <v>1971</v>
      </c>
      <c r="E113" s="2265"/>
      <c r="F113" s="2267"/>
      <c r="G113" s="2255"/>
      <c r="H113" s="2265"/>
      <c r="I113" s="2265"/>
    </row>
    <row r="114" spans="1:9" ht="67.25" hidden="1" customHeight="1">
      <c r="A114" s="4117"/>
      <c r="B114" s="2265"/>
      <c r="C114" s="2265" t="s">
        <v>1972</v>
      </c>
      <c r="D114" s="2267" t="s">
        <v>1973</v>
      </c>
      <c r="E114" s="2265" t="s">
        <v>1974</v>
      </c>
      <c r="F114" s="2267"/>
      <c r="G114" s="2255"/>
      <c r="H114" s="2265" t="s">
        <v>1974</v>
      </c>
      <c r="I114" s="2265"/>
    </row>
    <row r="115" spans="1:9" ht="67.25" hidden="1" customHeight="1">
      <c r="A115" s="4118"/>
      <c r="B115" s="2265"/>
      <c r="C115" s="2265"/>
      <c r="D115" s="2267" t="s">
        <v>1975</v>
      </c>
      <c r="E115" s="2265"/>
      <c r="F115" s="2267"/>
      <c r="G115" s="2255"/>
      <c r="H115" s="2265"/>
      <c r="I115" s="2265"/>
    </row>
    <row r="117" spans="1:9">
      <c r="B117" s="4077" t="s">
        <v>1976</v>
      </c>
      <c r="C117" s="4077"/>
    </row>
    <row r="118" spans="1:9" ht="17">
      <c r="B118" s="2318" t="s">
        <v>1977</v>
      </c>
      <c r="C118" s="2241" t="s">
        <v>1978</v>
      </c>
    </row>
    <row r="119" spans="1:9" ht="17">
      <c r="B119" s="2319" t="s">
        <v>1979</v>
      </c>
      <c r="C119" s="2241" t="s">
        <v>1980</v>
      </c>
    </row>
    <row r="120" spans="1:9" ht="17">
      <c r="B120" s="2320" t="s">
        <v>1981</v>
      </c>
      <c r="C120" s="2241" t="s">
        <v>1982</v>
      </c>
    </row>
  </sheetData>
  <mergeCells count="49">
    <mergeCell ref="C5:I5"/>
    <mergeCell ref="C4:I4"/>
    <mergeCell ref="C3:I3"/>
    <mergeCell ref="C2:I2"/>
    <mergeCell ref="B10:I10"/>
    <mergeCell ref="D8:F8"/>
    <mergeCell ref="I8:I9"/>
    <mergeCell ref="G8:H8"/>
    <mergeCell ref="C8:C9"/>
    <mergeCell ref="B8:B9"/>
    <mergeCell ref="A101:A106"/>
    <mergeCell ref="A107:A115"/>
    <mergeCell ref="A83:A100"/>
    <mergeCell ref="D14:D15"/>
    <mergeCell ref="G14:G15"/>
    <mergeCell ref="B22:B23"/>
    <mergeCell ref="C30:C31"/>
    <mergeCell ref="B34:B35"/>
    <mergeCell ref="B80:B81"/>
    <mergeCell ref="D75:D77"/>
    <mergeCell ref="C75:C77"/>
    <mergeCell ref="E75:E77"/>
    <mergeCell ref="F75:F77"/>
    <mergeCell ref="I22:I25"/>
    <mergeCell ref="I14:I19"/>
    <mergeCell ref="E14:E15"/>
    <mergeCell ref="B14:B15"/>
    <mergeCell ref="B16:B17"/>
    <mergeCell ref="H14:H15"/>
    <mergeCell ref="F14:F15"/>
    <mergeCell ref="I34:I35"/>
    <mergeCell ref="G75:G77"/>
    <mergeCell ref="H75:H77"/>
    <mergeCell ref="B36:I36"/>
    <mergeCell ref="B29:B31"/>
    <mergeCell ref="I75:I77"/>
    <mergeCell ref="I29:I31"/>
    <mergeCell ref="B40:B43"/>
    <mergeCell ref="B117:C117"/>
    <mergeCell ref="C63:C64"/>
    <mergeCell ref="I63:I68"/>
    <mergeCell ref="I71:I72"/>
    <mergeCell ref="B52:B58"/>
    <mergeCell ref="D54:D56"/>
    <mergeCell ref="I54:I56"/>
    <mergeCell ref="H54:H56"/>
    <mergeCell ref="G54:G56"/>
    <mergeCell ref="F54:F56"/>
    <mergeCell ref="E54:E56"/>
  </mergeCells>
  <phoneticPr fontId="9" type="noConversion"/>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156"/>
  <sheetViews>
    <sheetView showGridLines="0" zoomScale="70" zoomScaleNormal="70" workbookViewId="0">
      <selection activeCell="F3" sqref="F3"/>
    </sheetView>
  </sheetViews>
  <sheetFormatPr baseColWidth="10" defaultColWidth="11.5" defaultRowHeight="15"/>
  <cols>
    <col min="1" max="1" width="15.33203125" style="511" customWidth="1"/>
    <col min="2" max="2" width="11.6640625" style="322" customWidth="1"/>
    <col min="3" max="3" width="16" style="322" customWidth="1"/>
    <col min="4" max="4" width="9.6640625" customWidth="1"/>
    <col min="5" max="5" width="14" style="322" customWidth="1"/>
    <col min="6" max="6" width="84.33203125" customWidth="1"/>
    <col min="7" max="7" width="14.83203125" style="2576" bestFit="1" customWidth="1"/>
    <col min="8" max="8" width="18.5" style="511" customWidth="1"/>
    <col min="9" max="9" width="13" style="322" customWidth="1"/>
    <col min="10" max="10" width="14.83203125" style="322" customWidth="1"/>
    <col min="11" max="11" width="15.6640625" style="322" customWidth="1"/>
    <col min="12" max="12" width="15.33203125" style="322" customWidth="1"/>
    <col min="13" max="13" width="21.6640625" style="322" hidden="1" customWidth="1"/>
    <col min="14" max="14" width="12" style="322" hidden="1" customWidth="1"/>
    <col min="15" max="15" width="13.5" style="3074" hidden="1" customWidth="1"/>
    <col min="16" max="16" width="14.33203125" style="511" customWidth="1"/>
  </cols>
  <sheetData>
    <row r="1" spans="1:16" ht="42">
      <c r="A1" s="3037" t="s">
        <v>1983</v>
      </c>
      <c r="B1" s="3037" t="s">
        <v>1984</v>
      </c>
      <c r="C1" s="3037" t="s">
        <v>184</v>
      </c>
      <c r="D1" s="3037" t="s">
        <v>484</v>
      </c>
      <c r="E1" s="3037" t="s">
        <v>611</v>
      </c>
      <c r="F1" s="3037" t="s">
        <v>219</v>
      </c>
      <c r="G1" s="3038" t="s">
        <v>610</v>
      </c>
      <c r="H1" s="3037" t="s">
        <v>1985</v>
      </c>
      <c r="I1" s="3037" t="s">
        <v>1986</v>
      </c>
      <c r="J1" s="3037" t="s">
        <v>1987</v>
      </c>
      <c r="K1" s="3037" t="s">
        <v>1988</v>
      </c>
      <c r="L1" s="3039" t="s">
        <v>1989</v>
      </c>
      <c r="M1" s="3039" t="s">
        <v>1990</v>
      </c>
      <c r="N1" s="3039" t="s">
        <v>1991</v>
      </c>
      <c r="O1" s="3040" t="s">
        <v>1992</v>
      </c>
      <c r="P1" s="3075" t="s">
        <v>1993</v>
      </c>
    </row>
    <row r="2" spans="1:16" ht="64">
      <c r="A2" s="3041">
        <v>1</v>
      </c>
      <c r="B2" s="3041" t="s">
        <v>496</v>
      </c>
      <c r="C2" s="3041" t="s">
        <v>1994</v>
      </c>
      <c r="D2" s="3042" t="s">
        <v>1185</v>
      </c>
      <c r="E2" s="3043" t="s">
        <v>1995</v>
      </c>
      <c r="F2" s="3044" t="s">
        <v>1996</v>
      </c>
      <c r="G2" s="3045">
        <v>30000</v>
      </c>
      <c r="H2" s="3043" t="s">
        <v>763</v>
      </c>
      <c r="I2" s="3046">
        <v>45349</v>
      </c>
      <c r="J2" s="3046">
        <v>45436</v>
      </c>
      <c r="K2" s="3047" t="s">
        <v>1997</v>
      </c>
      <c r="L2" s="2532" t="s">
        <v>1998</v>
      </c>
      <c r="M2" s="2532" t="s">
        <v>1999</v>
      </c>
      <c r="N2" s="3048" t="s">
        <v>2000</v>
      </c>
      <c r="O2" s="3049">
        <v>2024</v>
      </c>
      <c r="P2" s="511" t="s">
        <v>1995</v>
      </c>
    </row>
    <row r="3" spans="1:16" ht="64">
      <c r="A3" s="3041">
        <v>1</v>
      </c>
      <c r="B3" s="3041" t="s">
        <v>496</v>
      </c>
      <c r="C3" s="3041" t="s">
        <v>1994</v>
      </c>
      <c r="D3" s="3042" t="s">
        <v>650</v>
      </c>
      <c r="E3" s="3043" t="s">
        <v>2001</v>
      </c>
      <c r="F3" s="3044" t="s">
        <v>2002</v>
      </c>
      <c r="G3" s="3045">
        <v>30000</v>
      </c>
      <c r="H3" s="3043" t="s">
        <v>763</v>
      </c>
      <c r="I3" s="3046">
        <v>45352</v>
      </c>
      <c r="J3" s="3046">
        <v>45439</v>
      </c>
      <c r="K3" s="3047" t="s">
        <v>1997</v>
      </c>
      <c r="L3" s="2532" t="s">
        <v>1998</v>
      </c>
      <c r="M3" s="2532" t="s">
        <v>1999</v>
      </c>
      <c r="N3" s="3048" t="s">
        <v>2000</v>
      </c>
      <c r="O3" s="3050">
        <v>2024</v>
      </c>
      <c r="P3" s="511" t="s">
        <v>2001</v>
      </c>
    </row>
    <row r="4" spans="1:16" ht="48">
      <c r="A4" s="3041">
        <v>1</v>
      </c>
      <c r="B4" s="3041" t="s">
        <v>496</v>
      </c>
      <c r="C4" s="3041" t="s">
        <v>1994</v>
      </c>
      <c r="D4" s="3042" t="s">
        <v>651</v>
      </c>
      <c r="E4" s="3043" t="s">
        <v>2003</v>
      </c>
      <c r="F4" s="3044" t="s">
        <v>2004</v>
      </c>
      <c r="G4" s="3045">
        <v>30000</v>
      </c>
      <c r="H4" s="3043" t="s">
        <v>763</v>
      </c>
      <c r="I4" s="3046">
        <v>45374</v>
      </c>
      <c r="J4" s="3046">
        <v>45461</v>
      </c>
      <c r="K4" s="3047" t="s">
        <v>1997</v>
      </c>
      <c r="L4" s="2532" t="s">
        <v>1998</v>
      </c>
      <c r="M4" s="2532" t="s">
        <v>1999</v>
      </c>
      <c r="N4" s="3048" t="s">
        <v>2000</v>
      </c>
      <c r="O4" s="3050">
        <v>2024</v>
      </c>
      <c r="P4" s="511" t="s">
        <v>2003</v>
      </c>
    </row>
    <row r="5" spans="1:16" ht="48">
      <c r="A5" s="3041">
        <v>1</v>
      </c>
      <c r="B5" s="3041" t="s">
        <v>511</v>
      </c>
      <c r="C5" s="3041" t="s">
        <v>2005</v>
      </c>
      <c r="D5" s="3042" t="s">
        <v>845</v>
      </c>
      <c r="E5" s="3043" t="s">
        <v>2006</v>
      </c>
      <c r="F5" s="3044" t="s">
        <v>2007</v>
      </c>
      <c r="G5" s="3045">
        <v>14991</v>
      </c>
      <c r="H5" s="3043" t="s">
        <v>763</v>
      </c>
      <c r="I5" s="3046">
        <v>45296</v>
      </c>
      <c r="J5" s="3046">
        <v>45383</v>
      </c>
      <c r="K5" s="3047" t="s">
        <v>1997</v>
      </c>
      <c r="L5" s="2532" t="s">
        <v>1998</v>
      </c>
      <c r="M5" s="2532" t="s">
        <v>1999</v>
      </c>
      <c r="N5" s="3048" t="s">
        <v>2000</v>
      </c>
      <c r="O5" s="3050">
        <v>2024</v>
      </c>
      <c r="P5" s="511" t="s">
        <v>2006</v>
      </c>
    </row>
    <row r="6" spans="1:16" ht="48">
      <c r="A6" s="3041">
        <v>1</v>
      </c>
      <c r="B6" s="3041" t="s">
        <v>511</v>
      </c>
      <c r="C6" s="3041" t="s">
        <v>2005</v>
      </c>
      <c r="D6" s="3048" t="s">
        <v>882</v>
      </c>
      <c r="E6" s="3043" t="s">
        <v>2006</v>
      </c>
      <c r="F6" s="3044" t="s">
        <v>2007</v>
      </c>
      <c r="G6" s="3051">
        <v>14991</v>
      </c>
      <c r="H6" s="3043" t="s">
        <v>763</v>
      </c>
      <c r="I6" s="3046">
        <v>45296</v>
      </c>
      <c r="J6" s="3046">
        <v>45383</v>
      </c>
      <c r="K6" s="3047" t="s">
        <v>1997</v>
      </c>
      <c r="L6" s="2532" t="s">
        <v>1998</v>
      </c>
      <c r="M6" s="2532" t="s">
        <v>1999</v>
      </c>
      <c r="N6" s="3048" t="s">
        <v>2000</v>
      </c>
      <c r="O6" s="3050">
        <v>2024</v>
      </c>
      <c r="P6" s="511" t="s">
        <v>2006</v>
      </c>
    </row>
    <row r="7" spans="1:16" ht="48">
      <c r="A7" s="3041">
        <v>1</v>
      </c>
      <c r="B7" s="3041" t="s">
        <v>511</v>
      </c>
      <c r="C7" s="3041" t="s">
        <v>2005</v>
      </c>
      <c r="D7" s="3042" t="s">
        <v>848</v>
      </c>
      <c r="E7" s="3043" t="s">
        <v>2008</v>
      </c>
      <c r="F7" s="3044" t="s">
        <v>2009</v>
      </c>
      <c r="G7" s="3045">
        <v>29982</v>
      </c>
      <c r="H7" s="3043" t="s">
        <v>763</v>
      </c>
      <c r="I7" s="3046">
        <v>45326</v>
      </c>
      <c r="J7" s="3046">
        <v>45413</v>
      </c>
      <c r="K7" s="3047" t="s">
        <v>1997</v>
      </c>
      <c r="L7" s="2532" t="s">
        <v>1998</v>
      </c>
      <c r="M7" s="2532" t="s">
        <v>1999</v>
      </c>
      <c r="N7" s="3048" t="s">
        <v>2000</v>
      </c>
      <c r="O7" s="3050">
        <v>2024</v>
      </c>
      <c r="P7" s="511" t="s">
        <v>2008</v>
      </c>
    </row>
    <row r="8" spans="1:16" ht="48">
      <c r="A8" s="3041">
        <v>1</v>
      </c>
      <c r="B8" s="3041" t="s">
        <v>511</v>
      </c>
      <c r="C8" s="3041" t="s">
        <v>2005</v>
      </c>
      <c r="D8" s="3042" t="s">
        <v>883</v>
      </c>
      <c r="E8" s="3043" t="s">
        <v>2008</v>
      </c>
      <c r="F8" s="3044" t="s">
        <v>2009</v>
      </c>
      <c r="G8" s="3045">
        <v>29982</v>
      </c>
      <c r="H8" s="3043" t="s">
        <v>763</v>
      </c>
      <c r="I8" s="3046">
        <v>45326</v>
      </c>
      <c r="J8" s="3046">
        <v>45413</v>
      </c>
      <c r="K8" s="3047" t="s">
        <v>1997</v>
      </c>
      <c r="L8" s="2532" t="s">
        <v>1998</v>
      </c>
      <c r="M8" s="2532" t="s">
        <v>1999</v>
      </c>
      <c r="N8" s="3048" t="s">
        <v>2000</v>
      </c>
      <c r="O8" s="3050">
        <v>2024</v>
      </c>
      <c r="P8" s="511" t="s">
        <v>2008</v>
      </c>
    </row>
    <row r="9" spans="1:16" ht="32">
      <c r="A9" s="3041">
        <v>1</v>
      </c>
      <c r="B9" s="3041" t="s">
        <v>511</v>
      </c>
      <c r="C9" s="3041" t="s">
        <v>2005</v>
      </c>
      <c r="D9" s="3042" t="s">
        <v>879</v>
      </c>
      <c r="E9" s="3043" t="s">
        <v>2010</v>
      </c>
      <c r="F9" s="3044" t="s">
        <v>2011</v>
      </c>
      <c r="G9" s="3045">
        <v>15000</v>
      </c>
      <c r="H9" s="3043" t="s">
        <v>763</v>
      </c>
      <c r="I9" s="3046">
        <v>45326</v>
      </c>
      <c r="J9" s="3046">
        <v>45413</v>
      </c>
      <c r="K9" s="3047" t="s">
        <v>2012</v>
      </c>
      <c r="L9" s="2532" t="s">
        <v>2013</v>
      </c>
      <c r="M9" s="2532"/>
      <c r="N9" s="3048" t="s">
        <v>2000</v>
      </c>
      <c r="O9" s="3050">
        <v>2024</v>
      </c>
      <c r="P9" s="511" t="s">
        <v>2010</v>
      </c>
    </row>
    <row r="10" spans="1:16" ht="48">
      <c r="A10" s="3041">
        <v>1</v>
      </c>
      <c r="B10" s="3041" t="s">
        <v>505</v>
      </c>
      <c r="C10" s="3041" t="s">
        <v>2014</v>
      </c>
      <c r="D10" s="3042" t="s">
        <v>713</v>
      </c>
      <c r="E10" s="3043" t="s">
        <v>2015</v>
      </c>
      <c r="F10" s="3044" t="s">
        <v>2016</v>
      </c>
      <c r="G10" s="3045">
        <v>35000</v>
      </c>
      <c r="H10" s="3043" t="s">
        <v>763</v>
      </c>
      <c r="I10" s="3046">
        <v>45374</v>
      </c>
      <c r="J10" s="3046">
        <v>45461</v>
      </c>
      <c r="K10" s="3047" t="s">
        <v>1997</v>
      </c>
      <c r="L10" s="2532" t="s">
        <v>1998</v>
      </c>
      <c r="M10" s="2532" t="s">
        <v>1999</v>
      </c>
      <c r="N10" s="3048" t="s">
        <v>2000</v>
      </c>
      <c r="O10" s="3050">
        <v>2024</v>
      </c>
      <c r="P10" s="511" t="s">
        <v>2015</v>
      </c>
    </row>
    <row r="11" spans="1:16" ht="48">
      <c r="A11" s="3041">
        <v>1</v>
      </c>
      <c r="B11" s="3041" t="s">
        <v>505</v>
      </c>
      <c r="C11" s="3041" t="s">
        <v>2014</v>
      </c>
      <c r="D11" s="3042" t="s">
        <v>770</v>
      </c>
      <c r="E11" s="3043" t="s">
        <v>2017</v>
      </c>
      <c r="F11" s="3044" t="s">
        <v>2018</v>
      </c>
      <c r="G11" s="3045">
        <v>156960</v>
      </c>
      <c r="H11" s="3043" t="s">
        <v>763</v>
      </c>
      <c r="I11" s="3046">
        <v>45370</v>
      </c>
      <c r="J11" s="3046">
        <v>45457</v>
      </c>
      <c r="K11" s="3047" t="s">
        <v>1997</v>
      </c>
      <c r="L11" s="2532" t="s">
        <v>1998</v>
      </c>
      <c r="M11" s="2532" t="s">
        <v>1999</v>
      </c>
      <c r="N11" s="3048" t="s">
        <v>2000</v>
      </c>
      <c r="O11" s="3050">
        <v>2024</v>
      </c>
      <c r="P11" s="511" t="s">
        <v>2017</v>
      </c>
    </row>
    <row r="12" spans="1:16" ht="48">
      <c r="A12" s="3041">
        <v>1</v>
      </c>
      <c r="B12" s="3041" t="s">
        <v>505</v>
      </c>
      <c r="C12" s="3041" t="s">
        <v>2014</v>
      </c>
      <c r="D12" s="3042" t="s">
        <v>790</v>
      </c>
      <c r="E12" s="3043" t="s">
        <v>2019</v>
      </c>
      <c r="F12" s="3044" t="s">
        <v>2020</v>
      </c>
      <c r="G12" s="3045">
        <v>50000</v>
      </c>
      <c r="H12" s="3043" t="s">
        <v>763</v>
      </c>
      <c r="I12" s="3046">
        <v>45362</v>
      </c>
      <c r="J12" s="3046">
        <v>45449</v>
      </c>
      <c r="K12" s="3047" t="s">
        <v>1997</v>
      </c>
      <c r="L12" s="2532" t="s">
        <v>1998</v>
      </c>
      <c r="M12" s="2532" t="s">
        <v>1999</v>
      </c>
      <c r="N12" s="3048" t="s">
        <v>2000</v>
      </c>
      <c r="O12" s="3050">
        <v>2024</v>
      </c>
      <c r="P12" s="511" t="s">
        <v>2019</v>
      </c>
    </row>
    <row r="13" spans="1:16" ht="48">
      <c r="A13" s="3041">
        <v>1</v>
      </c>
      <c r="B13" s="3041" t="s">
        <v>505</v>
      </c>
      <c r="C13" s="3041" t="s">
        <v>2021</v>
      </c>
      <c r="D13" s="3043" t="s">
        <v>836</v>
      </c>
      <c r="E13" s="3043" t="s">
        <v>2022</v>
      </c>
      <c r="F13" s="3044" t="s">
        <v>837</v>
      </c>
      <c r="G13" s="3045">
        <v>120000</v>
      </c>
      <c r="H13" s="3043" t="s">
        <v>838</v>
      </c>
      <c r="I13" s="3046">
        <v>45488</v>
      </c>
      <c r="J13" s="3046">
        <v>45641</v>
      </c>
      <c r="K13" s="3052" t="s">
        <v>2023</v>
      </c>
      <c r="L13" s="2532" t="s">
        <v>2024</v>
      </c>
      <c r="M13" s="2532" t="s">
        <v>2025</v>
      </c>
      <c r="N13" s="3048" t="s">
        <v>2000</v>
      </c>
      <c r="O13" s="3050">
        <v>2024</v>
      </c>
      <c r="P13" s="511" t="s">
        <v>2022</v>
      </c>
    </row>
    <row r="14" spans="1:16" ht="48">
      <c r="A14" s="3041">
        <v>1</v>
      </c>
      <c r="B14" s="3041" t="s">
        <v>505</v>
      </c>
      <c r="C14" s="3041" t="s">
        <v>2014</v>
      </c>
      <c r="D14" s="3042" t="s">
        <v>761</v>
      </c>
      <c r="E14" s="3043" t="s">
        <v>2026</v>
      </c>
      <c r="F14" s="3044" t="s">
        <v>2027</v>
      </c>
      <c r="G14" s="3051">
        <v>102241.34000000001</v>
      </c>
      <c r="H14" s="3043" t="s">
        <v>763</v>
      </c>
      <c r="I14" s="3046">
        <v>45370</v>
      </c>
      <c r="J14" s="3046">
        <v>45457</v>
      </c>
      <c r="K14" s="3047" t="s">
        <v>1997</v>
      </c>
      <c r="L14" s="2532" t="s">
        <v>1998</v>
      </c>
      <c r="M14" s="2532" t="s">
        <v>1999</v>
      </c>
      <c r="N14" s="3048" t="s">
        <v>2000</v>
      </c>
      <c r="O14" s="3050">
        <v>2024</v>
      </c>
      <c r="P14" s="511" t="s">
        <v>2026</v>
      </c>
    </row>
    <row r="15" spans="1:16" ht="48">
      <c r="A15" s="3041">
        <v>1</v>
      </c>
      <c r="B15" s="3041" t="s">
        <v>505</v>
      </c>
      <c r="C15" s="3041" t="s">
        <v>2014</v>
      </c>
      <c r="D15" s="3042" t="s">
        <v>761</v>
      </c>
      <c r="E15" s="3043" t="s">
        <v>2026</v>
      </c>
      <c r="F15" s="3044" t="s">
        <v>2028</v>
      </c>
      <c r="G15" s="3045">
        <v>81791.66</v>
      </c>
      <c r="H15" s="3043" t="s">
        <v>763</v>
      </c>
      <c r="I15" s="3046">
        <v>45370</v>
      </c>
      <c r="J15" s="3046">
        <v>45457</v>
      </c>
      <c r="K15" s="3047" t="s">
        <v>1997</v>
      </c>
      <c r="L15" s="2532" t="s">
        <v>1998</v>
      </c>
      <c r="M15" s="2532" t="s">
        <v>1999</v>
      </c>
      <c r="N15" s="3048" t="s">
        <v>2000</v>
      </c>
      <c r="O15" s="3050">
        <v>2024</v>
      </c>
      <c r="P15" s="511" t="s">
        <v>2026</v>
      </c>
    </row>
    <row r="16" spans="1:16" ht="48">
      <c r="A16" s="3041">
        <v>1</v>
      </c>
      <c r="B16" s="3041" t="s">
        <v>496</v>
      </c>
      <c r="C16" s="3041" t="s">
        <v>1994</v>
      </c>
      <c r="D16" s="3042" t="s">
        <v>1201</v>
      </c>
      <c r="E16" s="3043" t="s">
        <v>2029</v>
      </c>
      <c r="F16" s="3044" t="s">
        <v>2030</v>
      </c>
      <c r="G16" s="3045">
        <v>187680</v>
      </c>
      <c r="H16" s="3043" t="s">
        <v>1202</v>
      </c>
      <c r="I16" s="3046">
        <v>45376</v>
      </c>
      <c r="J16" s="3046">
        <v>45436</v>
      </c>
      <c r="K16" s="3047" t="s">
        <v>1997</v>
      </c>
      <c r="L16" s="2532" t="s">
        <v>1998</v>
      </c>
      <c r="M16" s="2532" t="s">
        <v>1999</v>
      </c>
      <c r="N16" s="3048" t="s">
        <v>2000</v>
      </c>
      <c r="O16" s="3050">
        <v>2024</v>
      </c>
      <c r="P16" s="511" t="s">
        <v>2029</v>
      </c>
    </row>
    <row r="17" spans="1:16" ht="48">
      <c r="A17" s="3041">
        <v>1</v>
      </c>
      <c r="B17" s="3041" t="s">
        <v>505</v>
      </c>
      <c r="C17" s="3041" t="s">
        <v>2014</v>
      </c>
      <c r="D17" s="3042" t="s">
        <v>768</v>
      </c>
      <c r="E17" s="3043" t="s">
        <v>2031</v>
      </c>
      <c r="F17" s="3044" t="s">
        <v>2032</v>
      </c>
      <c r="G17" s="3045">
        <v>184080</v>
      </c>
      <c r="H17" s="3043" t="s">
        <v>763</v>
      </c>
      <c r="I17" s="3046">
        <v>45437</v>
      </c>
      <c r="J17" s="3046">
        <v>45524</v>
      </c>
      <c r="K17" s="3047" t="s">
        <v>1997</v>
      </c>
      <c r="L17" s="2532" t="s">
        <v>1998</v>
      </c>
      <c r="M17" s="2532" t="s">
        <v>1999</v>
      </c>
      <c r="N17" s="3048" t="s">
        <v>2000</v>
      </c>
      <c r="O17" s="3050">
        <v>2024</v>
      </c>
      <c r="P17" s="511" t="s">
        <v>2031</v>
      </c>
    </row>
    <row r="18" spans="1:16" ht="48">
      <c r="A18" s="3041">
        <v>1</v>
      </c>
      <c r="B18" s="3041" t="s">
        <v>496</v>
      </c>
      <c r="C18" s="3041" t="s">
        <v>2033</v>
      </c>
      <c r="D18" s="3042" t="s">
        <v>698</v>
      </c>
      <c r="E18" s="3043" t="s">
        <v>2034</v>
      </c>
      <c r="F18" s="3044" t="s">
        <v>2035</v>
      </c>
      <c r="G18" s="3045">
        <v>30000</v>
      </c>
      <c r="H18" s="3043" t="s">
        <v>763</v>
      </c>
      <c r="I18" s="3046">
        <v>45409</v>
      </c>
      <c r="J18" s="3046">
        <v>45496</v>
      </c>
      <c r="K18" s="3047" t="s">
        <v>1997</v>
      </c>
      <c r="L18" s="2532" t="s">
        <v>1998</v>
      </c>
      <c r="M18" s="2532" t="s">
        <v>1999</v>
      </c>
      <c r="N18" s="3048" t="s">
        <v>2000</v>
      </c>
      <c r="O18" s="3050">
        <v>2024</v>
      </c>
      <c r="P18" s="511" t="s">
        <v>2034</v>
      </c>
    </row>
    <row r="19" spans="1:16" ht="48">
      <c r="A19" s="3041">
        <v>1</v>
      </c>
      <c r="B19" s="3041" t="s">
        <v>515</v>
      </c>
      <c r="C19" s="3041" t="s">
        <v>2036</v>
      </c>
      <c r="D19" s="3042" t="s">
        <v>942</v>
      </c>
      <c r="E19" s="3043" t="s">
        <v>2037</v>
      </c>
      <c r="F19" s="3044" t="s">
        <v>2038</v>
      </c>
      <c r="G19" s="3045">
        <v>20000</v>
      </c>
      <c r="H19" s="3043" t="s">
        <v>763</v>
      </c>
      <c r="I19" s="3046">
        <v>45464</v>
      </c>
      <c r="J19" s="3046">
        <v>45551</v>
      </c>
      <c r="K19" s="3047" t="s">
        <v>1997</v>
      </c>
      <c r="L19" s="2532" t="s">
        <v>1998</v>
      </c>
      <c r="M19" s="2532" t="s">
        <v>1999</v>
      </c>
      <c r="N19" s="3048" t="s">
        <v>2000</v>
      </c>
      <c r="O19" s="3050">
        <v>2024</v>
      </c>
      <c r="P19" s="511" t="s">
        <v>2037</v>
      </c>
    </row>
    <row r="20" spans="1:16" ht="48">
      <c r="A20" s="3041">
        <v>1</v>
      </c>
      <c r="B20" s="3041" t="s">
        <v>496</v>
      </c>
      <c r="C20" s="3041" t="s">
        <v>1994</v>
      </c>
      <c r="D20" s="3042" t="s">
        <v>656</v>
      </c>
      <c r="E20" s="3043" t="s">
        <v>2039</v>
      </c>
      <c r="F20" s="3044" t="s">
        <v>2040</v>
      </c>
      <c r="G20" s="3045">
        <v>24000</v>
      </c>
      <c r="H20" s="3043" t="s">
        <v>763</v>
      </c>
      <c r="I20" s="3046">
        <v>45478</v>
      </c>
      <c r="J20" s="3046">
        <v>45565</v>
      </c>
      <c r="K20" s="3047" t="s">
        <v>1997</v>
      </c>
      <c r="L20" s="2532" t="s">
        <v>1998</v>
      </c>
      <c r="M20" s="2532" t="s">
        <v>1999</v>
      </c>
      <c r="N20" s="3048" t="s">
        <v>2000</v>
      </c>
      <c r="O20" s="3050">
        <v>2024</v>
      </c>
      <c r="P20" s="511" t="s">
        <v>2039</v>
      </c>
    </row>
    <row r="21" spans="1:16" ht="80">
      <c r="A21" s="3041">
        <v>1</v>
      </c>
      <c r="B21" s="3041" t="s">
        <v>496</v>
      </c>
      <c r="C21" s="3041" t="s">
        <v>1994</v>
      </c>
      <c r="D21" s="3042" t="s">
        <v>662</v>
      </c>
      <c r="E21" s="3043" t="s">
        <v>2041</v>
      </c>
      <c r="F21" s="3044" t="s">
        <v>2042</v>
      </c>
      <c r="G21" s="3045">
        <v>24000</v>
      </c>
      <c r="H21" s="3043" t="s">
        <v>763</v>
      </c>
      <c r="I21" s="3046">
        <v>45585</v>
      </c>
      <c r="J21" s="3046">
        <v>45672</v>
      </c>
      <c r="K21" s="3053" t="s">
        <v>2023</v>
      </c>
      <c r="L21" s="2532" t="s">
        <v>2024</v>
      </c>
      <c r="M21" s="2532" t="s">
        <v>2043</v>
      </c>
      <c r="N21" s="3048" t="s">
        <v>2000</v>
      </c>
      <c r="O21" s="3050">
        <v>2025</v>
      </c>
      <c r="P21" s="511" t="s">
        <v>2041</v>
      </c>
    </row>
    <row r="22" spans="1:16" ht="32">
      <c r="A22" s="3041">
        <v>1</v>
      </c>
      <c r="B22" s="3041" t="s">
        <v>496</v>
      </c>
      <c r="C22" s="3041" t="s">
        <v>1994</v>
      </c>
      <c r="D22" s="3042" t="s">
        <v>1269</v>
      </c>
      <c r="E22" s="3043" t="s">
        <v>2044</v>
      </c>
      <c r="F22" s="3044" t="s">
        <v>2045</v>
      </c>
      <c r="G22" s="3045">
        <v>18000</v>
      </c>
      <c r="H22" s="3043" t="s">
        <v>763</v>
      </c>
      <c r="I22" s="3046">
        <v>45465</v>
      </c>
      <c r="J22" s="3046">
        <v>45552</v>
      </c>
      <c r="K22" s="3047" t="s">
        <v>1997</v>
      </c>
      <c r="L22" s="2532" t="s">
        <v>1998</v>
      </c>
      <c r="M22" s="2532" t="s">
        <v>1999</v>
      </c>
      <c r="N22" s="3048" t="s">
        <v>2000</v>
      </c>
      <c r="O22" s="3050">
        <v>2024</v>
      </c>
      <c r="P22" s="511" t="s">
        <v>2044</v>
      </c>
    </row>
    <row r="23" spans="1:16" ht="32">
      <c r="A23" s="3041">
        <v>1</v>
      </c>
      <c r="B23" s="3041" t="s">
        <v>496</v>
      </c>
      <c r="C23" s="3041" t="s">
        <v>1994</v>
      </c>
      <c r="D23" s="3042" t="s">
        <v>659</v>
      </c>
      <c r="E23" s="3043" t="s">
        <v>2046</v>
      </c>
      <c r="F23" s="3044" t="s">
        <v>2047</v>
      </c>
      <c r="G23" s="3045">
        <v>24000</v>
      </c>
      <c r="H23" s="3043" t="s">
        <v>763</v>
      </c>
      <c r="I23" s="3046">
        <v>45843</v>
      </c>
      <c r="J23" s="3046">
        <v>45930</v>
      </c>
      <c r="K23" s="3047" t="s">
        <v>1997</v>
      </c>
      <c r="L23" s="2532" t="s">
        <v>1998</v>
      </c>
      <c r="M23" s="2532" t="s">
        <v>1999</v>
      </c>
      <c r="N23" s="3048" t="s">
        <v>2048</v>
      </c>
      <c r="O23" s="3050">
        <v>2025</v>
      </c>
      <c r="P23" s="511" t="s">
        <v>2046</v>
      </c>
    </row>
    <row r="24" spans="1:16" ht="112">
      <c r="A24" s="3041">
        <v>1</v>
      </c>
      <c r="B24" s="3041" t="s">
        <v>505</v>
      </c>
      <c r="C24" s="3041" t="s">
        <v>2014</v>
      </c>
      <c r="D24" s="3042" t="s">
        <v>772</v>
      </c>
      <c r="E24" s="3043" t="s">
        <v>2049</v>
      </c>
      <c r="F24" s="3044" t="s">
        <v>773</v>
      </c>
      <c r="G24" s="3045">
        <v>1304074</v>
      </c>
      <c r="H24" s="3043" t="s">
        <v>774</v>
      </c>
      <c r="I24" s="3046">
        <v>45519</v>
      </c>
      <c r="J24" s="3046">
        <v>45713</v>
      </c>
      <c r="K24" s="3052" t="s">
        <v>2023</v>
      </c>
      <c r="L24" s="2532" t="s">
        <v>2024</v>
      </c>
      <c r="M24" s="2532" t="s">
        <v>2050</v>
      </c>
      <c r="N24" s="3048" t="s">
        <v>2000</v>
      </c>
      <c r="O24" s="3050">
        <v>2025</v>
      </c>
      <c r="P24" s="511" t="s">
        <v>2049</v>
      </c>
    </row>
    <row r="25" spans="1:16" ht="32">
      <c r="A25" s="3041">
        <v>1</v>
      </c>
      <c r="B25" s="3041" t="s">
        <v>515</v>
      </c>
      <c r="C25" s="3041" t="s">
        <v>2036</v>
      </c>
      <c r="D25" s="3042" t="s">
        <v>898</v>
      </c>
      <c r="E25" s="3043" t="s">
        <v>2051</v>
      </c>
      <c r="F25" s="3044" t="s">
        <v>2052</v>
      </c>
      <c r="G25" s="3045">
        <v>50000</v>
      </c>
      <c r="H25" s="3043" t="s">
        <v>763</v>
      </c>
      <c r="I25" s="3046">
        <v>45482</v>
      </c>
      <c r="J25" s="3046">
        <v>45569</v>
      </c>
      <c r="K25" s="3047" t="s">
        <v>1997</v>
      </c>
      <c r="L25" s="2532" t="s">
        <v>1998</v>
      </c>
      <c r="M25" s="2532" t="s">
        <v>1999</v>
      </c>
      <c r="N25" s="3048" t="s">
        <v>2000</v>
      </c>
      <c r="O25" s="3050">
        <v>2024</v>
      </c>
      <c r="P25" s="511" t="s">
        <v>2051</v>
      </c>
    </row>
    <row r="26" spans="1:16" ht="32">
      <c r="A26" s="3041">
        <v>1</v>
      </c>
      <c r="B26" s="3041" t="s">
        <v>515</v>
      </c>
      <c r="C26" s="3041" t="s">
        <v>2036</v>
      </c>
      <c r="D26" s="3042" t="s">
        <v>908</v>
      </c>
      <c r="E26" s="3043" t="s">
        <v>2053</v>
      </c>
      <c r="F26" s="3044" t="s">
        <v>2054</v>
      </c>
      <c r="G26" s="3045">
        <v>30000</v>
      </c>
      <c r="H26" s="3043" t="s">
        <v>763</v>
      </c>
      <c r="I26" s="3046">
        <v>45482</v>
      </c>
      <c r="J26" s="3046">
        <v>45569</v>
      </c>
      <c r="K26" s="3047" t="s">
        <v>1997</v>
      </c>
      <c r="L26" s="2532" t="s">
        <v>1998</v>
      </c>
      <c r="M26" s="2532" t="s">
        <v>1999</v>
      </c>
      <c r="N26" s="3048" t="s">
        <v>2000</v>
      </c>
      <c r="O26" s="3050">
        <v>2024</v>
      </c>
      <c r="P26" s="511" t="s">
        <v>2053</v>
      </c>
    </row>
    <row r="27" spans="1:16" ht="32">
      <c r="A27" s="3041">
        <v>1</v>
      </c>
      <c r="B27" s="3041" t="s">
        <v>505</v>
      </c>
      <c r="C27" s="3041" t="s">
        <v>2014</v>
      </c>
      <c r="D27" s="3042" t="s">
        <v>800</v>
      </c>
      <c r="E27" s="3043" t="s">
        <v>2055</v>
      </c>
      <c r="F27" s="3044" t="s">
        <v>2056</v>
      </c>
      <c r="G27" s="3045">
        <v>57166</v>
      </c>
      <c r="H27" s="3043" t="s">
        <v>802</v>
      </c>
      <c r="I27" s="3046">
        <v>45487</v>
      </c>
      <c r="J27" s="3046">
        <v>45579</v>
      </c>
      <c r="K27" s="3047" t="s">
        <v>1997</v>
      </c>
      <c r="L27" s="2532" t="s">
        <v>1998</v>
      </c>
      <c r="M27" s="2532" t="s">
        <v>1999</v>
      </c>
      <c r="N27" s="3048" t="s">
        <v>2000</v>
      </c>
      <c r="O27" s="3050">
        <v>2024</v>
      </c>
      <c r="P27" s="511" t="s">
        <v>2055</v>
      </c>
    </row>
    <row r="28" spans="1:16" ht="48">
      <c r="A28" s="3041">
        <v>1</v>
      </c>
      <c r="B28" s="3041" t="s">
        <v>496</v>
      </c>
      <c r="C28" s="3041" t="s">
        <v>1994</v>
      </c>
      <c r="D28" s="3042" t="s">
        <v>1206</v>
      </c>
      <c r="E28" s="3043" t="s">
        <v>2057</v>
      </c>
      <c r="F28" s="3044" t="s">
        <v>2058</v>
      </c>
      <c r="G28" s="3045">
        <v>254304</v>
      </c>
      <c r="H28" s="3043" t="s">
        <v>1202</v>
      </c>
      <c r="I28" s="3046">
        <v>45414</v>
      </c>
      <c r="J28" s="3046">
        <v>45474</v>
      </c>
      <c r="K28" s="3047" t="s">
        <v>1997</v>
      </c>
      <c r="L28" s="2532" t="s">
        <v>1998</v>
      </c>
      <c r="M28" s="2532" t="s">
        <v>1999</v>
      </c>
      <c r="N28" s="3048" t="s">
        <v>2000</v>
      </c>
      <c r="O28" s="3050">
        <v>2024</v>
      </c>
      <c r="P28" s="511" t="s">
        <v>2057</v>
      </c>
    </row>
    <row r="29" spans="1:16" ht="32">
      <c r="A29" s="3041">
        <v>1</v>
      </c>
      <c r="B29" s="3041" t="s">
        <v>496</v>
      </c>
      <c r="C29" s="3041" t="s">
        <v>1994</v>
      </c>
      <c r="D29" s="3042" t="s">
        <v>1211</v>
      </c>
      <c r="E29" s="3043" t="s">
        <v>2059</v>
      </c>
      <c r="F29" s="3044" t="s">
        <v>2060</v>
      </c>
      <c r="G29" s="3045">
        <v>127152</v>
      </c>
      <c r="H29" s="3043" t="s">
        <v>763</v>
      </c>
      <c r="I29" s="3046">
        <v>45501</v>
      </c>
      <c r="J29" s="3046">
        <v>45588</v>
      </c>
      <c r="K29" s="3047" t="s">
        <v>1997</v>
      </c>
      <c r="L29" s="2532" t="s">
        <v>1998</v>
      </c>
      <c r="M29" s="2532" t="s">
        <v>1999</v>
      </c>
      <c r="N29" s="3048" t="s">
        <v>2000</v>
      </c>
      <c r="O29" s="3050">
        <v>2024</v>
      </c>
      <c r="P29" s="511" t="s">
        <v>2059</v>
      </c>
    </row>
    <row r="30" spans="1:16" ht="32">
      <c r="A30" s="3041">
        <v>1</v>
      </c>
      <c r="B30" s="3041" t="s">
        <v>496</v>
      </c>
      <c r="C30" s="3041" t="s">
        <v>1994</v>
      </c>
      <c r="D30" s="3042" t="s">
        <v>1214</v>
      </c>
      <c r="E30" s="3043" t="s">
        <v>2061</v>
      </c>
      <c r="F30" s="3044" t="s">
        <v>2062</v>
      </c>
      <c r="G30" s="3045">
        <v>47460</v>
      </c>
      <c r="H30" s="3043" t="s">
        <v>1202</v>
      </c>
      <c r="I30" s="3046">
        <v>45414</v>
      </c>
      <c r="J30" s="3046">
        <v>45474</v>
      </c>
      <c r="K30" s="3047" t="s">
        <v>1997</v>
      </c>
      <c r="L30" s="2532" t="s">
        <v>1998</v>
      </c>
      <c r="M30" s="2532" t="s">
        <v>1999</v>
      </c>
      <c r="N30" s="3048" t="s">
        <v>2000</v>
      </c>
      <c r="O30" s="3050">
        <v>2024</v>
      </c>
      <c r="P30" s="511" t="s">
        <v>2061</v>
      </c>
    </row>
    <row r="31" spans="1:16" ht="32">
      <c r="A31" s="3041">
        <v>1</v>
      </c>
      <c r="B31" s="3041" t="s">
        <v>505</v>
      </c>
      <c r="C31" s="3041" t="s">
        <v>2063</v>
      </c>
      <c r="D31" s="3042" t="s">
        <v>811</v>
      </c>
      <c r="E31" s="3043" t="s">
        <v>2064</v>
      </c>
      <c r="F31" s="3044" t="s">
        <v>812</v>
      </c>
      <c r="G31" s="3045">
        <v>80000</v>
      </c>
      <c r="H31" s="3043" t="s">
        <v>763</v>
      </c>
      <c r="I31" s="3046">
        <v>45493</v>
      </c>
      <c r="J31" s="3046">
        <v>45580</v>
      </c>
      <c r="K31" s="3047" t="s">
        <v>1997</v>
      </c>
      <c r="L31" s="2532" t="s">
        <v>1998</v>
      </c>
      <c r="M31" s="2532" t="s">
        <v>1999</v>
      </c>
      <c r="N31" s="3048" t="s">
        <v>2000</v>
      </c>
      <c r="O31" s="3050">
        <v>2024</v>
      </c>
      <c r="P31" s="511" t="s">
        <v>2064</v>
      </c>
    </row>
    <row r="32" spans="1:16" ht="80">
      <c r="A32" s="3041">
        <v>1</v>
      </c>
      <c r="B32" s="3041" t="s">
        <v>505</v>
      </c>
      <c r="C32" s="3041" t="s">
        <v>2014</v>
      </c>
      <c r="D32" s="3043" t="s">
        <v>779</v>
      </c>
      <c r="E32" s="3043" t="s">
        <v>2065</v>
      </c>
      <c r="F32" s="3044" t="s">
        <v>2066</v>
      </c>
      <c r="G32" s="3045">
        <v>83808</v>
      </c>
      <c r="H32" s="3043" t="s">
        <v>763</v>
      </c>
      <c r="I32" s="3046">
        <v>45524</v>
      </c>
      <c r="J32" s="3046">
        <v>45611</v>
      </c>
      <c r="K32" s="3052" t="s">
        <v>2023</v>
      </c>
      <c r="L32" s="2532" t="s">
        <v>2024</v>
      </c>
      <c r="M32" s="2532" t="s">
        <v>2043</v>
      </c>
      <c r="N32" s="3048" t="s">
        <v>2000</v>
      </c>
      <c r="O32" s="3050">
        <v>2024</v>
      </c>
      <c r="P32" s="511" t="s">
        <v>2065</v>
      </c>
    </row>
    <row r="33" spans="1:16" ht="32">
      <c r="A33" s="3041">
        <v>1</v>
      </c>
      <c r="B33" s="3041" t="s">
        <v>505</v>
      </c>
      <c r="C33" s="3041" t="s">
        <v>2014</v>
      </c>
      <c r="D33" s="3042" t="s">
        <v>776</v>
      </c>
      <c r="E33" s="3043" t="s">
        <v>2067</v>
      </c>
      <c r="F33" s="3044" t="s">
        <v>2068</v>
      </c>
      <c r="G33" s="3045">
        <v>62400</v>
      </c>
      <c r="H33" s="3043" t="s">
        <v>763</v>
      </c>
      <c r="I33" s="3046">
        <v>45493</v>
      </c>
      <c r="J33" s="3046">
        <v>45580</v>
      </c>
      <c r="K33" s="3047" t="s">
        <v>1997</v>
      </c>
      <c r="L33" s="2532" t="s">
        <v>1998</v>
      </c>
      <c r="M33" s="2532" t="s">
        <v>1999</v>
      </c>
      <c r="N33" s="3048" t="s">
        <v>2000</v>
      </c>
      <c r="O33" s="3050">
        <v>2024</v>
      </c>
      <c r="P33" s="511" t="s">
        <v>2067</v>
      </c>
    </row>
    <row r="34" spans="1:16" ht="32">
      <c r="A34" s="3041">
        <v>1</v>
      </c>
      <c r="B34" s="3041" t="s">
        <v>505</v>
      </c>
      <c r="C34" s="3041" t="s">
        <v>2014</v>
      </c>
      <c r="D34" s="3042" t="s">
        <v>766</v>
      </c>
      <c r="E34" s="3043" t="s">
        <v>2069</v>
      </c>
      <c r="F34" s="3044" t="s">
        <v>2070</v>
      </c>
      <c r="G34" s="3045">
        <v>72000</v>
      </c>
      <c r="H34" s="3043" t="s">
        <v>763</v>
      </c>
      <c r="I34" s="3046">
        <v>45418</v>
      </c>
      <c r="J34" s="3046">
        <v>45505</v>
      </c>
      <c r="K34" s="3047" t="s">
        <v>1997</v>
      </c>
      <c r="L34" s="2532" t="s">
        <v>1998</v>
      </c>
      <c r="M34" s="2532" t="s">
        <v>1999</v>
      </c>
      <c r="N34" s="3048" t="s">
        <v>2000</v>
      </c>
      <c r="O34" s="3050">
        <v>2024</v>
      </c>
      <c r="P34" s="511" t="s">
        <v>2069</v>
      </c>
    </row>
    <row r="35" spans="1:16" ht="32">
      <c r="A35" s="3041">
        <v>1</v>
      </c>
      <c r="B35" s="3041" t="s">
        <v>505</v>
      </c>
      <c r="C35" s="3041" t="s">
        <v>2014</v>
      </c>
      <c r="D35" s="3042" t="s">
        <v>766</v>
      </c>
      <c r="E35" s="3043" t="s">
        <v>2069</v>
      </c>
      <c r="F35" s="3044" t="s">
        <v>2071</v>
      </c>
      <c r="G35" s="3045">
        <v>72000</v>
      </c>
      <c r="H35" s="3043" t="s">
        <v>763</v>
      </c>
      <c r="I35" s="3046">
        <v>45418</v>
      </c>
      <c r="J35" s="3046">
        <v>45505</v>
      </c>
      <c r="K35" s="3047" t="s">
        <v>1997</v>
      </c>
      <c r="L35" s="2532" t="s">
        <v>1998</v>
      </c>
      <c r="M35" s="2532" t="s">
        <v>1999</v>
      </c>
      <c r="N35" s="3048" t="s">
        <v>2000</v>
      </c>
      <c r="O35" s="3050">
        <v>2024</v>
      </c>
      <c r="P35" s="511" t="s">
        <v>2069</v>
      </c>
    </row>
    <row r="36" spans="1:16" ht="32">
      <c r="A36" s="3041">
        <v>1</v>
      </c>
      <c r="B36" s="3041" t="s">
        <v>496</v>
      </c>
      <c r="C36" s="3041" t="s">
        <v>1994</v>
      </c>
      <c r="D36" s="3042" t="s">
        <v>1191</v>
      </c>
      <c r="E36" s="3054" t="s">
        <v>2072</v>
      </c>
      <c r="F36" s="3044" t="s">
        <v>2073</v>
      </c>
      <c r="G36" s="3045">
        <v>60000</v>
      </c>
      <c r="H36" s="3054" t="s">
        <v>1193</v>
      </c>
      <c r="I36" s="3046">
        <v>45737</v>
      </c>
      <c r="J36" s="3046">
        <v>45945</v>
      </c>
      <c r="K36" s="3052" t="s">
        <v>2074</v>
      </c>
      <c r="L36" s="2532"/>
      <c r="M36" s="2532"/>
      <c r="N36" s="3048" t="s">
        <v>2000</v>
      </c>
      <c r="O36" s="3050">
        <v>2025</v>
      </c>
      <c r="P36" s="511" t="s">
        <v>2075</v>
      </c>
    </row>
    <row r="37" spans="1:16" ht="32">
      <c r="A37" s="3041">
        <v>1</v>
      </c>
      <c r="B37" s="3041" t="s">
        <v>505</v>
      </c>
      <c r="C37" s="3041" t="s">
        <v>2014</v>
      </c>
      <c r="D37" s="3042" t="s">
        <v>796</v>
      </c>
      <c r="E37" s="3043" t="s">
        <v>2076</v>
      </c>
      <c r="F37" s="3044" t="s">
        <v>2077</v>
      </c>
      <c r="G37" s="3045">
        <v>105450</v>
      </c>
      <c r="H37" s="3043" t="s">
        <v>763</v>
      </c>
      <c r="I37" s="3046">
        <v>45875</v>
      </c>
      <c r="J37" s="3046">
        <v>45962</v>
      </c>
      <c r="K37" s="3047" t="s">
        <v>1997</v>
      </c>
      <c r="L37" s="2532" t="s">
        <v>1998</v>
      </c>
      <c r="M37" s="2532" t="s">
        <v>1999</v>
      </c>
      <c r="N37" s="3048" t="s">
        <v>2048</v>
      </c>
      <c r="O37" s="3050">
        <v>2025</v>
      </c>
      <c r="P37" s="3043" t="s">
        <v>2076</v>
      </c>
    </row>
    <row r="38" spans="1:16" ht="32">
      <c r="A38" s="3041">
        <v>1</v>
      </c>
      <c r="B38" s="3055" t="s">
        <v>496</v>
      </c>
      <c r="C38" s="3055" t="s">
        <v>1994</v>
      </c>
      <c r="D38" s="3042"/>
      <c r="E38" s="3054" t="s">
        <v>2078</v>
      </c>
      <c r="F38" s="3044" t="s">
        <v>1225</v>
      </c>
      <c r="G38" s="3045">
        <v>2465517</v>
      </c>
      <c r="H38" s="3054" t="s">
        <v>1193</v>
      </c>
      <c r="I38" s="3046">
        <v>45737</v>
      </c>
      <c r="J38" s="3046">
        <v>45945</v>
      </c>
      <c r="K38" s="3047" t="s">
        <v>2074</v>
      </c>
      <c r="L38" s="2532"/>
      <c r="M38" s="2532"/>
      <c r="N38" s="3048" t="s">
        <v>2000</v>
      </c>
      <c r="O38" s="3050">
        <v>2025</v>
      </c>
      <c r="P38" s="511" t="s">
        <v>2075</v>
      </c>
    </row>
    <row r="39" spans="1:16" ht="32">
      <c r="A39" s="3041">
        <v>1</v>
      </c>
      <c r="B39" s="3041" t="s">
        <v>505</v>
      </c>
      <c r="C39" s="3041" t="s">
        <v>2014</v>
      </c>
      <c r="D39" s="3042" t="s">
        <v>716</v>
      </c>
      <c r="E39" s="3054" t="s">
        <v>2079</v>
      </c>
      <c r="F39" s="3044" t="s">
        <v>717</v>
      </c>
      <c r="G39" s="3045">
        <v>500000</v>
      </c>
      <c r="H39" s="3054" t="s">
        <v>1193</v>
      </c>
      <c r="I39" s="3046">
        <v>45737</v>
      </c>
      <c r="J39" s="3046">
        <v>45945</v>
      </c>
      <c r="K39" s="3056" t="s">
        <v>2074</v>
      </c>
      <c r="L39" s="2532"/>
      <c r="M39" s="2532"/>
      <c r="N39" s="3048" t="s">
        <v>2000</v>
      </c>
      <c r="O39" s="3050">
        <v>2025</v>
      </c>
      <c r="P39" s="511" t="s">
        <v>2075</v>
      </c>
    </row>
    <row r="40" spans="1:16" ht="32">
      <c r="A40" s="3041">
        <v>1</v>
      </c>
      <c r="B40" s="3041" t="s">
        <v>511</v>
      </c>
      <c r="C40" s="3041" t="s">
        <v>2005</v>
      </c>
      <c r="D40" s="3042" t="s">
        <v>851</v>
      </c>
      <c r="E40" s="3054" t="s">
        <v>2080</v>
      </c>
      <c r="F40" s="3044" t="s">
        <v>852</v>
      </c>
      <c r="G40" s="3045">
        <v>2904743</v>
      </c>
      <c r="H40" s="3054" t="s">
        <v>1193</v>
      </c>
      <c r="I40" s="3046">
        <v>45737</v>
      </c>
      <c r="J40" s="3046">
        <v>45945</v>
      </c>
      <c r="K40" s="3056" t="s">
        <v>2074</v>
      </c>
      <c r="L40" s="2532"/>
      <c r="M40" s="2532"/>
      <c r="N40" s="3048" t="s">
        <v>2000</v>
      </c>
      <c r="O40" s="3050">
        <v>2025</v>
      </c>
      <c r="P40" s="511" t="s">
        <v>2075</v>
      </c>
    </row>
    <row r="41" spans="1:16" ht="32">
      <c r="A41" s="3041">
        <v>1</v>
      </c>
      <c r="B41" s="3041" t="s">
        <v>511</v>
      </c>
      <c r="C41" s="3041" t="s">
        <v>2005</v>
      </c>
      <c r="D41" s="3042" t="s">
        <v>884</v>
      </c>
      <c r="E41" s="3054" t="s">
        <v>2080</v>
      </c>
      <c r="F41" s="3044" t="s">
        <v>852</v>
      </c>
      <c r="G41" s="3045">
        <v>2904743</v>
      </c>
      <c r="H41" s="3054" t="s">
        <v>1193</v>
      </c>
      <c r="I41" s="3046">
        <v>45737</v>
      </c>
      <c r="J41" s="3046">
        <v>45945</v>
      </c>
      <c r="K41" s="3056" t="s">
        <v>2074</v>
      </c>
      <c r="L41" s="2532"/>
      <c r="M41" s="2532"/>
      <c r="N41" s="3048" t="s">
        <v>2000</v>
      </c>
      <c r="O41" s="3050">
        <v>2025</v>
      </c>
      <c r="P41" s="511" t="s">
        <v>2075</v>
      </c>
    </row>
    <row r="42" spans="1:16" ht="32">
      <c r="A42" s="3041">
        <v>1</v>
      </c>
      <c r="B42" s="3041" t="s">
        <v>511</v>
      </c>
      <c r="C42" s="3041" t="s">
        <v>2005</v>
      </c>
      <c r="D42" s="3042" t="s">
        <v>857</v>
      </c>
      <c r="E42" s="3054" t="s">
        <v>2081</v>
      </c>
      <c r="F42" s="3044" t="s">
        <v>855</v>
      </c>
      <c r="G42" s="3045">
        <v>617600</v>
      </c>
      <c r="H42" s="3054" t="s">
        <v>1193</v>
      </c>
      <c r="I42" s="3046">
        <v>45737</v>
      </c>
      <c r="J42" s="3046">
        <v>45945</v>
      </c>
      <c r="K42" s="3056" t="s">
        <v>2074</v>
      </c>
      <c r="L42" s="2532"/>
      <c r="M42" s="2532"/>
      <c r="N42" s="3048" t="s">
        <v>2000</v>
      </c>
      <c r="O42" s="3050">
        <v>2025</v>
      </c>
      <c r="P42" s="511" t="s">
        <v>2075</v>
      </c>
    </row>
    <row r="43" spans="1:16" ht="32">
      <c r="A43" s="3041">
        <v>1</v>
      </c>
      <c r="B43" s="3041" t="s">
        <v>496</v>
      </c>
      <c r="C43" s="3041" t="s">
        <v>2033</v>
      </c>
      <c r="D43" s="3043" t="s">
        <v>700</v>
      </c>
      <c r="E43" s="3054" t="s">
        <v>2082</v>
      </c>
      <c r="F43" s="3044" t="s">
        <v>701</v>
      </c>
      <c r="G43" s="3045">
        <v>970000</v>
      </c>
      <c r="H43" s="3054" t="s">
        <v>1193</v>
      </c>
      <c r="I43" s="3046">
        <v>45860</v>
      </c>
      <c r="J43" s="3046">
        <v>46068</v>
      </c>
      <c r="K43" s="3056" t="s">
        <v>2074</v>
      </c>
      <c r="L43" s="2532"/>
      <c r="M43" s="2532"/>
      <c r="N43" s="3048" t="s">
        <v>2000</v>
      </c>
      <c r="O43" s="3050">
        <v>2026</v>
      </c>
      <c r="P43" s="511" t="s">
        <v>2075</v>
      </c>
    </row>
    <row r="44" spans="1:16" ht="32">
      <c r="A44" s="3041">
        <v>1</v>
      </c>
      <c r="B44" s="3041" t="s">
        <v>505</v>
      </c>
      <c r="C44" s="3041" t="s">
        <v>2014</v>
      </c>
      <c r="D44" s="3048" t="s">
        <v>724</v>
      </c>
      <c r="E44" s="3054" t="s">
        <v>2083</v>
      </c>
      <c r="F44" s="3057" t="s">
        <v>725</v>
      </c>
      <c r="G44" s="3045">
        <v>400000</v>
      </c>
      <c r="H44" s="3054" t="s">
        <v>1193</v>
      </c>
      <c r="I44" s="3046">
        <v>45860</v>
      </c>
      <c r="J44" s="3046">
        <v>46068</v>
      </c>
      <c r="K44" s="3056" t="s">
        <v>2074</v>
      </c>
      <c r="L44" s="3058"/>
      <c r="M44" s="3058"/>
      <c r="N44" s="3048" t="s">
        <v>2000</v>
      </c>
      <c r="O44" s="3050">
        <v>2026</v>
      </c>
      <c r="P44" s="511" t="s">
        <v>2075</v>
      </c>
    </row>
    <row r="45" spans="1:16" ht="32">
      <c r="A45" s="3041">
        <v>1</v>
      </c>
      <c r="B45" s="3041" t="s">
        <v>505</v>
      </c>
      <c r="C45" s="3041" t="s">
        <v>2014</v>
      </c>
      <c r="D45" s="3042" t="s">
        <v>798</v>
      </c>
      <c r="E45" s="3043" t="s">
        <v>2084</v>
      </c>
      <c r="F45" s="3044" t="s">
        <v>2085</v>
      </c>
      <c r="G45" s="3045">
        <v>316350</v>
      </c>
      <c r="H45" s="3043" t="s">
        <v>763</v>
      </c>
      <c r="I45" s="3046">
        <v>45474</v>
      </c>
      <c r="J45" s="3046">
        <v>45611</v>
      </c>
      <c r="K45" s="3053" t="s">
        <v>2074</v>
      </c>
      <c r="L45" s="2532"/>
      <c r="M45" s="2532"/>
      <c r="N45" s="3048" t="s">
        <v>2086</v>
      </c>
      <c r="O45" s="3050">
        <v>2024</v>
      </c>
      <c r="P45" s="3043" t="s">
        <v>2084</v>
      </c>
    </row>
    <row r="46" spans="1:16" ht="17">
      <c r="A46" s="3041">
        <v>1</v>
      </c>
      <c r="B46" s="3041" t="s">
        <v>496</v>
      </c>
      <c r="C46" s="3041" t="s">
        <v>1994</v>
      </c>
      <c r="D46" s="3042" t="s">
        <v>1196</v>
      </c>
      <c r="E46" s="3059" t="s">
        <v>2087</v>
      </c>
      <c r="F46" s="3044" t="s">
        <v>1197</v>
      </c>
      <c r="G46" s="3045">
        <v>1000000</v>
      </c>
      <c r="H46" s="3059" t="s">
        <v>2088</v>
      </c>
      <c r="I46" s="3046">
        <v>45629</v>
      </c>
      <c r="J46" s="3046">
        <v>45823</v>
      </c>
      <c r="K46" s="3047" t="s">
        <v>2074</v>
      </c>
      <c r="L46" s="2532"/>
      <c r="M46" s="2532"/>
      <c r="N46" s="3048" t="s">
        <v>2000</v>
      </c>
      <c r="O46" s="3050">
        <v>2025</v>
      </c>
      <c r="P46" s="511" t="s">
        <v>2087</v>
      </c>
    </row>
    <row r="47" spans="1:16" ht="17">
      <c r="A47" s="3041">
        <v>1</v>
      </c>
      <c r="B47" s="3055" t="s">
        <v>496</v>
      </c>
      <c r="C47" s="3055" t="s">
        <v>1994</v>
      </c>
      <c r="D47" s="3042" t="s">
        <v>1199</v>
      </c>
      <c r="E47" s="3059" t="s">
        <v>2089</v>
      </c>
      <c r="F47" s="3044" t="s">
        <v>1200</v>
      </c>
      <c r="G47" s="3045">
        <v>173404</v>
      </c>
      <c r="H47" s="3059" t="s">
        <v>2088</v>
      </c>
      <c r="I47" s="3046">
        <v>45629</v>
      </c>
      <c r="J47" s="3046">
        <v>45823</v>
      </c>
      <c r="K47" s="3047" t="s">
        <v>2074</v>
      </c>
      <c r="L47" s="2532"/>
      <c r="M47" s="2532"/>
      <c r="N47" s="3048" t="s">
        <v>2000</v>
      </c>
      <c r="O47" s="3050">
        <v>2025</v>
      </c>
      <c r="P47" s="511" t="s">
        <v>2087</v>
      </c>
    </row>
    <row r="48" spans="1:16" ht="17">
      <c r="A48" s="3041">
        <v>1</v>
      </c>
      <c r="B48" s="3055" t="s">
        <v>496</v>
      </c>
      <c r="C48" s="3055" t="s">
        <v>1994</v>
      </c>
      <c r="D48" s="3042" t="s">
        <v>1218</v>
      </c>
      <c r="E48" s="3043" t="s">
        <v>2090</v>
      </c>
      <c r="F48" s="3044" t="s">
        <v>1219</v>
      </c>
      <c r="G48" s="3045">
        <v>18000</v>
      </c>
      <c r="H48" s="3043" t="s">
        <v>763</v>
      </c>
      <c r="I48" s="3046">
        <v>45616</v>
      </c>
      <c r="J48" s="3046">
        <v>45703</v>
      </c>
      <c r="K48" s="3047" t="s">
        <v>2074</v>
      </c>
      <c r="L48" s="2532"/>
      <c r="M48" s="2532"/>
      <c r="N48" s="3048" t="s">
        <v>2000</v>
      </c>
      <c r="O48" s="3050">
        <v>2025</v>
      </c>
      <c r="P48" s="3043" t="s">
        <v>2091</v>
      </c>
    </row>
    <row r="49" spans="1:16" ht="17">
      <c r="A49" s="3041">
        <v>1</v>
      </c>
      <c r="B49" s="3055" t="s">
        <v>496</v>
      </c>
      <c r="C49" s="3055" t="s">
        <v>1994</v>
      </c>
      <c r="D49" s="3042" t="s">
        <v>1222</v>
      </c>
      <c r="E49" s="3043" t="s">
        <v>2091</v>
      </c>
      <c r="F49" s="3044" t="s">
        <v>1223</v>
      </c>
      <c r="G49" s="3045">
        <v>36000</v>
      </c>
      <c r="H49" s="3043" t="s">
        <v>763</v>
      </c>
      <c r="I49" s="3046">
        <v>45616</v>
      </c>
      <c r="J49" s="3046">
        <v>45703</v>
      </c>
      <c r="K49" s="3047" t="s">
        <v>2074</v>
      </c>
      <c r="L49" s="2532"/>
      <c r="M49" s="2532"/>
      <c r="N49" s="3048" t="s">
        <v>2000</v>
      </c>
      <c r="O49" s="3050">
        <v>2025</v>
      </c>
      <c r="P49" s="3043" t="s">
        <v>2092</v>
      </c>
    </row>
    <row r="50" spans="1:16" ht="17">
      <c r="A50" s="3041">
        <v>1</v>
      </c>
      <c r="B50" s="3055" t="s">
        <v>496</v>
      </c>
      <c r="C50" s="3055" t="s">
        <v>1994</v>
      </c>
      <c r="D50" s="3042" t="s">
        <v>1242</v>
      </c>
      <c r="E50" s="3043" t="s">
        <v>2092</v>
      </c>
      <c r="F50" s="3044" t="s">
        <v>1228</v>
      </c>
      <c r="G50" s="3045">
        <v>65000</v>
      </c>
      <c r="H50" s="3043" t="s">
        <v>763</v>
      </c>
      <c r="I50" s="3046">
        <v>45616</v>
      </c>
      <c r="J50" s="3046">
        <v>45703</v>
      </c>
      <c r="K50" s="3047" t="s">
        <v>2074</v>
      </c>
      <c r="L50" s="2532"/>
      <c r="M50" s="2532"/>
      <c r="N50" s="3048" t="s">
        <v>2000</v>
      </c>
      <c r="O50" s="3050">
        <v>2025</v>
      </c>
      <c r="P50" s="3043" t="s">
        <v>2093</v>
      </c>
    </row>
    <row r="51" spans="1:16" ht="17">
      <c r="A51" s="3041">
        <v>1</v>
      </c>
      <c r="B51" s="3055" t="s">
        <v>496</v>
      </c>
      <c r="C51" s="3055" t="s">
        <v>1994</v>
      </c>
      <c r="D51" s="3042" t="s">
        <v>1245</v>
      </c>
      <c r="E51" s="3043" t="s">
        <v>2093</v>
      </c>
      <c r="F51" s="3044" t="s">
        <v>1232</v>
      </c>
      <c r="G51" s="3045">
        <v>65000</v>
      </c>
      <c r="H51" s="3043" t="s">
        <v>763</v>
      </c>
      <c r="I51" s="3046">
        <v>45616</v>
      </c>
      <c r="J51" s="3046">
        <v>45703</v>
      </c>
      <c r="K51" s="3047" t="s">
        <v>2074</v>
      </c>
      <c r="L51" s="2532"/>
      <c r="M51" s="2532"/>
      <c r="N51" s="3048" t="s">
        <v>2000</v>
      </c>
      <c r="O51" s="3050">
        <v>2025</v>
      </c>
      <c r="P51" s="3043" t="s">
        <v>2093</v>
      </c>
    </row>
    <row r="52" spans="1:16" ht="17">
      <c r="A52" s="3041">
        <v>1</v>
      </c>
      <c r="B52" s="3055" t="s">
        <v>496</v>
      </c>
      <c r="C52" s="3055" t="s">
        <v>1994</v>
      </c>
      <c r="D52" s="3043" t="s">
        <v>1247</v>
      </c>
      <c r="E52" s="3060" t="s">
        <v>2094</v>
      </c>
      <c r="F52" s="3044" t="s">
        <v>1235</v>
      </c>
      <c r="G52" s="3045">
        <v>65000</v>
      </c>
      <c r="H52" s="3060" t="s">
        <v>2095</v>
      </c>
      <c r="I52" s="3046">
        <v>45616</v>
      </c>
      <c r="J52" s="3046">
        <v>45703</v>
      </c>
      <c r="K52" s="3047" t="s">
        <v>2074</v>
      </c>
      <c r="L52" s="2532"/>
      <c r="M52" s="2532"/>
      <c r="N52" s="3048" t="s">
        <v>2000</v>
      </c>
      <c r="O52" s="3050">
        <v>2025</v>
      </c>
      <c r="P52" s="322"/>
    </row>
    <row r="53" spans="1:16" ht="17">
      <c r="A53" s="3041">
        <v>1</v>
      </c>
      <c r="B53" s="3041" t="s">
        <v>496</v>
      </c>
      <c r="C53" s="3041" t="s">
        <v>1994</v>
      </c>
      <c r="D53" s="3042" t="s">
        <v>1249</v>
      </c>
      <c r="E53" s="3061" t="s">
        <v>2096</v>
      </c>
      <c r="F53" s="3044" t="s">
        <v>1238</v>
      </c>
      <c r="G53" s="3051">
        <v>53585</v>
      </c>
      <c r="H53" s="3061" t="s">
        <v>2097</v>
      </c>
      <c r="I53" s="3046">
        <v>45616</v>
      </c>
      <c r="J53" s="3046">
        <v>45703</v>
      </c>
      <c r="K53" s="3047" t="s">
        <v>2074</v>
      </c>
      <c r="L53" s="2532"/>
      <c r="M53" s="2532"/>
      <c r="N53" s="3048" t="s">
        <v>2000</v>
      </c>
      <c r="O53" s="3050">
        <v>2025</v>
      </c>
      <c r="P53" s="322"/>
    </row>
    <row r="54" spans="1:16" ht="17">
      <c r="A54" s="3041">
        <v>1</v>
      </c>
      <c r="B54" s="3041" t="s">
        <v>496</v>
      </c>
      <c r="C54" s="3041" t="s">
        <v>1994</v>
      </c>
      <c r="D54" s="3042" t="s">
        <v>1251</v>
      </c>
      <c r="E54" s="3043" t="s">
        <v>2098</v>
      </c>
      <c r="F54" s="3044" t="s">
        <v>1241</v>
      </c>
      <c r="G54" s="3051">
        <v>27898</v>
      </c>
      <c r="H54" s="3043" t="s">
        <v>763</v>
      </c>
      <c r="I54" s="3046">
        <v>45616</v>
      </c>
      <c r="J54" s="3046">
        <v>45703</v>
      </c>
      <c r="K54" s="3047" t="s">
        <v>2074</v>
      </c>
      <c r="L54" s="2532"/>
      <c r="M54" s="2532"/>
      <c r="N54" s="3048" t="s">
        <v>2000</v>
      </c>
      <c r="O54" s="3050">
        <v>2025</v>
      </c>
      <c r="P54" s="322" t="s">
        <v>2098</v>
      </c>
    </row>
    <row r="55" spans="1:16" ht="17">
      <c r="A55" s="3041">
        <v>1</v>
      </c>
      <c r="B55" s="3041" t="s">
        <v>496</v>
      </c>
      <c r="C55" s="3041" t="s">
        <v>1994</v>
      </c>
      <c r="D55" s="3042" t="s">
        <v>665</v>
      </c>
      <c r="E55" s="3043" t="s">
        <v>2099</v>
      </c>
      <c r="F55" s="3044" t="s">
        <v>2100</v>
      </c>
      <c r="G55" s="3045">
        <v>42000</v>
      </c>
      <c r="H55" s="3043" t="s">
        <v>1202</v>
      </c>
      <c r="I55" s="3046">
        <v>45551</v>
      </c>
      <c r="J55" s="3046">
        <v>45611</v>
      </c>
      <c r="K55" s="3056" t="s">
        <v>2074</v>
      </c>
      <c r="L55" s="2532"/>
      <c r="M55" s="2532"/>
      <c r="N55" s="3048" t="s">
        <v>2086</v>
      </c>
      <c r="O55" s="3050">
        <v>2024</v>
      </c>
      <c r="P55" s="322" t="s">
        <v>2099</v>
      </c>
    </row>
    <row r="56" spans="1:16" ht="80">
      <c r="A56" s="3041">
        <v>1</v>
      </c>
      <c r="B56" s="3041" t="s">
        <v>496</v>
      </c>
      <c r="C56" s="3041" t="s">
        <v>2033</v>
      </c>
      <c r="D56" s="3042" t="s">
        <v>683</v>
      </c>
      <c r="E56" s="3043" t="s">
        <v>2101</v>
      </c>
      <c r="F56" s="3044" t="s">
        <v>684</v>
      </c>
      <c r="G56" s="3045">
        <v>448000</v>
      </c>
      <c r="H56" s="3043" t="s">
        <v>853</v>
      </c>
      <c r="I56" s="3046">
        <v>45645</v>
      </c>
      <c r="J56" s="3046">
        <v>45853</v>
      </c>
      <c r="K56" s="3056" t="s">
        <v>2074</v>
      </c>
      <c r="L56" s="2532"/>
      <c r="M56" s="2532"/>
      <c r="N56" s="3048" t="s">
        <v>2000</v>
      </c>
      <c r="O56" s="3050">
        <v>2025</v>
      </c>
      <c r="P56" s="322" t="s">
        <v>2101</v>
      </c>
    </row>
    <row r="57" spans="1:16" ht="64">
      <c r="A57" s="3041">
        <v>1</v>
      </c>
      <c r="B57" s="3041" t="s">
        <v>496</v>
      </c>
      <c r="C57" s="3041" t="s">
        <v>2102</v>
      </c>
      <c r="D57" s="3042" t="s">
        <v>705</v>
      </c>
      <c r="E57" s="3062" t="s">
        <v>2103</v>
      </c>
      <c r="F57" s="3044" t="s">
        <v>706</v>
      </c>
      <c r="G57" s="3045">
        <v>18000</v>
      </c>
      <c r="H57" s="3062" t="s">
        <v>2104</v>
      </c>
      <c r="I57" s="3046">
        <v>45585</v>
      </c>
      <c r="J57" s="3046">
        <v>45672</v>
      </c>
      <c r="K57" s="3056" t="s">
        <v>2074</v>
      </c>
      <c r="L57" s="2532"/>
      <c r="M57" s="2532"/>
      <c r="N57" s="3048" t="s">
        <v>2086</v>
      </c>
      <c r="O57" s="3050">
        <v>2025</v>
      </c>
      <c r="P57" s="322"/>
    </row>
    <row r="58" spans="1:16" ht="32">
      <c r="A58" s="3041">
        <v>1</v>
      </c>
      <c r="B58" s="3041" t="s">
        <v>505</v>
      </c>
      <c r="C58" s="3041" t="s">
        <v>2014</v>
      </c>
      <c r="D58" s="3042" t="s">
        <v>739</v>
      </c>
      <c r="E58" s="3063" t="s">
        <v>2105</v>
      </c>
      <c r="F58" s="3044" t="s">
        <v>740</v>
      </c>
      <c r="G58" s="3045">
        <v>1400000</v>
      </c>
      <c r="H58" s="3063" t="s">
        <v>2106</v>
      </c>
      <c r="I58" s="3046">
        <v>45721</v>
      </c>
      <c r="J58" s="3046">
        <v>45915</v>
      </c>
      <c r="K58" s="3056" t="s">
        <v>2074</v>
      </c>
      <c r="L58" s="2532"/>
      <c r="M58" s="2532"/>
      <c r="N58" s="3048" t="s">
        <v>2000</v>
      </c>
      <c r="O58" s="3050">
        <v>2025</v>
      </c>
      <c r="P58" s="322"/>
    </row>
    <row r="59" spans="1:16" ht="32">
      <c r="A59" s="3041">
        <v>1</v>
      </c>
      <c r="B59" s="3041" t="s">
        <v>505</v>
      </c>
      <c r="C59" s="3041" t="s">
        <v>2063</v>
      </c>
      <c r="D59" s="3042" t="s">
        <v>813</v>
      </c>
      <c r="E59" s="3043" t="s">
        <v>2107</v>
      </c>
      <c r="F59" s="3044" t="s">
        <v>1349</v>
      </c>
      <c r="G59" s="3045">
        <v>221000</v>
      </c>
      <c r="H59" s="3043" t="s">
        <v>838</v>
      </c>
      <c r="I59" s="3046">
        <v>45670</v>
      </c>
      <c r="J59" s="3046">
        <v>45823</v>
      </c>
      <c r="K59" s="3056" t="s">
        <v>2074</v>
      </c>
      <c r="L59" s="2532"/>
      <c r="M59" s="2532"/>
      <c r="N59" s="3048" t="s">
        <v>2000</v>
      </c>
      <c r="O59" s="3050">
        <v>2025</v>
      </c>
      <c r="P59" s="322" t="s">
        <v>2107</v>
      </c>
    </row>
    <row r="60" spans="1:16" ht="17">
      <c r="A60" s="3041">
        <v>1</v>
      </c>
      <c r="B60" s="3041" t="s">
        <v>505</v>
      </c>
      <c r="C60" s="3041" t="s">
        <v>2063</v>
      </c>
      <c r="D60" s="3042" t="s">
        <v>825</v>
      </c>
      <c r="E60" s="3043" t="s">
        <v>2108</v>
      </c>
      <c r="F60" s="3044" t="s">
        <v>1351</v>
      </c>
      <c r="G60" s="3045">
        <v>45000</v>
      </c>
      <c r="H60" s="3043" t="s">
        <v>763</v>
      </c>
      <c r="I60" s="3046">
        <v>45736</v>
      </c>
      <c r="J60" s="3046">
        <v>45823</v>
      </c>
      <c r="K60" s="3056" t="s">
        <v>2074</v>
      </c>
      <c r="L60" s="2532"/>
      <c r="M60" s="2532"/>
      <c r="N60" s="3048" t="s">
        <v>2000</v>
      </c>
      <c r="O60" s="3050">
        <v>2025</v>
      </c>
      <c r="P60" s="322" t="s">
        <v>2108</v>
      </c>
    </row>
    <row r="61" spans="1:16" ht="32">
      <c r="A61" s="3041">
        <v>1</v>
      </c>
      <c r="B61" s="3041" t="s">
        <v>505</v>
      </c>
      <c r="C61" s="3041" t="s">
        <v>2063</v>
      </c>
      <c r="D61" s="3042" t="s">
        <v>829</v>
      </c>
      <c r="E61" s="3043" t="s">
        <v>2109</v>
      </c>
      <c r="F61" s="3044" t="s">
        <v>830</v>
      </c>
      <c r="G61" s="3045">
        <v>30000</v>
      </c>
      <c r="H61" s="3043" t="s">
        <v>763</v>
      </c>
      <c r="I61" s="3046">
        <v>45644</v>
      </c>
      <c r="J61" s="3046">
        <v>45731</v>
      </c>
      <c r="K61" s="3056" t="s">
        <v>2074</v>
      </c>
      <c r="L61" s="2532"/>
      <c r="M61" s="2532"/>
      <c r="N61" s="3048" t="s">
        <v>2000</v>
      </c>
      <c r="O61" s="3050">
        <v>2025</v>
      </c>
      <c r="P61" s="322" t="s">
        <v>2109</v>
      </c>
    </row>
    <row r="62" spans="1:16" ht="17">
      <c r="A62" s="3041">
        <v>1</v>
      </c>
      <c r="B62" s="3041" t="s">
        <v>505</v>
      </c>
      <c r="C62" s="3041" t="s">
        <v>2063</v>
      </c>
      <c r="D62" s="3042" t="s">
        <v>1354</v>
      </c>
      <c r="E62" s="3043" t="s">
        <v>2110</v>
      </c>
      <c r="F62" s="3044" t="s">
        <v>831</v>
      </c>
      <c r="G62" s="3045">
        <v>30000</v>
      </c>
      <c r="H62" s="3043" t="s">
        <v>802</v>
      </c>
      <c r="I62" s="3046">
        <v>45700</v>
      </c>
      <c r="J62" s="3046">
        <v>45792</v>
      </c>
      <c r="K62" s="3056" t="s">
        <v>2074</v>
      </c>
      <c r="L62" s="2532"/>
      <c r="M62" s="2532"/>
      <c r="N62" s="3048" t="s">
        <v>2000</v>
      </c>
      <c r="O62" s="3050">
        <v>2025</v>
      </c>
      <c r="P62" s="322" t="s">
        <v>2110</v>
      </c>
    </row>
    <row r="63" spans="1:16" ht="17">
      <c r="A63" s="3041">
        <v>1</v>
      </c>
      <c r="B63" s="3041" t="s">
        <v>505</v>
      </c>
      <c r="C63" s="3041" t="s">
        <v>2063</v>
      </c>
      <c r="D63" s="3042" t="s">
        <v>832</v>
      </c>
      <c r="E63" s="3043" t="s">
        <v>2111</v>
      </c>
      <c r="F63" s="3044" t="s">
        <v>833</v>
      </c>
      <c r="G63" s="3045">
        <v>40000</v>
      </c>
      <c r="H63" s="3043" t="s">
        <v>763</v>
      </c>
      <c r="I63" s="3046">
        <v>45675</v>
      </c>
      <c r="J63" s="3046">
        <v>45762</v>
      </c>
      <c r="K63" s="3056" t="s">
        <v>2074</v>
      </c>
      <c r="L63" s="2532"/>
      <c r="M63" s="2532"/>
      <c r="N63" s="3048" t="s">
        <v>2000</v>
      </c>
      <c r="O63" s="3050">
        <v>2025</v>
      </c>
      <c r="P63" s="322" t="s">
        <v>2111</v>
      </c>
    </row>
    <row r="64" spans="1:16" ht="64">
      <c r="A64" s="3041">
        <v>1</v>
      </c>
      <c r="B64" s="3041" t="s">
        <v>496</v>
      </c>
      <c r="C64" s="3041" t="s">
        <v>2033</v>
      </c>
      <c r="D64" s="3042" t="s">
        <v>686</v>
      </c>
      <c r="E64" s="3062" t="s">
        <v>2112</v>
      </c>
      <c r="F64" s="3044" t="s">
        <v>687</v>
      </c>
      <c r="G64" s="3045">
        <v>18000</v>
      </c>
      <c r="H64" s="3062" t="s">
        <v>2104</v>
      </c>
      <c r="I64" s="3046">
        <v>46070</v>
      </c>
      <c r="J64" s="3046">
        <v>46157</v>
      </c>
      <c r="K64" s="3056" t="s">
        <v>2074</v>
      </c>
      <c r="L64" s="2532"/>
      <c r="M64" s="2532"/>
      <c r="N64" s="3048" t="s">
        <v>2000</v>
      </c>
      <c r="O64" s="3050">
        <v>2026</v>
      </c>
      <c r="P64" s="322"/>
    </row>
    <row r="65" spans="1:16" ht="17">
      <c r="A65" s="3041">
        <v>1</v>
      </c>
      <c r="B65" s="3041" t="s">
        <v>496</v>
      </c>
      <c r="C65" s="3041" t="s">
        <v>2033</v>
      </c>
      <c r="D65" s="3042" t="s">
        <v>689</v>
      </c>
      <c r="E65" s="3043" t="s">
        <v>2113</v>
      </c>
      <c r="F65" s="3044" t="s">
        <v>690</v>
      </c>
      <c r="G65" s="3045">
        <v>36000</v>
      </c>
      <c r="H65" s="3043" t="s">
        <v>853</v>
      </c>
      <c r="I65" s="3046">
        <v>46149</v>
      </c>
      <c r="J65" s="3046">
        <v>46357</v>
      </c>
      <c r="K65" s="3056" t="s">
        <v>2074</v>
      </c>
      <c r="L65" s="2532"/>
      <c r="M65" s="2532"/>
      <c r="N65" s="3048" t="s">
        <v>2000</v>
      </c>
      <c r="O65" s="3050">
        <v>2026</v>
      </c>
      <c r="P65" s="3043" t="s">
        <v>2113</v>
      </c>
    </row>
    <row r="66" spans="1:16" ht="32">
      <c r="A66" s="3041">
        <v>1</v>
      </c>
      <c r="B66" s="3041" t="s">
        <v>496</v>
      </c>
      <c r="C66" s="3041" t="s">
        <v>2102</v>
      </c>
      <c r="D66" s="3042" t="s">
        <v>707</v>
      </c>
      <c r="E66" s="3064" t="s">
        <v>2114</v>
      </c>
      <c r="F66" s="3044" t="s">
        <v>708</v>
      </c>
      <c r="G66" s="3045">
        <v>479000</v>
      </c>
      <c r="H66" s="3064" t="s">
        <v>2115</v>
      </c>
      <c r="I66" s="3046">
        <v>45860</v>
      </c>
      <c r="J66" s="3046">
        <v>46068</v>
      </c>
      <c r="K66" s="3056" t="s">
        <v>2074</v>
      </c>
      <c r="L66" s="2532"/>
      <c r="M66" s="2532"/>
      <c r="N66" s="3048" t="s">
        <v>2000</v>
      </c>
      <c r="O66" s="3050">
        <v>2026</v>
      </c>
      <c r="P66" s="322"/>
    </row>
    <row r="67" spans="1:16" ht="17">
      <c r="A67" s="3041">
        <v>1</v>
      </c>
      <c r="B67" s="3041" t="s">
        <v>505</v>
      </c>
      <c r="C67" s="3041" t="s">
        <v>2014</v>
      </c>
      <c r="D67" s="3042" t="s">
        <v>721</v>
      </c>
      <c r="E67" s="3043" t="s">
        <v>2116</v>
      </c>
      <c r="F67" s="3044" t="s">
        <v>722</v>
      </c>
      <c r="G67" s="3045">
        <v>25000</v>
      </c>
      <c r="H67" s="3043" t="s">
        <v>802</v>
      </c>
      <c r="I67" s="3046">
        <v>45976</v>
      </c>
      <c r="J67" s="3046">
        <v>46068</v>
      </c>
      <c r="K67" s="3056" t="s">
        <v>2074</v>
      </c>
      <c r="L67" s="2532"/>
      <c r="M67" s="2532"/>
      <c r="N67" s="3048" t="s">
        <v>2000</v>
      </c>
      <c r="O67" s="3050">
        <v>2026</v>
      </c>
      <c r="P67" s="3043" t="s">
        <v>2116</v>
      </c>
    </row>
    <row r="68" spans="1:16" ht="48">
      <c r="A68" s="3041">
        <v>1</v>
      </c>
      <c r="B68" s="3041" t="s">
        <v>505</v>
      </c>
      <c r="C68" s="3041" t="s">
        <v>2014</v>
      </c>
      <c r="D68" s="3048" t="s">
        <v>729</v>
      </c>
      <c r="E68" s="3065" t="s">
        <v>2117</v>
      </c>
      <c r="F68" s="3057" t="s">
        <v>730</v>
      </c>
      <c r="G68" s="3045">
        <v>3800000</v>
      </c>
      <c r="H68" s="3065" t="s">
        <v>2118</v>
      </c>
      <c r="I68" s="3046">
        <v>45933</v>
      </c>
      <c r="J68" s="3046">
        <v>46127</v>
      </c>
      <c r="K68" s="3056" t="s">
        <v>2074</v>
      </c>
      <c r="L68" s="3058"/>
      <c r="M68" s="3058"/>
      <c r="N68" s="3048" t="s">
        <v>2000</v>
      </c>
      <c r="O68" s="3050">
        <v>2026</v>
      </c>
      <c r="P68" s="322"/>
    </row>
    <row r="69" spans="1:16" ht="48">
      <c r="A69" s="3041">
        <v>1</v>
      </c>
      <c r="B69" s="3041" t="s">
        <v>505</v>
      </c>
      <c r="C69" s="3041" t="s">
        <v>2014</v>
      </c>
      <c r="D69" s="3048" t="s">
        <v>731</v>
      </c>
      <c r="E69" s="3065" t="s">
        <v>2119</v>
      </c>
      <c r="F69" s="3057" t="s">
        <v>732</v>
      </c>
      <c r="G69" s="3045">
        <v>200000</v>
      </c>
      <c r="H69" s="3065" t="s">
        <v>2118</v>
      </c>
      <c r="I69" s="3046">
        <v>45933</v>
      </c>
      <c r="J69" s="3046">
        <v>46127</v>
      </c>
      <c r="K69" s="3056" t="s">
        <v>2074</v>
      </c>
      <c r="L69" s="3058"/>
      <c r="M69" s="3058"/>
      <c r="N69" s="3048" t="s">
        <v>2000</v>
      </c>
      <c r="O69" s="3050">
        <v>2026</v>
      </c>
      <c r="P69" s="322"/>
    </row>
    <row r="70" spans="1:16" ht="48">
      <c r="A70" s="3041">
        <v>1</v>
      </c>
      <c r="B70" s="3041" t="s">
        <v>505</v>
      </c>
      <c r="C70" s="3041" t="s">
        <v>2014</v>
      </c>
      <c r="D70" s="3048" t="s">
        <v>733</v>
      </c>
      <c r="E70" s="3065" t="s">
        <v>2120</v>
      </c>
      <c r="F70" s="3044" t="s">
        <v>734</v>
      </c>
      <c r="G70" s="3045">
        <v>100000</v>
      </c>
      <c r="H70" s="3065" t="s">
        <v>2118</v>
      </c>
      <c r="I70" s="3046">
        <v>45933</v>
      </c>
      <c r="J70" s="3046">
        <v>46127</v>
      </c>
      <c r="K70" s="3052" t="s">
        <v>2074</v>
      </c>
      <c r="L70" s="2532"/>
      <c r="M70" s="2532"/>
      <c r="N70" s="3048" t="s">
        <v>2000</v>
      </c>
      <c r="O70" s="3050">
        <v>2026</v>
      </c>
      <c r="P70" s="322"/>
    </row>
    <row r="71" spans="1:16" ht="32">
      <c r="A71" s="3041">
        <v>1</v>
      </c>
      <c r="B71" s="3041" t="s">
        <v>505</v>
      </c>
      <c r="C71" s="3041" t="s">
        <v>2014</v>
      </c>
      <c r="D71" s="3048" t="s">
        <v>735</v>
      </c>
      <c r="E71" s="3043" t="s">
        <v>2121</v>
      </c>
      <c r="F71" s="3057" t="s">
        <v>736</v>
      </c>
      <c r="G71" s="3045">
        <v>1000000</v>
      </c>
      <c r="H71" s="3043" t="s">
        <v>853</v>
      </c>
      <c r="I71" s="3046">
        <v>45919</v>
      </c>
      <c r="J71" s="3046">
        <v>46127</v>
      </c>
      <c r="K71" s="3056" t="s">
        <v>2074</v>
      </c>
      <c r="L71" s="3058"/>
      <c r="M71" s="3058"/>
      <c r="N71" s="3048" t="s">
        <v>2000</v>
      </c>
      <c r="O71" s="3050">
        <v>2026</v>
      </c>
      <c r="P71" s="322"/>
    </row>
    <row r="72" spans="1:16" ht="48">
      <c r="A72" s="3041">
        <v>1</v>
      </c>
      <c r="B72" s="3041" t="s">
        <v>505</v>
      </c>
      <c r="C72" s="3041" t="s">
        <v>2014</v>
      </c>
      <c r="D72" s="3048" t="s">
        <v>741</v>
      </c>
      <c r="E72" s="3076" t="s">
        <v>2122</v>
      </c>
      <c r="F72" s="3044" t="s">
        <v>742</v>
      </c>
      <c r="G72" s="3045">
        <v>600000</v>
      </c>
      <c r="H72" s="3076" t="s">
        <v>2123</v>
      </c>
      <c r="I72" s="3046">
        <v>45829</v>
      </c>
      <c r="J72" s="3046">
        <v>46037</v>
      </c>
      <c r="K72" s="3056" t="s">
        <v>2074</v>
      </c>
      <c r="L72" s="2532"/>
      <c r="M72" s="2532"/>
      <c r="N72" s="3048" t="s">
        <v>2000</v>
      </c>
      <c r="O72" s="3050">
        <v>2025</v>
      </c>
      <c r="P72" s="322"/>
    </row>
    <row r="73" spans="1:16" ht="48">
      <c r="A73" s="3041">
        <v>1</v>
      </c>
      <c r="B73" s="3041" t="s">
        <v>505</v>
      </c>
      <c r="C73" s="3041" t="s">
        <v>2014</v>
      </c>
      <c r="D73" s="3048" t="s">
        <v>743</v>
      </c>
      <c r="E73" s="3076" t="s">
        <v>2124</v>
      </c>
      <c r="F73" s="3057" t="s">
        <v>744</v>
      </c>
      <c r="G73" s="3045">
        <v>100000</v>
      </c>
      <c r="H73" s="3076" t="s">
        <v>2123</v>
      </c>
      <c r="I73" s="3046">
        <v>45829</v>
      </c>
      <c r="J73" s="3046">
        <v>46037</v>
      </c>
      <c r="K73" s="3056" t="s">
        <v>2074</v>
      </c>
      <c r="L73" s="3058"/>
      <c r="M73" s="3058"/>
      <c r="N73" s="3048" t="s">
        <v>2000</v>
      </c>
      <c r="O73" s="3050">
        <v>2025</v>
      </c>
      <c r="P73" s="322"/>
    </row>
    <row r="74" spans="1:16" ht="48">
      <c r="A74" s="3041">
        <v>1</v>
      </c>
      <c r="B74" s="3041" t="s">
        <v>505</v>
      </c>
      <c r="C74" s="3041" t="s">
        <v>2014</v>
      </c>
      <c r="D74" s="3048" t="s">
        <v>745</v>
      </c>
      <c r="E74" s="3076" t="s">
        <v>2125</v>
      </c>
      <c r="F74" s="3057" t="s">
        <v>746</v>
      </c>
      <c r="G74" s="3045">
        <v>300000</v>
      </c>
      <c r="H74" s="3076" t="s">
        <v>2123</v>
      </c>
      <c r="I74" s="3046">
        <v>45829</v>
      </c>
      <c r="J74" s="3046">
        <v>46037</v>
      </c>
      <c r="K74" s="3056" t="s">
        <v>2074</v>
      </c>
      <c r="L74" s="3058"/>
      <c r="M74" s="3058"/>
      <c r="N74" s="3048" t="s">
        <v>2000</v>
      </c>
      <c r="O74" s="3050">
        <v>2025</v>
      </c>
      <c r="P74" s="322"/>
    </row>
    <row r="75" spans="1:16" ht="48">
      <c r="A75" s="3041">
        <v>1</v>
      </c>
      <c r="B75" s="3041" t="s">
        <v>505</v>
      </c>
      <c r="C75" s="3041" t="s">
        <v>2014</v>
      </c>
      <c r="D75" s="3042" t="s">
        <v>749</v>
      </c>
      <c r="E75" s="3076" t="s">
        <v>2126</v>
      </c>
      <c r="F75" s="3057" t="s">
        <v>750</v>
      </c>
      <c r="G75" s="3045">
        <v>1496282</v>
      </c>
      <c r="H75" s="3076" t="s">
        <v>2123</v>
      </c>
      <c r="I75" s="3046">
        <v>45829</v>
      </c>
      <c r="J75" s="3046">
        <v>46037</v>
      </c>
      <c r="K75" s="3047" t="s">
        <v>2074</v>
      </c>
      <c r="L75" s="3058"/>
      <c r="M75" s="3058"/>
      <c r="N75" s="3048" t="s">
        <v>2000</v>
      </c>
      <c r="O75" s="3050">
        <v>2026</v>
      </c>
      <c r="P75" s="322"/>
    </row>
    <row r="76" spans="1:16" ht="32">
      <c r="A76" s="3041">
        <v>1</v>
      </c>
      <c r="B76" s="3041" t="s">
        <v>505</v>
      </c>
      <c r="C76" s="3041" t="s">
        <v>2014</v>
      </c>
      <c r="D76" s="3048" t="s">
        <v>751</v>
      </c>
      <c r="E76" s="3065" t="s">
        <v>2127</v>
      </c>
      <c r="F76" s="3044" t="s">
        <v>752</v>
      </c>
      <c r="G76" s="3045">
        <v>500000</v>
      </c>
      <c r="H76" s="3065" t="s">
        <v>774</v>
      </c>
      <c r="I76" s="3046">
        <v>45933</v>
      </c>
      <c r="J76" s="3046">
        <v>46127</v>
      </c>
      <c r="K76" s="3056" t="s">
        <v>2074</v>
      </c>
      <c r="L76" s="2532"/>
      <c r="M76" s="2532"/>
      <c r="N76" s="3048" t="s">
        <v>2000</v>
      </c>
      <c r="O76" s="3050">
        <v>2026</v>
      </c>
      <c r="P76" s="322"/>
    </row>
    <row r="77" spans="1:16" ht="48">
      <c r="A77" s="3041">
        <v>1</v>
      </c>
      <c r="B77" s="3041" t="s">
        <v>505</v>
      </c>
      <c r="C77" s="3041" t="s">
        <v>2014</v>
      </c>
      <c r="D77" s="3048" t="s">
        <v>755</v>
      </c>
      <c r="E77" s="3076" t="s">
        <v>2128</v>
      </c>
      <c r="F77" s="3044" t="s">
        <v>756</v>
      </c>
      <c r="G77" s="3045">
        <v>100000</v>
      </c>
      <c r="H77" s="3076" t="s">
        <v>2123</v>
      </c>
      <c r="I77" s="3046">
        <v>45829</v>
      </c>
      <c r="J77" s="3046">
        <v>46037</v>
      </c>
      <c r="K77" s="3056" t="s">
        <v>2074</v>
      </c>
      <c r="L77" s="2532"/>
      <c r="M77" s="2532"/>
      <c r="N77" s="3048" t="s">
        <v>2000</v>
      </c>
      <c r="O77" s="3050">
        <v>2026</v>
      </c>
      <c r="P77" s="322"/>
    </row>
    <row r="78" spans="1:16" ht="48">
      <c r="A78" s="3041">
        <v>1</v>
      </c>
      <c r="B78" s="3041" t="s">
        <v>505</v>
      </c>
      <c r="C78" s="3041" t="s">
        <v>2014</v>
      </c>
      <c r="D78" s="3048" t="s">
        <v>757</v>
      </c>
      <c r="E78" s="3076" t="s">
        <v>2129</v>
      </c>
      <c r="F78" s="3044" t="s">
        <v>758</v>
      </c>
      <c r="G78" s="3045">
        <v>400000</v>
      </c>
      <c r="H78" s="3076" t="s">
        <v>2123</v>
      </c>
      <c r="I78" s="3046">
        <v>45829</v>
      </c>
      <c r="J78" s="3046">
        <v>46037</v>
      </c>
      <c r="K78" s="3056" t="s">
        <v>2074</v>
      </c>
      <c r="L78" s="2532"/>
      <c r="M78" s="2532"/>
      <c r="N78" s="3048" t="s">
        <v>2000</v>
      </c>
      <c r="O78" s="3050">
        <v>2026</v>
      </c>
      <c r="P78" s="322"/>
    </row>
    <row r="79" spans="1:16" ht="32">
      <c r="A79" s="3041">
        <v>1</v>
      </c>
      <c r="B79" s="3041" t="s">
        <v>505</v>
      </c>
      <c r="C79" s="3041" t="s">
        <v>2014</v>
      </c>
      <c r="D79" s="3042" t="s">
        <v>803</v>
      </c>
      <c r="E79" s="3067" t="s">
        <v>2130</v>
      </c>
      <c r="F79" s="3044" t="s">
        <v>804</v>
      </c>
      <c r="G79" s="3051">
        <v>75000</v>
      </c>
      <c r="H79" s="3064" t="s">
        <v>2115</v>
      </c>
      <c r="I79" s="3046">
        <v>45860</v>
      </c>
      <c r="J79" s="3046">
        <v>46068</v>
      </c>
      <c r="K79" s="3047" t="s">
        <v>2074</v>
      </c>
      <c r="L79" s="2532"/>
      <c r="M79" s="2532"/>
      <c r="N79" s="3048" t="s">
        <v>2000</v>
      </c>
      <c r="O79" s="3050">
        <v>2026</v>
      </c>
      <c r="P79" s="322"/>
    </row>
    <row r="80" spans="1:16" ht="32">
      <c r="A80" s="3041">
        <v>1</v>
      </c>
      <c r="B80" s="3041" t="s">
        <v>505</v>
      </c>
      <c r="C80" s="3041" t="s">
        <v>2014</v>
      </c>
      <c r="D80" s="3042" t="s">
        <v>807</v>
      </c>
      <c r="E80" s="3063" t="s">
        <v>2131</v>
      </c>
      <c r="F80" s="3044" t="s">
        <v>808</v>
      </c>
      <c r="G80" s="3051">
        <v>750000</v>
      </c>
      <c r="H80" s="3063" t="s">
        <v>2106</v>
      </c>
      <c r="I80" s="3046">
        <v>45829</v>
      </c>
      <c r="J80" s="3046">
        <v>46037</v>
      </c>
      <c r="K80" s="3056" t="s">
        <v>2074</v>
      </c>
      <c r="L80" s="2532"/>
      <c r="M80" s="2532"/>
      <c r="N80" s="3048" t="s">
        <v>2000</v>
      </c>
      <c r="O80" s="3050">
        <v>2026</v>
      </c>
      <c r="P80" s="322"/>
    </row>
    <row r="81" spans="1:16" ht="32">
      <c r="A81" s="3041">
        <v>1</v>
      </c>
      <c r="B81" s="3041" t="s">
        <v>505</v>
      </c>
      <c r="C81" s="3041" t="s">
        <v>2021</v>
      </c>
      <c r="D81" s="3042" t="s">
        <v>841</v>
      </c>
      <c r="E81" s="3043" t="s">
        <v>2132</v>
      </c>
      <c r="F81" s="3044" t="s">
        <v>842</v>
      </c>
      <c r="G81" s="3051">
        <v>380000</v>
      </c>
      <c r="H81" s="3043" t="s">
        <v>853</v>
      </c>
      <c r="I81" s="3046">
        <v>45860</v>
      </c>
      <c r="J81" s="3046">
        <v>46068</v>
      </c>
      <c r="K81" s="3047" t="s">
        <v>2074</v>
      </c>
      <c r="L81" s="2532"/>
      <c r="M81" s="2532"/>
      <c r="N81" s="3048" t="s">
        <v>2000</v>
      </c>
      <c r="O81" s="3050">
        <v>2026</v>
      </c>
      <c r="P81" s="3043" t="s">
        <v>2132</v>
      </c>
    </row>
    <row r="82" spans="1:16" ht="32">
      <c r="A82" s="3041">
        <v>1</v>
      </c>
      <c r="B82" s="3041" t="s">
        <v>511</v>
      </c>
      <c r="C82" s="3041" t="s">
        <v>2005</v>
      </c>
      <c r="D82" s="3042" t="s">
        <v>887</v>
      </c>
      <c r="E82" s="3063" t="s">
        <v>2133</v>
      </c>
      <c r="F82" s="3044" t="s">
        <v>888</v>
      </c>
      <c r="G82" s="3051">
        <v>1285569</v>
      </c>
      <c r="H82" s="3063" t="s">
        <v>2106</v>
      </c>
      <c r="I82" s="3046">
        <v>46041</v>
      </c>
      <c r="J82" s="3046">
        <v>46249</v>
      </c>
      <c r="K82" s="3053" t="s">
        <v>2074</v>
      </c>
      <c r="L82" s="2532"/>
      <c r="M82" s="2532"/>
      <c r="N82" s="3048" t="s">
        <v>2000</v>
      </c>
      <c r="O82" s="3050">
        <v>2026</v>
      </c>
      <c r="P82" s="322"/>
    </row>
    <row r="83" spans="1:16" ht="64">
      <c r="A83" s="3041">
        <v>1</v>
      </c>
      <c r="B83" s="3041" t="s">
        <v>515</v>
      </c>
      <c r="C83" s="3041" t="s">
        <v>2036</v>
      </c>
      <c r="D83" s="3042" t="s">
        <v>920</v>
      </c>
      <c r="E83" s="3043" t="s">
        <v>2134</v>
      </c>
      <c r="F83" s="3044" t="s">
        <v>2135</v>
      </c>
      <c r="G83" s="3051">
        <v>30000</v>
      </c>
      <c r="H83" s="3043" t="s">
        <v>763</v>
      </c>
      <c r="I83" s="3046">
        <v>45675</v>
      </c>
      <c r="J83" s="3046">
        <v>45762</v>
      </c>
      <c r="K83" s="3053" t="s">
        <v>2074</v>
      </c>
      <c r="L83" s="2532"/>
      <c r="M83" s="2532"/>
      <c r="N83" s="3048" t="s">
        <v>2000</v>
      </c>
      <c r="O83" s="3050">
        <v>2025</v>
      </c>
      <c r="P83" s="3043" t="s">
        <v>2134</v>
      </c>
    </row>
    <row r="84" spans="1:16" ht="17">
      <c r="A84" s="3041">
        <v>1</v>
      </c>
      <c r="B84" s="3041" t="s">
        <v>515</v>
      </c>
      <c r="C84" s="3041" t="s">
        <v>2036</v>
      </c>
      <c r="D84" s="3042" t="s">
        <v>923</v>
      </c>
      <c r="E84" s="3068" t="s">
        <v>2136</v>
      </c>
      <c r="F84" s="3044" t="s">
        <v>924</v>
      </c>
      <c r="G84" s="3051">
        <v>2490000</v>
      </c>
      <c r="H84" s="3068" t="s">
        <v>2137</v>
      </c>
      <c r="I84" s="3046">
        <v>46010</v>
      </c>
      <c r="J84" s="3046">
        <v>46218</v>
      </c>
      <c r="K84" s="3053" t="s">
        <v>2074</v>
      </c>
      <c r="L84" s="2532"/>
      <c r="M84" s="2532"/>
      <c r="N84" s="3048" t="s">
        <v>2000</v>
      </c>
      <c r="O84" s="3050">
        <v>2026</v>
      </c>
      <c r="P84" s="322"/>
    </row>
    <row r="85" spans="1:16" ht="32">
      <c r="A85" s="3041">
        <v>1</v>
      </c>
      <c r="B85" s="3041" t="s">
        <v>515</v>
      </c>
      <c r="C85" s="3041" t="s">
        <v>2036</v>
      </c>
      <c r="D85" s="3042" t="s">
        <v>926</v>
      </c>
      <c r="E85" s="3068" t="s">
        <v>2138</v>
      </c>
      <c r="F85" s="3044" t="s">
        <v>927</v>
      </c>
      <c r="G85" s="3051">
        <v>1220000</v>
      </c>
      <c r="H85" s="3068" t="s">
        <v>2137</v>
      </c>
      <c r="I85" s="3046">
        <v>46010</v>
      </c>
      <c r="J85" s="3046">
        <v>46218</v>
      </c>
      <c r="K85" s="3053" t="s">
        <v>2074</v>
      </c>
      <c r="L85" s="2532"/>
      <c r="M85" s="2532"/>
      <c r="N85" s="3048" t="s">
        <v>2000</v>
      </c>
      <c r="O85" s="3050">
        <v>2026</v>
      </c>
      <c r="P85" s="322"/>
    </row>
    <row r="86" spans="1:16" ht="17">
      <c r="A86" s="3041">
        <v>1</v>
      </c>
      <c r="B86" s="3041" t="s">
        <v>515</v>
      </c>
      <c r="C86" s="3041" t="s">
        <v>2036</v>
      </c>
      <c r="D86" s="3042" t="s">
        <v>928</v>
      </c>
      <c r="E86" s="3069" t="s">
        <v>2139</v>
      </c>
      <c r="F86" s="3070" t="s">
        <v>929</v>
      </c>
      <c r="G86" s="3051">
        <v>1250000</v>
      </c>
      <c r="H86" s="3068" t="s">
        <v>2137</v>
      </c>
      <c r="I86" s="3046">
        <v>46010</v>
      </c>
      <c r="J86" s="3046">
        <v>46218</v>
      </c>
      <c r="K86" s="3047" t="s">
        <v>2074</v>
      </c>
      <c r="L86" s="2532"/>
      <c r="M86" s="2532"/>
      <c r="N86" s="3048" t="s">
        <v>2000</v>
      </c>
      <c r="O86" s="3050">
        <v>2026</v>
      </c>
      <c r="P86" s="322"/>
    </row>
    <row r="87" spans="1:16" ht="17">
      <c r="A87" s="3041">
        <v>1</v>
      </c>
      <c r="B87" s="3041" t="s">
        <v>515</v>
      </c>
      <c r="C87" s="3041" t="s">
        <v>2036</v>
      </c>
      <c r="D87" s="3042" t="s">
        <v>938</v>
      </c>
      <c r="E87" s="3042" t="s">
        <v>2140</v>
      </c>
      <c r="F87" s="3070" t="s">
        <v>939</v>
      </c>
      <c r="G87" s="3051">
        <v>80000</v>
      </c>
      <c r="H87" s="3042" t="s">
        <v>802</v>
      </c>
      <c r="I87" s="3046">
        <v>46491</v>
      </c>
      <c r="J87" s="3046">
        <v>46583</v>
      </c>
      <c r="K87" s="3047" t="s">
        <v>2074</v>
      </c>
      <c r="L87" s="2532"/>
      <c r="M87" s="2532"/>
      <c r="N87" s="3048" t="s">
        <v>2000</v>
      </c>
      <c r="O87" s="3050">
        <v>2027</v>
      </c>
      <c r="P87" s="3042" t="s">
        <v>2140</v>
      </c>
    </row>
    <row r="88" spans="1:16" ht="32">
      <c r="A88" s="3041">
        <v>1</v>
      </c>
      <c r="B88" s="3041" t="s">
        <v>515</v>
      </c>
      <c r="C88" s="3041" t="s">
        <v>2036</v>
      </c>
      <c r="D88" s="3042" t="s">
        <v>944</v>
      </c>
      <c r="E88" s="3067" t="s">
        <v>2141</v>
      </c>
      <c r="F88" s="3070" t="s">
        <v>945</v>
      </c>
      <c r="G88" s="3051">
        <v>100000</v>
      </c>
      <c r="H88" s="3064" t="s">
        <v>2115</v>
      </c>
      <c r="I88" s="3046">
        <v>45860</v>
      </c>
      <c r="J88" s="3046">
        <v>46068</v>
      </c>
      <c r="K88" s="3047" t="s">
        <v>2074</v>
      </c>
      <c r="L88" s="2532"/>
      <c r="M88" s="2532"/>
      <c r="N88" s="3048" t="s">
        <v>2000</v>
      </c>
      <c r="O88" s="3050">
        <v>2026</v>
      </c>
      <c r="P88" s="322"/>
    </row>
    <row r="89" spans="1:16" ht="32">
      <c r="A89" s="3041">
        <v>1</v>
      </c>
      <c r="B89" s="3041" t="s">
        <v>515</v>
      </c>
      <c r="C89" s="3041" t="s">
        <v>2036</v>
      </c>
      <c r="D89" s="3042" t="s">
        <v>948</v>
      </c>
      <c r="E89" s="3067" t="s">
        <v>2142</v>
      </c>
      <c r="F89" s="3070" t="s">
        <v>949</v>
      </c>
      <c r="G89" s="3051">
        <v>420000</v>
      </c>
      <c r="H89" s="3064" t="s">
        <v>2115</v>
      </c>
      <c r="I89" s="3046">
        <v>45860</v>
      </c>
      <c r="J89" s="3046">
        <v>46068</v>
      </c>
      <c r="K89" s="3047" t="s">
        <v>2074</v>
      </c>
      <c r="L89" s="2532"/>
      <c r="M89" s="2532"/>
      <c r="N89" s="3048" t="s">
        <v>2000</v>
      </c>
      <c r="O89" s="3050">
        <v>2026</v>
      </c>
      <c r="P89" s="322"/>
    </row>
    <row r="90" spans="1:16" ht="32">
      <c r="A90" s="3041">
        <v>1</v>
      </c>
      <c r="B90" s="3041" t="s">
        <v>515</v>
      </c>
      <c r="C90" s="3041" t="s">
        <v>2036</v>
      </c>
      <c r="D90" s="3048" t="s">
        <v>950</v>
      </c>
      <c r="E90" s="3067" t="s">
        <v>2143</v>
      </c>
      <c r="F90" s="3070" t="s">
        <v>951</v>
      </c>
      <c r="G90" s="3051">
        <v>400000</v>
      </c>
      <c r="H90" s="3064" t="s">
        <v>2115</v>
      </c>
      <c r="I90" s="3046">
        <v>45860</v>
      </c>
      <c r="J90" s="3046">
        <v>46068</v>
      </c>
      <c r="K90" s="3047" t="s">
        <v>2074</v>
      </c>
      <c r="L90" s="2532"/>
      <c r="M90" s="2532"/>
      <c r="N90" s="3048" t="s">
        <v>2000</v>
      </c>
      <c r="O90" s="3050">
        <v>2026</v>
      </c>
      <c r="P90" s="322"/>
    </row>
    <row r="91" spans="1:16" ht="17">
      <c r="A91" s="3041">
        <v>1</v>
      </c>
      <c r="B91" s="3041" t="s">
        <v>496</v>
      </c>
      <c r="C91" s="3041"/>
      <c r="D91" s="3048"/>
      <c r="E91" s="3043" t="s">
        <v>2144</v>
      </c>
      <c r="F91" s="3070" t="s">
        <v>2145</v>
      </c>
      <c r="G91" s="3051">
        <v>0</v>
      </c>
      <c r="H91" s="3043" t="s">
        <v>802</v>
      </c>
      <c r="I91" s="3046">
        <v>46661</v>
      </c>
      <c r="J91" s="3046">
        <v>46753</v>
      </c>
      <c r="K91" s="3047" t="s">
        <v>2074</v>
      </c>
      <c r="L91" s="2532"/>
      <c r="M91" s="2532"/>
      <c r="N91" s="3048" t="s">
        <v>2000</v>
      </c>
      <c r="O91" s="3050">
        <v>2028</v>
      </c>
      <c r="P91" s="3043" t="s">
        <v>2144</v>
      </c>
    </row>
    <row r="92" spans="1:16" ht="17">
      <c r="A92" s="3041">
        <v>1</v>
      </c>
      <c r="B92" s="3041" t="s">
        <v>505</v>
      </c>
      <c r="C92" s="3041"/>
      <c r="D92" s="3042"/>
      <c r="E92" s="3043" t="s">
        <v>2144</v>
      </c>
      <c r="F92" s="3044" t="s">
        <v>2145</v>
      </c>
      <c r="G92" s="3045">
        <v>0</v>
      </c>
      <c r="H92" s="3043" t="s">
        <v>802</v>
      </c>
      <c r="I92" s="3046">
        <v>46661</v>
      </c>
      <c r="J92" s="3046">
        <v>46753</v>
      </c>
      <c r="K92" s="3047" t="s">
        <v>2074</v>
      </c>
      <c r="L92" s="2532"/>
      <c r="M92" s="2532"/>
      <c r="N92" s="3048" t="s">
        <v>2000</v>
      </c>
      <c r="O92" s="3050">
        <v>2028</v>
      </c>
      <c r="P92" s="3043" t="s">
        <v>2144</v>
      </c>
    </row>
    <row r="93" spans="1:16" ht="17">
      <c r="A93" s="3041">
        <v>1</v>
      </c>
      <c r="B93" s="3041" t="s">
        <v>511</v>
      </c>
      <c r="C93" s="3041"/>
      <c r="D93" s="3042"/>
      <c r="E93" s="3043" t="s">
        <v>2144</v>
      </c>
      <c r="F93" s="3044" t="s">
        <v>2145</v>
      </c>
      <c r="G93" s="3051">
        <v>0</v>
      </c>
      <c r="H93" s="3043" t="s">
        <v>802</v>
      </c>
      <c r="I93" s="3046">
        <v>46661</v>
      </c>
      <c r="J93" s="3046">
        <v>46753</v>
      </c>
      <c r="K93" s="3047" t="s">
        <v>2074</v>
      </c>
      <c r="L93" s="2532"/>
      <c r="M93" s="2532"/>
      <c r="N93" s="3048" t="s">
        <v>2000</v>
      </c>
      <c r="O93" s="3050">
        <v>2028</v>
      </c>
      <c r="P93" s="3043" t="s">
        <v>2144</v>
      </c>
    </row>
    <row r="94" spans="1:16" ht="17">
      <c r="A94" s="3041">
        <v>1</v>
      </c>
      <c r="B94" s="3041" t="s">
        <v>515</v>
      </c>
      <c r="C94" s="3041"/>
      <c r="D94" s="3042"/>
      <c r="E94" s="3043" t="s">
        <v>2144</v>
      </c>
      <c r="F94" s="3044" t="s">
        <v>2145</v>
      </c>
      <c r="G94" s="3051">
        <v>0</v>
      </c>
      <c r="H94" s="3043" t="s">
        <v>802</v>
      </c>
      <c r="I94" s="3046">
        <v>46661</v>
      </c>
      <c r="J94" s="3046">
        <v>46753</v>
      </c>
      <c r="K94" s="3047" t="s">
        <v>2074</v>
      </c>
      <c r="L94" s="2532"/>
      <c r="M94" s="2532"/>
      <c r="N94" s="3048" t="s">
        <v>2000</v>
      </c>
      <c r="O94" s="3050">
        <v>2028</v>
      </c>
      <c r="P94" s="3043" t="s">
        <v>2144</v>
      </c>
    </row>
    <row r="95" spans="1:16" ht="17">
      <c r="A95" s="3041">
        <v>1</v>
      </c>
      <c r="B95" s="3041" t="s">
        <v>496</v>
      </c>
      <c r="C95" s="3041" t="s">
        <v>1994</v>
      </c>
      <c r="D95" s="3048" t="s">
        <v>652</v>
      </c>
      <c r="E95" s="3060" t="s">
        <v>2146</v>
      </c>
      <c r="F95" s="3044" t="s">
        <v>2147</v>
      </c>
      <c r="G95" s="3045">
        <v>65000</v>
      </c>
      <c r="H95" s="3060" t="s">
        <v>2095</v>
      </c>
      <c r="I95" s="3046">
        <v>45616</v>
      </c>
      <c r="J95" s="3046">
        <v>45703</v>
      </c>
      <c r="K95" s="3047" t="s">
        <v>2074</v>
      </c>
      <c r="L95" s="2532"/>
      <c r="M95" s="2532"/>
      <c r="N95" s="3048" t="s">
        <v>2000</v>
      </c>
      <c r="O95" s="3050">
        <v>2025</v>
      </c>
      <c r="P95" s="322"/>
    </row>
    <row r="96" spans="1:16" ht="17">
      <c r="A96" s="3041">
        <v>1</v>
      </c>
      <c r="B96" s="3041" t="s">
        <v>496</v>
      </c>
      <c r="C96" s="3041" t="s">
        <v>1994</v>
      </c>
      <c r="D96" s="3048" t="s">
        <v>1261</v>
      </c>
      <c r="E96" s="3061" t="s">
        <v>2148</v>
      </c>
      <c r="F96" s="3044" t="s">
        <v>2149</v>
      </c>
      <c r="G96" s="3045">
        <v>65000</v>
      </c>
      <c r="H96" s="3061" t="s">
        <v>2097</v>
      </c>
      <c r="I96" s="3046">
        <v>45616</v>
      </c>
      <c r="J96" s="3046">
        <v>45703</v>
      </c>
      <c r="K96" s="3047" t="s">
        <v>2074</v>
      </c>
      <c r="L96" s="2532"/>
      <c r="M96" s="2532"/>
      <c r="N96" s="3048" t="s">
        <v>2000</v>
      </c>
      <c r="O96" s="3050">
        <v>2025</v>
      </c>
      <c r="P96" s="322"/>
    </row>
    <row r="97" spans="1:16" ht="17">
      <c r="A97" s="3041">
        <v>1</v>
      </c>
      <c r="B97" s="3041" t="s">
        <v>511</v>
      </c>
      <c r="C97" s="3041" t="s">
        <v>2005</v>
      </c>
      <c r="D97" s="3042" t="s">
        <v>1385</v>
      </c>
      <c r="E97" s="3043" t="s">
        <v>2150</v>
      </c>
      <c r="F97" s="3044" t="s">
        <v>1386</v>
      </c>
      <c r="G97" s="3051">
        <v>60000</v>
      </c>
      <c r="H97" s="3043" t="s">
        <v>763</v>
      </c>
      <c r="I97" s="3046">
        <v>45858</v>
      </c>
      <c r="J97" s="3046">
        <v>45945</v>
      </c>
      <c r="K97" s="3053" t="s">
        <v>2074</v>
      </c>
      <c r="L97" s="2532"/>
      <c r="M97" s="2532"/>
      <c r="N97" s="3048" t="s">
        <v>2000</v>
      </c>
      <c r="O97" s="3050">
        <v>2025</v>
      </c>
      <c r="P97" s="3043" t="s">
        <v>2150</v>
      </c>
    </row>
    <row r="98" spans="1:16" ht="17">
      <c r="A98" s="3041">
        <v>1</v>
      </c>
      <c r="B98" s="3041" t="s">
        <v>511</v>
      </c>
      <c r="C98" s="3041" t="s">
        <v>2005</v>
      </c>
      <c r="D98" s="3048" t="s">
        <v>1390</v>
      </c>
      <c r="E98" s="3043" t="s">
        <v>2151</v>
      </c>
      <c r="F98" s="3044" t="s">
        <v>1391</v>
      </c>
      <c r="G98" s="3045">
        <v>60000</v>
      </c>
      <c r="H98" s="3043" t="s">
        <v>763</v>
      </c>
      <c r="I98" s="3046">
        <v>45858</v>
      </c>
      <c r="J98" s="3046">
        <v>45945</v>
      </c>
      <c r="K98" s="3053" t="s">
        <v>2074</v>
      </c>
      <c r="L98" s="2532"/>
      <c r="M98" s="2532"/>
      <c r="N98" s="3048" t="s">
        <v>2000</v>
      </c>
      <c r="O98" s="3050">
        <v>2025</v>
      </c>
      <c r="P98" s="3043" t="s">
        <v>2151</v>
      </c>
    </row>
    <row r="99" spans="1:16" ht="17">
      <c r="A99" s="3041">
        <v>1</v>
      </c>
      <c r="B99" s="3041" t="s">
        <v>511</v>
      </c>
      <c r="C99" s="3041" t="s">
        <v>2005</v>
      </c>
      <c r="D99" s="3048" t="s">
        <v>1394</v>
      </c>
      <c r="E99" s="3043" t="s">
        <v>2152</v>
      </c>
      <c r="F99" s="3044" t="s">
        <v>1395</v>
      </c>
      <c r="G99" s="3051">
        <v>62400</v>
      </c>
      <c r="H99" s="3043" t="s">
        <v>763</v>
      </c>
      <c r="I99" s="3046">
        <v>45616</v>
      </c>
      <c r="J99" s="3046">
        <v>45703</v>
      </c>
      <c r="K99" s="3047" t="s">
        <v>2074</v>
      </c>
      <c r="L99" s="2532"/>
      <c r="M99" s="2532"/>
      <c r="N99" s="3048" t="s">
        <v>2000</v>
      </c>
      <c r="O99" s="3050">
        <v>2025</v>
      </c>
      <c r="P99" s="3043" t="s">
        <v>2152</v>
      </c>
    </row>
    <row r="100" spans="1:16" ht="48">
      <c r="A100" s="3041">
        <v>1</v>
      </c>
      <c r="B100" s="3041" t="s">
        <v>515</v>
      </c>
      <c r="C100" s="3041" t="s">
        <v>2036</v>
      </c>
      <c r="D100" s="3048" t="s">
        <v>1423</v>
      </c>
      <c r="E100" s="3043" t="s">
        <v>2153</v>
      </c>
      <c r="F100" s="3044" t="s">
        <v>1424</v>
      </c>
      <c r="G100" s="3051">
        <v>30000</v>
      </c>
      <c r="H100" s="3043" t="s">
        <v>763</v>
      </c>
      <c r="I100" s="3046">
        <v>45675</v>
      </c>
      <c r="J100" s="3046">
        <v>45762</v>
      </c>
      <c r="K100" s="3047" t="s">
        <v>2074</v>
      </c>
      <c r="L100" s="2532"/>
      <c r="M100" s="2532"/>
      <c r="N100" s="3048" t="s">
        <v>2000</v>
      </c>
      <c r="O100" s="3050">
        <v>2025</v>
      </c>
      <c r="P100" s="3043" t="s">
        <v>2153</v>
      </c>
    </row>
    <row r="101" spans="1:16" ht="34">
      <c r="A101" s="3041">
        <v>1</v>
      </c>
      <c r="B101" s="3041" t="s">
        <v>505</v>
      </c>
      <c r="C101" s="3041" t="s">
        <v>2014</v>
      </c>
      <c r="D101" s="3048" t="s">
        <v>782</v>
      </c>
      <c r="E101" s="3043" t="s">
        <v>2154</v>
      </c>
      <c r="F101" s="3044" t="s">
        <v>783</v>
      </c>
      <c r="G101" s="3051">
        <v>374397</v>
      </c>
      <c r="H101" s="3043" t="s">
        <v>802</v>
      </c>
      <c r="I101" s="3046">
        <v>45580</v>
      </c>
      <c r="J101" s="3046">
        <v>45672</v>
      </c>
      <c r="K101" s="3047" t="s">
        <v>2023</v>
      </c>
      <c r="L101" s="2532" t="s">
        <v>2155</v>
      </c>
      <c r="M101" s="2532" t="s">
        <v>2156</v>
      </c>
      <c r="N101" s="3048" t="s">
        <v>2000</v>
      </c>
      <c r="O101" s="3050">
        <v>2025</v>
      </c>
      <c r="P101" s="3043" t="s">
        <v>2154</v>
      </c>
    </row>
    <row r="102" spans="1:16" ht="64">
      <c r="A102" s="3041">
        <v>3</v>
      </c>
      <c r="B102" s="3041" t="s">
        <v>555</v>
      </c>
      <c r="C102" s="3041" t="s">
        <v>2157</v>
      </c>
      <c r="D102" s="3048" t="s">
        <v>1576</v>
      </c>
      <c r="E102" s="3043" t="s">
        <v>2158</v>
      </c>
      <c r="F102" s="3044" t="s">
        <v>2159</v>
      </c>
      <c r="G102" s="3051">
        <v>45000</v>
      </c>
      <c r="H102" s="3043" t="s">
        <v>763</v>
      </c>
      <c r="I102" s="3046">
        <v>45433</v>
      </c>
      <c r="J102" s="3046">
        <v>45520</v>
      </c>
      <c r="K102" s="3047" t="s">
        <v>1997</v>
      </c>
      <c r="L102" s="2532" t="s">
        <v>1998</v>
      </c>
      <c r="M102" s="2532" t="s">
        <v>1999</v>
      </c>
      <c r="N102" s="3048" t="s">
        <v>2000</v>
      </c>
      <c r="O102" s="3050">
        <v>2024</v>
      </c>
      <c r="P102" s="3043" t="s">
        <v>2158</v>
      </c>
    </row>
    <row r="103" spans="1:16" ht="32">
      <c r="A103" s="3041">
        <v>3</v>
      </c>
      <c r="B103" s="3041" t="s">
        <v>555</v>
      </c>
      <c r="C103" s="3041" t="s">
        <v>2157</v>
      </c>
      <c r="D103" s="3048" t="s">
        <v>1577</v>
      </c>
      <c r="E103" s="3043" t="s">
        <v>2160</v>
      </c>
      <c r="F103" s="3044" t="s">
        <v>2161</v>
      </c>
      <c r="G103" s="3051">
        <v>24000</v>
      </c>
      <c r="H103" s="322" t="s">
        <v>763</v>
      </c>
      <c r="I103" s="3046">
        <v>45433</v>
      </c>
      <c r="J103" s="3046">
        <v>45520</v>
      </c>
      <c r="K103" s="3047" t="s">
        <v>1997</v>
      </c>
      <c r="L103" s="2532" t="s">
        <v>1998</v>
      </c>
      <c r="M103" s="2532" t="s">
        <v>1999</v>
      </c>
      <c r="N103" s="3048" t="s">
        <v>2000</v>
      </c>
      <c r="O103" s="3050">
        <v>2024</v>
      </c>
      <c r="P103" s="3043" t="s">
        <v>2160</v>
      </c>
    </row>
    <row r="104" spans="1:16" ht="32">
      <c r="A104" s="3041">
        <v>3</v>
      </c>
      <c r="B104" s="3041" t="s">
        <v>555</v>
      </c>
      <c r="C104" s="3041" t="s">
        <v>2162</v>
      </c>
      <c r="D104" s="3048" t="s">
        <v>985</v>
      </c>
      <c r="E104" s="3043" t="s">
        <v>2163</v>
      </c>
      <c r="F104" s="3044" t="s">
        <v>2164</v>
      </c>
      <c r="G104" s="3051">
        <v>63000</v>
      </c>
      <c r="H104" s="322" t="s">
        <v>763</v>
      </c>
      <c r="I104" s="3046">
        <v>45433</v>
      </c>
      <c r="J104" s="3046">
        <v>45520</v>
      </c>
      <c r="K104" s="3047" t="s">
        <v>1997</v>
      </c>
      <c r="L104" s="2532" t="s">
        <v>1998</v>
      </c>
      <c r="M104" s="2532" t="s">
        <v>1999</v>
      </c>
      <c r="N104" s="3048" t="s">
        <v>2000</v>
      </c>
      <c r="O104" s="3050">
        <v>2024</v>
      </c>
      <c r="P104" s="3043" t="s">
        <v>2163</v>
      </c>
    </row>
    <row r="105" spans="1:16" ht="32">
      <c r="A105" s="3041">
        <v>3</v>
      </c>
      <c r="B105" s="3041" t="s">
        <v>570</v>
      </c>
      <c r="C105" s="3041" t="s">
        <v>2165</v>
      </c>
      <c r="D105" s="3048" t="s">
        <v>1019</v>
      </c>
      <c r="E105" s="3043" t="s">
        <v>2166</v>
      </c>
      <c r="F105" s="3044" t="s">
        <v>2167</v>
      </c>
      <c r="G105" s="3051">
        <v>40000</v>
      </c>
      <c r="H105" s="322" t="s">
        <v>763</v>
      </c>
      <c r="I105" s="3046">
        <v>45465</v>
      </c>
      <c r="J105" s="3046">
        <v>45552</v>
      </c>
      <c r="K105" s="3053" t="s">
        <v>1997</v>
      </c>
      <c r="L105" s="2532" t="s">
        <v>1998</v>
      </c>
      <c r="M105" s="2532" t="s">
        <v>1999</v>
      </c>
      <c r="N105" s="3048" t="s">
        <v>2000</v>
      </c>
      <c r="O105" s="3050">
        <v>2024</v>
      </c>
      <c r="P105" s="3043" t="s">
        <v>2166</v>
      </c>
    </row>
    <row r="106" spans="1:16" ht="80">
      <c r="A106" s="3041">
        <v>3</v>
      </c>
      <c r="B106" s="3041" t="s">
        <v>566</v>
      </c>
      <c r="C106" s="3041" t="s">
        <v>2168</v>
      </c>
      <c r="D106" s="3048" t="s">
        <v>997</v>
      </c>
      <c r="E106" s="3043" t="s">
        <v>2169</v>
      </c>
      <c r="F106" s="3044" t="s">
        <v>2170</v>
      </c>
      <c r="G106" s="3051">
        <v>30000</v>
      </c>
      <c r="H106" s="322" t="s">
        <v>763</v>
      </c>
      <c r="I106" s="3046">
        <v>45571</v>
      </c>
      <c r="J106" s="3046">
        <v>45658</v>
      </c>
      <c r="K106" s="3047" t="s">
        <v>2023</v>
      </c>
      <c r="L106" s="2532" t="s">
        <v>2024</v>
      </c>
      <c r="M106" s="2532" t="s">
        <v>2043</v>
      </c>
      <c r="N106" s="3048" t="s">
        <v>2000</v>
      </c>
      <c r="O106" s="3050">
        <v>2025</v>
      </c>
      <c r="P106" s="3043" t="s">
        <v>2169</v>
      </c>
    </row>
    <row r="107" spans="1:16" ht="64">
      <c r="A107" s="3041">
        <v>3</v>
      </c>
      <c r="B107" s="3041" t="s">
        <v>566</v>
      </c>
      <c r="C107" s="3041" t="s">
        <v>2168</v>
      </c>
      <c r="D107" s="3048" t="s">
        <v>1000</v>
      </c>
      <c r="E107" s="3043" t="s">
        <v>2171</v>
      </c>
      <c r="F107" s="3044" t="s">
        <v>2172</v>
      </c>
      <c r="G107" s="3051">
        <v>40000</v>
      </c>
      <c r="H107" s="322" t="s">
        <v>763</v>
      </c>
      <c r="I107" s="3046">
        <v>45496</v>
      </c>
      <c r="J107" s="3046">
        <v>45583</v>
      </c>
      <c r="K107" s="3047" t="s">
        <v>2023</v>
      </c>
      <c r="L107" s="2532" t="s">
        <v>2024</v>
      </c>
      <c r="M107" s="2532" t="s">
        <v>2173</v>
      </c>
      <c r="N107" s="3048" t="s">
        <v>2000</v>
      </c>
      <c r="O107" s="3050">
        <v>2024</v>
      </c>
      <c r="P107" s="3043" t="s">
        <v>2171</v>
      </c>
    </row>
    <row r="108" spans="1:16" ht="64">
      <c r="A108" s="3041">
        <v>3</v>
      </c>
      <c r="B108" s="3041" t="s">
        <v>572</v>
      </c>
      <c r="C108" s="3041" t="s">
        <v>2174</v>
      </c>
      <c r="D108" s="3048" t="s">
        <v>1051</v>
      </c>
      <c r="E108" s="3078" t="s">
        <v>2175</v>
      </c>
      <c r="F108" s="3044" t="s">
        <v>1052</v>
      </c>
      <c r="G108" s="3051">
        <v>623000</v>
      </c>
      <c r="H108" s="3078" t="s">
        <v>1596</v>
      </c>
      <c r="I108" s="3046">
        <v>45546</v>
      </c>
      <c r="J108" s="3046">
        <v>45754</v>
      </c>
      <c r="K108" s="3047" t="s">
        <v>2023</v>
      </c>
      <c r="L108" s="2532" t="s">
        <v>2024</v>
      </c>
      <c r="M108" s="2532" t="s">
        <v>2176</v>
      </c>
      <c r="N108" s="3048" t="s">
        <v>2000</v>
      </c>
      <c r="O108" s="3050">
        <v>2025</v>
      </c>
      <c r="P108" s="322"/>
    </row>
    <row r="109" spans="1:16" ht="32">
      <c r="A109" s="3041">
        <v>3</v>
      </c>
      <c r="B109" s="3041" t="s">
        <v>555</v>
      </c>
      <c r="C109" s="3041" t="s">
        <v>2162</v>
      </c>
      <c r="D109" s="3042" t="s">
        <v>990</v>
      </c>
      <c r="E109" s="3043" t="s">
        <v>2177</v>
      </c>
      <c r="F109" s="3044" t="s">
        <v>991</v>
      </c>
      <c r="G109" s="3045">
        <v>150000</v>
      </c>
      <c r="H109" s="322" t="s">
        <v>763</v>
      </c>
      <c r="I109" s="3046">
        <v>45529</v>
      </c>
      <c r="J109" s="3046">
        <v>45616</v>
      </c>
      <c r="K109" s="3047" t="s">
        <v>1997</v>
      </c>
      <c r="L109" s="2532" t="s">
        <v>1998</v>
      </c>
      <c r="M109" s="2532" t="s">
        <v>1999</v>
      </c>
      <c r="N109" s="3048" t="s">
        <v>2000</v>
      </c>
      <c r="O109" s="3050">
        <v>2024</v>
      </c>
      <c r="P109" s="322" t="s">
        <v>2177</v>
      </c>
    </row>
    <row r="110" spans="1:16" ht="80">
      <c r="A110" s="3041">
        <v>3</v>
      </c>
      <c r="B110" s="3041" t="s">
        <v>566</v>
      </c>
      <c r="C110" s="3041" t="s">
        <v>2168</v>
      </c>
      <c r="D110" s="3042" t="s">
        <v>1008</v>
      </c>
      <c r="E110" s="3043" t="s">
        <v>2178</v>
      </c>
      <c r="F110" s="3044" t="s">
        <v>2179</v>
      </c>
      <c r="G110" s="3051">
        <v>60000</v>
      </c>
      <c r="H110" s="322" t="s">
        <v>763</v>
      </c>
      <c r="I110" s="3046">
        <v>45529</v>
      </c>
      <c r="J110" s="3046">
        <v>45616</v>
      </c>
      <c r="K110" s="3056" t="s">
        <v>2023</v>
      </c>
      <c r="L110" s="2532" t="s">
        <v>2024</v>
      </c>
      <c r="M110" s="2532" t="s">
        <v>2180</v>
      </c>
      <c r="N110" s="3048" t="s">
        <v>2000</v>
      </c>
      <c r="O110" s="3050">
        <v>2024</v>
      </c>
      <c r="P110" s="322" t="s">
        <v>2178</v>
      </c>
    </row>
    <row r="111" spans="1:16" ht="80">
      <c r="A111" s="3041">
        <v>3</v>
      </c>
      <c r="B111" s="3041" t="s">
        <v>566</v>
      </c>
      <c r="C111" s="3041" t="s">
        <v>2168</v>
      </c>
      <c r="D111" s="3042" t="s">
        <v>1010</v>
      </c>
      <c r="E111" s="3043" t="s">
        <v>2181</v>
      </c>
      <c r="F111" s="3044" t="s">
        <v>2182</v>
      </c>
      <c r="G111" s="3051">
        <v>60000</v>
      </c>
      <c r="H111" s="322" t="s">
        <v>763</v>
      </c>
      <c r="I111" s="3046">
        <v>45529</v>
      </c>
      <c r="J111" s="3046">
        <v>45616</v>
      </c>
      <c r="K111" s="3056" t="s">
        <v>2023</v>
      </c>
      <c r="L111" s="2532" t="s">
        <v>2024</v>
      </c>
      <c r="M111" s="2532" t="s">
        <v>2180</v>
      </c>
      <c r="N111" s="3048" t="s">
        <v>2000</v>
      </c>
      <c r="O111" s="3050">
        <v>2024</v>
      </c>
      <c r="P111" s="322" t="s">
        <v>2181</v>
      </c>
    </row>
    <row r="112" spans="1:16" ht="32">
      <c r="A112" s="3041">
        <v>3</v>
      </c>
      <c r="B112" s="3041" t="s">
        <v>572</v>
      </c>
      <c r="C112" s="3041" t="s">
        <v>2174</v>
      </c>
      <c r="D112" s="3042" t="s">
        <v>1056</v>
      </c>
      <c r="E112" s="3043" t="s">
        <v>2183</v>
      </c>
      <c r="F112" s="3044" t="s">
        <v>2184</v>
      </c>
      <c r="G112" s="3051">
        <v>54000</v>
      </c>
      <c r="H112" s="322" t="s">
        <v>763</v>
      </c>
      <c r="I112" s="3046">
        <v>45529</v>
      </c>
      <c r="J112" s="3046">
        <v>45616</v>
      </c>
      <c r="K112" s="3056" t="s">
        <v>2185</v>
      </c>
      <c r="L112" s="2532" t="s">
        <v>2155</v>
      </c>
      <c r="M112" s="2532" t="s">
        <v>2156</v>
      </c>
      <c r="N112" s="3048" t="s">
        <v>2086</v>
      </c>
      <c r="O112" s="3050">
        <v>2024</v>
      </c>
      <c r="P112" s="322" t="s">
        <v>2183</v>
      </c>
    </row>
    <row r="113" spans="1:16" ht="80">
      <c r="A113" s="3041">
        <v>3</v>
      </c>
      <c r="B113" s="3041" t="s">
        <v>555</v>
      </c>
      <c r="C113" s="3041" t="s">
        <v>2186</v>
      </c>
      <c r="D113" s="3042" t="s">
        <v>982</v>
      </c>
      <c r="E113" s="3043" t="s">
        <v>2187</v>
      </c>
      <c r="F113" s="3044" t="s">
        <v>983</v>
      </c>
      <c r="G113" s="3051">
        <v>80000</v>
      </c>
      <c r="H113" s="322" t="s">
        <v>763</v>
      </c>
      <c r="I113" s="3046">
        <v>45548</v>
      </c>
      <c r="J113" s="3046">
        <v>45635</v>
      </c>
      <c r="K113" s="3056" t="s">
        <v>2023</v>
      </c>
      <c r="L113" s="2532" t="s">
        <v>2024</v>
      </c>
      <c r="M113" s="2532" t="s">
        <v>2043</v>
      </c>
      <c r="N113" s="3048" t="s">
        <v>2000</v>
      </c>
      <c r="O113" s="3050">
        <v>2024</v>
      </c>
      <c r="P113" s="322" t="s">
        <v>2187</v>
      </c>
    </row>
    <row r="114" spans="1:16" ht="32">
      <c r="A114" s="3041">
        <v>3</v>
      </c>
      <c r="B114" s="3041" t="s">
        <v>555</v>
      </c>
      <c r="C114" s="3041" t="s">
        <v>2157</v>
      </c>
      <c r="D114" s="3042" t="s">
        <v>1543</v>
      </c>
      <c r="E114" s="3043" t="s">
        <v>2188</v>
      </c>
      <c r="F114" s="3044" t="s">
        <v>1544</v>
      </c>
      <c r="G114" s="3051">
        <v>30000</v>
      </c>
      <c r="H114" s="322" t="s">
        <v>763</v>
      </c>
      <c r="I114" s="3046">
        <v>45675</v>
      </c>
      <c r="J114" s="3046">
        <v>45762</v>
      </c>
      <c r="K114" s="3056" t="s">
        <v>2074</v>
      </c>
      <c r="L114" s="2532"/>
      <c r="M114" s="2532"/>
      <c r="N114" s="3048" t="s">
        <v>2000</v>
      </c>
      <c r="O114" s="3050">
        <v>2025</v>
      </c>
      <c r="P114" s="322" t="s">
        <v>2188</v>
      </c>
    </row>
    <row r="115" spans="1:16" ht="64">
      <c r="A115" s="3041">
        <v>3</v>
      </c>
      <c r="B115" s="3041" t="s">
        <v>555</v>
      </c>
      <c r="C115" s="3041" t="s">
        <v>2157</v>
      </c>
      <c r="D115" s="3042" t="s">
        <v>1545</v>
      </c>
      <c r="E115" s="3043" t="s">
        <v>2189</v>
      </c>
      <c r="F115" s="3044" t="s">
        <v>1546</v>
      </c>
      <c r="G115" s="3051">
        <v>120000</v>
      </c>
      <c r="H115" s="322" t="s">
        <v>763</v>
      </c>
      <c r="I115" s="3046">
        <v>45611</v>
      </c>
      <c r="J115" s="3046">
        <v>45698</v>
      </c>
      <c r="K115" s="3056" t="s">
        <v>2185</v>
      </c>
      <c r="L115" s="2532" t="s">
        <v>2155</v>
      </c>
      <c r="M115" s="2532" t="s">
        <v>2190</v>
      </c>
      <c r="N115" s="3048" t="s">
        <v>2048</v>
      </c>
      <c r="O115" s="3050">
        <v>2025</v>
      </c>
      <c r="P115" s="322" t="s">
        <v>2189</v>
      </c>
    </row>
    <row r="116" spans="1:16" ht="48">
      <c r="A116" s="3041">
        <v>3</v>
      </c>
      <c r="B116" s="3041" t="s">
        <v>555</v>
      </c>
      <c r="C116" s="3041" t="s">
        <v>2157</v>
      </c>
      <c r="D116" s="3042" t="s">
        <v>1547</v>
      </c>
      <c r="E116" s="3043" t="s">
        <v>2191</v>
      </c>
      <c r="F116" s="3044" t="s">
        <v>1548</v>
      </c>
      <c r="G116" s="3045">
        <v>30000</v>
      </c>
      <c r="H116" s="322" t="s">
        <v>763</v>
      </c>
      <c r="I116" s="3046">
        <v>45639</v>
      </c>
      <c r="J116" s="3046">
        <v>45726</v>
      </c>
      <c r="K116" s="3056" t="s">
        <v>2074</v>
      </c>
      <c r="L116" s="2532"/>
      <c r="M116" s="2532"/>
      <c r="N116" s="3048" t="s">
        <v>2000</v>
      </c>
      <c r="O116" s="3050">
        <v>2025</v>
      </c>
      <c r="P116" s="322" t="s">
        <v>2191</v>
      </c>
    </row>
    <row r="117" spans="1:16" ht="64">
      <c r="A117" s="3041">
        <v>3</v>
      </c>
      <c r="B117" s="3041" t="s">
        <v>555</v>
      </c>
      <c r="C117" s="3041" t="s">
        <v>2157</v>
      </c>
      <c r="D117" s="3042" t="s">
        <v>1550</v>
      </c>
      <c r="E117" s="3043" t="s">
        <v>2192</v>
      </c>
      <c r="F117" s="3044" t="s">
        <v>1551</v>
      </c>
      <c r="G117" s="3051">
        <v>30000</v>
      </c>
      <c r="H117" s="322" t="s">
        <v>763</v>
      </c>
      <c r="I117" s="3046">
        <v>45611</v>
      </c>
      <c r="J117" s="3046">
        <v>45698</v>
      </c>
      <c r="K117" s="3056" t="s">
        <v>2185</v>
      </c>
      <c r="L117" s="2532" t="s">
        <v>2155</v>
      </c>
      <c r="M117" s="2532" t="s">
        <v>2190</v>
      </c>
      <c r="N117" s="3048" t="s">
        <v>2048</v>
      </c>
      <c r="O117" s="3050">
        <v>2025</v>
      </c>
      <c r="P117" s="322" t="s">
        <v>2192</v>
      </c>
    </row>
    <row r="118" spans="1:16" ht="32">
      <c r="A118" s="3041">
        <v>3</v>
      </c>
      <c r="B118" s="3041" t="s">
        <v>555</v>
      </c>
      <c r="C118" s="3041" t="s">
        <v>2157</v>
      </c>
      <c r="D118" s="3042" t="s">
        <v>1553</v>
      </c>
      <c r="E118" s="3071" t="s">
        <v>2193</v>
      </c>
      <c r="F118" s="3044" t="s">
        <v>1554</v>
      </c>
      <c r="G118" s="3045">
        <v>30000</v>
      </c>
      <c r="H118" s="3071" t="s">
        <v>2194</v>
      </c>
      <c r="I118" s="3046">
        <v>45931</v>
      </c>
      <c r="J118" s="3046">
        <v>45931</v>
      </c>
      <c r="K118" s="3056" t="s">
        <v>2074</v>
      </c>
      <c r="L118" s="2532"/>
      <c r="M118" s="2532"/>
      <c r="N118" s="3048" t="s">
        <v>2000</v>
      </c>
      <c r="O118" s="3050">
        <v>2025</v>
      </c>
      <c r="P118" s="322"/>
    </row>
    <row r="119" spans="1:16" ht="32">
      <c r="A119" s="3041">
        <v>3</v>
      </c>
      <c r="B119" s="3041" t="s">
        <v>555</v>
      </c>
      <c r="C119" s="3041" t="s">
        <v>2157</v>
      </c>
      <c r="D119" s="3048" t="s">
        <v>1557</v>
      </c>
      <c r="E119" s="3043" t="s">
        <v>2195</v>
      </c>
      <c r="F119" s="3044" t="s">
        <v>1558</v>
      </c>
      <c r="G119" s="3051">
        <v>20000</v>
      </c>
      <c r="H119" s="322" t="s">
        <v>763</v>
      </c>
      <c r="I119" s="3046">
        <v>45644</v>
      </c>
      <c r="J119" s="3046">
        <v>45731</v>
      </c>
      <c r="K119" s="3056" t="s">
        <v>2074</v>
      </c>
      <c r="L119" s="2532"/>
      <c r="M119" s="2532"/>
      <c r="N119" s="3048" t="s">
        <v>2000</v>
      </c>
      <c r="O119" s="3050">
        <v>2025</v>
      </c>
      <c r="P119" s="322" t="s">
        <v>2195</v>
      </c>
    </row>
    <row r="120" spans="1:16" ht="32">
      <c r="A120" s="3041">
        <v>3</v>
      </c>
      <c r="B120" s="3041" t="s">
        <v>555</v>
      </c>
      <c r="C120" s="3041" t="s">
        <v>2157</v>
      </c>
      <c r="D120" s="3048" t="s">
        <v>1559</v>
      </c>
      <c r="E120" s="3066" t="s">
        <v>2196</v>
      </c>
      <c r="F120" s="3044" t="s">
        <v>1560</v>
      </c>
      <c r="G120" s="3045">
        <v>150000</v>
      </c>
      <c r="H120" s="3066" t="s">
        <v>1561</v>
      </c>
      <c r="I120" s="3046">
        <v>45763</v>
      </c>
      <c r="J120" s="3046">
        <v>45971</v>
      </c>
      <c r="K120" s="3056" t="s">
        <v>2074</v>
      </c>
      <c r="L120" s="2532"/>
      <c r="M120" s="2532"/>
      <c r="N120" s="3048" t="s">
        <v>2000</v>
      </c>
      <c r="O120" s="3050">
        <v>2025</v>
      </c>
      <c r="P120" s="322"/>
    </row>
    <row r="121" spans="1:16" ht="32">
      <c r="A121" s="3041">
        <v>3</v>
      </c>
      <c r="B121" s="3041" t="s">
        <v>555</v>
      </c>
      <c r="C121" s="3041" t="s">
        <v>2157</v>
      </c>
      <c r="D121" s="3048" t="s">
        <v>1568</v>
      </c>
      <c r="E121" s="3077" t="s">
        <v>2197</v>
      </c>
      <c r="F121" s="3044" t="s">
        <v>1569</v>
      </c>
      <c r="G121" s="3051">
        <v>160000</v>
      </c>
      <c r="H121" s="3077" t="s">
        <v>2198</v>
      </c>
      <c r="I121" s="3046">
        <v>45730</v>
      </c>
      <c r="J121" s="3046">
        <v>45938</v>
      </c>
      <c r="K121" s="3047" t="s">
        <v>2074</v>
      </c>
      <c r="L121" s="2532"/>
      <c r="M121" s="2532"/>
      <c r="N121" s="3048" t="s">
        <v>2000</v>
      </c>
      <c r="O121" s="3050">
        <v>2025</v>
      </c>
      <c r="P121" s="322"/>
    </row>
    <row r="122" spans="1:16" ht="32">
      <c r="A122" s="3041">
        <v>3</v>
      </c>
      <c r="B122" s="3041" t="s">
        <v>555</v>
      </c>
      <c r="C122" s="3041" t="s">
        <v>2157</v>
      </c>
      <c r="D122" s="3048" t="s">
        <v>1570</v>
      </c>
      <c r="E122" s="3077" t="s">
        <v>2199</v>
      </c>
      <c r="F122" s="3044" t="s">
        <v>1571</v>
      </c>
      <c r="G122" s="3045">
        <v>216000</v>
      </c>
      <c r="H122" s="3077" t="s">
        <v>2198</v>
      </c>
      <c r="I122" s="3046">
        <v>45730</v>
      </c>
      <c r="J122" s="3046">
        <v>45938</v>
      </c>
      <c r="K122" s="3056" t="s">
        <v>2074</v>
      </c>
      <c r="L122" s="2532"/>
      <c r="M122" s="2532"/>
      <c r="N122" s="3048" t="s">
        <v>2000</v>
      </c>
      <c r="O122" s="3050">
        <v>2025</v>
      </c>
      <c r="P122" s="322"/>
    </row>
    <row r="123" spans="1:16" ht="32">
      <c r="A123" s="3041">
        <v>3</v>
      </c>
      <c r="B123" s="3041" t="s">
        <v>555</v>
      </c>
      <c r="C123" s="3041" t="s">
        <v>2157</v>
      </c>
      <c r="D123" s="3048" t="s">
        <v>1572</v>
      </c>
      <c r="E123" s="3077" t="s">
        <v>2200</v>
      </c>
      <c r="F123" s="3044" t="s">
        <v>1573</v>
      </c>
      <c r="G123" s="3051">
        <v>144000</v>
      </c>
      <c r="H123" s="3077" t="s">
        <v>2198</v>
      </c>
      <c r="I123" s="3046">
        <v>45730</v>
      </c>
      <c r="J123" s="3046">
        <v>45938</v>
      </c>
      <c r="K123" s="3056" t="s">
        <v>2074</v>
      </c>
      <c r="L123" s="2532"/>
      <c r="M123" s="2532"/>
      <c r="N123" s="3048" t="s">
        <v>2000</v>
      </c>
      <c r="O123" s="3050">
        <v>2025</v>
      </c>
      <c r="P123" s="322"/>
    </row>
    <row r="124" spans="1:16" ht="32">
      <c r="A124" s="3041">
        <v>3</v>
      </c>
      <c r="B124" s="3041" t="s">
        <v>555</v>
      </c>
      <c r="C124" s="3041" t="s">
        <v>2157</v>
      </c>
      <c r="D124" s="3048" t="s">
        <v>1578</v>
      </c>
      <c r="E124" s="3066" t="s">
        <v>2201</v>
      </c>
      <c r="F124" s="3044" t="s">
        <v>979</v>
      </c>
      <c r="G124" s="3051">
        <v>150000</v>
      </c>
      <c r="H124" s="3066" t="s">
        <v>1561</v>
      </c>
      <c r="I124" s="3046">
        <v>45723</v>
      </c>
      <c r="J124" s="3046">
        <v>45931</v>
      </c>
      <c r="K124" s="3056" t="s">
        <v>2074</v>
      </c>
      <c r="L124" s="2532"/>
      <c r="M124" s="2532"/>
      <c r="N124" s="3048" t="s">
        <v>2000</v>
      </c>
      <c r="O124" s="3050">
        <v>2025</v>
      </c>
      <c r="P124" s="322"/>
    </row>
    <row r="125" spans="1:16" ht="17">
      <c r="A125" s="3041">
        <v>3</v>
      </c>
      <c r="B125" s="3041" t="s">
        <v>555</v>
      </c>
      <c r="C125" s="3041" t="s">
        <v>2162</v>
      </c>
      <c r="D125" s="3048" t="s">
        <v>988</v>
      </c>
      <c r="E125" s="3043" t="s">
        <v>2202</v>
      </c>
      <c r="F125" s="3044" t="s">
        <v>989</v>
      </c>
      <c r="G125" s="3045">
        <v>60000</v>
      </c>
      <c r="H125" s="322" t="s">
        <v>853</v>
      </c>
      <c r="I125" s="3046">
        <v>45732</v>
      </c>
      <c r="J125" s="3046">
        <v>45940</v>
      </c>
      <c r="K125" s="3056" t="s">
        <v>2074</v>
      </c>
      <c r="L125" s="2532"/>
      <c r="M125" s="2532"/>
      <c r="N125" s="3048" t="s">
        <v>2000</v>
      </c>
      <c r="O125" s="3050">
        <v>2025</v>
      </c>
      <c r="P125" s="322" t="s">
        <v>2202</v>
      </c>
    </row>
    <row r="126" spans="1:16" ht="30">
      <c r="A126" s="3041">
        <v>3</v>
      </c>
      <c r="B126" s="3041" t="s">
        <v>555</v>
      </c>
      <c r="C126" s="3041" t="s">
        <v>2162</v>
      </c>
      <c r="D126" s="3048" t="s">
        <v>992</v>
      </c>
      <c r="E126" s="3078" t="s">
        <v>2203</v>
      </c>
      <c r="F126" s="3044" t="s">
        <v>993</v>
      </c>
      <c r="G126" s="3045">
        <v>30000</v>
      </c>
      <c r="H126" s="3078" t="s">
        <v>1596</v>
      </c>
      <c r="I126" s="3046">
        <v>45509</v>
      </c>
      <c r="J126" s="3046">
        <v>45717</v>
      </c>
      <c r="K126" s="3056" t="s">
        <v>2074</v>
      </c>
      <c r="L126" s="2532"/>
      <c r="M126" s="2532"/>
      <c r="N126" s="3048" t="s">
        <v>2086</v>
      </c>
      <c r="O126" s="3050">
        <v>2025</v>
      </c>
      <c r="P126" s="322"/>
    </row>
    <row r="127" spans="1:16" ht="64">
      <c r="A127" s="3041">
        <v>3</v>
      </c>
      <c r="B127" s="3041" t="s">
        <v>566</v>
      </c>
      <c r="C127" s="3041" t="s">
        <v>2168</v>
      </c>
      <c r="D127" s="3048" t="s">
        <v>1012</v>
      </c>
      <c r="E127" s="3043" t="s">
        <v>2204</v>
      </c>
      <c r="F127" s="3044" t="s">
        <v>1013</v>
      </c>
      <c r="G127" s="3045">
        <v>60000</v>
      </c>
      <c r="H127" s="322" t="s">
        <v>763</v>
      </c>
      <c r="I127" s="3046">
        <v>45602</v>
      </c>
      <c r="J127" s="3046">
        <v>45689</v>
      </c>
      <c r="K127" s="3056" t="s">
        <v>2185</v>
      </c>
      <c r="L127" s="2532" t="s">
        <v>2155</v>
      </c>
      <c r="M127" s="2532" t="s">
        <v>2190</v>
      </c>
      <c r="N127" s="3048" t="s">
        <v>2086</v>
      </c>
      <c r="O127" s="3050">
        <v>2025</v>
      </c>
      <c r="P127" s="322" t="s">
        <v>2204</v>
      </c>
    </row>
    <row r="128" spans="1:16" ht="32">
      <c r="A128" s="3041">
        <v>3</v>
      </c>
      <c r="B128" s="3055" t="s">
        <v>566</v>
      </c>
      <c r="C128" s="3055" t="s">
        <v>2168</v>
      </c>
      <c r="D128" s="3048" t="s">
        <v>1014</v>
      </c>
      <c r="E128" s="3066" t="s">
        <v>2205</v>
      </c>
      <c r="F128" s="3044" t="s">
        <v>1015</v>
      </c>
      <c r="G128" s="3045">
        <v>135000</v>
      </c>
      <c r="H128" s="3066" t="s">
        <v>1561</v>
      </c>
      <c r="I128" s="3046">
        <v>45723</v>
      </c>
      <c r="J128" s="3046">
        <v>45931</v>
      </c>
      <c r="K128" s="3047" t="s">
        <v>2074</v>
      </c>
      <c r="L128" s="2532"/>
      <c r="M128" s="2532"/>
      <c r="N128" s="3048" t="s">
        <v>2000</v>
      </c>
      <c r="O128" s="3050">
        <v>2025</v>
      </c>
      <c r="P128" s="322"/>
    </row>
    <row r="129" spans="1:16" ht="30">
      <c r="A129" s="3041">
        <v>3</v>
      </c>
      <c r="B129" s="3055" t="s">
        <v>566</v>
      </c>
      <c r="C129" s="3055" t="s">
        <v>2168</v>
      </c>
      <c r="D129" s="3048" t="s">
        <v>1016</v>
      </c>
      <c r="E129" s="3078" t="s">
        <v>2206</v>
      </c>
      <c r="F129" s="3044" t="s">
        <v>1017</v>
      </c>
      <c r="G129" s="3045">
        <v>150000</v>
      </c>
      <c r="H129" s="3078" t="s">
        <v>1596</v>
      </c>
      <c r="I129" s="3046">
        <v>45754</v>
      </c>
      <c r="J129" s="3046">
        <v>45962</v>
      </c>
      <c r="K129" s="3047" t="s">
        <v>2074</v>
      </c>
      <c r="L129" s="2532"/>
      <c r="M129" s="2532"/>
      <c r="N129" s="3048" t="s">
        <v>2000</v>
      </c>
      <c r="O129" s="3050">
        <v>2025</v>
      </c>
      <c r="P129" s="322"/>
    </row>
    <row r="130" spans="1:16" ht="32">
      <c r="A130" s="3041">
        <v>3</v>
      </c>
      <c r="B130" s="3055" t="s">
        <v>570</v>
      </c>
      <c r="C130" s="3055" t="s">
        <v>2165</v>
      </c>
      <c r="D130" s="3048" t="s">
        <v>1021</v>
      </c>
      <c r="E130" s="3066" t="s">
        <v>2207</v>
      </c>
      <c r="F130" s="3044" t="s">
        <v>1022</v>
      </c>
      <c r="G130" s="3045">
        <v>3260000</v>
      </c>
      <c r="H130" s="3066" t="s">
        <v>1561</v>
      </c>
      <c r="I130" s="3046">
        <v>45723</v>
      </c>
      <c r="J130" s="3046">
        <v>45931</v>
      </c>
      <c r="K130" s="3047" t="s">
        <v>2074</v>
      </c>
      <c r="L130" s="2532"/>
      <c r="M130" s="2532"/>
      <c r="N130" s="3048" t="s">
        <v>2000</v>
      </c>
      <c r="O130" s="3050">
        <v>2025</v>
      </c>
      <c r="P130" s="322"/>
    </row>
    <row r="131" spans="1:16" ht="17">
      <c r="A131" s="3041">
        <v>3</v>
      </c>
      <c r="B131" s="3055" t="s">
        <v>572</v>
      </c>
      <c r="C131" s="3055" t="s">
        <v>2174</v>
      </c>
      <c r="D131" s="3048" t="s">
        <v>1058</v>
      </c>
      <c r="E131" s="3071" t="s">
        <v>2208</v>
      </c>
      <c r="F131" s="3044" t="s">
        <v>1059</v>
      </c>
      <c r="G131" s="3045">
        <v>80000</v>
      </c>
      <c r="H131" s="3071" t="s">
        <v>2194</v>
      </c>
      <c r="I131" s="3046">
        <v>45931</v>
      </c>
      <c r="J131" s="3046">
        <v>45931</v>
      </c>
      <c r="K131" s="3047" t="s">
        <v>2074</v>
      </c>
      <c r="L131" s="2532"/>
      <c r="M131" s="2532"/>
      <c r="N131" s="3048" t="s">
        <v>2000</v>
      </c>
      <c r="O131" s="3050">
        <v>2025</v>
      </c>
      <c r="P131" s="322"/>
    </row>
    <row r="132" spans="1:16" ht="32">
      <c r="A132" s="3041">
        <v>3</v>
      </c>
      <c r="B132" s="3041" t="s">
        <v>572</v>
      </c>
      <c r="C132" s="3041" t="s">
        <v>2174</v>
      </c>
      <c r="D132" s="3048" t="s">
        <v>1061</v>
      </c>
      <c r="E132" s="3071" t="s">
        <v>2209</v>
      </c>
      <c r="F132" s="3044" t="s">
        <v>1062</v>
      </c>
      <c r="G132" s="3045">
        <v>200000</v>
      </c>
      <c r="H132" s="3071" t="s">
        <v>2194</v>
      </c>
      <c r="I132" s="3046">
        <v>45931</v>
      </c>
      <c r="J132" s="3046">
        <v>45931</v>
      </c>
      <c r="K132" s="3047" t="s">
        <v>2074</v>
      </c>
      <c r="L132" s="2532"/>
      <c r="M132" s="2532"/>
      <c r="N132" s="3048" t="s">
        <v>2000</v>
      </c>
      <c r="O132" s="3050">
        <v>2025</v>
      </c>
      <c r="P132" s="322"/>
    </row>
    <row r="133" spans="1:16" ht="17">
      <c r="A133" s="3041">
        <v>3</v>
      </c>
      <c r="B133" s="3041" t="s">
        <v>572</v>
      </c>
      <c r="C133" s="3041" t="s">
        <v>2174</v>
      </c>
      <c r="D133" s="3048" t="s">
        <v>1063</v>
      </c>
      <c r="E133" s="3071" t="s">
        <v>2210</v>
      </c>
      <c r="F133" s="3044" t="s">
        <v>1064</v>
      </c>
      <c r="G133" s="3045">
        <v>100000</v>
      </c>
      <c r="H133" s="3071" t="s">
        <v>2194</v>
      </c>
      <c r="I133" s="3046">
        <v>45931</v>
      </c>
      <c r="J133" s="3046">
        <v>45931</v>
      </c>
      <c r="K133" s="3047" t="s">
        <v>2074</v>
      </c>
      <c r="L133" s="2532"/>
      <c r="M133" s="2532"/>
      <c r="N133" s="3048" t="s">
        <v>2000</v>
      </c>
      <c r="O133" s="3050">
        <v>2025</v>
      </c>
      <c r="P133" s="322"/>
    </row>
    <row r="134" spans="1:16" ht="17">
      <c r="A134" s="3041">
        <v>3</v>
      </c>
      <c r="B134" s="3041" t="s">
        <v>555</v>
      </c>
      <c r="C134" s="3041" t="s">
        <v>2157</v>
      </c>
      <c r="D134" s="3048" t="s">
        <v>1580</v>
      </c>
      <c r="E134" s="3071" t="s">
        <v>2211</v>
      </c>
      <c r="F134" s="3044" t="s">
        <v>1564</v>
      </c>
      <c r="G134" s="3045">
        <v>30000</v>
      </c>
      <c r="H134" s="3071" t="s">
        <v>2194</v>
      </c>
      <c r="I134" s="3046">
        <v>45931</v>
      </c>
      <c r="J134" s="3046">
        <v>45931</v>
      </c>
      <c r="K134" s="3047" t="s">
        <v>2074</v>
      </c>
      <c r="L134" s="2532"/>
      <c r="M134" s="2532"/>
      <c r="N134" s="3048" t="s">
        <v>2000</v>
      </c>
      <c r="O134" s="3050">
        <v>2026</v>
      </c>
      <c r="P134" s="322"/>
    </row>
    <row r="135" spans="1:16" ht="32">
      <c r="A135" s="3041">
        <v>3</v>
      </c>
      <c r="B135" s="3041" t="s">
        <v>555</v>
      </c>
      <c r="C135" s="3041" t="s">
        <v>2157</v>
      </c>
      <c r="D135" s="3048" t="s">
        <v>1574</v>
      </c>
      <c r="E135" s="2914" t="s">
        <v>2212</v>
      </c>
      <c r="F135" s="3044" t="s">
        <v>1575</v>
      </c>
      <c r="G135" s="3045">
        <v>30000</v>
      </c>
      <c r="H135" s="511" t="s">
        <v>763</v>
      </c>
      <c r="I135" s="3046">
        <v>46240</v>
      </c>
      <c r="J135" s="3046">
        <v>46327</v>
      </c>
      <c r="K135" s="3047" t="s">
        <v>2074</v>
      </c>
      <c r="L135" s="2532"/>
      <c r="M135" s="2532"/>
      <c r="N135" s="3048" t="s">
        <v>2000</v>
      </c>
      <c r="O135" s="3050">
        <v>2026</v>
      </c>
      <c r="P135" s="322"/>
    </row>
    <row r="136" spans="1:16" ht="17">
      <c r="A136" s="3041">
        <v>3</v>
      </c>
      <c r="B136" s="3041" t="s">
        <v>555</v>
      </c>
      <c r="C136" s="3041" t="s">
        <v>2157</v>
      </c>
      <c r="D136" s="3048" t="s">
        <v>1580</v>
      </c>
      <c r="E136" s="3071" t="s">
        <v>2213</v>
      </c>
      <c r="F136" s="3044" t="s">
        <v>971</v>
      </c>
      <c r="G136" s="3045">
        <v>30000</v>
      </c>
      <c r="H136" s="3071" t="s">
        <v>2194</v>
      </c>
      <c r="I136" s="3046">
        <v>45931</v>
      </c>
      <c r="J136" s="3046">
        <v>45931</v>
      </c>
      <c r="K136" s="3047" t="s">
        <v>2074</v>
      </c>
      <c r="L136" s="2532"/>
      <c r="M136" s="2532"/>
      <c r="N136" s="3048" t="s">
        <v>2000</v>
      </c>
      <c r="O136" s="3050">
        <v>2026</v>
      </c>
      <c r="P136" s="322"/>
    </row>
    <row r="137" spans="1:16" ht="32">
      <c r="A137" s="3041">
        <v>3</v>
      </c>
      <c r="B137" s="3055" t="s">
        <v>566</v>
      </c>
      <c r="C137" s="3055" t="s">
        <v>2168</v>
      </c>
      <c r="D137" s="3048" t="s">
        <v>1002</v>
      </c>
      <c r="E137" s="3066" t="s">
        <v>2214</v>
      </c>
      <c r="F137" s="3044" t="s">
        <v>1003</v>
      </c>
      <c r="G137" s="3051">
        <v>270000</v>
      </c>
      <c r="H137" s="3066" t="s">
        <v>1561</v>
      </c>
      <c r="I137" s="3046">
        <v>45966</v>
      </c>
      <c r="J137" s="3046">
        <v>46174</v>
      </c>
      <c r="K137" s="3047" t="s">
        <v>2074</v>
      </c>
      <c r="L137" s="2532"/>
      <c r="M137" s="2532"/>
      <c r="N137" s="3048" t="s">
        <v>2000</v>
      </c>
      <c r="O137" s="3050">
        <v>2026</v>
      </c>
      <c r="P137" s="322"/>
    </row>
    <row r="138" spans="1:16" ht="17">
      <c r="A138" s="3041">
        <v>3</v>
      </c>
      <c r="B138" s="3041" t="s">
        <v>566</v>
      </c>
      <c r="C138" s="3041"/>
      <c r="D138" s="3048"/>
      <c r="E138" s="3043" t="s">
        <v>2144</v>
      </c>
      <c r="F138" s="3044" t="s">
        <v>2145</v>
      </c>
      <c r="G138" s="3051">
        <v>110000</v>
      </c>
      <c r="H138" s="322" t="s">
        <v>802</v>
      </c>
      <c r="I138" s="3046">
        <v>46661</v>
      </c>
      <c r="J138" s="3046">
        <v>46753</v>
      </c>
      <c r="K138" s="3047" t="s">
        <v>2074</v>
      </c>
      <c r="L138" s="2532"/>
      <c r="M138" s="2532"/>
      <c r="N138" s="3048" t="s">
        <v>2000</v>
      </c>
      <c r="O138" s="3050">
        <v>2028</v>
      </c>
      <c r="P138" s="322" t="s">
        <v>2144</v>
      </c>
    </row>
    <row r="139" spans="1:16" ht="17">
      <c r="A139" s="3041">
        <v>3</v>
      </c>
      <c r="B139" s="3041" t="s">
        <v>572</v>
      </c>
      <c r="C139" s="3041"/>
      <c r="D139" s="3048"/>
      <c r="E139" s="3043" t="s">
        <v>2144</v>
      </c>
      <c r="F139" s="3044" t="s">
        <v>2145</v>
      </c>
      <c r="G139" s="3051">
        <v>0</v>
      </c>
      <c r="H139" s="322" t="s">
        <v>802</v>
      </c>
      <c r="I139" s="3046">
        <v>46661</v>
      </c>
      <c r="J139" s="3046">
        <v>46753</v>
      </c>
      <c r="K139" s="3047" t="s">
        <v>2074</v>
      </c>
      <c r="L139" s="2532"/>
      <c r="M139" s="2532"/>
      <c r="N139" s="3048" t="s">
        <v>2000</v>
      </c>
      <c r="O139" s="3050">
        <v>2028</v>
      </c>
      <c r="P139" s="322" t="s">
        <v>2144</v>
      </c>
    </row>
    <row r="140" spans="1:16" ht="17">
      <c r="A140" s="3041">
        <v>3</v>
      </c>
      <c r="B140" s="3041" t="s">
        <v>555</v>
      </c>
      <c r="C140" s="3041"/>
      <c r="D140" s="3048" t="s">
        <v>964</v>
      </c>
      <c r="E140" s="3043" t="s">
        <v>2144</v>
      </c>
      <c r="F140" s="3044" t="s">
        <v>965</v>
      </c>
      <c r="G140" s="3051">
        <v>286000</v>
      </c>
      <c r="H140" s="322" t="s">
        <v>802</v>
      </c>
      <c r="I140" s="3046">
        <v>46661</v>
      </c>
      <c r="J140" s="3046">
        <v>46753</v>
      </c>
      <c r="K140" s="3047" t="s">
        <v>2074</v>
      </c>
      <c r="L140" s="2532"/>
      <c r="M140" s="2532"/>
      <c r="N140" s="3048" t="s">
        <v>2000</v>
      </c>
      <c r="O140" s="3050">
        <v>2028</v>
      </c>
      <c r="P140" s="322" t="s">
        <v>2144</v>
      </c>
    </row>
    <row r="141" spans="1:16" ht="17">
      <c r="A141" s="3041">
        <v>3</v>
      </c>
      <c r="B141" s="3041" t="s">
        <v>570</v>
      </c>
      <c r="C141" s="3041"/>
      <c r="D141" s="3048"/>
      <c r="E141" s="3043" t="s">
        <v>2144</v>
      </c>
      <c r="F141" s="3044" t="s">
        <v>965</v>
      </c>
      <c r="G141" s="3051">
        <v>25000</v>
      </c>
      <c r="H141" s="322" t="s">
        <v>802</v>
      </c>
      <c r="I141" s="3046">
        <v>46661</v>
      </c>
      <c r="J141" s="3046">
        <v>46753</v>
      </c>
      <c r="K141" s="3047" t="s">
        <v>2074</v>
      </c>
      <c r="L141" s="2532"/>
      <c r="M141" s="2532"/>
      <c r="N141" s="3048" t="s">
        <v>2000</v>
      </c>
      <c r="O141" s="3050">
        <v>2028</v>
      </c>
      <c r="P141" s="322" t="s">
        <v>2144</v>
      </c>
    </row>
    <row r="142" spans="1:16" ht="42">
      <c r="A142" s="3041" t="s">
        <v>577</v>
      </c>
      <c r="B142" s="3041" t="s">
        <v>577</v>
      </c>
      <c r="C142" s="3041" t="s">
        <v>2215</v>
      </c>
      <c r="D142" s="3048" t="s">
        <v>1636</v>
      </c>
      <c r="E142" s="3043" t="s">
        <v>876</v>
      </c>
      <c r="F142" s="3044" t="s">
        <v>2216</v>
      </c>
      <c r="G142" s="3051">
        <v>478500</v>
      </c>
      <c r="H142" s="322" t="s">
        <v>763</v>
      </c>
      <c r="I142" s="3046">
        <v>45021</v>
      </c>
      <c r="J142" s="3046">
        <v>45108</v>
      </c>
      <c r="K142" s="3047" t="s">
        <v>1997</v>
      </c>
      <c r="L142" s="2532" t="s">
        <v>1998</v>
      </c>
      <c r="M142" s="2532" t="s">
        <v>1999</v>
      </c>
      <c r="N142" s="3048" t="s">
        <v>2000</v>
      </c>
      <c r="O142" s="3050">
        <v>2023</v>
      </c>
      <c r="P142" s="322" t="s">
        <v>876</v>
      </c>
    </row>
    <row r="143" spans="1:16" ht="42">
      <c r="A143" s="3041" t="s">
        <v>577</v>
      </c>
      <c r="B143" s="3041" t="s">
        <v>577</v>
      </c>
      <c r="C143" s="3041" t="s">
        <v>2215</v>
      </c>
      <c r="D143" s="3048" t="s">
        <v>1640</v>
      </c>
      <c r="E143" s="3043" t="s">
        <v>876</v>
      </c>
      <c r="F143" s="3044" t="s">
        <v>2217</v>
      </c>
      <c r="G143" s="3051">
        <v>207000</v>
      </c>
      <c r="H143" s="322" t="s">
        <v>763</v>
      </c>
      <c r="I143" s="3046">
        <v>45044</v>
      </c>
      <c r="J143" s="3046">
        <v>45131</v>
      </c>
      <c r="K143" s="3047" t="s">
        <v>1997</v>
      </c>
      <c r="L143" s="2532" t="s">
        <v>1998</v>
      </c>
      <c r="M143" s="2532" t="s">
        <v>1999</v>
      </c>
      <c r="N143" s="3048" t="s">
        <v>2000</v>
      </c>
      <c r="O143" s="3050">
        <v>2023</v>
      </c>
      <c r="P143" s="322" t="s">
        <v>876</v>
      </c>
    </row>
    <row r="144" spans="1:16" ht="42">
      <c r="A144" s="3041" t="s">
        <v>577</v>
      </c>
      <c r="B144" s="3041" t="s">
        <v>577</v>
      </c>
      <c r="C144" s="3041" t="s">
        <v>2215</v>
      </c>
      <c r="D144" s="3048" t="s">
        <v>1642</v>
      </c>
      <c r="E144" s="3043" t="s">
        <v>876</v>
      </c>
      <c r="F144" s="3044" t="s">
        <v>2218</v>
      </c>
      <c r="G144" s="3051">
        <v>207000</v>
      </c>
      <c r="H144" s="322" t="s">
        <v>763</v>
      </c>
      <c r="I144" s="3046">
        <v>45034</v>
      </c>
      <c r="J144" s="3046">
        <v>45121</v>
      </c>
      <c r="K144" s="3047" t="s">
        <v>1997</v>
      </c>
      <c r="L144" s="2532" t="s">
        <v>1998</v>
      </c>
      <c r="M144" s="2532" t="s">
        <v>1999</v>
      </c>
      <c r="N144" s="3048" t="s">
        <v>2000</v>
      </c>
      <c r="O144" s="3050">
        <v>2023</v>
      </c>
      <c r="P144" s="322" t="s">
        <v>876</v>
      </c>
    </row>
    <row r="145" spans="1:16" ht="42">
      <c r="A145" s="3041" t="s">
        <v>577</v>
      </c>
      <c r="B145" s="3041" t="s">
        <v>577</v>
      </c>
      <c r="C145" s="3041" t="s">
        <v>2215</v>
      </c>
      <c r="D145" s="3048" t="s">
        <v>1638</v>
      </c>
      <c r="E145" s="3043" t="s">
        <v>876</v>
      </c>
      <c r="F145" s="3044" t="s">
        <v>2219</v>
      </c>
      <c r="G145" s="3051">
        <v>207000</v>
      </c>
      <c r="H145" s="322" t="s">
        <v>763</v>
      </c>
      <c r="I145" s="3046">
        <v>45052</v>
      </c>
      <c r="J145" s="3046">
        <v>45139</v>
      </c>
      <c r="K145" s="3047" t="s">
        <v>1997</v>
      </c>
      <c r="L145" s="2532" t="s">
        <v>1998</v>
      </c>
      <c r="M145" s="2532" t="s">
        <v>1999</v>
      </c>
      <c r="N145" s="3048" t="s">
        <v>2000</v>
      </c>
      <c r="O145" s="3050">
        <v>2023</v>
      </c>
      <c r="P145" s="322" t="s">
        <v>876</v>
      </c>
    </row>
    <row r="146" spans="1:16" ht="42">
      <c r="A146" s="3041" t="s">
        <v>577</v>
      </c>
      <c r="B146" s="3041" t="s">
        <v>577</v>
      </c>
      <c r="C146" s="3041" t="s">
        <v>2215</v>
      </c>
      <c r="D146" s="3048" t="s">
        <v>1646</v>
      </c>
      <c r="E146" s="3043" t="s">
        <v>2220</v>
      </c>
      <c r="F146" s="3044" t="s">
        <v>2221</v>
      </c>
      <c r="G146" s="3051">
        <v>250000</v>
      </c>
      <c r="H146" s="322" t="s">
        <v>763</v>
      </c>
      <c r="I146" s="3046">
        <v>45228</v>
      </c>
      <c r="J146" s="3046">
        <v>45315</v>
      </c>
      <c r="K146" s="3047" t="s">
        <v>1997</v>
      </c>
      <c r="L146" s="2532" t="s">
        <v>1998</v>
      </c>
      <c r="M146" s="2532" t="s">
        <v>1999</v>
      </c>
      <c r="N146" s="3048" t="s">
        <v>2000</v>
      </c>
      <c r="O146" s="3050">
        <v>2024</v>
      </c>
      <c r="P146" s="322" t="s">
        <v>2220</v>
      </c>
    </row>
    <row r="147" spans="1:16" ht="42">
      <c r="A147" s="3041" t="s">
        <v>577</v>
      </c>
      <c r="B147" s="3041" t="s">
        <v>577</v>
      </c>
      <c r="C147" s="3041" t="s">
        <v>2215</v>
      </c>
      <c r="D147" s="3048" t="s">
        <v>1648</v>
      </c>
      <c r="E147" s="3043" t="s">
        <v>2222</v>
      </c>
      <c r="F147" s="3044" t="s">
        <v>2223</v>
      </c>
      <c r="G147" s="3051">
        <v>125000</v>
      </c>
      <c r="H147" s="322" t="s">
        <v>763</v>
      </c>
      <c r="I147" s="3046">
        <v>45236</v>
      </c>
      <c r="J147" s="3046">
        <v>45323</v>
      </c>
      <c r="K147" s="3047" t="s">
        <v>1997</v>
      </c>
      <c r="L147" s="2532" t="s">
        <v>1998</v>
      </c>
      <c r="M147" s="2532" t="s">
        <v>1999</v>
      </c>
      <c r="N147" s="3048" t="s">
        <v>2000</v>
      </c>
      <c r="O147" s="3050">
        <v>2024</v>
      </c>
      <c r="P147" s="322" t="s">
        <v>2222</v>
      </c>
    </row>
    <row r="148" spans="1:16" ht="42">
      <c r="A148" s="3041" t="s">
        <v>577</v>
      </c>
      <c r="B148" s="3041" t="s">
        <v>577</v>
      </c>
      <c r="C148" s="3041" t="s">
        <v>2215</v>
      </c>
      <c r="D148" s="3048" t="s">
        <v>1644</v>
      </c>
      <c r="E148" s="3043" t="s">
        <v>2224</v>
      </c>
      <c r="F148" s="3044" t="s">
        <v>2225</v>
      </c>
      <c r="G148" s="3051">
        <v>450000</v>
      </c>
      <c r="H148" s="322" t="s">
        <v>763</v>
      </c>
      <c r="I148" s="3046">
        <v>45228</v>
      </c>
      <c r="J148" s="3046">
        <v>45315</v>
      </c>
      <c r="K148" s="3047" t="s">
        <v>1997</v>
      </c>
      <c r="L148" s="2532" t="s">
        <v>1998</v>
      </c>
      <c r="M148" s="2532" t="s">
        <v>1999</v>
      </c>
      <c r="N148" s="3048" t="s">
        <v>2000</v>
      </c>
      <c r="O148" s="3050">
        <v>2024</v>
      </c>
      <c r="P148" s="322" t="s">
        <v>2224</v>
      </c>
    </row>
    <row r="149" spans="1:16" ht="42">
      <c r="A149" s="3041" t="s">
        <v>577</v>
      </c>
      <c r="B149" s="3041" t="s">
        <v>577</v>
      </c>
      <c r="C149" s="3041" t="s">
        <v>2215</v>
      </c>
      <c r="D149" s="3048" t="s">
        <v>1657</v>
      </c>
      <c r="E149" s="3043" t="s">
        <v>2226</v>
      </c>
      <c r="F149" s="3044" t="s">
        <v>2227</v>
      </c>
      <c r="G149" s="3051">
        <v>851666</v>
      </c>
      <c r="H149" s="322" t="s">
        <v>763</v>
      </c>
      <c r="I149" s="3046">
        <v>45256</v>
      </c>
      <c r="J149" s="3046">
        <v>45343</v>
      </c>
      <c r="K149" s="3047" t="s">
        <v>1997</v>
      </c>
      <c r="L149" s="2532" t="s">
        <v>1998</v>
      </c>
      <c r="M149" s="2532" t="s">
        <v>1999</v>
      </c>
      <c r="N149" s="3048" t="s">
        <v>2000</v>
      </c>
      <c r="O149" s="3050">
        <v>2024</v>
      </c>
      <c r="P149" s="322" t="s">
        <v>2226</v>
      </c>
    </row>
    <row r="150" spans="1:16" ht="42">
      <c r="A150" s="3041" t="s">
        <v>577</v>
      </c>
      <c r="B150" s="3041" t="s">
        <v>577</v>
      </c>
      <c r="C150" s="3041" t="s">
        <v>2215</v>
      </c>
      <c r="D150" s="3048" t="s">
        <v>1657</v>
      </c>
      <c r="E150" s="3043" t="s">
        <v>2226</v>
      </c>
      <c r="F150" s="3044" t="s">
        <v>2228</v>
      </c>
      <c r="G150" s="3051">
        <v>170333</v>
      </c>
      <c r="H150" s="322" t="s">
        <v>763</v>
      </c>
      <c r="I150" s="3046">
        <v>45326</v>
      </c>
      <c r="J150" s="3046">
        <v>45413</v>
      </c>
      <c r="K150" s="3047" t="s">
        <v>1997</v>
      </c>
      <c r="L150" s="2532" t="s">
        <v>1998</v>
      </c>
      <c r="M150" s="2532" t="s">
        <v>1999</v>
      </c>
      <c r="N150" s="3048" t="s">
        <v>2000</v>
      </c>
      <c r="O150" s="3050">
        <v>2024</v>
      </c>
      <c r="P150" s="322" t="s">
        <v>2226</v>
      </c>
    </row>
    <row r="151" spans="1:16" ht="42">
      <c r="A151" s="3041" t="s">
        <v>577</v>
      </c>
      <c r="B151" s="3041" t="s">
        <v>577</v>
      </c>
      <c r="C151" s="3041" t="s">
        <v>2215</v>
      </c>
      <c r="D151" s="3048" t="s">
        <v>1650</v>
      </c>
      <c r="E151" s="3043" t="s">
        <v>2229</v>
      </c>
      <c r="F151" s="3044" t="s">
        <v>2230</v>
      </c>
      <c r="G151" s="3051">
        <v>123140</v>
      </c>
      <c r="H151" s="322" t="s">
        <v>763</v>
      </c>
      <c r="I151" s="3046">
        <v>45310</v>
      </c>
      <c r="J151" s="3046">
        <v>45397</v>
      </c>
      <c r="K151" s="3047" t="s">
        <v>1997</v>
      </c>
      <c r="L151" s="2532" t="s">
        <v>1998</v>
      </c>
      <c r="M151" s="2532" t="s">
        <v>1999</v>
      </c>
      <c r="N151" s="3048" t="s">
        <v>2000</v>
      </c>
      <c r="O151" s="3050">
        <v>2024</v>
      </c>
      <c r="P151" s="322" t="s">
        <v>2229</v>
      </c>
    </row>
    <row r="152" spans="1:16" ht="42">
      <c r="A152" s="3041" t="s">
        <v>577</v>
      </c>
      <c r="B152" s="3041" t="s">
        <v>577</v>
      </c>
      <c r="C152" s="3041" t="s">
        <v>2231</v>
      </c>
      <c r="D152" s="3048" t="s">
        <v>1665</v>
      </c>
      <c r="E152" s="3043" t="s">
        <v>2232</v>
      </c>
      <c r="F152" s="3044" t="s">
        <v>2233</v>
      </c>
      <c r="G152" s="3051">
        <v>250000</v>
      </c>
      <c r="H152" s="322" t="s">
        <v>853</v>
      </c>
      <c r="I152" s="3046">
        <v>45450</v>
      </c>
      <c r="J152" s="3046">
        <v>45658</v>
      </c>
      <c r="K152" s="3072" t="s">
        <v>2023</v>
      </c>
      <c r="L152" s="2532" t="s">
        <v>2024</v>
      </c>
      <c r="M152" s="2532" t="s">
        <v>2234</v>
      </c>
      <c r="N152" s="3048" t="s">
        <v>2000</v>
      </c>
      <c r="O152" s="3050">
        <v>2025</v>
      </c>
      <c r="P152" s="322" t="s">
        <v>2232</v>
      </c>
    </row>
    <row r="153" spans="1:16" ht="42">
      <c r="A153" s="3041" t="s">
        <v>577</v>
      </c>
      <c r="B153" s="3041" t="s">
        <v>577</v>
      </c>
      <c r="C153" s="3041"/>
      <c r="D153" s="3048"/>
      <c r="E153" s="3043" t="s">
        <v>2144</v>
      </c>
      <c r="F153" s="3044" t="s">
        <v>1633</v>
      </c>
      <c r="G153" s="3051">
        <v>277560</v>
      </c>
      <c r="H153" s="322" t="s">
        <v>802</v>
      </c>
      <c r="I153" s="3046">
        <v>46661</v>
      </c>
      <c r="J153" s="3046">
        <v>46753</v>
      </c>
      <c r="K153" s="3072" t="s">
        <v>2074</v>
      </c>
      <c r="L153" s="2532"/>
      <c r="M153" s="2532"/>
      <c r="N153" s="3048" t="s">
        <v>2000</v>
      </c>
      <c r="O153" s="3050">
        <v>2028</v>
      </c>
      <c r="P153" s="322" t="s">
        <v>2144</v>
      </c>
    </row>
    <row r="154" spans="1:16" ht="42">
      <c r="A154" s="3041" t="s">
        <v>577</v>
      </c>
      <c r="B154" s="3041" t="s">
        <v>577</v>
      </c>
      <c r="C154" s="3041" t="s">
        <v>2215</v>
      </c>
      <c r="D154" s="3048"/>
      <c r="E154" s="3043" t="s">
        <v>876</v>
      </c>
      <c r="F154" s="3044" t="s">
        <v>1663</v>
      </c>
      <c r="G154" s="3051">
        <v>250800</v>
      </c>
      <c r="H154" s="322" t="s">
        <v>802</v>
      </c>
      <c r="I154" s="3046">
        <v>46661</v>
      </c>
      <c r="J154" s="3046">
        <v>46753</v>
      </c>
      <c r="K154" s="3072" t="s">
        <v>2074</v>
      </c>
      <c r="L154" s="2532"/>
      <c r="M154" s="2532"/>
      <c r="N154" s="3048" t="s">
        <v>2000</v>
      </c>
      <c r="O154" s="3050">
        <v>2028</v>
      </c>
      <c r="P154" s="322" t="s">
        <v>876</v>
      </c>
    </row>
    <row r="155" spans="1:16" ht="42">
      <c r="A155" s="3041" t="s">
        <v>577</v>
      </c>
      <c r="B155" s="3041" t="s">
        <v>577</v>
      </c>
      <c r="C155" s="3041" t="s">
        <v>2215</v>
      </c>
      <c r="D155" s="3048"/>
      <c r="E155" s="3043" t="s">
        <v>2232</v>
      </c>
      <c r="F155" s="3044" t="s">
        <v>1671</v>
      </c>
      <c r="G155" s="3051">
        <v>150000</v>
      </c>
      <c r="H155" s="322" t="s">
        <v>802</v>
      </c>
      <c r="I155" s="3046">
        <v>46661</v>
      </c>
      <c r="J155" s="3046">
        <v>46753</v>
      </c>
      <c r="K155" s="3072" t="s">
        <v>2074</v>
      </c>
      <c r="L155" s="2532"/>
      <c r="M155" s="2532"/>
      <c r="N155" s="3048" t="s">
        <v>2000</v>
      </c>
      <c r="O155" s="3050">
        <v>2028</v>
      </c>
      <c r="P155" s="322" t="s">
        <v>2232</v>
      </c>
    </row>
    <row r="156" spans="1:16" ht="32">
      <c r="A156" s="3041">
        <v>1</v>
      </c>
      <c r="B156" s="3041">
        <v>1.2</v>
      </c>
      <c r="C156" s="3041" t="s">
        <v>2014</v>
      </c>
      <c r="D156" s="3048"/>
      <c r="E156" s="3043" t="s">
        <v>2235</v>
      </c>
      <c r="F156" s="3044" t="s">
        <v>2236</v>
      </c>
      <c r="G156" s="3051"/>
      <c r="H156" s="322" t="s">
        <v>763</v>
      </c>
      <c r="I156" s="3046">
        <v>45474</v>
      </c>
      <c r="J156" s="3073">
        <v>45561</v>
      </c>
      <c r="K156" s="3053" t="s">
        <v>2074</v>
      </c>
      <c r="L156" s="2532"/>
      <c r="M156" s="2532"/>
      <c r="N156" s="3048" t="s">
        <v>2086</v>
      </c>
      <c r="O156" s="3050">
        <v>2024</v>
      </c>
      <c r="P156" s="322" t="s">
        <v>2235</v>
      </c>
    </row>
  </sheetData>
  <conditionalFormatting sqref="K1:K156">
    <cfRule type="cellIs" dxfId="49" priority="2" operator="equal">
      <formula>"Revisión OGTIC"</formula>
    </cfRule>
    <cfRule type="cellIs" dxfId="48" priority="3" operator="equal">
      <formula>"Con Recursos Internos"</formula>
    </cfRule>
    <cfRule type="cellIs" dxfId="47" priority="4" operator="equal">
      <formula>"Desestimado"</formula>
    </cfRule>
    <cfRule type="cellIs" dxfId="46" priority="5" operator="equal">
      <formula>"Concluido"</formula>
    </cfRule>
    <cfRule type="cellIs" dxfId="45" priority="6" operator="equal">
      <formula>"En Ejecución"</formula>
    </cfRule>
    <cfRule type="cellIs" dxfId="44" priority="7" operator="equal">
      <formula>"En Proceso Contratación"</formula>
    </cfRule>
    <cfRule type="cellIs" dxfId="43" priority="8" operator="equal">
      <formula>"En Revisión"</formula>
    </cfRule>
    <cfRule type="cellIs" dxfId="42" priority="9" operator="equal">
      <formula>"En Elaboración"</formula>
    </cfRule>
    <cfRule type="cellIs" dxfId="41" priority="10" operator="equal">
      <formula>"No Iniciado"</formula>
    </cfRule>
  </conditionalFormatting>
  <conditionalFormatting sqref="K156:K1048576">
    <cfRule type="cellIs" dxfId="40" priority="15" operator="equal">
      <formula>"Revisión OGTIC"</formula>
    </cfRule>
    <cfRule type="cellIs" dxfId="39" priority="16" operator="equal">
      <formula>"Con Recursos Internos"</formula>
    </cfRule>
    <cfRule type="cellIs" dxfId="38" priority="17" operator="equal">
      <formula>"Desestimado"</formula>
    </cfRule>
    <cfRule type="cellIs" dxfId="37" priority="18" operator="equal">
      <formula>"Concluido"</formula>
    </cfRule>
    <cfRule type="cellIs" dxfId="36" priority="19" operator="equal">
      <formula>"En Ejecución"</formula>
    </cfRule>
    <cfRule type="cellIs" dxfId="35" priority="20" operator="equal">
      <formula>"En Proceso Contratación"</formula>
    </cfRule>
    <cfRule type="cellIs" dxfId="34" priority="21" operator="equal">
      <formula>"En Revisión"</formula>
    </cfRule>
    <cfRule type="cellIs" dxfId="33" priority="22" operator="equal">
      <formula>"En Elaboración"</formula>
    </cfRule>
    <cfRule type="cellIs" dxfId="32" priority="23" operator="equal">
      <formula>"No Iniciado"</formula>
    </cfRule>
  </conditionalFormatting>
  <conditionalFormatting sqref="N2:N156 K130:K131">
    <cfRule type="cellIs" dxfId="31" priority="11" operator="equal">
      <formula>"Retrasado"</formula>
    </cfRule>
    <cfRule type="cellIs" dxfId="30" priority="12" operator="equal">
      <formula>"Adelantado"</formula>
    </cfRule>
    <cfRule type="cellIs" dxfId="29" priority="13" operator="equal">
      <formula>"Tarea Retrasada"</formula>
    </cfRule>
    <cfRule type="cellIs" dxfId="28" priority="14" operator="equal">
      <formula>"On Time"</formula>
    </cfRule>
  </conditionalFormatting>
  <dataValidations count="1">
    <dataValidation allowBlank="1" showErrorMessage="1" sqref="H108 H126 H129" xr:uid="{00000000-0002-0000-1400-000000000000}"/>
  </dataValidation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47"/>
  <sheetViews>
    <sheetView showGridLines="0" zoomScale="86" zoomScaleNormal="86" workbookViewId="0">
      <selection activeCell="L47" sqref="L47"/>
    </sheetView>
  </sheetViews>
  <sheetFormatPr baseColWidth="10" defaultColWidth="11.5" defaultRowHeight="19"/>
  <cols>
    <col min="1" max="1" width="20.5" style="322" customWidth="1"/>
    <col min="2" max="2" width="20.6640625" customWidth="1"/>
    <col min="3" max="3" width="19.33203125" customWidth="1"/>
    <col min="4" max="4" width="9.1640625" bestFit="1" customWidth="1"/>
    <col min="5" max="5" width="10.6640625" customWidth="1"/>
    <col min="6" max="6" width="14.5" customWidth="1"/>
    <col min="7" max="7" width="14.5" style="322" customWidth="1"/>
    <col min="8" max="8" width="108.6640625" style="1795" customWidth="1"/>
    <col min="9" max="9" width="16.83203125" bestFit="1" customWidth="1"/>
    <col min="10" max="10" width="16.5" customWidth="1"/>
    <col min="11" max="11" width="15.5" customWidth="1"/>
    <col min="12" max="12" width="25.6640625" customWidth="1"/>
    <col min="13" max="13" width="14.5" style="3189" customWidth="1"/>
    <col min="14" max="14" width="14.5" customWidth="1"/>
    <col min="15" max="15" width="18.5" customWidth="1"/>
    <col min="16" max="16" width="31.33203125" bestFit="1" customWidth="1"/>
    <col min="17" max="17" width="31.6640625" customWidth="1"/>
    <col min="18" max="18" width="12.5" customWidth="1"/>
    <col min="19" max="19" width="14.1640625" customWidth="1"/>
  </cols>
  <sheetData>
    <row r="1" spans="1:20" s="3189" customFormat="1" ht="70.25" customHeight="1" thickBot="1">
      <c r="A1" s="3187" t="s">
        <v>2246</v>
      </c>
      <c r="B1" s="3187" t="s">
        <v>1983</v>
      </c>
      <c r="C1" s="3187" t="s">
        <v>1984</v>
      </c>
      <c r="D1" s="3187" t="s">
        <v>184</v>
      </c>
      <c r="E1" s="3187" t="s">
        <v>484</v>
      </c>
      <c r="F1" s="3187" t="s">
        <v>611</v>
      </c>
      <c r="G1" s="3187" t="s">
        <v>611</v>
      </c>
      <c r="H1" s="3187" t="s">
        <v>219</v>
      </c>
      <c r="I1" s="3187" t="s">
        <v>610</v>
      </c>
      <c r="J1" s="3187" t="s">
        <v>1986</v>
      </c>
      <c r="K1" s="3187" t="s">
        <v>1987</v>
      </c>
      <c r="L1" s="3187" t="s">
        <v>2247</v>
      </c>
      <c r="M1" s="3187" t="s">
        <v>611</v>
      </c>
      <c r="N1" s="3187" t="s">
        <v>611</v>
      </c>
      <c r="O1" s="3187" t="s">
        <v>1988</v>
      </c>
      <c r="P1" s="3187" t="s">
        <v>1989</v>
      </c>
      <c r="Q1" s="3187" t="s">
        <v>1990</v>
      </c>
      <c r="R1" s="3187" t="s">
        <v>2237</v>
      </c>
      <c r="S1" s="3188" t="s">
        <v>2248</v>
      </c>
    </row>
    <row r="2" spans="1:20" ht="21" thickBot="1">
      <c r="A2" s="3504" t="s">
        <v>853</v>
      </c>
      <c r="B2" s="3190">
        <v>3</v>
      </c>
      <c r="C2" s="3190" t="s">
        <v>566</v>
      </c>
      <c r="D2" s="3210" t="s">
        <v>2168</v>
      </c>
      <c r="E2" s="3210" t="s">
        <v>1016</v>
      </c>
      <c r="F2" s="4143" t="s">
        <v>2238</v>
      </c>
      <c r="G2" s="3213" t="s">
        <v>2238</v>
      </c>
      <c r="H2" s="3191" t="s">
        <v>1017</v>
      </c>
      <c r="I2" s="3211">
        <v>150000</v>
      </c>
      <c r="J2" s="3192">
        <v>45756</v>
      </c>
      <c r="K2" s="3192">
        <v>46037</v>
      </c>
      <c r="L2" s="4142">
        <f>+SUM(I2:I4)</f>
        <v>773000</v>
      </c>
      <c r="M2" s="3212" t="s">
        <v>2206</v>
      </c>
      <c r="N2" s="3213" t="s">
        <v>2238</v>
      </c>
      <c r="O2" s="3500" t="e">
        <f>+VLOOKUP(N2,#REF!,7,)</f>
        <v>#REF!</v>
      </c>
      <c r="P2" s="3499" t="e">
        <f>IF(VLOOKUP(N2,#REF!, 8, FALSE) = 0, "", VLOOKUP(N2,#REF!, 8, FALSE))</f>
        <v>#REF!</v>
      </c>
      <c r="Q2" s="3499" t="e">
        <f>IF(VLOOKUP(N2,#REF!, 9, FALSE) = 0, "", VLOOKUP(N2,#REF!, 9, FALSE))</f>
        <v>#REF!</v>
      </c>
      <c r="R2" s="3193">
        <v>2024</v>
      </c>
      <c r="S2" s="3194">
        <v>2025</v>
      </c>
      <c r="T2" s="3214"/>
    </row>
    <row r="3" spans="1:20" ht="35" thickBot="1">
      <c r="A3" s="3505" t="s">
        <v>853</v>
      </c>
      <c r="B3" s="3037">
        <v>3</v>
      </c>
      <c r="C3" s="3037" t="s">
        <v>572</v>
      </c>
      <c r="D3" s="3215" t="s">
        <v>2174</v>
      </c>
      <c r="E3" s="3215" t="s">
        <v>1051</v>
      </c>
      <c r="F3" s="4144"/>
      <c r="G3" s="3217" t="s">
        <v>2238</v>
      </c>
      <c r="H3" s="3197" t="s">
        <v>1052</v>
      </c>
      <c r="I3" s="3201">
        <v>623000</v>
      </c>
      <c r="J3" s="3198">
        <v>45756</v>
      </c>
      <c r="K3" s="3192">
        <v>46037</v>
      </c>
      <c r="L3" s="4142"/>
      <c r="M3" s="3216" t="s">
        <v>2175</v>
      </c>
      <c r="N3" s="3217" t="s">
        <v>2238</v>
      </c>
      <c r="O3" s="3500" t="e">
        <f>+VLOOKUP(N3,#REF!,7,)</f>
        <v>#REF!</v>
      </c>
      <c r="P3" s="2542" t="e">
        <f>IF(VLOOKUP(N3,#REF!, 8, FALSE) = 0, "", VLOOKUP(N3,#REF!, 8, FALSE))</f>
        <v>#REF!</v>
      </c>
      <c r="Q3" s="2542" t="e">
        <f>IF(VLOOKUP(N3,#REF!, 9, FALSE) = 0, "", VLOOKUP(N3,#REF!, 9, FALSE))</f>
        <v>#REF!</v>
      </c>
      <c r="R3" s="3199">
        <v>2024</v>
      </c>
      <c r="S3" s="3200">
        <v>2025</v>
      </c>
      <c r="T3" s="3214"/>
    </row>
    <row r="4" spans="1:20" ht="20" thickBot="1">
      <c r="A4" s="3506"/>
      <c r="B4" s="3037">
        <v>3</v>
      </c>
      <c r="C4" s="3037" t="s">
        <v>572</v>
      </c>
      <c r="D4" s="3204"/>
      <c r="E4" s="3204"/>
      <c r="F4" s="4145"/>
      <c r="G4" s="3220"/>
      <c r="H4" s="3207"/>
      <c r="I4" s="3205"/>
      <c r="J4" s="3206"/>
      <c r="K4" s="3192"/>
      <c r="L4" s="4149"/>
      <c r="M4" s="3219"/>
      <c r="N4" s="3220"/>
      <c r="O4" s="3500"/>
      <c r="P4" s="3498"/>
      <c r="Q4" s="3498"/>
      <c r="R4" s="3208">
        <v>2025</v>
      </c>
      <c r="S4" s="3209">
        <v>2025</v>
      </c>
      <c r="T4" s="3530"/>
    </row>
    <row r="5" spans="1:20" ht="65.5" customHeight="1" thickBot="1">
      <c r="A5" s="3502" t="s">
        <v>853</v>
      </c>
      <c r="B5" s="3190">
        <v>3</v>
      </c>
      <c r="C5" s="3190" t="s">
        <v>555</v>
      </c>
      <c r="D5" s="3190" t="s">
        <v>2157</v>
      </c>
      <c r="E5" s="3210" t="s">
        <v>1559</v>
      </c>
      <c r="F5" s="4146" t="s">
        <v>2239</v>
      </c>
      <c r="G5" s="3223" t="s">
        <v>2239</v>
      </c>
      <c r="H5" s="3191" t="s">
        <v>1560</v>
      </c>
      <c r="I5" s="3221">
        <v>150000</v>
      </c>
      <c r="J5" s="3192">
        <v>45756</v>
      </c>
      <c r="K5" s="3192">
        <v>46037</v>
      </c>
      <c r="L5" s="4141">
        <f>+SUM(I5:I9)</f>
        <v>3965000</v>
      </c>
      <c r="M5" s="3222" t="s">
        <v>2196</v>
      </c>
      <c r="N5" s="3223" t="s">
        <v>2239</v>
      </c>
      <c r="O5" s="3500" t="e">
        <f>+VLOOKUP(N5,#REF!,7,)</f>
        <v>#REF!</v>
      </c>
      <c r="P5" s="3499" t="e">
        <f>IF(VLOOKUP(N5,#REF!, 8, FALSE) = 0, "", VLOOKUP(N5,#REF!, 8, FALSE))</f>
        <v>#REF!</v>
      </c>
      <c r="Q5" s="3499" t="e">
        <f>IF(VLOOKUP(N5,#REF!, 9, FALSE) = 0, "", VLOOKUP(N5,#REF!, 9, FALSE))</f>
        <v>#REF!</v>
      </c>
      <c r="R5" s="3193">
        <v>2025</v>
      </c>
      <c r="S5" s="3194">
        <v>2025</v>
      </c>
      <c r="T5" s="3214"/>
    </row>
    <row r="6" spans="1:20" ht="35" thickBot="1">
      <c r="A6" s="3186" t="s">
        <v>853</v>
      </c>
      <c r="B6" s="3037">
        <v>3</v>
      </c>
      <c r="C6" s="3037" t="s">
        <v>555</v>
      </c>
      <c r="D6" s="3037" t="s">
        <v>2157</v>
      </c>
      <c r="E6" s="3215" t="s">
        <v>1578</v>
      </c>
      <c r="F6" s="4147"/>
      <c r="G6" s="3226" t="s">
        <v>2239</v>
      </c>
      <c r="H6" s="3197" t="s">
        <v>979</v>
      </c>
      <c r="I6" s="3224">
        <v>150000</v>
      </c>
      <c r="J6" s="3192">
        <v>45756</v>
      </c>
      <c r="K6" s="3192">
        <v>46037</v>
      </c>
      <c r="L6" s="4142"/>
      <c r="M6" s="3225" t="s">
        <v>2201</v>
      </c>
      <c r="N6" s="3226" t="s">
        <v>2239</v>
      </c>
      <c r="O6" s="3500" t="e">
        <f>+VLOOKUP(N6,#REF!,7,)</f>
        <v>#REF!</v>
      </c>
      <c r="P6" s="2542" t="e">
        <f>IF(VLOOKUP(N6,#REF!, 8, FALSE) = 0, "", VLOOKUP(N6,#REF!, 8, FALSE))</f>
        <v>#REF!</v>
      </c>
      <c r="Q6" s="2542" t="e">
        <f>IF(VLOOKUP(N6,#REF!, 9, FALSE) = 0, "", VLOOKUP(N6,#REF!, 9, FALSE))</f>
        <v>#REF!</v>
      </c>
      <c r="R6" s="3199">
        <v>2025</v>
      </c>
      <c r="S6" s="3200">
        <v>2025</v>
      </c>
      <c r="T6" s="3214"/>
    </row>
    <row r="7" spans="1:20" ht="21" thickBot="1">
      <c r="A7" s="3186" t="s">
        <v>853</v>
      </c>
      <c r="B7" s="3037">
        <v>3</v>
      </c>
      <c r="C7" s="3195" t="s">
        <v>566</v>
      </c>
      <c r="D7" s="3195" t="s">
        <v>2168</v>
      </c>
      <c r="E7" s="3215" t="s">
        <v>1014</v>
      </c>
      <c r="F7" s="4147"/>
      <c r="G7" s="3226" t="s">
        <v>2239</v>
      </c>
      <c r="H7" s="3197" t="s">
        <v>1015</v>
      </c>
      <c r="I7" s="3201">
        <v>135000</v>
      </c>
      <c r="J7" s="3198">
        <v>45756</v>
      </c>
      <c r="K7" s="3198">
        <v>46037</v>
      </c>
      <c r="L7" s="4142"/>
      <c r="M7" s="3225" t="s">
        <v>2205</v>
      </c>
      <c r="N7" s="3226" t="s">
        <v>2239</v>
      </c>
      <c r="O7" s="3500" t="e">
        <f>+VLOOKUP(N7,#REF!,7,)</f>
        <v>#REF!</v>
      </c>
      <c r="P7" s="2542" t="e">
        <f>IF(VLOOKUP(N7,#REF!, 8, FALSE) = 0, "", VLOOKUP(N7,#REF!, 8, FALSE))</f>
        <v>#REF!</v>
      </c>
      <c r="Q7" s="2542" t="e">
        <f>IF(VLOOKUP(N7,#REF!, 9, FALSE) = 0, "", VLOOKUP(N7,#REF!, 9, FALSE))</f>
        <v>#REF!</v>
      </c>
      <c r="R7" s="3199">
        <v>2025</v>
      </c>
      <c r="S7" s="3200">
        <v>2025</v>
      </c>
      <c r="T7" s="3214"/>
    </row>
    <row r="8" spans="1:20" ht="21" thickBot="1">
      <c r="A8" s="3186" t="s">
        <v>853</v>
      </c>
      <c r="B8" s="3037">
        <v>3</v>
      </c>
      <c r="C8" s="3195" t="s">
        <v>570</v>
      </c>
      <c r="D8" s="3195" t="s">
        <v>2165</v>
      </c>
      <c r="E8" s="3215" t="s">
        <v>1021</v>
      </c>
      <c r="F8" s="4147"/>
      <c r="G8" s="3226" t="s">
        <v>2239</v>
      </c>
      <c r="H8" s="3197" t="s">
        <v>1022</v>
      </c>
      <c r="I8" s="3201">
        <v>3260000</v>
      </c>
      <c r="J8" s="3198">
        <v>45756</v>
      </c>
      <c r="K8" s="3198">
        <v>46037</v>
      </c>
      <c r="L8" s="4142"/>
      <c r="M8" s="3225" t="s">
        <v>2207</v>
      </c>
      <c r="N8" s="3226" t="s">
        <v>2239</v>
      </c>
      <c r="O8" s="3500" t="e">
        <f>+VLOOKUP(N8,#REF!,7,)</f>
        <v>#REF!</v>
      </c>
      <c r="P8" s="2542" t="e">
        <f>IF(VLOOKUP(N8,#REF!, 8, FALSE) = 0, "", VLOOKUP(N8,#REF!, 8, FALSE))</f>
        <v>#REF!</v>
      </c>
      <c r="Q8" s="2542" t="e">
        <f>IF(VLOOKUP(N8,#REF!, 9, FALSE) = 0, "", VLOOKUP(N8,#REF!, 9, FALSE))</f>
        <v>#REF!</v>
      </c>
      <c r="R8" s="3199">
        <v>2025</v>
      </c>
      <c r="S8" s="3200">
        <v>2025</v>
      </c>
      <c r="T8" s="3214"/>
    </row>
    <row r="9" spans="1:20" ht="21" thickBot="1">
      <c r="A9" s="3503" t="s">
        <v>853</v>
      </c>
      <c r="B9" s="3203">
        <v>3</v>
      </c>
      <c r="C9" s="3218" t="s">
        <v>566</v>
      </c>
      <c r="D9" s="3218" t="s">
        <v>2168</v>
      </c>
      <c r="E9" s="3204" t="s">
        <v>1002</v>
      </c>
      <c r="F9" s="4148"/>
      <c r="G9" s="3229" t="s">
        <v>2239</v>
      </c>
      <c r="H9" s="3207" t="s">
        <v>1003</v>
      </c>
      <c r="I9" s="3227">
        <v>270000</v>
      </c>
      <c r="J9" s="3206">
        <v>45756</v>
      </c>
      <c r="K9" s="3206">
        <v>46037</v>
      </c>
      <c r="L9" s="4149"/>
      <c r="M9" s="3228" t="s">
        <v>2214</v>
      </c>
      <c r="N9" s="3229" t="s">
        <v>2239</v>
      </c>
      <c r="O9" s="3500" t="e">
        <f>+VLOOKUP(N9,#REF!,7,)</f>
        <v>#REF!</v>
      </c>
      <c r="P9" s="3498" t="e">
        <f>IF(VLOOKUP(N9,#REF!, 8, FALSE) = 0, "", VLOOKUP(N9,#REF!, 8, FALSE))</f>
        <v>#REF!</v>
      </c>
      <c r="Q9" s="3498" t="e">
        <f>IF(VLOOKUP(N9,#REF!, 9, FALSE) = 0, "", VLOOKUP(N9,#REF!, 9, FALSE))</f>
        <v>#REF!</v>
      </c>
      <c r="R9" s="3208">
        <v>2025</v>
      </c>
      <c r="S9" s="3209">
        <v>2026</v>
      </c>
      <c r="T9" s="3214"/>
    </row>
    <row r="10" spans="1:20" ht="21" thickBot="1">
      <c r="A10" s="3507" t="s">
        <v>853</v>
      </c>
      <c r="B10" s="3037">
        <v>3</v>
      </c>
      <c r="C10" s="3195" t="s">
        <v>572</v>
      </c>
      <c r="D10" s="3195" t="s">
        <v>2174</v>
      </c>
      <c r="E10" s="3215" t="s">
        <v>1058</v>
      </c>
      <c r="F10" s="4153" t="s">
        <v>2240</v>
      </c>
      <c r="G10" s="3232" t="s">
        <v>2240</v>
      </c>
      <c r="H10" s="3197" t="s">
        <v>1059</v>
      </c>
      <c r="I10" s="3201">
        <v>80000</v>
      </c>
      <c r="J10" s="3192">
        <v>45756</v>
      </c>
      <c r="K10" s="3198">
        <v>46037</v>
      </c>
      <c r="L10" s="4142">
        <f>+SUM(I10:I14)</f>
        <v>440000</v>
      </c>
      <c r="M10" s="3231" t="s">
        <v>2208</v>
      </c>
      <c r="N10" s="3232" t="s">
        <v>2240</v>
      </c>
      <c r="O10" s="3500" t="e">
        <f>+VLOOKUP(N10,#REF!,7,)</f>
        <v>#REF!</v>
      </c>
      <c r="P10" s="2542" t="e">
        <f>IF(VLOOKUP(N10,#REF!, 8, FALSE) = 0, "", VLOOKUP(N10,#REF!, 8, FALSE))</f>
        <v>#REF!</v>
      </c>
      <c r="Q10" s="2542" t="e">
        <f>IF(VLOOKUP(N10,#REF!, 9, FALSE) = 0, "", VLOOKUP(N10,#REF!, 9, FALSE))</f>
        <v>#REF!</v>
      </c>
      <c r="R10" s="3199">
        <v>2025</v>
      </c>
      <c r="S10" s="3200">
        <v>2025</v>
      </c>
      <c r="T10" s="3214"/>
    </row>
    <row r="11" spans="1:20" ht="35" thickBot="1">
      <c r="A11" s="3508" t="s">
        <v>853</v>
      </c>
      <c r="B11" s="3037">
        <v>3</v>
      </c>
      <c r="C11" s="3037" t="s">
        <v>572</v>
      </c>
      <c r="D11" s="3037" t="s">
        <v>2174</v>
      </c>
      <c r="E11" s="3215" t="s">
        <v>1061</v>
      </c>
      <c r="F11" s="4153"/>
      <c r="G11" s="3232" t="s">
        <v>2240</v>
      </c>
      <c r="H11" s="3197" t="s">
        <v>1062</v>
      </c>
      <c r="I11" s="3201">
        <v>200000</v>
      </c>
      <c r="J11" s="3198">
        <v>45756</v>
      </c>
      <c r="K11" s="3198">
        <v>46037</v>
      </c>
      <c r="L11" s="4142"/>
      <c r="M11" s="3231" t="s">
        <v>2209</v>
      </c>
      <c r="N11" s="3232" t="s">
        <v>2240</v>
      </c>
      <c r="O11" s="3500" t="e">
        <f>+VLOOKUP(N11,#REF!,7,)</f>
        <v>#REF!</v>
      </c>
      <c r="P11" s="2542" t="e">
        <f>IF(VLOOKUP(N11,#REF!, 8, FALSE) = 0, "", VLOOKUP(N11,#REF!, 8, FALSE))</f>
        <v>#REF!</v>
      </c>
      <c r="Q11" s="2542" t="e">
        <f>IF(VLOOKUP(N11,#REF!, 9, FALSE) = 0, "", VLOOKUP(N11,#REF!, 9, FALSE))</f>
        <v>#REF!</v>
      </c>
      <c r="R11" s="3199">
        <v>2025</v>
      </c>
      <c r="S11" s="3200">
        <v>2025</v>
      </c>
      <c r="T11" s="3214"/>
    </row>
    <row r="12" spans="1:20" ht="21" thickBot="1">
      <c r="A12" s="3508" t="s">
        <v>853</v>
      </c>
      <c r="B12" s="3037">
        <v>3</v>
      </c>
      <c r="C12" s="3037" t="s">
        <v>572</v>
      </c>
      <c r="D12" s="3037" t="s">
        <v>2174</v>
      </c>
      <c r="E12" s="3215" t="s">
        <v>1063</v>
      </c>
      <c r="F12" s="4153"/>
      <c r="G12" s="3232" t="s">
        <v>2240</v>
      </c>
      <c r="H12" s="3197" t="s">
        <v>1064</v>
      </c>
      <c r="I12" s="3201">
        <v>100000</v>
      </c>
      <c r="J12" s="3198">
        <v>45756</v>
      </c>
      <c r="K12" s="3198">
        <v>46037</v>
      </c>
      <c r="L12" s="4142"/>
      <c r="M12" s="3231" t="s">
        <v>2210</v>
      </c>
      <c r="N12" s="3232" t="s">
        <v>2240</v>
      </c>
      <c r="O12" s="3500" t="e">
        <f>+VLOOKUP(N12,#REF!,7,)</f>
        <v>#REF!</v>
      </c>
      <c r="P12" s="2542" t="e">
        <f>IF(VLOOKUP(N12,#REF!, 8, FALSE) = 0, "", VLOOKUP(N12,#REF!, 8, FALSE))</f>
        <v>#REF!</v>
      </c>
      <c r="Q12" s="2542" t="e">
        <f>IF(VLOOKUP(N12,#REF!, 9, FALSE) = 0, "", VLOOKUP(N12,#REF!, 9, FALSE))</f>
        <v>#REF!</v>
      </c>
      <c r="R12" s="3199">
        <v>2025</v>
      </c>
      <c r="S12" s="3200">
        <v>2025</v>
      </c>
      <c r="T12" s="3214"/>
    </row>
    <row r="13" spans="1:20" ht="21" thickBot="1">
      <c r="A13" s="3508" t="s">
        <v>853</v>
      </c>
      <c r="B13" s="3037">
        <v>3</v>
      </c>
      <c r="C13" s="3037" t="s">
        <v>555</v>
      </c>
      <c r="D13" s="3037" t="s">
        <v>2157</v>
      </c>
      <c r="E13" s="3215" t="s">
        <v>1580</v>
      </c>
      <c r="F13" s="4153"/>
      <c r="G13" s="3232" t="s">
        <v>2240</v>
      </c>
      <c r="H13" s="3197" t="s">
        <v>1564</v>
      </c>
      <c r="I13" s="3201">
        <v>30000</v>
      </c>
      <c r="J13" s="3198">
        <v>45756</v>
      </c>
      <c r="K13" s="3198">
        <v>46037</v>
      </c>
      <c r="L13" s="4142"/>
      <c r="M13" s="3231" t="s">
        <v>2211</v>
      </c>
      <c r="N13" s="3232" t="s">
        <v>2240</v>
      </c>
      <c r="O13" s="3500" t="e">
        <f>+VLOOKUP(N13,#REF!,7,)</f>
        <v>#REF!</v>
      </c>
      <c r="P13" s="2542" t="e">
        <f>IF(VLOOKUP(N13,#REF!, 8, FALSE) = 0, "", VLOOKUP(N13,#REF!, 8, FALSE))</f>
        <v>#REF!</v>
      </c>
      <c r="Q13" s="2542" t="e">
        <f>IF(VLOOKUP(N13,#REF!, 9, FALSE) = 0, "", VLOOKUP(N13,#REF!, 9, FALSE))</f>
        <v>#REF!</v>
      </c>
      <c r="R13" s="3199">
        <v>2025</v>
      </c>
      <c r="S13" s="3200">
        <v>2025</v>
      </c>
      <c r="T13" s="3214"/>
    </row>
    <row r="14" spans="1:20" ht="21" thickBot="1">
      <c r="A14" s="3509" t="s">
        <v>853</v>
      </c>
      <c r="B14" s="3203">
        <v>3</v>
      </c>
      <c r="C14" s="3203" t="s">
        <v>555</v>
      </c>
      <c r="D14" s="3203" t="s">
        <v>2157</v>
      </c>
      <c r="E14" s="3204" t="s">
        <v>1580</v>
      </c>
      <c r="F14" s="4154"/>
      <c r="G14" s="3234" t="s">
        <v>2240</v>
      </c>
      <c r="H14" s="3207" t="s">
        <v>971</v>
      </c>
      <c r="I14" s="3205">
        <v>30000</v>
      </c>
      <c r="J14" s="3206">
        <v>45756</v>
      </c>
      <c r="K14" s="3206">
        <v>46037</v>
      </c>
      <c r="L14" s="4149"/>
      <c r="M14" s="3233" t="s">
        <v>2213</v>
      </c>
      <c r="N14" s="3234" t="s">
        <v>2240</v>
      </c>
      <c r="O14" s="3500" t="e">
        <f>+VLOOKUP(N14,#REF!,7,)</f>
        <v>#REF!</v>
      </c>
      <c r="P14" s="3498" t="e">
        <f>IF(VLOOKUP(N14,#REF!, 8, FALSE) = 0, "", VLOOKUP(N14,#REF!, 8, FALSE))</f>
        <v>#REF!</v>
      </c>
      <c r="Q14" s="3498" t="e">
        <f>IF(VLOOKUP(N14,#REF!, 9, FALSE) = 0, "", VLOOKUP(N14,#REF!, 9, FALSE))</f>
        <v>#REF!</v>
      </c>
      <c r="R14" s="3208">
        <v>2025</v>
      </c>
      <c r="S14" s="3209">
        <v>2025</v>
      </c>
      <c r="T14" s="3214"/>
    </row>
    <row r="15" spans="1:20" ht="35" thickBot="1">
      <c r="A15" s="3504" t="s">
        <v>853</v>
      </c>
      <c r="B15" s="3190">
        <v>3</v>
      </c>
      <c r="C15" s="3190" t="s">
        <v>555</v>
      </c>
      <c r="D15" s="3190" t="s">
        <v>2157</v>
      </c>
      <c r="E15" s="3210" t="s">
        <v>1568</v>
      </c>
      <c r="F15" s="4155" t="s">
        <v>2241</v>
      </c>
      <c r="G15" s="3236" t="s">
        <v>2241</v>
      </c>
      <c r="H15" s="3191" t="s">
        <v>1569</v>
      </c>
      <c r="I15" s="3211">
        <v>160000</v>
      </c>
      <c r="J15" s="3192">
        <v>45730</v>
      </c>
      <c r="K15" s="3192">
        <v>46011</v>
      </c>
      <c r="L15" s="4150">
        <f>+SUM(I15:I17)</f>
        <v>520000</v>
      </c>
      <c r="M15" s="3235" t="s">
        <v>2197</v>
      </c>
      <c r="N15" s="3236" t="s">
        <v>2241</v>
      </c>
      <c r="O15" s="3500" t="e">
        <f>+VLOOKUP(N15,#REF!,7,)</f>
        <v>#REF!</v>
      </c>
      <c r="P15" s="3499" t="e">
        <f>IF(VLOOKUP(N15,#REF!, 8, FALSE) = 0, "", VLOOKUP(N15,#REF!, 8, FALSE))</f>
        <v>#REF!</v>
      </c>
      <c r="Q15" s="3499" t="e">
        <f>IF(VLOOKUP(N15,#REF!, 9, FALSE) = 0, "", VLOOKUP(N15,#REF!, 9, FALSE))</f>
        <v>#REF!</v>
      </c>
      <c r="R15" s="3193">
        <v>2025</v>
      </c>
      <c r="S15" s="3194">
        <v>2025</v>
      </c>
      <c r="T15" s="3214"/>
    </row>
    <row r="16" spans="1:20" ht="35" thickBot="1">
      <c r="A16" s="3505" t="s">
        <v>853</v>
      </c>
      <c r="B16" s="3037">
        <v>3</v>
      </c>
      <c r="C16" s="3037" t="s">
        <v>555</v>
      </c>
      <c r="D16" s="3037" t="s">
        <v>2157</v>
      </c>
      <c r="E16" s="3215" t="s">
        <v>1570</v>
      </c>
      <c r="F16" s="4156"/>
      <c r="G16" s="3238" t="s">
        <v>2241</v>
      </c>
      <c r="H16" s="3197" t="s">
        <v>1571</v>
      </c>
      <c r="I16" s="3201">
        <v>216000</v>
      </c>
      <c r="J16" s="3198">
        <v>45730</v>
      </c>
      <c r="K16" s="3192">
        <v>46011</v>
      </c>
      <c r="L16" s="4151"/>
      <c r="M16" s="3237" t="s">
        <v>2199</v>
      </c>
      <c r="N16" s="3238" t="s">
        <v>2241</v>
      </c>
      <c r="O16" s="3500" t="e">
        <f>+VLOOKUP(N16,#REF!,7,)</f>
        <v>#REF!</v>
      </c>
      <c r="P16" s="2542" t="e">
        <f>IF(VLOOKUP(N16,#REF!, 8, FALSE) = 0, "", VLOOKUP(N16,#REF!, 8, FALSE))</f>
        <v>#REF!</v>
      </c>
      <c r="Q16" s="2542" t="e">
        <f>IF(VLOOKUP(N16,#REF!, 9, FALSE) = 0, "", VLOOKUP(N16,#REF!, 9, FALSE))</f>
        <v>#REF!</v>
      </c>
      <c r="R16" s="3199">
        <v>2025</v>
      </c>
      <c r="S16" s="3200">
        <v>2025</v>
      </c>
      <c r="T16" s="3214"/>
    </row>
    <row r="17" spans="1:20" ht="44" customHeight="1" thickBot="1">
      <c r="A17" s="3506" t="s">
        <v>853</v>
      </c>
      <c r="B17" s="3203">
        <v>3</v>
      </c>
      <c r="C17" s="3203" t="s">
        <v>555</v>
      </c>
      <c r="D17" s="3203" t="s">
        <v>2157</v>
      </c>
      <c r="E17" s="3204" t="s">
        <v>1572</v>
      </c>
      <c r="F17" s="4157"/>
      <c r="G17" s="3240" t="s">
        <v>2241</v>
      </c>
      <c r="H17" s="3207" t="s">
        <v>1573</v>
      </c>
      <c r="I17" s="3227">
        <v>144000</v>
      </c>
      <c r="J17" s="3206">
        <v>45730</v>
      </c>
      <c r="K17" s="3192">
        <v>46011</v>
      </c>
      <c r="L17" s="4152"/>
      <c r="M17" s="3239" t="s">
        <v>2200</v>
      </c>
      <c r="N17" s="3240" t="s">
        <v>2241</v>
      </c>
      <c r="O17" s="3500" t="e">
        <f>+VLOOKUP(N17,#REF!,7,)</f>
        <v>#REF!</v>
      </c>
      <c r="P17" s="3498" t="e">
        <f>IF(VLOOKUP(N17,#REF!, 8, FALSE) = 0, "", VLOOKUP(N17,#REF!, 8, FALSE))</f>
        <v>#REF!</v>
      </c>
      <c r="Q17" s="3498" t="e">
        <f>IF(VLOOKUP(N17,#REF!, 9, FALSE) = 0, "", VLOOKUP(N17,#REF!, 9, FALSE))</f>
        <v>#REF!</v>
      </c>
      <c r="R17" s="3208">
        <v>2025</v>
      </c>
      <c r="S17" s="3209">
        <v>2025</v>
      </c>
      <c r="T17" s="3214"/>
    </row>
    <row r="18" spans="1:20" ht="52" thickBot="1">
      <c r="A18" s="3242" t="s">
        <v>763</v>
      </c>
      <c r="B18" s="3037">
        <v>3</v>
      </c>
      <c r="C18" s="3037" t="s">
        <v>555</v>
      </c>
      <c r="D18" s="3037" t="s">
        <v>2157</v>
      </c>
      <c r="E18" s="3215" t="s">
        <v>1576</v>
      </c>
      <c r="F18" s="3243" t="s">
        <v>2158</v>
      </c>
      <c r="G18" s="3202" t="s">
        <v>2158</v>
      </c>
      <c r="H18" s="3197" t="s">
        <v>2159</v>
      </c>
      <c r="I18" s="3224">
        <v>45000</v>
      </c>
      <c r="J18" s="3198">
        <v>45433</v>
      </c>
      <c r="K18" s="3198">
        <v>45520</v>
      </c>
      <c r="L18" s="3241">
        <f t="shared" ref="L18:L35" si="0">+I18</f>
        <v>45000</v>
      </c>
      <c r="M18" s="3244" t="s">
        <v>2158</v>
      </c>
      <c r="N18" s="3202" t="s">
        <v>2158</v>
      </c>
      <c r="O18" s="3500" t="e">
        <f>+VLOOKUP(N18,#REF!,7,)</f>
        <v>#REF!</v>
      </c>
      <c r="P18" s="2542" t="e">
        <f>IF(VLOOKUP(N18,#REF!, 8, FALSE) = 0, "", VLOOKUP(N18,#REF!, 8, FALSE))</f>
        <v>#REF!</v>
      </c>
      <c r="Q18" s="2542" t="e">
        <f>IF(VLOOKUP(N18,#REF!, 9, FALSE) = 0, "", VLOOKUP(N18,#REF!, 9, FALSE))</f>
        <v>#REF!</v>
      </c>
      <c r="R18" s="3199">
        <v>2024</v>
      </c>
      <c r="S18" s="3200">
        <v>2024</v>
      </c>
      <c r="T18" s="3214"/>
    </row>
    <row r="19" spans="1:20" ht="35" thickBot="1">
      <c r="A19" s="3245" t="s">
        <v>763</v>
      </c>
      <c r="B19" s="3037">
        <v>3</v>
      </c>
      <c r="C19" s="3037" t="s">
        <v>555</v>
      </c>
      <c r="D19" s="3037" t="s">
        <v>2157</v>
      </c>
      <c r="E19" s="3215" t="s">
        <v>1577</v>
      </c>
      <c r="F19" s="3243" t="s">
        <v>2160</v>
      </c>
      <c r="G19" s="3202" t="s">
        <v>2160</v>
      </c>
      <c r="H19" s="3197" t="s">
        <v>2161</v>
      </c>
      <c r="I19" s="3224">
        <v>24000</v>
      </c>
      <c r="J19" s="3198">
        <v>45433</v>
      </c>
      <c r="K19" s="3198">
        <v>45520</v>
      </c>
      <c r="L19" s="3241">
        <f t="shared" si="0"/>
        <v>24000</v>
      </c>
      <c r="M19" s="3244" t="s">
        <v>2160</v>
      </c>
      <c r="N19" s="3202" t="s">
        <v>2160</v>
      </c>
      <c r="O19" s="3500" t="e">
        <f>+VLOOKUP(N19,#REF!,7,)</f>
        <v>#REF!</v>
      </c>
      <c r="P19" s="2542" t="e">
        <f>IF(VLOOKUP(N19,#REF!, 8, FALSE) = 0, "", VLOOKUP(N19,#REF!, 8, FALSE))</f>
        <v>#REF!</v>
      </c>
      <c r="Q19" s="2542" t="e">
        <f>IF(VLOOKUP(N19,#REF!, 9, FALSE) = 0, "", VLOOKUP(N19,#REF!, 9, FALSE))</f>
        <v>#REF!</v>
      </c>
      <c r="R19" s="3199">
        <v>2024</v>
      </c>
      <c r="S19" s="3200">
        <v>2024</v>
      </c>
      <c r="T19" s="3214"/>
    </row>
    <row r="20" spans="1:20" ht="35" thickBot="1">
      <c r="A20" s="3245" t="s">
        <v>763</v>
      </c>
      <c r="B20" s="3037">
        <v>3</v>
      </c>
      <c r="C20" s="3037" t="s">
        <v>555</v>
      </c>
      <c r="D20" s="3037" t="s">
        <v>2162</v>
      </c>
      <c r="E20" s="3215" t="s">
        <v>985</v>
      </c>
      <c r="F20" s="3243" t="s">
        <v>2163</v>
      </c>
      <c r="G20" s="3202" t="s">
        <v>2163</v>
      </c>
      <c r="H20" s="3197" t="s">
        <v>2164</v>
      </c>
      <c r="I20" s="3224">
        <v>63000</v>
      </c>
      <c r="J20" s="3198">
        <v>45433</v>
      </c>
      <c r="K20" s="3198">
        <v>45520</v>
      </c>
      <c r="L20" s="3241">
        <f t="shared" si="0"/>
        <v>63000</v>
      </c>
      <c r="M20" s="3244" t="s">
        <v>2163</v>
      </c>
      <c r="N20" s="3202" t="s">
        <v>2163</v>
      </c>
      <c r="O20" s="3500" t="e">
        <f>+VLOOKUP(N20,#REF!,7,)</f>
        <v>#REF!</v>
      </c>
      <c r="P20" s="2542" t="e">
        <f>IF(VLOOKUP(N20,#REF!, 8, FALSE) = 0, "", VLOOKUP(N20,#REF!, 8, FALSE))</f>
        <v>#REF!</v>
      </c>
      <c r="Q20" s="2542" t="e">
        <f>IF(VLOOKUP(N20,#REF!, 9, FALSE) = 0, "", VLOOKUP(N20,#REF!, 9, FALSE))</f>
        <v>#REF!</v>
      </c>
      <c r="R20" s="3199">
        <v>2024</v>
      </c>
      <c r="S20" s="3200">
        <v>2024</v>
      </c>
      <c r="T20" s="3214"/>
    </row>
    <row r="21" spans="1:20" ht="35" thickBot="1">
      <c r="A21" s="3245" t="s">
        <v>763</v>
      </c>
      <c r="B21" s="3037">
        <v>3</v>
      </c>
      <c r="C21" s="3037" t="s">
        <v>570</v>
      </c>
      <c r="D21" s="3037" t="s">
        <v>2165</v>
      </c>
      <c r="E21" s="3215" t="s">
        <v>1019</v>
      </c>
      <c r="F21" s="3243" t="s">
        <v>2166</v>
      </c>
      <c r="G21" s="3202" t="s">
        <v>2166</v>
      </c>
      <c r="H21" s="3197" t="s">
        <v>2167</v>
      </c>
      <c r="I21" s="3224">
        <v>40000</v>
      </c>
      <c r="J21" s="3198">
        <v>45465</v>
      </c>
      <c r="K21" s="3198">
        <v>45552</v>
      </c>
      <c r="L21" s="3241">
        <f t="shared" si="0"/>
        <v>40000</v>
      </c>
      <c r="M21" s="3244" t="s">
        <v>2166</v>
      </c>
      <c r="N21" s="3202" t="s">
        <v>2166</v>
      </c>
      <c r="O21" s="3500" t="e">
        <f>+VLOOKUP(N21,#REF!,7,)</f>
        <v>#REF!</v>
      </c>
      <c r="P21" s="2542" t="e">
        <f>IF(VLOOKUP(N21,#REF!, 8, FALSE) = 0, "", VLOOKUP(N21,#REF!, 8, FALSE))</f>
        <v>#REF!</v>
      </c>
      <c r="Q21" s="2542" t="e">
        <f>IF(VLOOKUP(N21,#REF!, 9, FALSE) = 0, "", VLOOKUP(N21,#REF!, 9, FALSE))</f>
        <v>#REF!</v>
      </c>
      <c r="R21" s="3199">
        <v>2024</v>
      </c>
      <c r="S21" s="3200">
        <v>2024</v>
      </c>
      <c r="T21" s="3214"/>
    </row>
    <row r="22" spans="1:20" ht="21" thickBot="1">
      <c r="A22" s="3245" t="s">
        <v>763</v>
      </c>
      <c r="B22" s="3037">
        <v>3</v>
      </c>
      <c r="C22" s="3037" t="s">
        <v>566</v>
      </c>
      <c r="D22" s="3037" t="s">
        <v>2168</v>
      </c>
      <c r="E22" s="3215" t="s">
        <v>997</v>
      </c>
      <c r="F22" s="3243" t="s">
        <v>2169</v>
      </c>
      <c r="G22" s="3202" t="s">
        <v>2169</v>
      </c>
      <c r="H22" s="3197" t="s">
        <v>2170</v>
      </c>
      <c r="I22" s="3224">
        <v>30000</v>
      </c>
      <c r="J22" s="3198">
        <v>45571</v>
      </c>
      <c r="K22" s="3198">
        <v>45658</v>
      </c>
      <c r="L22" s="3241">
        <f t="shared" si="0"/>
        <v>30000</v>
      </c>
      <c r="M22" s="3244" t="s">
        <v>2169</v>
      </c>
      <c r="N22" s="3202" t="s">
        <v>2169</v>
      </c>
      <c r="O22" s="3500" t="e">
        <f>+VLOOKUP(N22,#REF!,7,)</f>
        <v>#REF!</v>
      </c>
      <c r="P22" s="2542" t="e">
        <f>IF(VLOOKUP(N22,#REF!, 8, FALSE) = 0, "", VLOOKUP(N22,#REF!, 8, FALSE))</f>
        <v>#REF!</v>
      </c>
      <c r="Q22" s="2542" t="e">
        <f>IF(VLOOKUP(N22,#REF!, 9, FALSE) = 0, "", VLOOKUP(N22,#REF!, 9, FALSE))</f>
        <v>#REF!</v>
      </c>
      <c r="R22" s="3199">
        <v>2024</v>
      </c>
      <c r="S22" s="3200">
        <v>2025</v>
      </c>
      <c r="T22" s="3214"/>
    </row>
    <row r="23" spans="1:20" ht="33" thickBot="1">
      <c r="A23" s="3245" t="s">
        <v>763</v>
      </c>
      <c r="B23" s="3037">
        <v>3</v>
      </c>
      <c r="C23" s="3037" t="s">
        <v>566</v>
      </c>
      <c r="D23" s="3037" t="s">
        <v>2168</v>
      </c>
      <c r="E23" s="3215" t="s">
        <v>1000</v>
      </c>
      <c r="F23" s="3243" t="s">
        <v>2171</v>
      </c>
      <c r="G23" s="3202" t="s">
        <v>2171</v>
      </c>
      <c r="H23" s="3197" t="s">
        <v>2172</v>
      </c>
      <c r="I23" s="3224">
        <v>40000</v>
      </c>
      <c r="J23" s="3198">
        <v>45698</v>
      </c>
      <c r="K23" s="3198">
        <v>45823</v>
      </c>
      <c r="L23" s="3241">
        <f t="shared" si="0"/>
        <v>40000</v>
      </c>
      <c r="M23" s="3244" t="s">
        <v>2171</v>
      </c>
      <c r="N23" s="3202" t="s">
        <v>2171</v>
      </c>
      <c r="O23" s="3500" t="e">
        <f>+VLOOKUP(N23,#REF!,7,)</f>
        <v>#REF!</v>
      </c>
      <c r="P23" s="2542" t="e">
        <f>IF(VLOOKUP(N23,#REF!, 8, FALSE) = 0, "", VLOOKUP(N23,#REF!, 8, FALSE))</f>
        <v>#REF!</v>
      </c>
      <c r="Q23" s="2542" t="e">
        <f>IF(VLOOKUP(N23,#REF!, 9, FALSE) = 0, "", VLOOKUP(N23,#REF!, 9, FALSE))</f>
        <v>#REF!</v>
      </c>
      <c r="R23" s="3199">
        <v>2024</v>
      </c>
      <c r="S23" s="3200">
        <v>2024</v>
      </c>
      <c r="T23" s="3214"/>
    </row>
    <row r="24" spans="1:20" ht="35" thickBot="1">
      <c r="A24" s="3245" t="s">
        <v>763</v>
      </c>
      <c r="B24" s="3037">
        <v>3</v>
      </c>
      <c r="C24" s="3037" t="s">
        <v>555</v>
      </c>
      <c r="D24" s="3037" t="s">
        <v>2162</v>
      </c>
      <c r="E24" s="3196" t="s">
        <v>990</v>
      </c>
      <c r="F24" s="3243" t="s">
        <v>2177</v>
      </c>
      <c r="G24" s="3202" t="s">
        <v>2177</v>
      </c>
      <c r="H24" s="3197" t="s">
        <v>991</v>
      </c>
      <c r="I24" s="3201">
        <v>150000</v>
      </c>
      <c r="J24" s="3198">
        <f>+K24-283</f>
        <v>45333</v>
      </c>
      <c r="K24" s="3198">
        <v>45616</v>
      </c>
      <c r="L24" s="3241">
        <f t="shared" si="0"/>
        <v>150000</v>
      </c>
      <c r="M24" s="3244" t="s">
        <v>2177</v>
      </c>
      <c r="N24" s="3202" t="s">
        <v>2177</v>
      </c>
      <c r="O24" s="3500" t="e">
        <f>+VLOOKUP(N24,#REF!,7,)</f>
        <v>#REF!</v>
      </c>
      <c r="P24" s="2542" t="e">
        <f>IF(VLOOKUP(N24,#REF!, 8, FALSE) = 0, "", VLOOKUP(N24,#REF!, 8, FALSE))</f>
        <v>#REF!</v>
      </c>
      <c r="Q24" s="2542" t="e">
        <f>IF(VLOOKUP(N24,#REF!, 9, FALSE) = 0, "", VLOOKUP(N24,#REF!, 9, FALSE))</f>
        <v>#REF!</v>
      </c>
      <c r="R24" s="3199">
        <v>2024</v>
      </c>
      <c r="S24" s="3200">
        <v>2024</v>
      </c>
      <c r="T24" s="3214"/>
    </row>
    <row r="25" spans="1:20" ht="35" thickBot="1">
      <c r="A25" s="3245" t="s">
        <v>763</v>
      </c>
      <c r="B25" s="3037">
        <v>3</v>
      </c>
      <c r="C25" s="3037" t="s">
        <v>566</v>
      </c>
      <c r="D25" s="3037" t="s">
        <v>2168</v>
      </c>
      <c r="E25" s="3196" t="s">
        <v>1008</v>
      </c>
      <c r="F25" s="3243" t="s">
        <v>2178</v>
      </c>
      <c r="G25" s="3202" t="s">
        <v>2178</v>
      </c>
      <c r="H25" s="3197" t="s">
        <v>2179</v>
      </c>
      <c r="I25" s="3224">
        <v>60000</v>
      </c>
      <c r="J25" s="3198">
        <v>45529</v>
      </c>
      <c r="K25" s="3198">
        <v>45616</v>
      </c>
      <c r="L25" s="3241">
        <f t="shared" si="0"/>
        <v>60000</v>
      </c>
      <c r="M25" s="3244" t="s">
        <v>2178</v>
      </c>
      <c r="N25" s="3202" t="s">
        <v>2178</v>
      </c>
      <c r="O25" s="3500" t="e">
        <f>+VLOOKUP(N25,#REF!,7,)</f>
        <v>#REF!</v>
      </c>
      <c r="P25" s="2542" t="e">
        <f>IF(VLOOKUP(N25,#REF!, 8, FALSE) = 0, "", VLOOKUP(N25,#REF!, 8, FALSE))</f>
        <v>#REF!</v>
      </c>
      <c r="Q25" s="2542" t="e">
        <f>IF(VLOOKUP(N25,#REF!, 9, FALSE) = 0, "", VLOOKUP(N25,#REF!, 9, FALSE))</f>
        <v>#REF!</v>
      </c>
      <c r="R25" s="3199">
        <v>2024</v>
      </c>
      <c r="S25" s="3200">
        <v>2024</v>
      </c>
      <c r="T25" s="3214"/>
    </row>
    <row r="26" spans="1:20" ht="35" thickBot="1">
      <c r="A26" s="3245" t="s">
        <v>763</v>
      </c>
      <c r="B26" s="3037">
        <v>3</v>
      </c>
      <c r="C26" s="3037" t="s">
        <v>566</v>
      </c>
      <c r="D26" s="3037" t="s">
        <v>2168</v>
      </c>
      <c r="E26" s="3196" t="s">
        <v>1010</v>
      </c>
      <c r="F26" s="3243" t="s">
        <v>2181</v>
      </c>
      <c r="G26" s="3202" t="s">
        <v>2181</v>
      </c>
      <c r="H26" s="3197" t="s">
        <v>2182</v>
      </c>
      <c r="I26" s="3224">
        <v>60000</v>
      </c>
      <c r="J26" s="3198">
        <v>45529</v>
      </c>
      <c r="K26" s="3198">
        <v>45616</v>
      </c>
      <c r="L26" s="3241">
        <f t="shared" si="0"/>
        <v>60000</v>
      </c>
      <c r="M26" s="3244" t="s">
        <v>2181</v>
      </c>
      <c r="N26" s="3202" t="s">
        <v>2181</v>
      </c>
      <c r="O26" s="3500" t="e">
        <f>+VLOOKUP(N26,#REF!,7,)</f>
        <v>#REF!</v>
      </c>
      <c r="P26" s="2542" t="e">
        <f>IF(VLOOKUP(N26,#REF!, 8, FALSE) = 0, "", VLOOKUP(N26,#REF!, 8, FALSE))</f>
        <v>#REF!</v>
      </c>
      <c r="Q26" s="2542" t="e">
        <f>IF(VLOOKUP(N26,#REF!, 9, FALSE) = 0, "", VLOOKUP(N26,#REF!, 9, FALSE))</f>
        <v>#REF!</v>
      </c>
      <c r="R26" s="3199">
        <v>2024</v>
      </c>
      <c r="S26" s="3200">
        <v>2024</v>
      </c>
      <c r="T26" s="3214"/>
    </row>
    <row r="27" spans="1:20" ht="21" thickBot="1">
      <c r="A27" s="3245" t="s">
        <v>763</v>
      </c>
      <c r="B27" s="3037">
        <v>3</v>
      </c>
      <c r="C27" s="3037" t="s">
        <v>572</v>
      </c>
      <c r="D27" s="3037" t="s">
        <v>2174</v>
      </c>
      <c r="E27" s="3196" t="s">
        <v>1056</v>
      </c>
      <c r="F27" s="3243" t="s">
        <v>2183</v>
      </c>
      <c r="G27" s="3202" t="s">
        <v>2183</v>
      </c>
      <c r="H27" s="3197" t="s">
        <v>2184</v>
      </c>
      <c r="I27" s="3224">
        <v>54000</v>
      </c>
      <c r="J27" s="3198">
        <v>45820</v>
      </c>
      <c r="K27" s="3198">
        <v>45945</v>
      </c>
      <c r="L27" s="3241">
        <f t="shared" si="0"/>
        <v>54000</v>
      </c>
      <c r="M27" s="3244" t="s">
        <v>2183</v>
      </c>
      <c r="N27" s="3202" t="s">
        <v>2183</v>
      </c>
      <c r="O27" s="3500" t="e">
        <f>+VLOOKUP(N27,#REF!,7,)</f>
        <v>#REF!</v>
      </c>
      <c r="P27" s="2542" t="e">
        <f>IF(VLOOKUP(N27,#REF!, 8, FALSE) = 0, "", VLOOKUP(N27,#REF!, 8, FALSE))</f>
        <v>#REF!</v>
      </c>
      <c r="Q27" s="2542" t="e">
        <f>IF(VLOOKUP(N27,#REF!, 9, FALSE) = 0, "", VLOOKUP(N27,#REF!, 9, FALSE))</f>
        <v>#REF!</v>
      </c>
      <c r="R27" s="3199">
        <v>2024</v>
      </c>
      <c r="S27" s="3200">
        <v>2024</v>
      </c>
      <c r="T27" s="3214"/>
    </row>
    <row r="28" spans="1:20" ht="35" thickBot="1">
      <c r="A28" s="3245" t="s">
        <v>763</v>
      </c>
      <c r="B28" s="3037">
        <v>3</v>
      </c>
      <c r="C28" s="3037" t="s">
        <v>555</v>
      </c>
      <c r="D28" s="3037" t="s">
        <v>2186</v>
      </c>
      <c r="E28" s="3196" t="s">
        <v>982</v>
      </c>
      <c r="F28" s="3243" t="s">
        <v>2187</v>
      </c>
      <c r="G28" s="3202" t="s">
        <v>2187</v>
      </c>
      <c r="H28" s="3197" t="s">
        <v>983</v>
      </c>
      <c r="I28" s="3224">
        <v>80000</v>
      </c>
      <c r="J28" s="3198">
        <v>45548</v>
      </c>
      <c r="K28" s="3198">
        <v>45689</v>
      </c>
      <c r="L28" s="3241">
        <f t="shared" si="0"/>
        <v>80000</v>
      </c>
      <c r="M28" s="3244" t="s">
        <v>2187</v>
      </c>
      <c r="N28" s="3202" t="s">
        <v>2187</v>
      </c>
      <c r="O28" s="3500" t="e">
        <f>+VLOOKUP(N28,#REF!,7,)</f>
        <v>#REF!</v>
      </c>
      <c r="P28" s="2542" t="e">
        <f>IF(VLOOKUP(N28,#REF!, 8, FALSE) = 0, "", VLOOKUP(N28,#REF!, 8, FALSE))</f>
        <v>#REF!</v>
      </c>
      <c r="Q28" s="2542" t="e">
        <f>IF(VLOOKUP(N28,#REF!, 9, FALSE) = 0, "", VLOOKUP(N28,#REF!, 9, FALSE))</f>
        <v>#REF!</v>
      </c>
      <c r="R28" s="3199">
        <v>2024</v>
      </c>
      <c r="S28" s="3200">
        <v>2024</v>
      </c>
      <c r="T28" s="3214"/>
    </row>
    <row r="29" spans="1:20" ht="35" thickBot="1">
      <c r="A29" s="3245" t="s">
        <v>763</v>
      </c>
      <c r="B29" s="3037">
        <v>3</v>
      </c>
      <c r="C29" s="3037" t="s">
        <v>555</v>
      </c>
      <c r="D29" s="3037" t="s">
        <v>2157</v>
      </c>
      <c r="E29" s="3196" t="s">
        <v>1543</v>
      </c>
      <c r="F29" s="3243" t="s">
        <v>2188</v>
      </c>
      <c r="G29" s="3202" t="s">
        <v>2188</v>
      </c>
      <c r="H29" s="3197" t="s">
        <v>1544</v>
      </c>
      <c r="I29" s="3224">
        <v>30000</v>
      </c>
      <c r="J29" s="3198">
        <v>45675</v>
      </c>
      <c r="K29" s="3198">
        <v>45762</v>
      </c>
      <c r="L29" s="3241">
        <f t="shared" si="0"/>
        <v>30000</v>
      </c>
      <c r="M29" s="3244" t="s">
        <v>2188</v>
      </c>
      <c r="N29" s="3202" t="s">
        <v>2188</v>
      </c>
      <c r="O29" s="3500" t="e">
        <f>+VLOOKUP(N29,#REF!,7,)</f>
        <v>#REF!</v>
      </c>
      <c r="P29" s="2542" t="e">
        <f>IF(VLOOKUP(N29,#REF!, 8, FALSE) = 0, "", VLOOKUP(N29,#REF!, 8, FALSE))</f>
        <v>#REF!</v>
      </c>
      <c r="Q29" s="2542" t="e">
        <f>IF(VLOOKUP(N29,#REF!, 9, FALSE) = 0, "", VLOOKUP(N29,#REF!, 9, FALSE))</f>
        <v>#REF!</v>
      </c>
      <c r="R29" s="3199">
        <v>2025</v>
      </c>
      <c r="S29" s="3200">
        <v>2025</v>
      </c>
      <c r="T29" s="3214"/>
    </row>
    <row r="30" spans="1:20" ht="65" thickBot="1">
      <c r="A30" s="3245" t="s">
        <v>763</v>
      </c>
      <c r="B30" s="3037">
        <v>3</v>
      </c>
      <c r="C30" s="3037" t="s">
        <v>555</v>
      </c>
      <c r="D30" s="3037" t="s">
        <v>2157</v>
      </c>
      <c r="E30" s="3196" t="s">
        <v>1545</v>
      </c>
      <c r="F30" s="3243" t="s">
        <v>2189</v>
      </c>
      <c r="G30" s="3202" t="s">
        <v>2189</v>
      </c>
      <c r="H30" s="3197" t="s">
        <v>1546</v>
      </c>
      <c r="I30" s="3224">
        <v>120000</v>
      </c>
      <c r="J30" s="3198">
        <v>45611</v>
      </c>
      <c r="K30" s="3198">
        <v>45698</v>
      </c>
      <c r="L30" s="3241">
        <f t="shared" si="0"/>
        <v>120000</v>
      </c>
      <c r="M30" s="3244" t="s">
        <v>2189</v>
      </c>
      <c r="N30" s="3202" t="s">
        <v>2189</v>
      </c>
      <c r="O30" s="3500" t="e">
        <f>+VLOOKUP(N30,#REF!,7,)</f>
        <v>#REF!</v>
      </c>
      <c r="P30" s="2542" t="e">
        <f>IF(VLOOKUP(N30,#REF!, 8, FALSE) = 0, "", VLOOKUP(N30,#REF!, 8, FALSE))</f>
        <v>#REF!</v>
      </c>
      <c r="Q30" s="2542" t="e">
        <f>IF(VLOOKUP(N30,#REF!, 9, FALSE) = 0, "", VLOOKUP(N30,#REF!, 9, FALSE))</f>
        <v>#REF!</v>
      </c>
      <c r="R30" s="3199">
        <v>2024</v>
      </c>
      <c r="S30" s="3200">
        <v>2025</v>
      </c>
      <c r="T30" s="3214"/>
    </row>
    <row r="31" spans="1:20" ht="52" thickBot="1">
      <c r="A31" s="3245" t="s">
        <v>763</v>
      </c>
      <c r="B31" s="3037">
        <v>3</v>
      </c>
      <c r="C31" s="3037" t="s">
        <v>555</v>
      </c>
      <c r="D31" s="3037" t="s">
        <v>2157</v>
      </c>
      <c r="E31" s="3196" t="s">
        <v>1547</v>
      </c>
      <c r="F31" s="3243" t="s">
        <v>2191</v>
      </c>
      <c r="G31" s="3202" t="s">
        <v>2191</v>
      </c>
      <c r="H31" s="3197" t="s">
        <v>1548</v>
      </c>
      <c r="I31" s="3201">
        <v>30000</v>
      </c>
      <c r="J31" s="3198">
        <v>45639</v>
      </c>
      <c r="K31" s="3198">
        <v>45726</v>
      </c>
      <c r="L31" s="3241">
        <f t="shared" si="0"/>
        <v>30000</v>
      </c>
      <c r="M31" s="3244" t="s">
        <v>2191</v>
      </c>
      <c r="N31" s="3202" t="s">
        <v>2191</v>
      </c>
      <c r="O31" s="3500" t="e">
        <f>+VLOOKUP(N31,#REF!,7,)</f>
        <v>#REF!</v>
      </c>
      <c r="P31" s="2542" t="e">
        <f>IF(VLOOKUP(N31,#REF!, 8, FALSE) = 0, "", VLOOKUP(N31,#REF!, 8, FALSE))</f>
        <v>#REF!</v>
      </c>
      <c r="Q31" s="2542" t="e">
        <f>IF(VLOOKUP(N31,#REF!, 9, FALSE) = 0, "", VLOOKUP(N31,#REF!, 9, FALSE))</f>
        <v>#REF!</v>
      </c>
      <c r="R31" s="3199">
        <v>2024</v>
      </c>
      <c r="S31" s="3200">
        <v>2025</v>
      </c>
      <c r="T31" s="3214"/>
    </row>
    <row r="32" spans="1:20" ht="52" thickBot="1">
      <c r="A32" s="3245" t="s">
        <v>763</v>
      </c>
      <c r="B32" s="3037">
        <v>3</v>
      </c>
      <c r="C32" s="3037" t="s">
        <v>555</v>
      </c>
      <c r="D32" s="3037" t="s">
        <v>2157</v>
      </c>
      <c r="E32" s="3196" t="s">
        <v>1550</v>
      </c>
      <c r="F32" s="3243" t="s">
        <v>2192</v>
      </c>
      <c r="G32" s="3202" t="s">
        <v>2192</v>
      </c>
      <c r="H32" s="3197" t="s">
        <v>1551</v>
      </c>
      <c r="I32" s="3224">
        <v>30000</v>
      </c>
      <c r="J32" s="3198">
        <v>45611</v>
      </c>
      <c r="K32" s="3198">
        <v>45698</v>
      </c>
      <c r="L32" s="3241">
        <f t="shared" si="0"/>
        <v>30000</v>
      </c>
      <c r="M32" s="3244" t="s">
        <v>2192</v>
      </c>
      <c r="N32" s="3202" t="s">
        <v>2192</v>
      </c>
      <c r="O32" s="3500" t="e">
        <f>+VLOOKUP(N32,#REF!,7,)</f>
        <v>#REF!</v>
      </c>
      <c r="P32" s="2542" t="e">
        <f>IF(VLOOKUP(N32,#REF!, 8, FALSE) = 0, "", VLOOKUP(N32,#REF!, 8, FALSE))</f>
        <v>#REF!</v>
      </c>
      <c r="Q32" s="2542" t="e">
        <f>IF(VLOOKUP(N32,#REF!, 9, FALSE) = 0, "", VLOOKUP(N32,#REF!, 9, FALSE))</f>
        <v>#REF!</v>
      </c>
      <c r="R32" s="3199">
        <v>2024</v>
      </c>
      <c r="S32" s="3200">
        <v>2025</v>
      </c>
      <c r="T32" s="3214"/>
    </row>
    <row r="33" spans="1:20" ht="49" thickBot="1">
      <c r="A33" s="3245" t="s">
        <v>763</v>
      </c>
      <c r="B33" s="3037">
        <v>3</v>
      </c>
      <c r="C33" s="3037" t="s">
        <v>555</v>
      </c>
      <c r="D33" s="3037" t="s">
        <v>2157</v>
      </c>
      <c r="E33" s="3215" t="s">
        <v>1557</v>
      </c>
      <c r="F33" s="3243" t="s">
        <v>2195</v>
      </c>
      <c r="G33" s="3202" t="s">
        <v>2195</v>
      </c>
      <c r="H33" s="3197" t="s">
        <v>1558</v>
      </c>
      <c r="I33" s="3224">
        <v>20000</v>
      </c>
      <c r="J33" s="3198">
        <v>45644</v>
      </c>
      <c r="K33" s="3198">
        <v>45731</v>
      </c>
      <c r="L33" s="3241">
        <f t="shared" si="0"/>
        <v>20000</v>
      </c>
      <c r="M33" s="3244" t="s">
        <v>2195</v>
      </c>
      <c r="N33" s="3202" t="s">
        <v>2195</v>
      </c>
      <c r="O33" s="3500" t="e">
        <f>+VLOOKUP(N33,#REF!,7,)</f>
        <v>#REF!</v>
      </c>
      <c r="P33" s="2542" t="e">
        <f>IF(VLOOKUP(N33,#REF!, 8, FALSE) = 0, "", VLOOKUP(N33,#REF!, 8, FALSE))</f>
        <v>#REF!</v>
      </c>
      <c r="Q33" s="2542" t="e">
        <f>IF(VLOOKUP(N33,#REF!, 9, FALSE) = 0, "", VLOOKUP(N33,#REF!, 9, FALSE))</f>
        <v>#REF!</v>
      </c>
      <c r="R33" s="3199">
        <v>2024</v>
      </c>
      <c r="S33" s="3200">
        <v>2025</v>
      </c>
      <c r="T33" s="3214"/>
    </row>
    <row r="34" spans="1:20" ht="35" thickBot="1">
      <c r="A34" s="3245" t="s">
        <v>763</v>
      </c>
      <c r="B34" s="3037">
        <v>3</v>
      </c>
      <c r="C34" s="3037" t="s">
        <v>566</v>
      </c>
      <c r="D34" s="3037" t="s">
        <v>2168</v>
      </c>
      <c r="E34" s="3215" t="s">
        <v>1012</v>
      </c>
      <c r="F34" s="3243" t="s">
        <v>2204</v>
      </c>
      <c r="G34" s="3202" t="s">
        <v>2204</v>
      </c>
      <c r="H34" s="3197" t="s">
        <v>1013</v>
      </c>
      <c r="I34" s="3201">
        <v>60000</v>
      </c>
      <c r="J34" s="3198">
        <v>45602</v>
      </c>
      <c r="K34" s="3198">
        <v>45689</v>
      </c>
      <c r="L34" s="3241">
        <f t="shared" si="0"/>
        <v>60000</v>
      </c>
      <c r="M34" s="3244" t="s">
        <v>2204</v>
      </c>
      <c r="N34" s="3202" t="s">
        <v>2204</v>
      </c>
      <c r="O34" s="3500" t="e">
        <f>+VLOOKUP(N34,#REF!,7,)</f>
        <v>#REF!</v>
      </c>
      <c r="P34" s="2542" t="e">
        <f>IF(VLOOKUP(N34,#REF!, 8, FALSE) = 0, "", VLOOKUP(N34,#REF!, 8, FALSE))</f>
        <v>#REF!</v>
      </c>
      <c r="Q34" s="2542" t="e">
        <f>IF(VLOOKUP(N34,#REF!, 9, FALSE) = 0, "", VLOOKUP(N34,#REF!, 9, FALSE))</f>
        <v>#REF!</v>
      </c>
      <c r="R34" s="3199">
        <v>2024</v>
      </c>
      <c r="S34" s="3200">
        <v>2025</v>
      </c>
      <c r="T34" s="3214"/>
    </row>
    <row r="35" spans="1:20" ht="35" thickBot="1">
      <c r="A35" s="3186" t="s">
        <v>763</v>
      </c>
      <c r="B35" s="3037">
        <v>3</v>
      </c>
      <c r="C35" s="3037" t="s">
        <v>555</v>
      </c>
      <c r="D35" s="3037" t="s">
        <v>2157</v>
      </c>
      <c r="E35" s="3215" t="s">
        <v>1574</v>
      </c>
      <c r="F35" s="3243" t="s">
        <v>2212</v>
      </c>
      <c r="G35" s="3202" t="s">
        <v>2212</v>
      </c>
      <c r="H35" s="3197" t="s">
        <v>1575</v>
      </c>
      <c r="I35" s="3201">
        <v>30000</v>
      </c>
      <c r="J35" s="3198">
        <v>46240</v>
      </c>
      <c r="K35" s="3198">
        <v>46327</v>
      </c>
      <c r="L35" s="3241">
        <f t="shared" si="0"/>
        <v>30000</v>
      </c>
      <c r="M35" s="3244" t="s">
        <v>2212</v>
      </c>
      <c r="N35" s="3202" t="s">
        <v>2212</v>
      </c>
      <c r="O35" s="3500" t="e">
        <f>+VLOOKUP(N35,#REF!,7,)</f>
        <v>#REF!</v>
      </c>
      <c r="P35" s="2542" t="e">
        <f>IF(VLOOKUP(N35,#REF!, 8, FALSE) = 0, "", VLOOKUP(N35,#REF!, 8, FALSE))</f>
        <v>#REF!</v>
      </c>
      <c r="Q35" s="2542" t="e">
        <f>IF(VLOOKUP(N35,#REF!, 9, FALSE) = 0, "", VLOOKUP(N35,#REF!, 9, FALSE))</f>
        <v>#REF!</v>
      </c>
      <c r="R35" s="3199">
        <v>2026</v>
      </c>
      <c r="S35" s="3200">
        <v>2026</v>
      </c>
      <c r="T35" s="3214"/>
    </row>
    <row r="36" spans="1:20" ht="21" thickBot="1">
      <c r="A36" s="3246" t="s">
        <v>853</v>
      </c>
      <c r="B36" s="3247">
        <v>3</v>
      </c>
      <c r="C36" s="3247" t="s">
        <v>555</v>
      </c>
      <c r="D36" s="3247" t="s">
        <v>2162</v>
      </c>
      <c r="E36" s="3248" t="s">
        <v>988</v>
      </c>
      <c r="F36" s="3249" t="s">
        <v>2202</v>
      </c>
      <c r="G36" s="3254" t="s">
        <v>2202</v>
      </c>
      <c r="H36" s="3250" t="s">
        <v>989</v>
      </c>
      <c r="I36" s="3251">
        <v>60000</v>
      </c>
      <c r="J36" s="3252">
        <v>45732</v>
      </c>
      <c r="K36" s="3252">
        <v>45940</v>
      </c>
      <c r="L36" s="3241">
        <f t="shared" ref="L36" si="1">+I36</f>
        <v>60000</v>
      </c>
      <c r="M36" s="3253" t="s">
        <v>2202</v>
      </c>
      <c r="N36" s="3254" t="s">
        <v>2202</v>
      </c>
      <c r="O36" s="3500" t="e">
        <f>+VLOOKUP(N36,#REF!,7,)</f>
        <v>#REF!</v>
      </c>
      <c r="P36" s="3498" t="e">
        <f>IF(VLOOKUP(N36,#REF!, 8, FALSE) = 0, "", VLOOKUP(N36,#REF!, 8, FALSE))</f>
        <v>#REF!</v>
      </c>
      <c r="Q36" s="3498" t="e">
        <f>IF(VLOOKUP(N36,#REF!, 9, FALSE) = 0, "", VLOOKUP(N36,#REF!, 9, FALSE))</f>
        <v>#REF!</v>
      </c>
      <c r="R36" s="3208">
        <v>2025</v>
      </c>
      <c r="S36" s="3209">
        <v>2025</v>
      </c>
      <c r="T36" s="3214"/>
    </row>
    <row r="37" spans="1:20" ht="34">
      <c r="A37" s="3273" t="s">
        <v>763</v>
      </c>
      <c r="B37" s="3274">
        <v>3</v>
      </c>
      <c r="C37" s="3257" t="s">
        <v>555</v>
      </c>
      <c r="D37" s="3039" t="s">
        <v>2157</v>
      </c>
      <c r="E37" s="3258" t="s">
        <v>1553</v>
      </c>
      <c r="F37" s="3275" t="s">
        <v>2193</v>
      </c>
      <c r="G37" s="3277" t="s">
        <v>2193</v>
      </c>
      <c r="H37" s="3259" t="s">
        <v>1554</v>
      </c>
      <c r="I37" s="3260">
        <v>30000</v>
      </c>
      <c r="J37" s="3261">
        <v>45682</v>
      </c>
      <c r="K37" s="3261">
        <v>45807</v>
      </c>
      <c r="L37" s="3276">
        <f>+I37</f>
        <v>30000</v>
      </c>
      <c r="M37" s="3277" t="s">
        <v>2193</v>
      </c>
      <c r="N37" s="3277" t="s">
        <v>2193</v>
      </c>
      <c r="O37" s="3286" t="e">
        <f>+VLOOKUP(N37,#REF!,7,)</f>
        <v>#REF!</v>
      </c>
      <c r="P37" s="3497" t="e">
        <f>IF(VLOOKUP(N37,#REF!, 8, FALSE) = 0, "", VLOOKUP(N37,#REF!, 8, FALSE))</f>
        <v>#REF!</v>
      </c>
      <c r="Q37" s="3497" t="e">
        <f>IF(VLOOKUP(N37,#REF!, 9, FALSE) = 0, "", VLOOKUP(N37,#REF!, 9, FALSE))</f>
        <v>#REF!</v>
      </c>
      <c r="R37" s="3278">
        <v>2025</v>
      </c>
      <c r="S37" s="3279">
        <v>2025</v>
      </c>
      <c r="T37" s="3214"/>
    </row>
    <row r="38" spans="1:20" ht="34">
      <c r="A38" s="3242" t="s">
        <v>763</v>
      </c>
      <c r="B38" s="3267">
        <v>3</v>
      </c>
      <c r="C38" s="3255">
        <v>3.3</v>
      </c>
      <c r="D38" s="3037" t="s">
        <v>2165</v>
      </c>
      <c r="E38" s="3196"/>
      <c r="F38" s="3243" t="s">
        <v>2242</v>
      </c>
      <c r="G38" s="3244" t="s">
        <v>2242</v>
      </c>
      <c r="H38" s="3197" t="s">
        <v>2016</v>
      </c>
      <c r="I38" s="3201">
        <v>17500</v>
      </c>
      <c r="J38" s="3198">
        <v>45662</v>
      </c>
      <c r="K38" s="3198">
        <v>45752</v>
      </c>
      <c r="L38" s="3262">
        <f t="shared" ref="L38:L44" si="2">+I38</f>
        <v>17500</v>
      </c>
      <c r="M38" s="3244" t="str">
        <f>+F38</f>
        <v>PA-112</v>
      </c>
      <c r="N38" s="3244" t="s">
        <v>2242</v>
      </c>
      <c r="O38" s="2541" t="e">
        <f>+VLOOKUP(N38,#REF!,7,)</f>
        <v>#REF!</v>
      </c>
      <c r="P38" s="2542" t="e">
        <f>IF(VLOOKUP(N38,#REF!, 8, FALSE) = 0, "", VLOOKUP(N38,#REF!, 8, FALSE))</f>
        <v>#REF!</v>
      </c>
      <c r="Q38" s="2542" t="e">
        <f>IF(VLOOKUP(N38,#REF!, 9, FALSE) = 0, "", VLOOKUP(N38,#REF!, 9, FALSE))</f>
        <v>#REF!</v>
      </c>
      <c r="R38" s="3199">
        <v>2025</v>
      </c>
      <c r="S38" s="3200">
        <v>2025</v>
      </c>
      <c r="T38" s="3214"/>
    </row>
    <row r="39" spans="1:20" ht="35" thickBot="1">
      <c r="A39" s="3242" t="s">
        <v>763</v>
      </c>
      <c r="B39" s="3267">
        <v>3</v>
      </c>
      <c r="C39" s="3255">
        <v>3.1</v>
      </c>
      <c r="D39" s="3037" t="s">
        <v>2186</v>
      </c>
      <c r="E39" s="3196"/>
      <c r="F39" s="3243" t="s">
        <v>2243</v>
      </c>
      <c r="G39" s="3243" t="s">
        <v>2243</v>
      </c>
      <c r="H39" s="3197" t="s">
        <v>2244</v>
      </c>
      <c r="I39" s="3201">
        <v>100000</v>
      </c>
      <c r="J39" s="3206">
        <f>+K39-VLOOKUP(A39,'Tiempos adq.'!$C$5:$K$11,9,FALSE)</f>
        <v>45790</v>
      </c>
      <c r="K39" s="3198">
        <v>45915</v>
      </c>
      <c r="L39" s="3262">
        <f t="shared" ref="L39" si="3">+I39</f>
        <v>100000</v>
      </c>
      <c r="M39" s="3244" t="str">
        <f>+F39</f>
        <v>PA-113A</v>
      </c>
      <c r="N39" s="3244" t="s">
        <v>2243</v>
      </c>
      <c r="O39" s="2541" t="e">
        <f>+VLOOKUP(N39,#REF!,7,)</f>
        <v>#REF!</v>
      </c>
      <c r="P39" s="2542" t="e">
        <f>IF(VLOOKUP(N39,#REF!, 8, FALSE) = 0, "", VLOOKUP(N39,#REF!, 8, FALSE))</f>
        <v>#REF!</v>
      </c>
      <c r="Q39" s="2542" t="e">
        <f>IF(VLOOKUP(N39,#REF!, 9, FALSE) = 0, "", VLOOKUP(N39,#REF!, 9, FALSE))</f>
        <v>#REF!</v>
      </c>
      <c r="R39" s="3199">
        <v>2025</v>
      </c>
      <c r="S39" s="3200">
        <v>2025</v>
      </c>
      <c r="T39" s="3214"/>
    </row>
    <row r="40" spans="1:20" ht="35" thickBot="1">
      <c r="A40" s="3242" t="s">
        <v>763</v>
      </c>
      <c r="B40" s="3267">
        <v>3</v>
      </c>
      <c r="C40" s="3255">
        <v>3.1</v>
      </c>
      <c r="D40" s="3037" t="s">
        <v>2186</v>
      </c>
      <c r="E40" s="3196"/>
      <c r="F40" s="3243" t="s">
        <v>2245</v>
      </c>
      <c r="G40" s="3243" t="s">
        <v>2245</v>
      </c>
      <c r="H40" s="3197" t="s">
        <v>1588</v>
      </c>
      <c r="I40" s="3201">
        <v>100000</v>
      </c>
      <c r="J40" s="3206">
        <f>+K40-VLOOKUP(A40,'Tiempos adq.'!$C$5:$K$11,9,FALSE)</f>
        <v>45790</v>
      </c>
      <c r="K40" s="3198">
        <v>45915</v>
      </c>
      <c r="L40" s="3262">
        <f t="shared" si="2"/>
        <v>100000</v>
      </c>
      <c r="M40" s="3244" t="str">
        <f>+F40</f>
        <v>PA-113B</v>
      </c>
      <c r="N40" s="3244" t="s">
        <v>2243</v>
      </c>
      <c r="O40" s="2541" t="e">
        <f>+VLOOKUP(N40,#REF!,7,)</f>
        <v>#REF!</v>
      </c>
      <c r="P40" s="2542" t="e">
        <f>IF(VLOOKUP(N40,#REF!, 8, FALSE) = 0, "", VLOOKUP(N40,#REF!, 8, FALSE))</f>
        <v>#REF!</v>
      </c>
      <c r="Q40" s="2542" t="e">
        <f>IF(VLOOKUP(N40,#REF!, 9, FALSE) = 0, "", VLOOKUP(N40,#REF!, 9, FALSE))</f>
        <v>#REF!</v>
      </c>
      <c r="R40" s="3199">
        <v>2025</v>
      </c>
      <c r="S40" s="3200">
        <v>2025</v>
      </c>
      <c r="T40" s="3214"/>
    </row>
    <row r="41" spans="1:20" ht="21" thickBot="1">
      <c r="A41" s="3506" t="s">
        <v>802</v>
      </c>
      <c r="B41" s="3203">
        <v>3</v>
      </c>
      <c r="C41" s="3218" t="s">
        <v>555</v>
      </c>
      <c r="D41" s="3204" t="s">
        <v>2162</v>
      </c>
      <c r="E41" s="3204" t="s">
        <v>992</v>
      </c>
      <c r="F41" s="3243"/>
      <c r="G41" s="3531" t="s">
        <v>2203</v>
      </c>
      <c r="H41" s="3207" t="s">
        <v>993</v>
      </c>
      <c r="I41" s="3205">
        <v>30000</v>
      </c>
      <c r="J41" s="3206">
        <v>45756</v>
      </c>
      <c r="K41" s="3192">
        <v>46037</v>
      </c>
      <c r="L41" s="3262">
        <v>30000</v>
      </c>
      <c r="M41" s="3219" t="s">
        <v>2203</v>
      </c>
      <c r="N41" s="3220" t="s">
        <v>2238</v>
      </c>
      <c r="O41" s="3500" t="e">
        <f>+VLOOKUP(N41,#REF!,7,)</f>
        <v>#REF!</v>
      </c>
      <c r="P41" s="3498" t="e">
        <f>IF(VLOOKUP(N41,#REF!, 8, FALSE) = 0, "", VLOOKUP(N41,#REF!, 8, FALSE))</f>
        <v>#REF!</v>
      </c>
      <c r="Q41" s="3498" t="e">
        <f>IF(VLOOKUP(N41,#REF!, 9, FALSE) = 0, "", VLOOKUP(N41,#REF!, 9, FALSE))</f>
        <v>#REF!</v>
      </c>
      <c r="R41" s="3208">
        <v>2025</v>
      </c>
      <c r="S41" s="3209">
        <v>2025</v>
      </c>
      <c r="T41" s="3214"/>
    </row>
    <row r="42" spans="1:20">
      <c r="A42" s="3242" t="s">
        <v>802</v>
      </c>
      <c r="B42" s="3267">
        <v>3</v>
      </c>
      <c r="C42" s="3255" t="s">
        <v>566</v>
      </c>
      <c r="D42" s="3037"/>
      <c r="E42" s="3196"/>
      <c r="F42" s="3243" t="s">
        <v>2144</v>
      </c>
      <c r="G42" s="3244"/>
      <c r="H42" s="3197" t="s">
        <v>2145</v>
      </c>
      <c r="I42" s="3201">
        <v>110000</v>
      </c>
      <c r="J42" s="3198">
        <v>46661</v>
      </c>
      <c r="K42" s="3198">
        <v>46753</v>
      </c>
      <c r="L42" s="3262">
        <f t="shared" si="2"/>
        <v>110000</v>
      </c>
      <c r="M42" s="3244"/>
      <c r="N42" s="3244"/>
      <c r="O42" s="3265" t="s">
        <v>2074</v>
      </c>
      <c r="P42" s="3266"/>
      <c r="Q42" s="3266"/>
      <c r="R42" s="3199" t="s">
        <v>2000</v>
      </c>
      <c r="S42" s="3200">
        <v>2028</v>
      </c>
    </row>
    <row r="43" spans="1:20">
      <c r="A43" s="3242" t="s">
        <v>802</v>
      </c>
      <c r="B43" s="3267">
        <v>3</v>
      </c>
      <c r="C43" s="3255" t="s">
        <v>572</v>
      </c>
      <c r="D43" s="3037"/>
      <c r="E43" s="3196"/>
      <c r="F43" s="3243" t="s">
        <v>2144</v>
      </c>
      <c r="G43" s="3244"/>
      <c r="H43" s="3197" t="s">
        <v>2145</v>
      </c>
      <c r="I43" s="3201">
        <v>0</v>
      </c>
      <c r="J43" s="3198">
        <v>46661</v>
      </c>
      <c r="K43" s="3198">
        <v>46753</v>
      </c>
      <c r="L43" s="3262">
        <f t="shared" si="2"/>
        <v>0</v>
      </c>
      <c r="M43" s="3244"/>
      <c r="N43" s="3244"/>
      <c r="O43" s="3265" t="s">
        <v>2074</v>
      </c>
      <c r="P43" s="3266"/>
      <c r="Q43" s="3266"/>
      <c r="R43" s="3199" t="s">
        <v>2000</v>
      </c>
      <c r="S43" s="3200">
        <v>2028</v>
      </c>
    </row>
    <row r="44" spans="1:20">
      <c r="A44" s="3242" t="s">
        <v>802</v>
      </c>
      <c r="B44" s="3267">
        <v>3</v>
      </c>
      <c r="C44" s="3255" t="s">
        <v>555</v>
      </c>
      <c r="D44" s="3037"/>
      <c r="E44" s="3196"/>
      <c r="F44" s="3243" t="s">
        <v>2144</v>
      </c>
      <c r="G44" s="3244"/>
      <c r="H44" s="3197" t="s">
        <v>965</v>
      </c>
      <c r="I44" s="3262">
        <v>86000</v>
      </c>
      <c r="J44" s="3198">
        <v>46661</v>
      </c>
      <c r="K44" s="3198">
        <v>46753</v>
      </c>
      <c r="L44" s="3262">
        <f t="shared" si="2"/>
        <v>86000</v>
      </c>
      <c r="M44" s="3244"/>
      <c r="N44" s="3244"/>
      <c r="O44" s="3265" t="s">
        <v>2074</v>
      </c>
      <c r="P44" s="3266"/>
      <c r="Q44" s="3266"/>
      <c r="R44" s="3199" t="s">
        <v>2000</v>
      </c>
      <c r="S44" s="3200">
        <v>2028</v>
      </c>
    </row>
    <row r="45" spans="1:20" ht="20" thickBot="1">
      <c r="A45" s="3242" t="s">
        <v>802</v>
      </c>
      <c r="B45" s="3267">
        <v>3</v>
      </c>
      <c r="C45" s="3256" t="s">
        <v>570</v>
      </c>
      <c r="D45" s="3203"/>
      <c r="E45" s="3230"/>
      <c r="F45" s="3268" t="s">
        <v>2144</v>
      </c>
      <c r="G45" s="3270"/>
      <c r="H45" s="3207" t="s">
        <v>965</v>
      </c>
      <c r="I45" s="3205">
        <v>7500</v>
      </c>
      <c r="J45" s="3206">
        <v>46661</v>
      </c>
      <c r="K45" s="3206">
        <v>46753</v>
      </c>
      <c r="L45" s="3269">
        <f>+I45</f>
        <v>7500</v>
      </c>
      <c r="M45" s="3270"/>
      <c r="N45" s="3270"/>
      <c r="O45" s="3271" t="s">
        <v>2074</v>
      </c>
      <c r="P45" s="3272"/>
      <c r="Q45" s="3272"/>
      <c r="R45" s="3208" t="s">
        <v>2000</v>
      </c>
      <c r="S45" s="3209">
        <v>2028</v>
      </c>
    </row>
    <row r="46" spans="1:20" ht="18" customHeight="1">
      <c r="I46" s="3263">
        <f>+SUM(I2:I45)</f>
        <v>7205000</v>
      </c>
      <c r="L46" s="2642">
        <f>+SUM(L2:L45)</f>
        <v>7205000</v>
      </c>
    </row>
    <row r="47" spans="1:20" ht="18" customHeight="1">
      <c r="I47" s="3263"/>
      <c r="L47" s="3264"/>
    </row>
  </sheetData>
  <autoFilter ref="A1:T47" xr:uid="{00000000-0009-0000-0000-000016000000}"/>
  <mergeCells count="8">
    <mergeCell ref="F10:F14"/>
    <mergeCell ref="F15:F17"/>
    <mergeCell ref="L2:L4"/>
    <mergeCell ref="L5:L9"/>
    <mergeCell ref="L10:L14"/>
    <mergeCell ref="L15:L17"/>
    <mergeCell ref="F2:F4"/>
    <mergeCell ref="F5:F9"/>
  </mergeCells>
  <phoneticPr fontId="9" type="noConversion"/>
  <conditionalFormatting sqref="O42:O45 R42:R45 O2:R41">
    <cfRule type="cellIs" dxfId="27" priority="1" operator="equal">
      <formula>"Revisión OGTIC"</formula>
    </cfRule>
    <cfRule type="cellIs" dxfId="26" priority="2" operator="equal">
      <formula>"Con Recursos Internos"</formula>
    </cfRule>
    <cfRule type="cellIs" dxfId="25" priority="3" operator="equal">
      <formula>"Desestimado"</formula>
    </cfRule>
    <cfRule type="cellIs" dxfId="24" priority="4" operator="equal">
      <formula>"Concluido"</formula>
    </cfRule>
    <cfRule type="cellIs" dxfId="23" priority="5" operator="equal">
      <formula>"En Ejecución"</formula>
    </cfRule>
    <cfRule type="cellIs" dxfId="22" priority="6" operator="equal">
      <formula>"En Proceso Contratación"</formula>
    </cfRule>
    <cfRule type="cellIs" dxfId="21" priority="7" operator="equal">
      <formula>"En Revisión"</formula>
    </cfRule>
    <cfRule type="cellIs" dxfId="20" priority="8" operator="equal">
      <formula>"En Elaboración"</formula>
    </cfRule>
    <cfRule type="cellIs" dxfId="19" priority="9" operator="equal">
      <formula>"No Iniciado"</formula>
    </cfRule>
  </conditionalFormatting>
  <dataValidations count="1">
    <dataValidation allowBlank="1" showErrorMessage="1" sqref="A2" xr:uid="{00000000-0002-0000-1600-000000000000}"/>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D88"/>
  <sheetViews>
    <sheetView showGridLines="0" topLeftCell="A9" zoomScale="85" zoomScaleNormal="85" workbookViewId="0">
      <selection activeCell="I16" sqref="I16"/>
    </sheetView>
  </sheetViews>
  <sheetFormatPr baseColWidth="10" defaultColWidth="9.1640625" defaultRowHeight="15" outlineLevelRow="1"/>
  <cols>
    <col min="1" max="1" width="14.5" style="252" bestFit="1" customWidth="1"/>
    <col min="2" max="2" width="79" style="252" customWidth="1"/>
    <col min="3" max="3" width="13.5" style="252" customWidth="1"/>
    <col min="4" max="4" width="9.5" style="252" bestFit="1" customWidth="1"/>
    <col min="5" max="6" width="9.1640625" style="252"/>
    <col min="7" max="7" width="14.5" style="252" customWidth="1"/>
    <col min="8" max="8" width="12" style="252" bestFit="1" customWidth="1"/>
    <col min="9" max="16384" width="9.1640625" style="252"/>
  </cols>
  <sheetData>
    <row r="1" spans="1:30" ht="17">
      <c r="A1" s="250" t="s">
        <v>2249</v>
      </c>
      <c r="B1" s="251" t="s">
        <v>2250</v>
      </c>
    </row>
    <row r="2" spans="1:30" ht="34">
      <c r="A2" s="250" t="s">
        <v>2251</v>
      </c>
      <c r="B2" s="251" t="s">
        <v>3</v>
      </c>
    </row>
    <row r="3" spans="1:30" ht="34">
      <c r="A3" s="250" t="s">
        <v>2252</v>
      </c>
      <c r="B3" s="251"/>
    </row>
    <row r="4" spans="1:30" ht="34">
      <c r="A4" s="250" t="s">
        <v>2253</v>
      </c>
      <c r="B4" s="251" t="s">
        <v>4</v>
      </c>
    </row>
    <row r="5" spans="1:30" ht="34">
      <c r="A5" s="250" t="s">
        <v>2254</v>
      </c>
      <c r="B5" s="251"/>
      <c r="E5" s="4158" t="s">
        <v>1112</v>
      </c>
      <c r="F5" s="4158"/>
      <c r="G5" s="267">
        <f>+B7+B8</f>
        <v>24692571</v>
      </c>
      <c r="AC5" s="253"/>
      <c r="AD5" s="253"/>
    </row>
    <row r="6" spans="1:30" ht="17">
      <c r="A6" s="250" t="s">
        <v>2255</v>
      </c>
      <c r="B6" s="254">
        <v>0</v>
      </c>
      <c r="C6" s="255"/>
      <c r="E6" s="4158" t="s">
        <v>2256</v>
      </c>
      <c r="F6" s="4158"/>
      <c r="G6" s="267">
        <f>+C58</f>
        <v>23377429</v>
      </c>
      <c r="AC6" s="253"/>
      <c r="AD6" s="253"/>
    </row>
    <row r="7" spans="1:30" ht="34">
      <c r="A7" s="250" t="s">
        <v>2257</v>
      </c>
      <c r="B7" s="254">
        <f>+PA!I5+PA!I6</f>
        <v>1715000</v>
      </c>
      <c r="C7" s="256"/>
      <c r="E7" s="4158" t="s">
        <v>2258</v>
      </c>
      <c r="F7" s="4158"/>
      <c r="G7" s="269">
        <f>+G6+G5</f>
        <v>48070000</v>
      </c>
      <c r="H7" s="257"/>
      <c r="AC7" s="253"/>
      <c r="AD7" s="253"/>
    </row>
    <row r="8" spans="1:30" ht="34">
      <c r="A8" s="250" t="s">
        <v>2259</v>
      </c>
      <c r="B8" s="254">
        <f>+SUM(PA!I10:I71)</f>
        <v>22977571</v>
      </c>
      <c r="AC8" s="253"/>
      <c r="AD8" s="253"/>
    </row>
    <row r="9" spans="1:30" ht="34">
      <c r="A9" s="250" t="s">
        <v>2260</v>
      </c>
      <c r="B9" s="254" t="e">
        <f>+'9.3_PA_Aud. - MH'!D8</f>
        <v>#REF!</v>
      </c>
      <c r="D9" s="257"/>
      <c r="AC9" s="253"/>
      <c r="AD9" s="253"/>
    </row>
    <row r="10" spans="1:30" ht="34">
      <c r="A10" s="258" t="s">
        <v>2261</v>
      </c>
      <c r="B10" s="254"/>
      <c r="G10" s="257"/>
      <c r="AC10" s="253" t="s">
        <v>2262</v>
      </c>
      <c r="AD10" s="253" t="s">
        <v>2263</v>
      </c>
    </row>
    <row r="11" spans="1:30" ht="17">
      <c r="A11" s="250" t="s">
        <v>2264</v>
      </c>
      <c r="B11" s="259"/>
      <c r="AC11" s="253" t="s">
        <v>2265</v>
      </c>
      <c r="AD11" s="253" t="s">
        <v>2266</v>
      </c>
    </row>
    <row r="12" spans="1:30">
      <c r="B12" s="260"/>
      <c r="AC12" s="253" t="s">
        <v>2267</v>
      </c>
      <c r="AD12" s="253" t="s">
        <v>2268</v>
      </c>
    </row>
    <row r="14" spans="1:30" ht="16" thickBot="1"/>
    <row r="15" spans="1:30" s="264" customFormat="1" ht="16" thickBot="1">
      <c r="A15" s="261" t="s">
        <v>484</v>
      </c>
      <c r="B15" s="262" t="s">
        <v>2269</v>
      </c>
      <c r="C15" s="263" t="s">
        <v>610</v>
      </c>
      <c r="D15" s="263" t="s">
        <v>611</v>
      </c>
    </row>
    <row r="16" spans="1:30" s="265" customFormat="1" ht="96" outlineLevel="1">
      <c r="A16" s="2521" t="s">
        <v>2270</v>
      </c>
      <c r="B16" s="2520" t="s">
        <v>684</v>
      </c>
      <c r="C16" s="2522">
        <v>448000</v>
      </c>
      <c r="D16" s="2519">
        <v>67</v>
      </c>
    </row>
    <row r="17" spans="1:7" s="265" customFormat="1" ht="80" outlineLevel="1">
      <c r="A17" s="275" t="s">
        <v>2271</v>
      </c>
      <c r="B17" s="276" t="s">
        <v>687</v>
      </c>
      <c r="C17" s="274">
        <v>18000</v>
      </c>
      <c r="D17" s="333">
        <v>68</v>
      </c>
      <c r="G17" s="266"/>
    </row>
    <row r="18" spans="1:7" s="265" customFormat="1" ht="32" outlineLevel="1">
      <c r="A18" s="2521" t="s">
        <v>2272</v>
      </c>
      <c r="B18" s="2520" t="s">
        <v>690</v>
      </c>
      <c r="C18" s="2522">
        <v>36000</v>
      </c>
      <c r="D18" s="2519">
        <v>69</v>
      </c>
    </row>
    <row r="19" spans="1:7" s="265" customFormat="1" ht="16" outlineLevel="1">
      <c r="A19" s="275" t="s">
        <v>2273</v>
      </c>
      <c r="B19" s="276" t="s">
        <v>708</v>
      </c>
      <c r="C19" s="274">
        <v>479000</v>
      </c>
      <c r="D19" s="333">
        <v>70</v>
      </c>
    </row>
    <row r="20" spans="1:7" s="265" customFormat="1" ht="16" outlineLevel="1">
      <c r="A20" s="2521" t="s">
        <v>938</v>
      </c>
      <c r="B20" s="2520" t="s">
        <v>937</v>
      </c>
      <c r="C20" s="2522">
        <v>80000</v>
      </c>
      <c r="D20" s="2519">
        <v>85</v>
      </c>
    </row>
    <row r="21" spans="1:7" s="265" customFormat="1" ht="16" outlineLevel="1">
      <c r="A21" s="275" t="s">
        <v>632</v>
      </c>
      <c r="B21" s="276" t="s">
        <v>633</v>
      </c>
      <c r="C21" s="274">
        <v>500000</v>
      </c>
      <c r="D21" s="333">
        <v>64</v>
      </c>
    </row>
    <row r="22" spans="1:7" s="265" customFormat="1" ht="16" outlineLevel="1">
      <c r="A22" s="2521" t="s">
        <v>635</v>
      </c>
      <c r="B22" s="2520" t="s">
        <v>636</v>
      </c>
      <c r="C22" s="2522">
        <v>500000</v>
      </c>
      <c r="D22" s="2519">
        <v>65</v>
      </c>
    </row>
    <row r="23" spans="1:7" s="265" customFormat="1" ht="32" outlineLevel="1">
      <c r="A23" s="275" t="s">
        <v>639</v>
      </c>
      <c r="B23" s="276" t="s">
        <v>638</v>
      </c>
      <c r="C23" s="274">
        <v>618000</v>
      </c>
      <c r="D23" s="333">
        <v>66</v>
      </c>
    </row>
    <row r="24" spans="1:7" s="265" customFormat="1" ht="16" outlineLevel="1">
      <c r="A24" s="2521" t="s">
        <v>721</v>
      </c>
      <c r="B24" s="2520" t="s">
        <v>722</v>
      </c>
      <c r="C24" s="2522">
        <v>25000</v>
      </c>
      <c r="D24" s="2519">
        <v>71</v>
      </c>
    </row>
    <row r="25" spans="1:7" s="265" customFormat="1" ht="32" outlineLevel="1">
      <c r="A25" s="275" t="s">
        <v>727</v>
      </c>
      <c r="B25" s="276" t="s">
        <v>728</v>
      </c>
      <c r="C25" s="274">
        <v>5100000</v>
      </c>
      <c r="D25" s="333">
        <v>72</v>
      </c>
    </row>
    <row r="26" spans="1:7" s="265" customFormat="1" ht="16" outlineLevel="1">
      <c r="A26" s="2521" t="s">
        <v>737</v>
      </c>
      <c r="B26" s="2520" t="s">
        <v>738</v>
      </c>
      <c r="C26" s="2522">
        <v>2400000</v>
      </c>
      <c r="D26" s="2519">
        <v>73</v>
      </c>
    </row>
    <row r="27" spans="1:7" s="265" customFormat="1" ht="16" outlineLevel="1">
      <c r="A27" s="275" t="s">
        <v>747</v>
      </c>
      <c r="B27" s="276" t="s">
        <v>748</v>
      </c>
      <c r="C27" s="274">
        <v>2100000</v>
      </c>
      <c r="D27" s="333">
        <v>74</v>
      </c>
    </row>
    <row r="28" spans="1:7" s="265" customFormat="1" ht="16" outlineLevel="1">
      <c r="A28" s="2521" t="s">
        <v>753</v>
      </c>
      <c r="B28" s="2520" t="s">
        <v>754</v>
      </c>
      <c r="C28" s="2522">
        <v>500000</v>
      </c>
      <c r="D28" s="2519">
        <v>75</v>
      </c>
    </row>
    <row r="29" spans="1:7" s="265" customFormat="1" ht="32" outlineLevel="1">
      <c r="A29" s="275" t="s">
        <v>2274</v>
      </c>
      <c r="B29" s="273" t="s">
        <v>804</v>
      </c>
      <c r="C29" s="274">
        <v>75000</v>
      </c>
      <c r="D29" s="333">
        <v>76</v>
      </c>
    </row>
    <row r="30" spans="1:7" s="265" customFormat="1" ht="16" outlineLevel="1">
      <c r="A30" s="2521" t="s">
        <v>839</v>
      </c>
      <c r="B30" s="2520" t="s">
        <v>808</v>
      </c>
      <c r="C30" s="2522">
        <v>750000</v>
      </c>
      <c r="D30" s="2519">
        <v>77</v>
      </c>
    </row>
    <row r="31" spans="1:7" s="265" customFormat="1" ht="16" outlineLevel="1">
      <c r="A31" s="275" t="s">
        <v>2275</v>
      </c>
      <c r="B31" s="276" t="s">
        <v>814</v>
      </c>
      <c r="C31" s="274">
        <v>80000</v>
      </c>
      <c r="D31" s="333">
        <v>78</v>
      </c>
    </row>
    <row r="32" spans="1:7" s="265" customFormat="1" ht="16" outlineLevel="1">
      <c r="A32" s="2521" t="s">
        <v>2276</v>
      </c>
      <c r="B32" s="2520" t="s">
        <v>824</v>
      </c>
      <c r="C32" s="2522">
        <v>45000</v>
      </c>
      <c r="D32" s="2519">
        <v>79</v>
      </c>
    </row>
    <row r="33" spans="1:4" s="265" customFormat="1" ht="16" outlineLevel="1">
      <c r="A33" s="275" t="s">
        <v>2277</v>
      </c>
      <c r="B33" s="276" t="s">
        <v>828</v>
      </c>
      <c r="C33" s="274">
        <v>201000</v>
      </c>
      <c r="D33" s="333">
        <v>80</v>
      </c>
    </row>
    <row r="34" spans="1:4" s="265" customFormat="1" ht="16" outlineLevel="1">
      <c r="A34" s="2521" t="s">
        <v>2278</v>
      </c>
      <c r="B34" s="2520" t="s">
        <v>833</v>
      </c>
      <c r="C34" s="2522">
        <v>70000</v>
      </c>
      <c r="D34" s="2519">
        <v>81</v>
      </c>
    </row>
    <row r="35" spans="1:4" s="265" customFormat="1" ht="16" outlineLevel="1">
      <c r="A35" s="275" t="s">
        <v>2279</v>
      </c>
      <c r="B35" s="276" t="s">
        <v>840</v>
      </c>
      <c r="C35" s="274">
        <v>380000</v>
      </c>
      <c r="D35" s="333">
        <v>82</v>
      </c>
    </row>
    <row r="36" spans="1:4" s="265" customFormat="1" ht="32" outlineLevel="1">
      <c r="A36" s="2521" t="s">
        <v>2280</v>
      </c>
      <c r="B36" s="2520" t="s">
        <v>888</v>
      </c>
      <c r="C36" s="2522">
        <v>1285569</v>
      </c>
      <c r="D36" s="2519">
        <v>83</v>
      </c>
    </row>
    <row r="37" spans="1:4" s="265" customFormat="1" ht="32" outlineLevel="1">
      <c r="A37" s="275" t="s">
        <v>920</v>
      </c>
      <c r="B37" s="276" t="s">
        <v>919</v>
      </c>
      <c r="C37" s="274">
        <v>5020000</v>
      </c>
      <c r="D37" s="333" t="s">
        <v>2281</v>
      </c>
    </row>
    <row r="38" spans="1:4" s="265" customFormat="1" ht="16" outlineLevel="1">
      <c r="A38" s="2521" t="s">
        <v>956</v>
      </c>
      <c r="B38" s="2523" t="s">
        <v>2282</v>
      </c>
      <c r="C38" s="2522">
        <v>160000</v>
      </c>
      <c r="D38" s="2519">
        <v>86</v>
      </c>
    </row>
    <row r="39" spans="1:4" s="265" customFormat="1" ht="14.5" customHeight="1" outlineLevel="1">
      <c r="A39" s="275" t="s">
        <v>958</v>
      </c>
      <c r="B39" s="273" t="s">
        <v>959</v>
      </c>
      <c r="C39" s="274">
        <v>216000</v>
      </c>
      <c r="D39" s="333">
        <v>87</v>
      </c>
    </row>
    <row r="40" spans="1:4" s="265" customFormat="1" ht="16" outlineLevel="1">
      <c r="A40" s="2521" t="s">
        <v>960</v>
      </c>
      <c r="B40" s="2523" t="s">
        <v>961</v>
      </c>
      <c r="C40" s="2522">
        <v>144000</v>
      </c>
      <c r="D40" s="2519">
        <v>88</v>
      </c>
    </row>
    <row r="41" spans="1:4" s="265" customFormat="1" ht="32" outlineLevel="1">
      <c r="A41" s="275" t="s">
        <v>962</v>
      </c>
      <c r="B41" s="273" t="s">
        <v>963</v>
      </c>
      <c r="C41" s="274">
        <v>30000</v>
      </c>
      <c r="D41" s="333">
        <v>89</v>
      </c>
    </row>
    <row r="42" spans="1:4" s="265" customFormat="1" ht="16" outlineLevel="1">
      <c r="A42" s="2521" t="s">
        <v>964</v>
      </c>
      <c r="B42" s="2523" t="s">
        <v>965</v>
      </c>
      <c r="C42" s="2522">
        <v>35000</v>
      </c>
      <c r="D42" s="2519">
        <v>90</v>
      </c>
    </row>
    <row r="43" spans="1:4" s="265" customFormat="1" ht="32" outlineLevel="1">
      <c r="A43" s="275" t="s">
        <v>982</v>
      </c>
      <c r="B43" s="276" t="s">
        <v>2283</v>
      </c>
      <c r="C43" s="274">
        <v>80000</v>
      </c>
      <c r="D43" s="333">
        <v>91</v>
      </c>
    </row>
    <row r="44" spans="1:4" s="265" customFormat="1" ht="16" outlineLevel="1">
      <c r="A44" s="2521" t="s">
        <v>980</v>
      </c>
      <c r="B44" s="2520" t="s">
        <v>971</v>
      </c>
      <c r="C44" s="2522">
        <v>30000</v>
      </c>
      <c r="D44" s="2519">
        <v>92</v>
      </c>
    </row>
    <row r="45" spans="1:4" s="265" customFormat="1" ht="16" outlineLevel="1">
      <c r="A45" s="275" t="s">
        <v>992</v>
      </c>
      <c r="B45" s="276" t="s">
        <v>993</v>
      </c>
      <c r="C45" s="274">
        <v>30000</v>
      </c>
      <c r="D45" s="333">
        <v>94</v>
      </c>
    </row>
    <row r="46" spans="1:4" s="265" customFormat="1" ht="16" outlineLevel="1">
      <c r="A46" s="2521" t="s">
        <v>980</v>
      </c>
      <c r="B46" s="2520" t="s">
        <v>971</v>
      </c>
      <c r="C46" s="2522">
        <v>30000</v>
      </c>
      <c r="D46" s="2519">
        <v>92</v>
      </c>
    </row>
    <row r="47" spans="1:4" s="265" customFormat="1" ht="32" outlineLevel="1">
      <c r="A47" s="275" t="s">
        <v>1016</v>
      </c>
      <c r="B47" s="276" t="s">
        <v>1017</v>
      </c>
      <c r="C47" s="274">
        <v>150000</v>
      </c>
      <c r="D47" s="333">
        <v>96</v>
      </c>
    </row>
    <row r="48" spans="1:4" s="265" customFormat="1" ht="16" outlineLevel="1">
      <c r="A48" s="2521" t="s">
        <v>1047</v>
      </c>
      <c r="B48" s="2523" t="s">
        <v>965</v>
      </c>
      <c r="C48" s="2522">
        <v>25000</v>
      </c>
      <c r="D48" s="2519"/>
    </row>
    <row r="49" spans="1:4" s="265" customFormat="1" ht="32" outlineLevel="1">
      <c r="A49" s="275" t="s">
        <v>1054</v>
      </c>
      <c r="B49" s="276" t="s">
        <v>1052</v>
      </c>
      <c r="C49" s="274">
        <v>623000</v>
      </c>
      <c r="D49" s="333">
        <v>98</v>
      </c>
    </row>
    <row r="50" spans="1:4" s="265" customFormat="1" ht="16" outlineLevel="1">
      <c r="A50" s="2521" t="s">
        <v>1058</v>
      </c>
      <c r="B50" s="2523" t="s">
        <v>1059</v>
      </c>
      <c r="C50" s="2522">
        <v>80000</v>
      </c>
      <c r="D50" s="2519" t="s">
        <v>1624</v>
      </c>
    </row>
    <row r="51" spans="1:4" s="265" customFormat="1" ht="32" outlineLevel="1">
      <c r="A51" s="275" t="s">
        <v>1061</v>
      </c>
      <c r="B51" s="276" t="s">
        <v>1062</v>
      </c>
      <c r="C51" s="274">
        <v>200000</v>
      </c>
      <c r="D51" s="333" t="s">
        <v>1626</v>
      </c>
    </row>
    <row r="52" spans="1:4" s="265" customFormat="1" ht="16" outlineLevel="1">
      <c r="A52" s="2521" t="s">
        <v>1063</v>
      </c>
      <c r="B52" s="2520" t="s">
        <v>1064</v>
      </c>
      <c r="C52" s="2522">
        <v>100000</v>
      </c>
      <c r="D52" s="2519" t="s">
        <v>1628</v>
      </c>
    </row>
    <row r="53" spans="1:4" s="265" customFormat="1" ht="16" outlineLevel="1">
      <c r="A53" s="275" t="s">
        <v>1662</v>
      </c>
      <c r="B53" s="276" t="s">
        <v>1663</v>
      </c>
      <c r="C53" s="274">
        <v>250800</v>
      </c>
      <c r="D53" s="333"/>
    </row>
    <row r="54" spans="1:4" s="265" customFormat="1" ht="16" outlineLevel="1">
      <c r="A54" s="2521" t="s">
        <v>1674</v>
      </c>
      <c r="B54" s="2520" t="s">
        <v>1675</v>
      </c>
      <c r="C54" s="2524">
        <v>30000</v>
      </c>
      <c r="D54" s="2519">
        <v>103</v>
      </c>
    </row>
    <row r="55" spans="1:4" s="265" customFormat="1" ht="16" outlineLevel="1">
      <c r="A55" s="275" t="s">
        <v>1676</v>
      </c>
      <c r="B55" s="276" t="s">
        <v>1677</v>
      </c>
      <c r="C55" s="2525">
        <v>50000</v>
      </c>
      <c r="D55" s="333">
        <v>104</v>
      </c>
    </row>
    <row r="56" spans="1:4" s="265" customFormat="1" ht="16" outlineLevel="1">
      <c r="A56" s="2521" t="s">
        <v>1678</v>
      </c>
      <c r="B56" s="2520" t="s">
        <v>1679</v>
      </c>
      <c r="C56" s="2524">
        <v>70000</v>
      </c>
      <c r="D56" s="2519">
        <v>105</v>
      </c>
    </row>
    <row r="57" spans="1:4" s="265" customFormat="1" ht="16" outlineLevel="1">
      <c r="A57" s="275" t="s">
        <v>2284</v>
      </c>
      <c r="B57" s="276" t="s">
        <v>1633</v>
      </c>
      <c r="C57" s="2525">
        <v>333060</v>
      </c>
      <c r="D57" s="2525"/>
    </row>
    <row r="58" spans="1:4" s="265" customFormat="1" outlineLevel="1">
      <c r="A58" s="272"/>
      <c r="B58" s="273"/>
      <c r="C58" s="2539">
        <f>+SUM(C16:C57)</f>
        <v>23377429</v>
      </c>
      <c r="D58" s="1987"/>
    </row>
    <row r="59" spans="1:4" s="265" customFormat="1" outlineLevel="1">
      <c r="A59" s="272"/>
      <c r="B59" s="273"/>
      <c r="C59" s="2487"/>
      <c r="D59" s="1987"/>
    </row>
    <row r="60" spans="1:4" s="265" customFormat="1" outlineLevel="1">
      <c r="A60" s="272"/>
      <c r="B60" s="273"/>
      <c r="C60" s="2487"/>
      <c r="D60" s="1987"/>
    </row>
    <row r="61" spans="1:4" s="265" customFormat="1" outlineLevel="1">
      <c r="A61" s="272"/>
      <c r="B61" s="273"/>
      <c r="C61" s="2487"/>
      <c r="D61" s="1987"/>
    </row>
    <row r="62" spans="1:4" s="265" customFormat="1" outlineLevel="1">
      <c r="A62" s="272"/>
      <c r="B62" s="273"/>
      <c r="C62" s="2487"/>
      <c r="D62" s="1987"/>
    </row>
    <row r="63" spans="1:4" s="265" customFormat="1" outlineLevel="1">
      <c r="A63" s="272"/>
      <c r="B63" s="273"/>
      <c r="C63" s="2487"/>
      <c r="D63" s="1987"/>
    </row>
    <row r="64" spans="1:4" s="265" customFormat="1" outlineLevel="1">
      <c r="A64" s="272"/>
      <c r="B64" s="273"/>
      <c r="C64" s="2487"/>
      <c r="D64" s="1987"/>
    </row>
    <row r="65" spans="1:4" s="265" customFormat="1" outlineLevel="1">
      <c r="A65" s="272"/>
      <c r="B65" s="273"/>
      <c r="C65" s="2487"/>
      <c r="D65" s="1987"/>
    </row>
    <row r="66" spans="1:4" s="265" customFormat="1" outlineLevel="1">
      <c r="A66" s="272"/>
      <c r="B66" s="273"/>
      <c r="C66" s="2487"/>
      <c r="D66" s="1987"/>
    </row>
    <row r="67" spans="1:4" s="265" customFormat="1" outlineLevel="1">
      <c r="A67" s="272"/>
      <c r="B67" s="273"/>
      <c r="C67" s="2487"/>
      <c r="D67" s="1987"/>
    </row>
    <row r="68" spans="1:4" s="265" customFormat="1" outlineLevel="1">
      <c r="A68" s="272"/>
      <c r="B68" s="276"/>
      <c r="C68" s="2487"/>
      <c r="D68" s="1987"/>
    </row>
    <row r="69" spans="1:4" s="265" customFormat="1">
      <c r="A69" s="275"/>
      <c r="B69" s="273"/>
      <c r="C69" s="274"/>
    </row>
    <row r="70" spans="1:4" s="265" customFormat="1">
      <c r="A70" s="275"/>
      <c r="B70" s="273"/>
      <c r="C70" s="274"/>
    </row>
    <row r="71" spans="1:4" s="265" customFormat="1">
      <c r="A71" s="275"/>
      <c r="B71" s="273"/>
      <c r="C71" s="274"/>
    </row>
    <row r="72" spans="1:4" s="265" customFormat="1">
      <c r="A72" s="275"/>
      <c r="B72" s="273"/>
      <c r="C72" s="274"/>
    </row>
    <row r="73" spans="1:4" s="265" customFormat="1">
      <c r="A73" s="275"/>
      <c r="B73" s="273"/>
      <c r="C73" s="274"/>
    </row>
    <row r="74" spans="1:4" s="265" customFormat="1">
      <c r="A74" s="275"/>
      <c r="B74" s="273"/>
      <c r="C74" s="274"/>
    </row>
    <row r="75" spans="1:4" s="265" customFormat="1">
      <c r="A75" s="275"/>
      <c r="B75" s="276"/>
      <c r="C75" s="274"/>
    </row>
    <row r="76" spans="1:4" s="273" customFormat="1">
      <c r="A76" s="275"/>
      <c r="C76" s="274"/>
    </row>
    <row r="77" spans="1:4" s="265" customFormat="1">
      <c r="A77" s="272"/>
      <c r="B77" s="273"/>
      <c r="C77" s="274"/>
    </row>
    <row r="78" spans="1:4" s="265" customFormat="1">
      <c r="A78" s="275"/>
      <c r="B78" s="273"/>
      <c r="C78" s="274"/>
    </row>
    <row r="79" spans="1:4" s="265" customFormat="1">
      <c r="A79" s="275"/>
      <c r="B79" s="273"/>
      <c r="C79" s="274"/>
    </row>
    <row r="80" spans="1:4" s="265" customFormat="1">
      <c r="A80" s="275"/>
      <c r="B80" s="273"/>
      <c r="C80" s="274"/>
    </row>
    <row r="81" spans="1:3" s="265" customFormat="1">
      <c r="A81" s="275"/>
      <c r="B81" s="273"/>
      <c r="C81" s="274"/>
    </row>
    <row r="82" spans="1:3" s="273" customFormat="1">
      <c r="A82" s="272"/>
      <c r="C82" s="274"/>
    </row>
    <row r="83" spans="1:3" s="265" customFormat="1">
      <c r="A83" s="275"/>
      <c r="B83" s="273"/>
      <c r="C83" s="274"/>
    </row>
    <row r="84" spans="1:3" s="265" customFormat="1">
      <c r="A84" s="272"/>
      <c r="B84" s="273"/>
      <c r="C84" s="274"/>
    </row>
    <row r="85" spans="1:3" s="273" customFormat="1">
      <c r="A85" s="272"/>
      <c r="C85" s="274"/>
    </row>
    <row r="86" spans="1:3" s="265" customFormat="1">
      <c r="A86" s="272"/>
      <c r="B86" s="273"/>
      <c r="C86" s="274"/>
    </row>
    <row r="87" spans="1:3" s="273" customFormat="1">
      <c r="A87" s="272"/>
      <c r="C87" s="274"/>
    </row>
    <row r="88" spans="1:3" s="273" customFormat="1">
      <c r="A88" s="272"/>
      <c r="C88" s="274"/>
    </row>
  </sheetData>
  <mergeCells count="3">
    <mergeCell ref="E6:F6"/>
    <mergeCell ref="E7:F7"/>
    <mergeCell ref="E5:F5"/>
  </mergeCells>
  <conditionalFormatting sqref="A1:A45 A47:A1048576">
    <cfRule type="duplicateValues" dxfId="18" priority="1"/>
  </conditionalFormatting>
  <conditionalFormatting sqref="A16:A45 A47:A57">
    <cfRule type="duplicateValues" dxfId="17" priority="2"/>
  </conditionalFormatting>
  <conditionalFormatting sqref="A58:A68">
    <cfRule type="duplicateValues" dxfId="16" priority="46"/>
  </conditionalFormatting>
  <dataValidations disablePrompts="1" count="2">
    <dataValidation type="list" allowBlank="1" showInputMessage="1" showErrorMessage="1" sqref="O15:O20" xr:uid="{00000000-0002-0000-1700-000000000000}">
      <formula1>$AC$11:$AC$12</formula1>
    </dataValidation>
    <dataValidation type="list" allowBlank="1" showInputMessage="1" showErrorMessage="1" sqref="M15:M20" xr:uid="{00000000-0002-0000-1700-000001000000}">
      <formula1>$AD$10:$AD$12</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700-000002000000}">
          <x14:formula1>
            <xm:f>'9.1_PA_OB&amp;S - MH'!#REF!</xm:f>
          </x14:formula1>
          <xm:sqref>N15:N21</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N71"/>
  <sheetViews>
    <sheetView showGridLines="0" zoomScale="85" zoomScaleNormal="85" workbookViewId="0">
      <selection activeCell="N15" sqref="N15"/>
    </sheetView>
  </sheetViews>
  <sheetFormatPr baseColWidth="10" defaultColWidth="11.5" defaultRowHeight="15" outlineLevelRow="1"/>
  <cols>
    <col min="1" max="1" width="2.5" style="273" customWidth="1"/>
    <col min="2" max="2" width="6.5" style="333" customWidth="1"/>
    <col min="3" max="3" width="8" style="273" customWidth="1"/>
    <col min="4" max="4" width="81.83203125" style="273" customWidth="1"/>
    <col min="5" max="5" width="9.5" style="273" customWidth="1"/>
    <col min="6" max="6" width="19.5" style="273" customWidth="1"/>
    <col min="7" max="7" width="12.1640625" style="273" customWidth="1"/>
    <col min="8" max="8" width="12" style="273" customWidth="1"/>
    <col min="9" max="9" width="12.5" style="273" customWidth="1"/>
    <col min="10" max="10" width="14.83203125" style="273" hidden="1" customWidth="1"/>
    <col min="11" max="11" width="16.5" style="273" hidden="1" customWidth="1"/>
    <col min="12" max="12" width="7.5" style="273" customWidth="1"/>
    <col min="13" max="13" width="11.5" style="273"/>
    <col min="15" max="16384" width="11.5" style="273"/>
  </cols>
  <sheetData>
    <row r="2" spans="2:12" ht="19">
      <c r="B2" s="4159" t="s">
        <v>2285</v>
      </c>
      <c r="C2" s="4159"/>
      <c r="D2" s="4159"/>
      <c r="E2" s="4159"/>
      <c r="F2" s="4159"/>
      <c r="G2" s="4159"/>
      <c r="H2" s="4159"/>
      <c r="I2" s="4159"/>
    </row>
    <row r="3" spans="2:12" ht="68.25" customHeight="1">
      <c r="B3" s="1797" t="s">
        <v>319</v>
      </c>
      <c r="C3" s="1797" t="s">
        <v>2286</v>
      </c>
      <c r="D3" s="1798" t="s">
        <v>2287</v>
      </c>
      <c r="E3" s="1797" t="s">
        <v>1985</v>
      </c>
      <c r="F3" s="1797" t="s">
        <v>2288</v>
      </c>
      <c r="G3" s="1797" t="s">
        <v>1986</v>
      </c>
      <c r="H3" s="1797" t="s">
        <v>1987</v>
      </c>
      <c r="I3" s="1797" t="s">
        <v>2289</v>
      </c>
      <c r="J3" s="1798"/>
      <c r="K3" s="1798"/>
    </row>
    <row r="4" spans="2:12">
      <c r="B4" s="4160" t="s">
        <v>1340</v>
      </c>
      <c r="C4" s="4161"/>
      <c r="D4" s="4161"/>
      <c r="E4" s="4161"/>
      <c r="F4" s="4161"/>
      <c r="G4" s="4161"/>
      <c r="H4" s="4161"/>
      <c r="I4" s="4162"/>
      <c r="J4" s="1771"/>
      <c r="K4" s="1771"/>
    </row>
    <row r="5" spans="2:12" ht="43.5" customHeight="1" outlineLevel="1">
      <c r="B5" s="2526">
        <v>1</v>
      </c>
      <c r="C5" s="2526" t="s">
        <v>2014</v>
      </c>
      <c r="D5" s="2527" t="s">
        <v>2290</v>
      </c>
      <c r="E5" s="2526" t="s">
        <v>774</v>
      </c>
      <c r="F5" s="2528" t="s">
        <v>2291</v>
      </c>
      <c r="G5" s="2529">
        <v>45366</v>
      </c>
      <c r="H5" s="2529">
        <v>45630</v>
      </c>
      <c r="I5" s="2530">
        <v>1515000</v>
      </c>
      <c r="J5" s="1771"/>
      <c r="K5" s="1771"/>
      <c r="L5" s="314"/>
    </row>
    <row r="6" spans="2:12" ht="50.25" customHeight="1" outlineLevel="1">
      <c r="B6" s="2531">
        <v>2</v>
      </c>
      <c r="C6" s="2531" t="s">
        <v>2014</v>
      </c>
      <c r="D6" s="2532" t="s">
        <v>1339</v>
      </c>
      <c r="E6" s="2531" t="s">
        <v>802</v>
      </c>
      <c r="F6" s="2533" t="s">
        <v>2291</v>
      </c>
      <c r="G6" s="2534">
        <v>45366</v>
      </c>
      <c r="H6" s="2534">
        <v>45492</v>
      </c>
      <c r="I6" s="2535">
        <v>200000</v>
      </c>
      <c r="J6" s="1771"/>
      <c r="K6" s="1771"/>
    </row>
    <row r="7" spans="2:12" ht="18" customHeight="1">
      <c r="B7" s="4163" t="s">
        <v>2292</v>
      </c>
      <c r="C7" s="4164"/>
      <c r="D7" s="4164"/>
      <c r="E7" s="4164"/>
      <c r="F7" s="4164"/>
      <c r="G7" s="4164"/>
      <c r="H7" s="4164"/>
      <c r="I7" s="4165"/>
      <c r="J7" s="1771"/>
      <c r="K7" s="1771"/>
    </row>
    <row r="8" spans="2:12" outlineLevel="1">
      <c r="B8" s="2536"/>
      <c r="C8" s="2536"/>
      <c r="D8" s="2537"/>
      <c r="E8" s="2536"/>
      <c r="F8" s="2536"/>
      <c r="G8" s="2536"/>
      <c r="H8" s="2536"/>
      <c r="I8" s="2538"/>
      <c r="J8" s="1771"/>
      <c r="K8" s="1771"/>
    </row>
    <row r="9" spans="2:12">
      <c r="B9" s="4163" t="s">
        <v>2293</v>
      </c>
      <c r="C9" s="4164"/>
      <c r="D9" s="4164"/>
      <c r="E9" s="4164"/>
      <c r="F9" s="4164"/>
      <c r="G9" s="4164"/>
      <c r="H9" s="4164"/>
      <c r="I9" s="4165"/>
      <c r="J9" s="1771"/>
      <c r="K9" s="1771"/>
    </row>
    <row r="10" spans="2:12" ht="48" outlineLevel="1">
      <c r="B10" s="2526">
        <v>3</v>
      </c>
      <c r="C10" s="2526" t="s">
        <v>2294</v>
      </c>
      <c r="D10" s="2527" t="s">
        <v>2295</v>
      </c>
      <c r="E10" s="2526" t="s">
        <v>2296</v>
      </c>
      <c r="F10" s="2528" t="s">
        <v>2297</v>
      </c>
      <c r="G10" s="2529">
        <v>45621</v>
      </c>
      <c r="H10" s="2529">
        <v>45904</v>
      </c>
      <c r="I10" s="2530">
        <v>1440000</v>
      </c>
      <c r="J10" s="1771"/>
      <c r="K10" s="1771"/>
    </row>
    <row r="11" spans="2:12" ht="26" outlineLevel="1">
      <c r="B11" s="2531">
        <v>4</v>
      </c>
      <c r="C11" s="2531" t="s">
        <v>1994</v>
      </c>
      <c r="D11" s="2532" t="s">
        <v>621</v>
      </c>
      <c r="E11" s="2531" t="s">
        <v>763</v>
      </c>
      <c r="F11" s="2533" t="s">
        <v>2298</v>
      </c>
      <c r="G11" s="2534">
        <v>45269</v>
      </c>
      <c r="H11" s="2534">
        <v>45387</v>
      </c>
      <c r="I11" s="2535">
        <v>120000</v>
      </c>
      <c r="J11" s="1771"/>
      <c r="K11" s="1771"/>
    </row>
    <row r="12" spans="2:12" ht="26" outlineLevel="1">
      <c r="B12" s="2526">
        <v>5</v>
      </c>
      <c r="C12" s="2526" t="s">
        <v>1994</v>
      </c>
      <c r="D12" s="2527" t="s">
        <v>623</v>
      </c>
      <c r="E12" s="2526" t="s">
        <v>763</v>
      </c>
      <c r="F12" s="2528" t="s">
        <v>2298</v>
      </c>
      <c r="G12" s="2529">
        <v>45309</v>
      </c>
      <c r="H12" s="2529">
        <v>45427</v>
      </c>
      <c r="I12" s="2530">
        <v>642000</v>
      </c>
      <c r="J12" s="1771"/>
      <c r="K12" s="1771"/>
    </row>
    <row r="13" spans="2:12" ht="48" outlineLevel="1">
      <c r="B13" s="2531">
        <v>8</v>
      </c>
      <c r="C13" s="2531" t="s">
        <v>1994</v>
      </c>
      <c r="D13" s="2532" t="s">
        <v>2299</v>
      </c>
      <c r="E13" s="2531" t="s">
        <v>853</v>
      </c>
      <c r="F13" s="2533" t="s">
        <v>2297</v>
      </c>
      <c r="G13" s="2534">
        <v>45397</v>
      </c>
      <c r="H13" s="2534">
        <v>45680</v>
      </c>
      <c r="I13" s="2535">
        <v>246000</v>
      </c>
      <c r="J13" s="1771"/>
      <c r="K13" s="1771"/>
    </row>
    <row r="14" spans="2:12" ht="32" outlineLevel="1">
      <c r="B14" s="2526">
        <v>11</v>
      </c>
      <c r="C14" s="2526" t="s">
        <v>2033</v>
      </c>
      <c r="D14" s="2527" t="s">
        <v>1288</v>
      </c>
      <c r="E14" s="2526" t="s">
        <v>763</v>
      </c>
      <c r="F14" s="2528" t="s">
        <v>2298</v>
      </c>
      <c r="G14" s="2529">
        <v>45383</v>
      </c>
      <c r="H14" s="2529">
        <v>45501</v>
      </c>
      <c r="I14" s="2530">
        <v>100000</v>
      </c>
      <c r="J14" s="1771"/>
      <c r="K14" s="1771"/>
    </row>
    <row r="15" spans="2:12" ht="32" outlineLevel="1">
      <c r="B15" s="2526">
        <v>12</v>
      </c>
      <c r="C15" s="2526" t="s">
        <v>2102</v>
      </c>
      <c r="D15" s="2527" t="s">
        <v>2300</v>
      </c>
      <c r="E15" s="2526" t="s">
        <v>763</v>
      </c>
      <c r="F15" s="2528" t="s">
        <v>2298</v>
      </c>
      <c r="G15" s="2529">
        <v>45383</v>
      </c>
      <c r="H15" s="2529">
        <v>45501</v>
      </c>
      <c r="I15" s="2530">
        <v>18000</v>
      </c>
      <c r="J15" s="1771"/>
      <c r="K15" s="1771"/>
    </row>
    <row r="16" spans="2:12" ht="32" outlineLevel="1">
      <c r="B16" s="2531">
        <v>13</v>
      </c>
      <c r="C16" s="2531" t="s">
        <v>2014</v>
      </c>
      <c r="D16" s="2532" t="s">
        <v>2301</v>
      </c>
      <c r="E16" s="2531" t="s">
        <v>763</v>
      </c>
      <c r="F16" s="2533" t="s">
        <v>2298</v>
      </c>
      <c r="G16" s="2534">
        <v>45366</v>
      </c>
      <c r="H16" s="2534">
        <v>45484</v>
      </c>
      <c r="I16" s="2535">
        <v>35000</v>
      </c>
      <c r="J16" s="1771"/>
      <c r="K16" s="1771"/>
    </row>
    <row r="17" spans="2:13" ht="48" outlineLevel="1">
      <c r="B17" s="2526">
        <v>14</v>
      </c>
      <c r="C17" s="2526" t="s">
        <v>2014</v>
      </c>
      <c r="D17" s="2527" t="s">
        <v>2302</v>
      </c>
      <c r="E17" s="2526" t="s">
        <v>853</v>
      </c>
      <c r="F17" s="2528" t="s">
        <v>2297</v>
      </c>
      <c r="G17" s="2529">
        <v>45574</v>
      </c>
      <c r="H17" s="2529">
        <v>45857</v>
      </c>
      <c r="I17" s="2530">
        <v>900000</v>
      </c>
      <c r="J17" s="1771"/>
      <c r="K17" s="1771"/>
    </row>
    <row r="18" spans="2:13" ht="32" outlineLevel="1">
      <c r="B18" s="2531">
        <v>15</v>
      </c>
      <c r="C18" s="2531" t="s">
        <v>2014</v>
      </c>
      <c r="D18" s="2532" t="s">
        <v>2303</v>
      </c>
      <c r="E18" s="2531" t="s">
        <v>763</v>
      </c>
      <c r="F18" s="2533" t="s">
        <v>2298</v>
      </c>
      <c r="G18" s="2534">
        <v>45366</v>
      </c>
      <c r="H18" s="2534">
        <v>45484</v>
      </c>
      <c r="I18" s="2535">
        <v>222000</v>
      </c>
      <c r="J18" s="1771"/>
      <c r="K18" s="1771"/>
    </row>
    <row r="19" spans="2:13" ht="32" outlineLevel="1">
      <c r="B19" s="2526">
        <v>16</v>
      </c>
      <c r="C19" s="2526" t="s">
        <v>2014</v>
      </c>
      <c r="D19" s="2527" t="s">
        <v>2304</v>
      </c>
      <c r="E19" s="2526" t="s">
        <v>763</v>
      </c>
      <c r="F19" s="2528" t="s">
        <v>2298</v>
      </c>
      <c r="G19" s="2529">
        <v>45366</v>
      </c>
      <c r="H19" s="2529">
        <v>45484</v>
      </c>
      <c r="I19" s="2530">
        <v>132000</v>
      </c>
      <c r="J19" s="1771"/>
      <c r="K19" s="1771"/>
    </row>
    <row r="20" spans="2:13" ht="32" outlineLevel="1">
      <c r="B20" s="2531">
        <v>17</v>
      </c>
      <c r="C20" s="2531" t="s">
        <v>2014</v>
      </c>
      <c r="D20" s="2532" t="s">
        <v>2305</v>
      </c>
      <c r="E20" s="2531" t="s">
        <v>1202</v>
      </c>
      <c r="F20" s="2533" t="s">
        <v>2298</v>
      </c>
      <c r="G20" s="2534">
        <v>45366</v>
      </c>
      <c r="H20" s="2534">
        <v>45484</v>
      </c>
      <c r="I20" s="2535">
        <v>200000</v>
      </c>
      <c r="J20" s="1771"/>
      <c r="K20" s="1771"/>
    </row>
    <row r="21" spans="2:13" ht="32" outlineLevel="1">
      <c r="B21" s="2526">
        <v>18</v>
      </c>
      <c r="C21" s="2526" t="s">
        <v>2014</v>
      </c>
      <c r="D21" s="2527" t="s">
        <v>2306</v>
      </c>
      <c r="E21" s="2526" t="s">
        <v>763</v>
      </c>
      <c r="F21" s="2528" t="s">
        <v>2298</v>
      </c>
      <c r="G21" s="2529">
        <v>45366</v>
      </c>
      <c r="H21" s="2529">
        <v>45484</v>
      </c>
      <c r="I21" s="2530">
        <v>200000</v>
      </c>
      <c r="J21" s="1771"/>
      <c r="K21" s="1771"/>
    </row>
    <row r="22" spans="2:13" ht="26" outlineLevel="1">
      <c r="B22" s="2531">
        <v>19</v>
      </c>
      <c r="C22" s="2531" t="s">
        <v>2014</v>
      </c>
      <c r="D22" s="2532" t="s">
        <v>2307</v>
      </c>
      <c r="E22" s="2531" t="s">
        <v>763</v>
      </c>
      <c r="F22" s="2533" t="s">
        <v>2298</v>
      </c>
      <c r="G22" s="2534">
        <v>45366</v>
      </c>
      <c r="H22" s="2534">
        <v>45484</v>
      </c>
      <c r="I22" s="2535">
        <v>50000</v>
      </c>
      <c r="J22" s="1771"/>
      <c r="K22" s="1771"/>
    </row>
    <row r="23" spans="2:13" ht="32" outlineLevel="1">
      <c r="B23" s="2526">
        <v>20</v>
      </c>
      <c r="C23" s="2526" t="s">
        <v>2014</v>
      </c>
      <c r="D23" s="2527" t="s">
        <v>2308</v>
      </c>
      <c r="E23" s="2526" t="s">
        <v>763</v>
      </c>
      <c r="F23" s="2528" t="s">
        <v>2298</v>
      </c>
      <c r="G23" s="2529">
        <v>45574</v>
      </c>
      <c r="H23" s="2529">
        <v>45692</v>
      </c>
      <c r="I23" s="2530">
        <v>100000</v>
      </c>
      <c r="J23" s="1771"/>
      <c r="K23" s="1771"/>
    </row>
    <row r="24" spans="2:13" ht="32" outlineLevel="1">
      <c r="B24" s="2531">
        <v>21</v>
      </c>
      <c r="C24" s="2531" t="s">
        <v>2014</v>
      </c>
      <c r="D24" s="2532" t="s">
        <v>2309</v>
      </c>
      <c r="E24" s="2531" t="s">
        <v>763</v>
      </c>
      <c r="F24" s="2533" t="s">
        <v>2298</v>
      </c>
      <c r="G24" s="2534">
        <v>45574</v>
      </c>
      <c r="H24" s="2534">
        <v>45692</v>
      </c>
      <c r="I24" s="2535">
        <v>300000</v>
      </c>
      <c r="J24" s="1771"/>
      <c r="K24" s="1771"/>
    </row>
    <row r="25" spans="2:13" ht="32" outlineLevel="1">
      <c r="B25" s="2526">
        <v>22</v>
      </c>
      <c r="C25" s="2526" t="s">
        <v>2063</v>
      </c>
      <c r="D25" s="2527" t="s">
        <v>2310</v>
      </c>
      <c r="E25" s="2526" t="s">
        <v>763</v>
      </c>
      <c r="F25" s="2528" t="s">
        <v>2298</v>
      </c>
      <c r="G25" s="2529">
        <v>45366</v>
      </c>
      <c r="H25" s="2529">
        <v>45484</v>
      </c>
      <c r="I25" s="2530">
        <v>50000</v>
      </c>
      <c r="J25" s="1771"/>
      <c r="K25" s="1771"/>
    </row>
    <row r="26" spans="2:13" ht="32" outlineLevel="1">
      <c r="B26" s="2531">
        <v>23</v>
      </c>
      <c r="C26" s="2531" t="s">
        <v>2021</v>
      </c>
      <c r="D26" s="2532" t="s">
        <v>2311</v>
      </c>
      <c r="E26" s="2531" t="s">
        <v>838</v>
      </c>
      <c r="F26" s="2533" t="s">
        <v>2297</v>
      </c>
      <c r="G26" s="2534">
        <v>45366</v>
      </c>
      <c r="H26" s="2534">
        <v>45574</v>
      </c>
      <c r="I26" s="2535">
        <v>120000</v>
      </c>
      <c r="J26" s="1771"/>
      <c r="K26" s="1771"/>
    </row>
    <row r="27" spans="2:13" ht="48" outlineLevel="1">
      <c r="B27" s="2526">
        <v>25</v>
      </c>
      <c r="C27" s="2526" t="s">
        <v>2005</v>
      </c>
      <c r="D27" s="2527" t="s">
        <v>2312</v>
      </c>
      <c r="E27" s="2526" t="s">
        <v>853</v>
      </c>
      <c r="F27" s="2528" t="s">
        <v>2297</v>
      </c>
      <c r="G27" s="2529">
        <v>45737</v>
      </c>
      <c r="H27" s="2529">
        <v>46020</v>
      </c>
      <c r="I27" s="2530">
        <v>5809485</v>
      </c>
      <c r="J27" s="1771"/>
      <c r="K27" s="1771"/>
    </row>
    <row r="28" spans="2:13" ht="48" outlineLevel="1">
      <c r="B28" s="2531">
        <v>26</v>
      </c>
      <c r="C28" s="2531" t="s">
        <v>2005</v>
      </c>
      <c r="D28" s="2532" t="s">
        <v>2313</v>
      </c>
      <c r="E28" s="2531" t="s">
        <v>2314</v>
      </c>
      <c r="F28" s="2533" t="s">
        <v>2297</v>
      </c>
      <c r="G28" s="2534">
        <v>45413</v>
      </c>
      <c r="H28" s="2534">
        <v>45696</v>
      </c>
      <c r="I28" s="2535">
        <v>800000</v>
      </c>
      <c r="J28" s="1771"/>
      <c r="K28" s="1771"/>
    </row>
    <row r="29" spans="2:13" ht="80" outlineLevel="1">
      <c r="B29" s="2526">
        <v>27</v>
      </c>
      <c r="C29" s="2526" t="s">
        <v>2005</v>
      </c>
      <c r="D29" s="2527" t="s">
        <v>2315</v>
      </c>
      <c r="E29" s="2526" t="s">
        <v>763</v>
      </c>
      <c r="F29" s="2528" t="s">
        <v>2298</v>
      </c>
      <c r="G29" s="2529">
        <v>45269</v>
      </c>
      <c r="H29" s="2529">
        <v>45387</v>
      </c>
      <c r="I29" s="2530">
        <v>15000</v>
      </c>
      <c r="J29" s="1771"/>
      <c r="K29" s="1771"/>
    </row>
    <row r="30" spans="2:13" ht="32" outlineLevel="1">
      <c r="B30" s="2531">
        <v>28</v>
      </c>
      <c r="C30" s="2531" t="s">
        <v>2036</v>
      </c>
      <c r="D30" s="2532" t="s">
        <v>2316</v>
      </c>
      <c r="E30" s="2531" t="s">
        <v>763</v>
      </c>
      <c r="F30" s="2533" t="s">
        <v>2298</v>
      </c>
      <c r="G30" s="2534">
        <v>45397</v>
      </c>
      <c r="H30" s="2534">
        <v>45515</v>
      </c>
      <c r="I30" s="2535">
        <v>50000</v>
      </c>
      <c r="J30" s="1771"/>
      <c r="K30" s="1771"/>
    </row>
    <row r="31" spans="2:13" ht="32" outlineLevel="1">
      <c r="B31" s="2526">
        <v>29</v>
      </c>
      <c r="C31" s="2526" t="s">
        <v>2036</v>
      </c>
      <c r="D31" s="2527" t="s">
        <v>2317</v>
      </c>
      <c r="E31" s="2526" t="s">
        <v>763</v>
      </c>
      <c r="F31" s="2528" t="s">
        <v>2298</v>
      </c>
      <c r="G31" s="2529">
        <v>45645</v>
      </c>
      <c r="H31" s="2529">
        <v>45763</v>
      </c>
      <c r="I31" s="2530">
        <v>30000</v>
      </c>
      <c r="J31" s="1771"/>
      <c r="K31" s="1771"/>
      <c r="M31" s="2478"/>
    </row>
    <row r="32" spans="2:13" ht="32" outlineLevel="1">
      <c r="B32" s="2531">
        <v>30</v>
      </c>
      <c r="C32" s="2531" t="s">
        <v>2036</v>
      </c>
      <c r="D32" s="2532" t="s">
        <v>2318</v>
      </c>
      <c r="E32" s="2531" t="s">
        <v>763</v>
      </c>
      <c r="F32" s="2533" t="s">
        <v>2298</v>
      </c>
      <c r="G32" s="2534">
        <v>45397</v>
      </c>
      <c r="H32" s="2534">
        <v>45515</v>
      </c>
      <c r="I32" s="2535">
        <v>20000</v>
      </c>
      <c r="J32" s="1771"/>
      <c r="K32" s="1771"/>
      <c r="M32" s="2478"/>
    </row>
    <row r="33" spans="2:11" ht="32" outlineLevel="1">
      <c r="B33" s="2526">
        <v>31</v>
      </c>
      <c r="C33" s="2526" t="s">
        <v>2036</v>
      </c>
      <c r="D33" s="2527" t="s">
        <v>2319</v>
      </c>
      <c r="E33" s="2526" t="s">
        <v>853</v>
      </c>
      <c r="F33" s="2528" t="s">
        <v>2297</v>
      </c>
      <c r="G33" s="2529">
        <v>45635</v>
      </c>
      <c r="H33" s="2529">
        <v>45918</v>
      </c>
      <c r="I33" s="2530">
        <v>920000</v>
      </c>
      <c r="J33" s="1771"/>
      <c r="K33" s="1771"/>
    </row>
    <row r="34" spans="2:11" ht="32" outlineLevel="1">
      <c r="B34" s="2531">
        <v>106</v>
      </c>
      <c r="C34" s="2531" t="s">
        <v>1994</v>
      </c>
      <c r="D34" s="2532" t="s">
        <v>675</v>
      </c>
      <c r="E34" s="2531" t="s">
        <v>763</v>
      </c>
      <c r="F34" s="2533" t="s">
        <v>2297</v>
      </c>
      <c r="G34" s="2534">
        <v>45547</v>
      </c>
      <c r="H34" s="2534">
        <v>45665</v>
      </c>
      <c r="I34" s="2535">
        <v>810000</v>
      </c>
      <c r="J34" s="1771"/>
      <c r="K34" s="1771"/>
    </row>
    <row r="35" spans="2:11" ht="16" outlineLevel="1">
      <c r="B35" s="2526">
        <v>107</v>
      </c>
      <c r="C35" s="2526" t="s">
        <v>1994</v>
      </c>
      <c r="D35" s="2527" t="s">
        <v>619</v>
      </c>
      <c r="E35" s="2526" t="s">
        <v>763</v>
      </c>
      <c r="F35" s="2528" t="s">
        <v>2297</v>
      </c>
      <c r="G35" s="2529">
        <v>45483</v>
      </c>
      <c r="H35" s="2529">
        <v>45601</v>
      </c>
      <c r="I35" s="2530">
        <v>200000</v>
      </c>
      <c r="J35" s="1771"/>
      <c r="K35" s="1771"/>
    </row>
    <row r="36" spans="2:11" ht="16" outlineLevel="1">
      <c r="B36" s="2531">
        <v>108</v>
      </c>
      <c r="C36" s="2531" t="s">
        <v>1994</v>
      </c>
      <c r="D36" s="2532" t="s">
        <v>2320</v>
      </c>
      <c r="E36" s="2531" t="s">
        <v>763</v>
      </c>
      <c r="F36" s="2533" t="s">
        <v>2297</v>
      </c>
      <c r="G36" s="2534">
        <v>45366</v>
      </c>
      <c r="H36" s="2534">
        <v>45484</v>
      </c>
      <c r="I36" s="2535">
        <v>48000</v>
      </c>
      <c r="J36" s="1771"/>
      <c r="K36" s="1771"/>
    </row>
    <row r="37" spans="2:11" ht="16" outlineLevel="1">
      <c r="B37" s="2526">
        <v>109</v>
      </c>
      <c r="C37" s="2526" t="s">
        <v>1994</v>
      </c>
      <c r="D37" s="2527" t="s">
        <v>2321</v>
      </c>
      <c r="E37" s="2526" t="s">
        <v>763</v>
      </c>
      <c r="F37" s="2528" t="s">
        <v>2297</v>
      </c>
      <c r="G37" s="2529">
        <v>45366</v>
      </c>
      <c r="H37" s="2529">
        <v>45484</v>
      </c>
      <c r="I37" s="2530">
        <v>36000</v>
      </c>
      <c r="J37" s="1771"/>
      <c r="K37" s="1771"/>
    </row>
    <row r="38" spans="2:11" ht="32" outlineLevel="1">
      <c r="B38" s="2531">
        <v>32</v>
      </c>
      <c r="C38" s="2531" t="s">
        <v>2157</v>
      </c>
      <c r="D38" s="2532" t="s">
        <v>2322</v>
      </c>
      <c r="E38" s="2531" t="s">
        <v>1202</v>
      </c>
      <c r="F38" s="2533" t="s">
        <v>2323</v>
      </c>
      <c r="G38" s="2534">
        <v>45390</v>
      </c>
      <c r="H38" s="2534">
        <v>45508</v>
      </c>
      <c r="I38" s="2535">
        <v>400000</v>
      </c>
      <c r="J38" s="1771"/>
      <c r="K38" s="1771"/>
    </row>
    <row r="39" spans="2:11" ht="48" outlineLevel="1">
      <c r="B39" s="2526">
        <v>33</v>
      </c>
      <c r="C39" s="2526" t="s">
        <v>2324</v>
      </c>
      <c r="D39" s="2527" t="s">
        <v>2325</v>
      </c>
      <c r="E39" s="2526" t="s">
        <v>853</v>
      </c>
      <c r="F39" s="2528" t="s">
        <v>2298</v>
      </c>
      <c r="G39" s="2529">
        <v>45658</v>
      </c>
      <c r="H39" s="2529">
        <v>45938</v>
      </c>
      <c r="I39" s="2530">
        <v>3965000</v>
      </c>
      <c r="J39" s="1863"/>
      <c r="K39" s="1771"/>
    </row>
    <row r="40" spans="2:11" ht="48" outlineLevel="1">
      <c r="B40" s="2531">
        <v>34</v>
      </c>
      <c r="C40" s="2531" t="s">
        <v>2162</v>
      </c>
      <c r="D40" s="2532" t="s">
        <v>2326</v>
      </c>
      <c r="E40" s="2531" t="s">
        <v>763</v>
      </c>
      <c r="F40" s="2533" t="s">
        <v>2298</v>
      </c>
      <c r="G40" s="2534">
        <v>45366</v>
      </c>
      <c r="H40" s="2534">
        <v>45484</v>
      </c>
      <c r="I40" s="2535">
        <v>54000</v>
      </c>
      <c r="J40" s="1863"/>
      <c r="K40" s="1771"/>
    </row>
    <row r="41" spans="2:11" ht="48" outlineLevel="1">
      <c r="B41" s="2526">
        <v>35</v>
      </c>
      <c r="C41" s="2526" t="s">
        <v>2157</v>
      </c>
      <c r="D41" s="2527" t="s">
        <v>2327</v>
      </c>
      <c r="E41" s="2526" t="s">
        <v>763</v>
      </c>
      <c r="F41" s="2528" t="s">
        <v>2298</v>
      </c>
      <c r="G41" s="2529">
        <v>45366</v>
      </c>
      <c r="H41" s="2529">
        <v>45484</v>
      </c>
      <c r="I41" s="2530">
        <v>45000</v>
      </c>
      <c r="J41" s="1863"/>
      <c r="K41" s="1771"/>
    </row>
    <row r="42" spans="2:11" ht="32" outlineLevel="1">
      <c r="B42" s="2531">
        <v>36</v>
      </c>
      <c r="C42" s="2531" t="s">
        <v>2157</v>
      </c>
      <c r="D42" s="2532" t="s">
        <v>2328</v>
      </c>
      <c r="E42" s="2531" t="s">
        <v>763</v>
      </c>
      <c r="F42" s="2533" t="s">
        <v>2298</v>
      </c>
      <c r="G42" s="2534">
        <v>45390</v>
      </c>
      <c r="H42" s="2534">
        <v>45508</v>
      </c>
      <c r="I42" s="2535">
        <v>24000</v>
      </c>
      <c r="J42" s="1863"/>
      <c r="K42" s="1771"/>
    </row>
    <row r="43" spans="2:11" ht="48" outlineLevel="1">
      <c r="B43" s="2526">
        <v>37</v>
      </c>
      <c r="C43" s="2526" t="s">
        <v>2168</v>
      </c>
      <c r="D43" s="2527" t="s">
        <v>2329</v>
      </c>
      <c r="E43" s="2526" t="s">
        <v>838</v>
      </c>
      <c r="F43" s="2528" t="s">
        <v>2297</v>
      </c>
      <c r="G43" s="2529">
        <v>45449</v>
      </c>
      <c r="H43" s="2529">
        <v>45667</v>
      </c>
      <c r="I43" s="2530">
        <v>180000</v>
      </c>
      <c r="J43" s="1863"/>
      <c r="K43" s="1771"/>
    </row>
    <row r="44" spans="2:11" ht="32" outlineLevel="1">
      <c r="B44" s="2531">
        <v>38</v>
      </c>
      <c r="C44" s="2531" t="s">
        <v>2168</v>
      </c>
      <c r="D44" s="2532" t="s">
        <v>2330</v>
      </c>
      <c r="E44" s="2531" t="s">
        <v>763</v>
      </c>
      <c r="F44" s="2533" t="s">
        <v>2298</v>
      </c>
      <c r="G44" s="2534">
        <v>45449</v>
      </c>
      <c r="H44" s="2534">
        <v>45567</v>
      </c>
      <c r="I44" s="2535">
        <v>60000</v>
      </c>
      <c r="J44" s="1863"/>
      <c r="K44" s="1771"/>
    </row>
    <row r="45" spans="2:11" ht="32" outlineLevel="1">
      <c r="B45" s="2526">
        <v>39</v>
      </c>
      <c r="C45" s="2526" t="s">
        <v>2168</v>
      </c>
      <c r="D45" s="2527" t="s">
        <v>2331</v>
      </c>
      <c r="E45" s="2526" t="s">
        <v>763</v>
      </c>
      <c r="F45" s="2528" t="s">
        <v>2298</v>
      </c>
      <c r="G45" s="2529">
        <v>45449</v>
      </c>
      <c r="H45" s="2529">
        <v>45567</v>
      </c>
      <c r="I45" s="2530">
        <v>60000</v>
      </c>
      <c r="J45" s="1863"/>
      <c r="K45" s="1771"/>
    </row>
    <row r="46" spans="2:11" ht="32" outlineLevel="1">
      <c r="B46" s="2531">
        <v>40</v>
      </c>
      <c r="C46" s="2531" t="s">
        <v>2168</v>
      </c>
      <c r="D46" s="2532" t="s">
        <v>2332</v>
      </c>
      <c r="E46" s="2531" t="s">
        <v>763</v>
      </c>
      <c r="F46" s="2533" t="s">
        <v>2298</v>
      </c>
      <c r="G46" s="2534">
        <v>45571</v>
      </c>
      <c r="H46" s="2534">
        <v>45689</v>
      </c>
      <c r="I46" s="2535">
        <v>60000</v>
      </c>
      <c r="J46" s="1863"/>
      <c r="K46" s="1771"/>
    </row>
    <row r="47" spans="2:11" ht="32" outlineLevel="1">
      <c r="B47" s="2526">
        <v>41</v>
      </c>
      <c r="C47" s="2526" t="s">
        <v>2165</v>
      </c>
      <c r="D47" s="2527" t="s">
        <v>2333</v>
      </c>
      <c r="E47" s="2526" t="s">
        <v>763</v>
      </c>
      <c r="F47" s="2528" t="s">
        <v>2298</v>
      </c>
      <c r="G47" s="2529">
        <v>45358</v>
      </c>
      <c r="H47" s="2529">
        <v>45476</v>
      </c>
      <c r="I47" s="2530">
        <v>40000</v>
      </c>
      <c r="J47" s="1863"/>
      <c r="K47" s="1771"/>
    </row>
    <row r="48" spans="2:11" ht="26" outlineLevel="1">
      <c r="B48" s="2531">
        <v>42</v>
      </c>
      <c r="C48" s="2531" t="s">
        <v>2334</v>
      </c>
      <c r="D48" s="2532" t="s">
        <v>2335</v>
      </c>
      <c r="E48" s="2531" t="s">
        <v>763</v>
      </c>
      <c r="F48" s="2533" t="s">
        <v>2298</v>
      </c>
      <c r="G48" s="2534">
        <v>45148</v>
      </c>
      <c r="H48" s="2534">
        <v>45266</v>
      </c>
      <c r="I48" s="2535">
        <v>225000</v>
      </c>
      <c r="J48" s="1863"/>
      <c r="K48" s="1771"/>
    </row>
    <row r="49" spans="2:11" ht="26" outlineLevel="1">
      <c r="B49" s="2526">
        <v>43</v>
      </c>
      <c r="C49" s="2526" t="s">
        <v>2334</v>
      </c>
      <c r="D49" s="2527" t="s">
        <v>2336</v>
      </c>
      <c r="E49" s="2526" t="s">
        <v>763</v>
      </c>
      <c r="F49" s="2528" t="s">
        <v>2298</v>
      </c>
      <c r="G49" s="2529">
        <v>45148</v>
      </c>
      <c r="H49" s="2529">
        <v>45266</v>
      </c>
      <c r="I49" s="2530">
        <v>225000</v>
      </c>
      <c r="J49" s="1863"/>
      <c r="K49" s="1771"/>
    </row>
    <row r="50" spans="2:11" ht="26" outlineLevel="1">
      <c r="B50" s="2531">
        <v>44</v>
      </c>
      <c r="C50" s="2531" t="s">
        <v>2334</v>
      </c>
      <c r="D50" s="2532" t="s">
        <v>2337</v>
      </c>
      <c r="E50" s="2531" t="s">
        <v>763</v>
      </c>
      <c r="F50" s="2533" t="s">
        <v>2298</v>
      </c>
      <c r="G50" s="2534">
        <v>45148</v>
      </c>
      <c r="H50" s="2534">
        <v>45266</v>
      </c>
      <c r="I50" s="2535">
        <v>250000</v>
      </c>
      <c r="J50" s="1863"/>
      <c r="K50" s="1771"/>
    </row>
    <row r="51" spans="2:11" ht="26" outlineLevel="1">
      <c r="B51" s="2526">
        <v>45</v>
      </c>
      <c r="C51" s="2526" t="s">
        <v>2334</v>
      </c>
      <c r="D51" s="2527" t="s">
        <v>2338</v>
      </c>
      <c r="E51" s="2526" t="s">
        <v>763</v>
      </c>
      <c r="F51" s="2528" t="s">
        <v>2298</v>
      </c>
      <c r="G51" s="2529">
        <v>45148</v>
      </c>
      <c r="H51" s="2529">
        <v>45266</v>
      </c>
      <c r="I51" s="2530">
        <v>125000</v>
      </c>
      <c r="J51" s="1863"/>
      <c r="K51" s="1771"/>
    </row>
    <row r="52" spans="2:11" ht="26" outlineLevel="1">
      <c r="B52" s="2531">
        <v>46</v>
      </c>
      <c r="C52" s="2531" t="s">
        <v>2334</v>
      </c>
      <c r="D52" s="2532" t="s">
        <v>2339</v>
      </c>
      <c r="E52" s="2531" t="s">
        <v>763</v>
      </c>
      <c r="F52" s="2533" t="s">
        <v>2298</v>
      </c>
      <c r="G52" s="2534">
        <v>45148</v>
      </c>
      <c r="H52" s="2534">
        <v>45266</v>
      </c>
      <c r="I52" s="2535">
        <v>123140</v>
      </c>
      <c r="J52" s="1863"/>
      <c r="K52" s="1771"/>
    </row>
    <row r="53" spans="2:11" ht="32" outlineLevel="1">
      <c r="B53" s="2526">
        <v>47</v>
      </c>
      <c r="C53" s="2526" t="s">
        <v>2334</v>
      </c>
      <c r="D53" s="2527" t="s">
        <v>2340</v>
      </c>
      <c r="E53" s="2526" t="s">
        <v>1659</v>
      </c>
      <c r="F53" s="2528" t="s">
        <v>2298</v>
      </c>
      <c r="G53" s="2529">
        <v>45148</v>
      </c>
      <c r="H53" s="2529">
        <v>45266</v>
      </c>
      <c r="I53" s="2530">
        <v>1022000</v>
      </c>
      <c r="J53" s="1863"/>
      <c r="K53" s="1771"/>
    </row>
    <row r="54" spans="2:11" ht="16" outlineLevel="1">
      <c r="B54" s="2531">
        <v>48</v>
      </c>
      <c r="C54" s="2531" t="s">
        <v>2334</v>
      </c>
      <c r="D54" s="2532" t="s">
        <v>2341</v>
      </c>
      <c r="E54" s="2531" t="s">
        <v>853</v>
      </c>
      <c r="F54" s="2533" t="s">
        <v>2297</v>
      </c>
      <c r="G54" s="2534">
        <v>45170</v>
      </c>
      <c r="H54" s="2534">
        <v>45453</v>
      </c>
      <c r="I54" s="2535">
        <v>250000</v>
      </c>
      <c r="J54" s="1863"/>
      <c r="K54" s="1771"/>
    </row>
    <row r="55" spans="2:11" ht="16" outlineLevel="1">
      <c r="B55" s="2526">
        <v>110</v>
      </c>
      <c r="C55" s="2526" t="s">
        <v>1994</v>
      </c>
      <c r="D55" s="2527" t="s">
        <v>2342</v>
      </c>
      <c r="E55" s="2526" t="s">
        <v>763</v>
      </c>
      <c r="F55" s="2528" t="s">
        <v>2297</v>
      </c>
      <c r="G55" s="2529">
        <v>45366</v>
      </c>
      <c r="H55" s="2529">
        <v>45484</v>
      </c>
      <c r="I55" s="2530">
        <v>24000</v>
      </c>
      <c r="J55" s="1863"/>
      <c r="K55" s="1771"/>
    </row>
    <row r="56" spans="2:11" ht="16">
      <c r="B56" s="2531">
        <v>111</v>
      </c>
      <c r="C56" s="2531" t="s">
        <v>1994</v>
      </c>
      <c r="D56" s="2532" t="s">
        <v>2343</v>
      </c>
      <c r="E56" s="2531" t="s">
        <v>763</v>
      </c>
      <c r="F56" s="2533" t="s">
        <v>2297</v>
      </c>
      <c r="G56" s="2534">
        <v>45366</v>
      </c>
      <c r="H56" s="2534">
        <v>45484</v>
      </c>
      <c r="I56" s="2535">
        <v>24000</v>
      </c>
    </row>
    <row r="57" spans="2:11" ht="32">
      <c r="B57" s="2526">
        <v>53</v>
      </c>
      <c r="C57" s="2526" t="s">
        <v>2174</v>
      </c>
      <c r="D57" s="2527" t="s">
        <v>1057</v>
      </c>
      <c r="E57" s="2526" t="s">
        <v>763</v>
      </c>
      <c r="F57" s="2528" t="s">
        <v>2297</v>
      </c>
      <c r="G57" s="2529">
        <v>45413</v>
      </c>
      <c r="H57" s="2529">
        <v>45531</v>
      </c>
      <c r="I57" s="2530">
        <v>54000</v>
      </c>
    </row>
    <row r="58" spans="2:11" ht="80">
      <c r="B58" s="2531" t="s">
        <v>2344</v>
      </c>
      <c r="C58" s="2531" t="s">
        <v>2005</v>
      </c>
      <c r="D58" s="2532" t="s">
        <v>2345</v>
      </c>
      <c r="E58" s="2531" t="s">
        <v>763</v>
      </c>
      <c r="F58" s="2533" t="s">
        <v>2298</v>
      </c>
      <c r="G58" s="2534">
        <v>45253</v>
      </c>
      <c r="H58" s="2534">
        <v>45371</v>
      </c>
      <c r="I58" s="2535">
        <v>29982</v>
      </c>
    </row>
    <row r="59" spans="2:11" ht="32">
      <c r="B59" s="2526">
        <v>63</v>
      </c>
      <c r="C59" s="2526" t="s">
        <v>2162</v>
      </c>
      <c r="D59" s="2527" t="s">
        <v>991</v>
      </c>
      <c r="E59" s="2526" t="s">
        <v>853</v>
      </c>
      <c r="F59" s="2528" t="s">
        <v>2297</v>
      </c>
      <c r="G59" s="2529">
        <v>45474</v>
      </c>
      <c r="H59" s="2529">
        <v>45757</v>
      </c>
      <c r="I59" s="2530">
        <v>270000</v>
      </c>
    </row>
    <row r="60" spans="2:11" ht="80">
      <c r="B60" s="2531" t="s">
        <v>2346</v>
      </c>
      <c r="C60" s="2531" t="s">
        <v>2005</v>
      </c>
      <c r="D60" s="2532" t="s">
        <v>2347</v>
      </c>
      <c r="E60" s="2531" t="s">
        <v>763</v>
      </c>
      <c r="F60" s="2533" t="s">
        <v>2298</v>
      </c>
      <c r="G60" s="2534">
        <v>45253</v>
      </c>
      <c r="H60" s="2534">
        <v>45371</v>
      </c>
      <c r="I60" s="2535">
        <v>59964</v>
      </c>
    </row>
    <row r="61" spans="2:11" ht="32">
      <c r="B61" s="2526" t="s">
        <v>1203</v>
      </c>
      <c r="C61" s="2526" t="s">
        <v>1994</v>
      </c>
      <c r="D61" s="2527" t="s">
        <v>657</v>
      </c>
      <c r="E61" s="2526" t="s">
        <v>1202</v>
      </c>
      <c r="F61" s="2528" t="s">
        <v>2297</v>
      </c>
      <c r="G61" s="2529">
        <v>45367</v>
      </c>
      <c r="H61" s="2529">
        <v>45397</v>
      </c>
      <c r="I61" s="2530">
        <v>200000</v>
      </c>
    </row>
    <row r="62" spans="2:11" ht="26">
      <c r="B62" s="2531" t="s">
        <v>2348</v>
      </c>
      <c r="C62" s="2531" t="s">
        <v>1994</v>
      </c>
      <c r="D62" s="2532" t="s">
        <v>660</v>
      </c>
      <c r="E62" s="2531" t="s">
        <v>763</v>
      </c>
      <c r="F62" s="2533" t="s">
        <v>2298</v>
      </c>
      <c r="G62" s="2534">
        <v>45458</v>
      </c>
      <c r="H62" s="2534">
        <v>45488</v>
      </c>
      <c r="I62" s="2535">
        <v>90395</v>
      </c>
    </row>
    <row r="63" spans="2:11" ht="26">
      <c r="B63" s="2526" t="s">
        <v>1208</v>
      </c>
      <c r="C63" s="2526" t="s">
        <v>1994</v>
      </c>
      <c r="D63" s="2527" t="s">
        <v>663</v>
      </c>
      <c r="E63" s="2526" t="s">
        <v>763</v>
      </c>
      <c r="F63" s="2528" t="s">
        <v>2298</v>
      </c>
      <c r="G63" s="2529">
        <v>45458</v>
      </c>
      <c r="H63" s="2529">
        <v>45488</v>
      </c>
      <c r="I63" s="2530">
        <v>271204</v>
      </c>
    </row>
    <row r="64" spans="2:11" ht="26">
      <c r="B64" s="2531" t="s">
        <v>2349</v>
      </c>
      <c r="C64" s="2531" t="s">
        <v>1994</v>
      </c>
      <c r="D64" s="2532" t="s">
        <v>666</v>
      </c>
      <c r="E64" s="2531" t="s">
        <v>763</v>
      </c>
      <c r="F64" s="2533" t="s">
        <v>2298</v>
      </c>
      <c r="G64" s="2534">
        <v>45458</v>
      </c>
      <c r="H64" s="2534">
        <v>45488</v>
      </c>
      <c r="I64" s="2535">
        <v>64407</v>
      </c>
    </row>
    <row r="65" spans="2:9" ht="26">
      <c r="B65" s="2526" t="s">
        <v>1215</v>
      </c>
      <c r="C65" s="2526" t="s">
        <v>1994</v>
      </c>
      <c r="D65" s="2527" t="s">
        <v>669</v>
      </c>
      <c r="E65" s="2526" t="s">
        <v>763</v>
      </c>
      <c r="F65" s="2528" t="s">
        <v>2298</v>
      </c>
      <c r="G65" s="2529">
        <v>45458</v>
      </c>
      <c r="H65" s="2529">
        <v>45488</v>
      </c>
      <c r="I65" s="2530">
        <v>37966</v>
      </c>
    </row>
    <row r="66" spans="2:9" ht="26">
      <c r="B66" s="2531" t="s">
        <v>2350</v>
      </c>
      <c r="C66" s="2531" t="s">
        <v>1994</v>
      </c>
      <c r="D66" s="2532" t="s">
        <v>672</v>
      </c>
      <c r="E66" s="2531" t="s">
        <v>763</v>
      </c>
      <c r="F66" s="2533" t="s">
        <v>2298</v>
      </c>
      <c r="G66" s="2534">
        <v>45458</v>
      </c>
      <c r="H66" s="2534">
        <v>45488</v>
      </c>
      <c r="I66" s="2535">
        <v>26028</v>
      </c>
    </row>
    <row r="67" spans="2:9" ht="16">
      <c r="B67" s="2531">
        <v>93</v>
      </c>
      <c r="C67" s="2531" t="s">
        <v>2162</v>
      </c>
      <c r="D67" s="2532" t="s">
        <v>989</v>
      </c>
      <c r="E67" s="2531"/>
      <c r="F67" s="2533" t="s">
        <v>2297</v>
      </c>
      <c r="G67" s="2534">
        <v>45413</v>
      </c>
      <c r="H67" s="2534">
        <v>45547</v>
      </c>
      <c r="I67" s="2535">
        <v>60000</v>
      </c>
    </row>
    <row r="68" spans="2:9" ht="16">
      <c r="B68" s="2526" t="s">
        <v>2351</v>
      </c>
      <c r="C68" s="2526" t="s">
        <v>2334</v>
      </c>
      <c r="D68" s="2527" t="s">
        <v>1637</v>
      </c>
      <c r="E68" s="2526" t="s">
        <v>763</v>
      </c>
      <c r="F68" s="2528" t="s">
        <v>2297</v>
      </c>
      <c r="G68" s="2529"/>
      <c r="H68" s="2529"/>
      <c r="I68" s="2530">
        <v>456000</v>
      </c>
    </row>
    <row r="69" spans="2:9" ht="16">
      <c r="B69" s="2531" t="s">
        <v>2351</v>
      </c>
      <c r="C69" s="2531" t="s">
        <v>2334</v>
      </c>
      <c r="D69" s="2532" t="s">
        <v>1639</v>
      </c>
      <c r="E69" s="2531" t="s">
        <v>763</v>
      </c>
      <c r="F69" s="2533" t="s">
        <v>2297</v>
      </c>
      <c r="G69" s="2534"/>
      <c r="H69" s="2534"/>
      <c r="I69" s="2535">
        <v>196000</v>
      </c>
    </row>
    <row r="70" spans="2:9" ht="16">
      <c r="B70" s="2526" t="s">
        <v>2351</v>
      </c>
      <c r="C70" s="2526" t="s">
        <v>2334</v>
      </c>
      <c r="D70" s="2527" t="s">
        <v>1641</v>
      </c>
      <c r="E70" s="2526" t="s">
        <v>763</v>
      </c>
      <c r="F70" s="2528" t="s">
        <v>2297</v>
      </c>
      <c r="G70" s="2529"/>
      <c r="H70" s="2529"/>
      <c r="I70" s="2530">
        <v>196000</v>
      </c>
    </row>
    <row r="71" spans="2:9" ht="16">
      <c r="B71" s="2531" t="s">
        <v>2351</v>
      </c>
      <c r="C71" s="2531" t="s">
        <v>2334</v>
      </c>
      <c r="D71" s="2532" t="s">
        <v>1643</v>
      </c>
      <c r="E71" s="2531" t="s">
        <v>763</v>
      </c>
      <c r="F71" s="2533" t="s">
        <v>2297</v>
      </c>
      <c r="G71" s="2534"/>
      <c r="H71" s="2534"/>
      <c r="I71" s="2535">
        <v>196000</v>
      </c>
    </row>
  </sheetData>
  <autoFilter ref="B3:I53" xr:uid="{00000000-0009-0000-0000-000018000000}"/>
  <mergeCells count="4">
    <mergeCell ref="B2:I2"/>
    <mergeCell ref="B4:I4"/>
    <mergeCell ref="B7:I7"/>
    <mergeCell ref="B9:I9"/>
  </mergeCells>
  <phoneticPr fontId="9" type="noConversion"/>
  <pageMargins left="0.7" right="0.7" top="0.75" bottom="0.75" header="0.3" footer="0.3"/>
  <pageSetup scale="86"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3:F19"/>
  <sheetViews>
    <sheetView workbookViewId="0">
      <selection activeCell="B20" sqref="B20"/>
    </sheetView>
  </sheetViews>
  <sheetFormatPr baseColWidth="10" defaultColWidth="11.5" defaultRowHeight="15"/>
  <cols>
    <col min="1" max="1" width="4.5" customWidth="1"/>
    <col min="2" max="2" width="33.5" customWidth="1"/>
  </cols>
  <sheetData>
    <row r="3" spans="1:6">
      <c r="A3" s="1160" t="s">
        <v>2352</v>
      </c>
    </row>
    <row r="5" spans="1:6">
      <c r="A5">
        <v>1</v>
      </c>
      <c r="F5" s="2325">
        <f>+'8_MP'!H217</f>
        <v>0</v>
      </c>
    </row>
    <row r="6" spans="1:6">
      <c r="A6">
        <v>2</v>
      </c>
      <c r="F6" s="2325">
        <f>+'8_MP'!H247</f>
        <v>0</v>
      </c>
    </row>
    <row r="7" spans="1:6">
      <c r="A7">
        <v>3</v>
      </c>
      <c r="F7" s="2325">
        <f>+'8_MP'!H265</f>
        <v>0</v>
      </c>
    </row>
    <row r="8" spans="1:6">
      <c r="A8">
        <v>4</v>
      </c>
    </row>
    <row r="9" spans="1:6">
      <c r="A9">
        <v>5</v>
      </c>
    </row>
    <row r="10" spans="1:6">
      <c r="A10">
        <v>6</v>
      </c>
    </row>
    <row r="11" spans="1:6">
      <c r="A11">
        <v>7</v>
      </c>
    </row>
    <row r="15" spans="1:6">
      <c r="B15" t="s">
        <v>2353</v>
      </c>
    </row>
    <row r="16" spans="1:6">
      <c r="B16" s="2326" t="s">
        <v>2354</v>
      </c>
    </row>
    <row r="17" spans="2:2">
      <c r="B17" s="2326" t="s">
        <v>2355</v>
      </c>
    </row>
    <row r="19" spans="2:2">
      <c r="B19" t="s">
        <v>2356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N47:N62"/>
  <sheetViews>
    <sheetView topLeftCell="A10" zoomScale="55" zoomScaleNormal="55" workbookViewId="0">
      <selection activeCell="O62" sqref="O62"/>
    </sheetView>
  </sheetViews>
  <sheetFormatPr baseColWidth="10" defaultColWidth="11.5" defaultRowHeight="15"/>
  <sheetData>
    <row r="47" spans="14:14">
      <c r="N47" t="s">
        <v>2357</v>
      </c>
    </row>
    <row r="62" spans="14:14">
      <c r="N62" t="s">
        <v>2358</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EAF2FA"/>
  </sheetPr>
  <dimension ref="A1:CI533"/>
  <sheetViews>
    <sheetView showGridLines="0" zoomScale="70" zoomScaleNormal="90" zoomScalePageLayoutView="125" workbookViewId="0">
      <pane xSplit="4" ySplit="7" topLeftCell="E8" activePane="bottomRight" state="frozen"/>
      <selection pane="topRight" activeCell="G1" sqref="G1"/>
      <selection pane="bottomLeft" activeCell="A8" sqref="A8"/>
      <selection pane="bottomRight" activeCell="J47" sqref="J47"/>
    </sheetView>
  </sheetViews>
  <sheetFormatPr baseColWidth="10" defaultColWidth="11.5" defaultRowHeight="15" outlineLevelRow="4" outlineLevelCol="1"/>
  <cols>
    <col min="1" max="1" width="3" style="152" bestFit="1" customWidth="1"/>
    <col min="2" max="2" width="11.5" style="87" customWidth="1"/>
    <col min="3" max="3" width="5.1640625" style="87" customWidth="1"/>
    <col min="4" max="4" width="50.83203125" style="549" customWidth="1"/>
    <col min="5" max="5" width="2.1640625" customWidth="1"/>
    <col min="6" max="15" width="12.1640625" style="1028" hidden="1" customWidth="1" outlineLevel="1"/>
    <col min="16" max="16" width="13.5" style="2041" customWidth="1" collapsed="1"/>
    <col min="17" max="17" width="0.5" customWidth="1"/>
    <col min="18" max="29" width="12.1640625" style="1028" hidden="1" customWidth="1" outlineLevel="1"/>
    <col min="30" max="30" width="13.5" style="2041" customWidth="1" collapsed="1"/>
    <col min="31" max="31" width="0.5" customWidth="1"/>
    <col min="32" max="43" width="12.1640625" style="1028" hidden="1" customWidth="1" outlineLevel="1"/>
    <col min="44" max="44" width="13.5" style="2041" customWidth="1" collapsed="1"/>
    <col min="45" max="45" width="0.5" customWidth="1"/>
    <col min="46" max="57" width="12.1640625" style="1028" hidden="1" customWidth="1" outlineLevel="1"/>
    <col min="58" max="58" width="13.5" style="2031" customWidth="1" collapsed="1"/>
    <col min="59" max="59" width="0.5" customWidth="1"/>
    <col min="60" max="71" width="12.1640625" style="1028" hidden="1" customWidth="1" outlineLevel="1"/>
    <col min="72" max="72" width="13.5" style="968" customWidth="1" collapsed="1"/>
    <col min="73" max="73" width="0.5" customWidth="1"/>
    <col min="74" max="76" width="12.1640625" style="1028" hidden="1" customWidth="1" outlineLevel="1"/>
    <col min="77" max="77" width="13.5" style="968" customWidth="1" collapsed="1"/>
    <col min="78" max="78" width="18.1640625" style="968" customWidth="1"/>
    <col min="79" max="79" width="5.5" style="85" customWidth="1"/>
    <col min="80" max="86" width="11.5" style="85"/>
    <col min="87" max="87" width="34.5" style="85" customWidth="1"/>
    <col min="88" max="16384" width="11.5" style="85"/>
  </cols>
  <sheetData>
    <row r="1" spans="1:87" ht="14.5" customHeight="1" outlineLevel="1">
      <c r="A1" s="575"/>
      <c r="B1" s="1082" t="s">
        <v>1111</v>
      </c>
      <c r="C1" s="1082"/>
      <c r="D1" s="540"/>
      <c r="F1" s="965"/>
      <c r="G1" s="965"/>
      <c r="H1" s="965"/>
      <c r="I1" s="965"/>
      <c r="J1" s="965"/>
      <c r="K1" s="965"/>
      <c r="L1" s="965"/>
      <c r="M1" s="965"/>
      <c r="N1" s="965"/>
      <c r="O1" s="965"/>
      <c r="P1" s="2045"/>
      <c r="R1" s="965"/>
      <c r="S1" s="965"/>
      <c r="T1" s="965"/>
      <c r="U1" s="965"/>
      <c r="V1" s="965"/>
      <c r="W1" s="965"/>
      <c r="X1" s="965"/>
      <c r="Y1" s="965"/>
      <c r="Z1" s="965"/>
      <c r="AA1" s="965"/>
      <c r="AB1" s="965"/>
      <c r="AC1" s="965"/>
      <c r="AD1" s="2045"/>
      <c r="AF1" s="965"/>
      <c r="AG1" s="965"/>
      <c r="AH1" s="965"/>
      <c r="AI1" s="965"/>
      <c r="AJ1" s="965"/>
      <c r="AK1" s="965"/>
      <c r="AL1" s="965"/>
      <c r="AM1" s="965"/>
      <c r="AN1" s="965"/>
      <c r="AO1" s="965"/>
      <c r="AP1" s="965"/>
      <c r="AQ1" s="965"/>
      <c r="AT1" s="965"/>
      <c r="AU1" s="965"/>
      <c r="AV1" s="965"/>
      <c r="AW1" s="965"/>
      <c r="AX1" s="965"/>
      <c r="AY1" s="965"/>
      <c r="AZ1" s="965"/>
      <c r="BA1" s="965"/>
      <c r="BB1" s="965"/>
      <c r="BC1" s="965"/>
      <c r="BD1" s="965"/>
      <c r="BE1" s="965"/>
      <c r="BH1" s="965"/>
      <c r="BI1" s="965"/>
      <c r="BJ1" s="965"/>
      <c r="BK1" s="965"/>
      <c r="BL1" s="965"/>
      <c r="BM1" s="965"/>
      <c r="BN1" s="965"/>
      <c r="BO1" s="965"/>
      <c r="BP1" s="965"/>
      <c r="BQ1" s="965"/>
      <c r="BR1" s="965"/>
      <c r="BS1" s="965"/>
      <c r="BV1" s="965"/>
      <c r="BW1" s="965"/>
      <c r="BX1" s="965"/>
      <c r="CA1" s="108"/>
      <c r="CB1" s="108"/>
      <c r="CC1" s="108"/>
      <c r="CD1" s="108"/>
      <c r="CE1" s="108"/>
      <c r="CF1" s="108"/>
      <c r="CG1" s="108"/>
      <c r="CH1" s="108"/>
      <c r="CI1" s="108"/>
    </row>
    <row r="2" spans="1:87" ht="14.25" customHeight="1" outlineLevel="1">
      <c r="B2" s="109"/>
      <c r="C2" s="109"/>
      <c r="D2" s="541"/>
      <c r="F2" s="965"/>
      <c r="G2" s="965"/>
      <c r="H2" s="965"/>
      <c r="I2" s="965"/>
      <c r="J2" s="965"/>
      <c r="K2" s="965"/>
      <c r="L2" s="965"/>
      <c r="M2" s="965"/>
      <c r="N2" s="965"/>
      <c r="O2" s="965"/>
      <c r="P2" s="2045"/>
      <c r="R2" s="965"/>
      <c r="S2" s="965"/>
      <c r="T2" s="965"/>
      <c r="U2" s="965"/>
      <c r="V2" s="965"/>
      <c r="W2" s="965"/>
      <c r="X2" s="965"/>
      <c r="Y2" s="965"/>
      <c r="Z2" s="965"/>
      <c r="AA2" s="965"/>
      <c r="AB2" s="965"/>
      <c r="AC2" s="965"/>
      <c r="AD2" s="2045"/>
      <c r="AF2" s="965"/>
      <c r="AG2" s="965"/>
      <c r="AH2" s="965"/>
      <c r="AI2" s="965"/>
      <c r="AJ2" s="965"/>
      <c r="AK2" s="965"/>
      <c r="AL2" s="965"/>
      <c r="AM2" s="965"/>
      <c r="AN2" s="965"/>
      <c r="AO2" s="965"/>
      <c r="AP2" s="965"/>
      <c r="AQ2" s="965"/>
      <c r="AT2" s="965"/>
      <c r="AU2" s="965"/>
      <c r="AV2" s="965"/>
      <c r="AW2" s="965"/>
      <c r="AX2" s="965"/>
      <c r="AY2" s="965"/>
      <c r="AZ2" s="965"/>
      <c r="BA2" s="965"/>
      <c r="BB2" s="965"/>
      <c r="BC2" s="965"/>
      <c r="BD2" s="965"/>
      <c r="BE2" s="965"/>
      <c r="BH2" s="965"/>
      <c r="BI2" s="965"/>
      <c r="BJ2" s="965"/>
      <c r="BK2" s="965"/>
      <c r="BL2" s="965"/>
      <c r="BM2" s="965"/>
      <c r="BN2" s="965"/>
      <c r="BO2" s="965"/>
      <c r="BP2" s="965"/>
      <c r="BQ2" s="965"/>
      <c r="BR2" s="965"/>
      <c r="BS2" s="965"/>
      <c r="BV2" s="965"/>
      <c r="BW2" s="965"/>
      <c r="BX2" s="965"/>
      <c r="CA2" s="108"/>
      <c r="CB2" s="108"/>
      <c r="CC2" s="108"/>
      <c r="CD2" s="108"/>
      <c r="CE2" s="108"/>
      <c r="CF2" s="108"/>
      <c r="CG2" s="108"/>
      <c r="CH2" s="108"/>
      <c r="CI2" s="108"/>
    </row>
    <row r="3" spans="1:87" ht="14.5" customHeight="1" outlineLevel="1">
      <c r="B3" s="109"/>
      <c r="C3" s="109"/>
      <c r="D3" s="541"/>
      <c r="F3" s="966"/>
      <c r="G3" s="966"/>
      <c r="H3" s="966"/>
      <c r="I3" s="966"/>
      <c r="J3" s="966"/>
      <c r="K3" s="966"/>
      <c r="L3" s="966"/>
      <c r="M3" s="966"/>
      <c r="N3" s="966"/>
      <c r="O3" s="966"/>
      <c r="R3" s="966"/>
      <c r="S3" s="966"/>
      <c r="T3" s="966"/>
      <c r="U3" s="966"/>
      <c r="V3" s="966"/>
      <c r="W3" s="966"/>
      <c r="X3" s="966"/>
      <c r="Y3" s="966"/>
      <c r="Z3" s="966"/>
      <c r="AA3" s="966"/>
      <c r="AB3" s="966"/>
      <c r="AC3" s="966"/>
      <c r="AF3" s="966"/>
      <c r="AG3" s="966"/>
      <c r="AH3" s="966"/>
      <c r="AI3" s="966"/>
      <c r="AJ3" s="966"/>
      <c r="AK3" s="966"/>
      <c r="AL3" s="966"/>
      <c r="AM3" s="966"/>
      <c r="AN3" s="966"/>
      <c r="AO3" s="966"/>
      <c r="AP3" s="966"/>
      <c r="AQ3" s="966"/>
      <c r="AR3" s="2042"/>
      <c r="AT3" s="966"/>
      <c r="AU3" s="966"/>
      <c r="AV3" s="966"/>
      <c r="AW3" s="966"/>
      <c r="AX3" s="966"/>
      <c r="AY3" s="966"/>
      <c r="AZ3" s="966"/>
      <c r="BA3" s="966"/>
      <c r="BB3" s="966"/>
      <c r="BC3" s="966"/>
      <c r="BD3" s="966"/>
      <c r="BE3" s="966"/>
      <c r="BH3" s="966"/>
      <c r="BI3" s="966"/>
      <c r="BJ3" s="966"/>
      <c r="BK3" s="966"/>
      <c r="BL3" s="966"/>
      <c r="BM3" s="966"/>
      <c r="BN3" s="966"/>
      <c r="BO3" s="966"/>
      <c r="BP3" s="966"/>
      <c r="BQ3" s="966"/>
      <c r="BR3" s="966"/>
      <c r="BS3" s="966"/>
      <c r="BT3" s="970"/>
      <c r="BV3" s="966"/>
      <c r="BW3" s="966"/>
      <c r="BX3" s="966"/>
      <c r="BY3" s="970"/>
      <c r="BZ3" s="970"/>
      <c r="CA3" s="108"/>
      <c r="CB3" s="108"/>
      <c r="CC3" s="108"/>
      <c r="CD3" s="108"/>
      <c r="CE3" s="108"/>
      <c r="CF3" s="108"/>
      <c r="CG3" s="108"/>
      <c r="CH3" s="108"/>
      <c r="CI3" s="108"/>
    </row>
    <row r="4" spans="1:87" s="877" customFormat="1" ht="29" customHeight="1">
      <c r="A4" s="152"/>
      <c r="B4" s="4169" t="s">
        <v>1118</v>
      </c>
      <c r="C4" s="4169"/>
      <c r="D4" s="4169"/>
      <c r="E4"/>
      <c r="F4" s="4166" t="s">
        <v>1123</v>
      </c>
      <c r="G4" s="4166"/>
      <c r="H4" s="4166"/>
      <c r="I4" s="4166"/>
      <c r="J4" s="4166"/>
      <c r="K4" s="4166"/>
      <c r="L4" s="4166"/>
      <c r="M4" s="4166"/>
      <c r="N4" s="4166"/>
      <c r="O4" s="4166"/>
      <c r="P4" s="4166"/>
      <c r="Q4" s="4166"/>
      <c r="R4" s="4166"/>
      <c r="S4" s="4166"/>
      <c r="T4" s="4166"/>
      <c r="U4" s="4166"/>
      <c r="V4" s="4166"/>
      <c r="W4" s="4166"/>
      <c r="X4" s="4166"/>
      <c r="Y4" s="4166"/>
      <c r="Z4" s="4166"/>
      <c r="AA4" s="4166"/>
      <c r="AB4" s="4166"/>
      <c r="AC4" s="4166"/>
      <c r="AD4" s="4166"/>
      <c r="AE4" s="4166"/>
      <c r="AF4" s="4166"/>
      <c r="AG4" s="4166"/>
      <c r="AH4" s="4166"/>
      <c r="AI4" s="4166"/>
      <c r="AJ4" s="4166"/>
      <c r="AK4" s="4166"/>
      <c r="AL4" s="4166"/>
      <c r="AM4" s="4166"/>
      <c r="AN4" s="4166"/>
      <c r="AO4" s="4166"/>
      <c r="AP4" s="4166"/>
      <c r="AQ4" s="4166"/>
      <c r="AR4" s="4166"/>
      <c r="AS4" s="4166"/>
      <c r="AT4" s="4166"/>
      <c r="AU4" s="4166"/>
      <c r="AV4" s="4166"/>
      <c r="AW4" s="4166"/>
      <c r="AX4" s="4166"/>
      <c r="AY4" s="4166"/>
      <c r="AZ4" s="4166"/>
      <c r="BA4" s="4166"/>
      <c r="BB4" s="4166"/>
      <c r="BC4" s="4166"/>
      <c r="BD4" s="4166"/>
      <c r="BE4" s="4166"/>
      <c r="BF4" s="4166"/>
      <c r="BG4" s="4166"/>
      <c r="BH4" s="4166"/>
      <c r="BI4" s="4166"/>
      <c r="BJ4" s="4166"/>
      <c r="BK4" s="4166"/>
      <c r="BL4" s="4166"/>
      <c r="BM4" s="4166"/>
      <c r="BN4" s="4166"/>
      <c r="BO4" s="4166"/>
      <c r="BP4" s="4166"/>
      <c r="BQ4" s="4166"/>
      <c r="BR4" s="4166"/>
      <c r="BS4" s="4166"/>
      <c r="BT4" s="4166"/>
      <c r="BU4" s="4166"/>
      <c r="BV4" s="4166"/>
      <c r="BW4" s="4166"/>
      <c r="BX4" s="4166"/>
      <c r="BY4" s="4166"/>
      <c r="BZ4" s="4166"/>
    </row>
    <row r="5" spans="1:87" ht="23" customHeight="1">
      <c r="A5" s="4167" t="s">
        <v>1125</v>
      </c>
      <c r="B5" s="4167" t="s">
        <v>484</v>
      </c>
      <c r="C5" s="3957" t="s">
        <v>1129</v>
      </c>
      <c r="D5" s="4168" t="s">
        <v>609</v>
      </c>
      <c r="F5" s="3927" t="s">
        <v>1148</v>
      </c>
      <c r="G5" s="3928"/>
      <c r="H5" s="3928"/>
      <c r="I5" s="3928"/>
      <c r="J5" s="3928"/>
      <c r="K5" s="3928"/>
      <c r="L5" s="3928"/>
      <c r="M5" s="3928"/>
      <c r="N5" s="3928"/>
      <c r="O5" s="3929"/>
      <c r="P5" s="4170" t="s">
        <v>1149</v>
      </c>
      <c r="R5" s="3927" t="s">
        <v>1150</v>
      </c>
      <c r="S5" s="3928"/>
      <c r="T5" s="3928"/>
      <c r="U5" s="3928"/>
      <c r="V5" s="3928"/>
      <c r="W5" s="3928"/>
      <c r="X5" s="3928"/>
      <c r="Y5" s="3928"/>
      <c r="Z5" s="3928"/>
      <c r="AA5" s="3928"/>
      <c r="AB5" s="3928"/>
      <c r="AC5" s="3929"/>
      <c r="AD5" s="4170" t="s">
        <v>188</v>
      </c>
      <c r="AF5" s="3927" t="s">
        <v>1151</v>
      </c>
      <c r="AG5" s="3928"/>
      <c r="AH5" s="3928"/>
      <c r="AI5" s="3928"/>
      <c r="AJ5" s="3928"/>
      <c r="AK5" s="3928"/>
      <c r="AL5" s="3928"/>
      <c r="AM5" s="3928"/>
      <c r="AN5" s="3928"/>
      <c r="AO5" s="3928"/>
      <c r="AP5" s="3928"/>
      <c r="AQ5" s="3929"/>
      <c r="AR5" s="4170" t="s">
        <v>189</v>
      </c>
      <c r="AT5" s="3927" t="s">
        <v>1152</v>
      </c>
      <c r="AU5" s="3928"/>
      <c r="AV5" s="3928"/>
      <c r="AW5" s="3928"/>
      <c r="AX5" s="3928"/>
      <c r="AY5" s="3928"/>
      <c r="AZ5" s="3928"/>
      <c r="BA5" s="3928"/>
      <c r="BB5" s="3928"/>
      <c r="BC5" s="3928"/>
      <c r="BD5" s="3928"/>
      <c r="BE5" s="3929"/>
      <c r="BF5" s="4170" t="s">
        <v>190</v>
      </c>
      <c r="BH5" s="3927" t="s">
        <v>1153</v>
      </c>
      <c r="BI5" s="3928"/>
      <c r="BJ5" s="3928"/>
      <c r="BK5" s="3928"/>
      <c r="BL5" s="3928"/>
      <c r="BM5" s="3928"/>
      <c r="BN5" s="3928"/>
      <c r="BO5" s="3928"/>
      <c r="BP5" s="3928"/>
      <c r="BQ5" s="3928"/>
      <c r="BR5" s="3928"/>
      <c r="BS5" s="3929"/>
      <c r="BT5" s="4170" t="s">
        <v>191</v>
      </c>
      <c r="BV5" s="3927" t="s">
        <v>1154</v>
      </c>
      <c r="BW5" s="3928"/>
      <c r="BX5" s="3929"/>
      <c r="BY5" s="4170" t="s">
        <v>192</v>
      </c>
      <c r="BZ5" s="4170" t="s">
        <v>487</v>
      </c>
      <c r="CA5" s="108"/>
      <c r="CB5" s="108"/>
      <c r="CC5" s="108"/>
      <c r="CD5" s="108"/>
      <c r="CE5" s="108"/>
      <c r="CF5" s="108"/>
      <c r="CG5" s="108"/>
      <c r="CH5" s="108"/>
      <c r="CI5" s="108"/>
    </row>
    <row r="6" spans="1:87" ht="22.25" customHeight="1">
      <c r="A6" s="4167"/>
      <c r="B6" s="4167"/>
      <c r="C6" s="3958"/>
      <c r="D6" s="4168"/>
      <c r="F6" s="2003" t="s">
        <v>1161</v>
      </c>
      <c r="G6" s="2003" t="s">
        <v>1162</v>
      </c>
      <c r="H6" s="2003" t="s">
        <v>1163</v>
      </c>
      <c r="I6" s="2003" t="s">
        <v>1164</v>
      </c>
      <c r="J6" s="2003" t="s">
        <v>1165</v>
      </c>
      <c r="K6" s="2003" t="s">
        <v>1166</v>
      </c>
      <c r="L6" s="2003" t="s">
        <v>1167</v>
      </c>
      <c r="M6" s="2003" t="s">
        <v>1168</v>
      </c>
      <c r="N6" s="2003" t="s">
        <v>1169</v>
      </c>
      <c r="O6" s="2003" t="s">
        <v>1170</v>
      </c>
      <c r="P6" s="4171"/>
      <c r="R6" s="2003" t="s">
        <v>1171</v>
      </c>
      <c r="S6" s="2003" t="s">
        <v>1172</v>
      </c>
      <c r="T6" s="2003" t="s">
        <v>1161</v>
      </c>
      <c r="U6" s="2003" t="s">
        <v>1162</v>
      </c>
      <c r="V6" s="2003" t="s">
        <v>1163</v>
      </c>
      <c r="W6" s="2003" t="s">
        <v>1164</v>
      </c>
      <c r="X6" s="2003" t="s">
        <v>1165</v>
      </c>
      <c r="Y6" s="2003" t="s">
        <v>1166</v>
      </c>
      <c r="Z6" s="2003" t="s">
        <v>1167</v>
      </c>
      <c r="AA6" s="2003" t="s">
        <v>1168</v>
      </c>
      <c r="AB6" s="2003" t="s">
        <v>1169</v>
      </c>
      <c r="AC6" s="2003" t="s">
        <v>1170</v>
      </c>
      <c r="AD6" s="4171"/>
      <c r="AF6" s="2003" t="s">
        <v>1171</v>
      </c>
      <c r="AG6" s="2003" t="s">
        <v>1172</v>
      </c>
      <c r="AH6" s="2003" t="s">
        <v>1161</v>
      </c>
      <c r="AI6" s="2003" t="s">
        <v>1162</v>
      </c>
      <c r="AJ6" s="2003" t="s">
        <v>1163</v>
      </c>
      <c r="AK6" s="2003" t="s">
        <v>1164</v>
      </c>
      <c r="AL6" s="2003" t="s">
        <v>1165</v>
      </c>
      <c r="AM6" s="2003" t="s">
        <v>1166</v>
      </c>
      <c r="AN6" s="2003" t="s">
        <v>1167</v>
      </c>
      <c r="AO6" s="2003" t="s">
        <v>1168</v>
      </c>
      <c r="AP6" s="2003" t="s">
        <v>1169</v>
      </c>
      <c r="AQ6" s="2003" t="s">
        <v>1170</v>
      </c>
      <c r="AR6" s="4171"/>
      <c r="AT6" s="2003" t="s">
        <v>1171</v>
      </c>
      <c r="AU6" s="2003" t="s">
        <v>1172</v>
      </c>
      <c r="AV6" s="2003" t="s">
        <v>1161</v>
      </c>
      <c r="AW6" s="2003" t="s">
        <v>1162</v>
      </c>
      <c r="AX6" s="2003" t="s">
        <v>1163</v>
      </c>
      <c r="AY6" s="2003" t="s">
        <v>1164</v>
      </c>
      <c r="AZ6" s="2003" t="s">
        <v>1165</v>
      </c>
      <c r="BA6" s="2003" t="s">
        <v>1166</v>
      </c>
      <c r="BB6" s="2003" t="s">
        <v>1167</v>
      </c>
      <c r="BC6" s="2003" t="s">
        <v>1168</v>
      </c>
      <c r="BD6" s="2003" t="s">
        <v>1169</v>
      </c>
      <c r="BE6" s="2003" t="s">
        <v>1170</v>
      </c>
      <c r="BF6" s="4171"/>
      <c r="BH6" s="2003" t="s">
        <v>1171</v>
      </c>
      <c r="BI6" s="2003" t="s">
        <v>1172</v>
      </c>
      <c r="BJ6" s="2003" t="s">
        <v>1161</v>
      </c>
      <c r="BK6" s="2003" t="s">
        <v>1162</v>
      </c>
      <c r="BL6" s="2003" t="s">
        <v>1163</v>
      </c>
      <c r="BM6" s="2003" t="s">
        <v>1164</v>
      </c>
      <c r="BN6" s="2003" t="s">
        <v>1165</v>
      </c>
      <c r="BO6" s="2003" t="s">
        <v>1166</v>
      </c>
      <c r="BP6" s="2003" t="s">
        <v>1167</v>
      </c>
      <c r="BQ6" s="2003" t="s">
        <v>1168</v>
      </c>
      <c r="BR6" s="2003" t="s">
        <v>1169</v>
      </c>
      <c r="BS6" s="2003" t="s">
        <v>1170</v>
      </c>
      <c r="BT6" s="4171"/>
      <c r="BV6" s="2003" t="s">
        <v>1171</v>
      </c>
      <c r="BW6" s="2003" t="s">
        <v>1172</v>
      </c>
      <c r="BX6" s="2003" t="s">
        <v>1161</v>
      </c>
      <c r="BY6" s="4171"/>
      <c r="BZ6" s="4171"/>
      <c r="CA6" s="108"/>
      <c r="CB6" s="108"/>
      <c r="CC6" s="108"/>
      <c r="CD6" s="108"/>
      <c r="CE6" s="108"/>
      <c r="CF6" s="108"/>
      <c r="CG6" s="108"/>
      <c r="CH6" s="108"/>
      <c r="CI6" s="108"/>
    </row>
    <row r="7" spans="1:87" ht="30">
      <c r="A7" s="576"/>
      <c r="B7" s="65"/>
      <c r="C7" s="65"/>
      <c r="D7" s="542" t="s">
        <v>64</v>
      </c>
      <c r="F7" s="971">
        <v>0</v>
      </c>
      <c r="G7" s="971">
        <v>0</v>
      </c>
      <c r="H7" s="971">
        <v>0</v>
      </c>
      <c r="I7" s="971">
        <v>0</v>
      </c>
      <c r="J7" s="971">
        <v>0</v>
      </c>
      <c r="K7" s="971">
        <v>32700</v>
      </c>
      <c r="L7" s="971">
        <v>32700</v>
      </c>
      <c r="M7" s="971">
        <v>32700</v>
      </c>
      <c r="N7" s="971">
        <v>32700</v>
      </c>
      <c r="O7" s="971">
        <v>111444</v>
      </c>
      <c r="P7" s="971">
        <v>242244</v>
      </c>
      <c r="R7" s="971">
        <v>417944</v>
      </c>
      <c r="S7" s="971">
        <v>250944</v>
      </c>
      <c r="T7" s="971">
        <v>433744</v>
      </c>
      <c r="U7" s="971">
        <v>372744</v>
      </c>
      <c r="V7" s="971">
        <v>512744</v>
      </c>
      <c r="W7" s="971">
        <v>426750</v>
      </c>
      <c r="X7" s="971">
        <v>676993.33333333326</v>
      </c>
      <c r="Y7" s="971">
        <v>266833.33333333337</v>
      </c>
      <c r="Z7" s="971">
        <v>585283.33333333337</v>
      </c>
      <c r="AA7" s="971">
        <v>332833.33333333337</v>
      </c>
      <c r="AB7" s="971">
        <v>446583.33333333337</v>
      </c>
      <c r="AC7" s="971">
        <v>601233.33333333337</v>
      </c>
      <c r="AD7" s="162">
        <v>5324629.9999999991</v>
      </c>
      <c r="AF7" s="971">
        <v>543413.33333333337</v>
      </c>
      <c r="AG7" s="971">
        <v>653933.33333333326</v>
      </c>
      <c r="AH7" s="971">
        <v>2585930.3833333333</v>
      </c>
      <c r="AI7" s="971">
        <v>900655.55555555562</v>
      </c>
      <c r="AJ7" s="971">
        <v>275033.33333333337</v>
      </c>
      <c r="AK7" s="971">
        <v>1366433.3333333335</v>
      </c>
      <c r="AL7" s="971">
        <v>2106453.2833333332</v>
      </c>
      <c r="AM7" s="971">
        <v>1307783.3333333335</v>
      </c>
      <c r="AN7" s="971">
        <v>774083.33333333337</v>
      </c>
      <c r="AO7" s="971">
        <v>753658.33333333337</v>
      </c>
      <c r="AP7" s="971">
        <v>3650623.2833333332</v>
      </c>
      <c r="AQ7" s="971">
        <v>2340858.3333333335</v>
      </c>
      <c r="AR7" s="971">
        <v>17258859.172222223</v>
      </c>
      <c r="AT7" s="971">
        <v>857446.66666666674</v>
      </c>
      <c r="AU7" s="971">
        <v>3015116.6666666665</v>
      </c>
      <c r="AV7" s="971">
        <v>2272648.2833333332</v>
      </c>
      <c r="AW7" s="971">
        <v>1228866.6666666667</v>
      </c>
      <c r="AX7" s="971">
        <v>713366.66666666674</v>
      </c>
      <c r="AY7" s="971">
        <v>2582191.6666666665</v>
      </c>
      <c r="AZ7" s="971">
        <v>1873928.2833333332</v>
      </c>
      <c r="BA7" s="971">
        <v>1194866.6666666667</v>
      </c>
      <c r="BB7" s="971">
        <v>926454.41666666674</v>
      </c>
      <c r="BC7" s="971">
        <v>2286391.6666666665</v>
      </c>
      <c r="BD7" s="971">
        <v>2113566.5888888892</v>
      </c>
      <c r="BE7" s="971">
        <v>1890091.6666666665</v>
      </c>
      <c r="BF7" s="972">
        <v>20954935.905555557</v>
      </c>
      <c r="BH7" s="971">
        <v>615413.33333333326</v>
      </c>
      <c r="BI7" s="971">
        <v>1862558.3333333335</v>
      </c>
      <c r="BJ7" s="971">
        <v>1603540.6</v>
      </c>
      <c r="BK7" s="971">
        <v>1001033.3333333333</v>
      </c>
      <c r="BL7" s="971">
        <v>466833.33333333337</v>
      </c>
      <c r="BM7" s="971">
        <v>2014821.0833333335</v>
      </c>
      <c r="BN7" s="971">
        <v>1806520.0666666667</v>
      </c>
      <c r="BO7" s="971">
        <v>1591421.0833333333</v>
      </c>
      <c r="BP7" s="971">
        <v>566683.33333333326</v>
      </c>
      <c r="BQ7" s="971">
        <v>1479933.3333333335</v>
      </c>
      <c r="BR7" s="971">
        <v>1545046.4222222222</v>
      </c>
      <c r="BS7" s="971">
        <v>512533.33333333331</v>
      </c>
      <c r="BT7" s="971">
        <v>15066337.588888893</v>
      </c>
      <c r="BV7" s="971">
        <v>376693.33333333337</v>
      </c>
      <c r="BW7" s="971">
        <v>386766.66666666663</v>
      </c>
      <c r="BX7" s="971">
        <v>389533.33333333337</v>
      </c>
      <c r="BY7" s="971">
        <v>1152993.3333333335</v>
      </c>
      <c r="BZ7" s="162">
        <v>60000000.000000007</v>
      </c>
      <c r="CA7" s="108"/>
      <c r="CB7" s="108"/>
      <c r="CC7" s="108"/>
      <c r="CD7" s="108"/>
      <c r="CE7" s="108"/>
      <c r="CF7" s="108"/>
      <c r="CG7" s="108"/>
      <c r="CH7" s="108"/>
      <c r="CI7" s="108"/>
    </row>
    <row r="8" spans="1:87" s="878" customFormat="1" ht="25.25" customHeight="1">
      <c r="A8" s="577"/>
      <c r="B8" s="67" t="s">
        <v>494</v>
      </c>
      <c r="C8" s="67"/>
      <c r="D8" s="543" t="s">
        <v>495</v>
      </c>
      <c r="E8"/>
      <c r="F8" s="974">
        <v>0</v>
      </c>
      <c r="G8" s="974">
        <v>0</v>
      </c>
      <c r="H8" s="974">
        <v>0</v>
      </c>
      <c r="I8" s="974">
        <v>0</v>
      </c>
      <c r="J8" s="974">
        <v>0</v>
      </c>
      <c r="K8" s="974">
        <v>0</v>
      </c>
      <c r="L8" s="974">
        <v>0</v>
      </c>
      <c r="M8" s="974">
        <v>0</v>
      </c>
      <c r="N8" s="974">
        <v>0</v>
      </c>
      <c r="O8" s="974">
        <v>21244</v>
      </c>
      <c r="P8" s="974">
        <v>21244</v>
      </c>
      <c r="Q8"/>
      <c r="R8" s="974">
        <v>139744</v>
      </c>
      <c r="S8" s="974">
        <v>104744</v>
      </c>
      <c r="T8" s="974">
        <v>114744</v>
      </c>
      <c r="U8" s="974">
        <v>113744</v>
      </c>
      <c r="V8" s="974">
        <v>249744</v>
      </c>
      <c r="W8" s="974">
        <v>138750</v>
      </c>
      <c r="X8" s="974">
        <v>287083.33333333331</v>
      </c>
      <c r="Y8" s="974">
        <v>60833.333333333336</v>
      </c>
      <c r="Z8" s="974">
        <v>142833.33333333334</v>
      </c>
      <c r="AA8" s="974">
        <v>60833.333333333336</v>
      </c>
      <c r="AB8" s="974">
        <v>121333.33333333334</v>
      </c>
      <c r="AC8" s="974">
        <v>175833.33333333334</v>
      </c>
      <c r="AD8" s="974">
        <v>1710219.9999999995</v>
      </c>
      <c r="AE8"/>
      <c r="AF8" s="974">
        <v>254833.33333333334</v>
      </c>
      <c r="AG8" s="974">
        <v>395833.33333333331</v>
      </c>
      <c r="AH8" s="974">
        <v>1303980.3833333333</v>
      </c>
      <c r="AI8" s="974">
        <v>671055.55555555562</v>
      </c>
      <c r="AJ8" s="974">
        <v>99033.333333333343</v>
      </c>
      <c r="AK8" s="974">
        <v>1059333.3333333335</v>
      </c>
      <c r="AL8" s="974">
        <v>1074773.2833333332</v>
      </c>
      <c r="AM8" s="974">
        <v>1160333.3333333335</v>
      </c>
      <c r="AN8" s="974">
        <v>483133.33333333337</v>
      </c>
      <c r="AO8" s="974">
        <v>208333.33333333334</v>
      </c>
      <c r="AP8" s="974">
        <v>2499023.2833333332</v>
      </c>
      <c r="AQ8" s="974">
        <v>1900033.3333333335</v>
      </c>
      <c r="AR8" s="974">
        <v>11109699.172222223</v>
      </c>
      <c r="AS8"/>
      <c r="AT8" s="974">
        <v>572366.66666666674</v>
      </c>
      <c r="AU8" s="974">
        <v>1937666.6666666665</v>
      </c>
      <c r="AV8" s="974">
        <v>1194048.2833333332</v>
      </c>
      <c r="AW8" s="974">
        <v>1126166.6666666667</v>
      </c>
      <c r="AX8" s="974">
        <v>478366.66666666669</v>
      </c>
      <c r="AY8" s="974">
        <v>1696866.6666666665</v>
      </c>
      <c r="AZ8" s="974">
        <v>825848.28333333333</v>
      </c>
      <c r="BA8" s="974">
        <v>1086166.6666666667</v>
      </c>
      <c r="BB8" s="974">
        <v>705454.41666666674</v>
      </c>
      <c r="BC8" s="974">
        <v>1626666.6666666665</v>
      </c>
      <c r="BD8" s="974">
        <v>1120066.5888888889</v>
      </c>
      <c r="BE8" s="974">
        <v>1446266.6666666665</v>
      </c>
      <c r="BF8" s="975">
        <v>13815950.905555554</v>
      </c>
      <c r="BG8"/>
      <c r="BH8" s="974">
        <v>334333.33333333331</v>
      </c>
      <c r="BI8" s="974">
        <v>1292833.3333333335</v>
      </c>
      <c r="BJ8" s="974">
        <v>582540.60000000009</v>
      </c>
      <c r="BK8" s="974">
        <v>902333.33333333326</v>
      </c>
      <c r="BL8" s="974">
        <v>254333.33333333334</v>
      </c>
      <c r="BM8" s="974">
        <v>1702721.0833333335</v>
      </c>
      <c r="BN8" s="974">
        <v>763190.06666666665</v>
      </c>
      <c r="BO8" s="974">
        <v>1495221.0833333333</v>
      </c>
      <c r="BP8" s="974">
        <v>415333.33333333331</v>
      </c>
      <c r="BQ8" s="974">
        <v>1202833.3333333335</v>
      </c>
      <c r="BR8" s="974">
        <v>674046.4222222222</v>
      </c>
      <c r="BS8" s="974">
        <v>298333.33333333331</v>
      </c>
      <c r="BT8" s="973">
        <v>9918052.5888888892</v>
      </c>
      <c r="BU8"/>
      <c r="BV8" s="974">
        <v>8333.3333333333339</v>
      </c>
      <c r="BW8" s="974">
        <v>163166.66666666666</v>
      </c>
      <c r="BX8" s="974">
        <v>120333.33333333334</v>
      </c>
      <c r="BY8" s="973">
        <v>291833.33333333337</v>
      </c>
      <c r="BZ8" s="973">
        <v>36867000</v>
      </c>
      <c r="CA8" s="153"/>
      <c r="CB8" s="153"/>
      <c r="CC8" s="153"/>
      <c r="CD8" s="153"/>
      <c r="CE8" s="153"/>
      <c r="CF8" s="153"/>
      <c r="CG8" s="153"/>
      <c r="CH8" s="153"/>
      <c r="CI8" s="153"/>
    </row>
    <row r="9" spans="1:87" s="153" customFormat="1" ht="24" customHeight="1" outlineLevel="1">
      <c r="A9" s="578"/>
      <c r="B9" s="428" t="s">
        <v>496</v>
      </c>
      <c r="C9" s="428"/>
      <c r="D9" s="539" t="s">
        <v>11</v>
      </c>
      <c r="E9"/>
      <c r="F9" s="433">
        <v>0</v>
      </c>
      <c r="G9" s="433">
        <v>0</v>
      </c>
      <c r="H9" s="433">
        <v>0</v>
      </c>
      <c r="I9" s="433">
        <v>0</v>
      </c>
      <c r="J9" s="433">
        <v>0</v>
      </c>
      <c r="K9" s="433">
        <v>0</v>
      </c>
      <c r="L9" s="433">
        <v>0</v>
      </c>
      <c r="M9" s="433">
        <v>0</v>
      </c>
      <c r="N9" s="433">
        <v>0</v>
      </c>
      <c r="O9" s="433">
        <v>0</v>
      </c>
      <c r="P9" s="433">
        <v>0</v>
      </c>
      <c r="Q9"/>
      <c r="R9" s="433">
        <v>85000</v>
      </c>
      <c r="S9" s="433">
        <v>50000</v>
      </c>
      <c r="T9" s="433">
        <v>50000</v>
      </c>
      <c r="U9" s="433">
        <v>44000</v>
      </c>
      <c r="V9" s="433">
        <v>80000</v>
      </c>
      <c r="W9" s="433">
        <v>44000</v>
      </c>
      <c r="X9" s="433">
        <v>16000</v>
      </c>
      <c r="Y9" s="433">
        <v>16000</v>
      </c>
      <c r="Z9" s="433">
        <v>51000</v>
      </c>
      <c r="AA9" s="433">
        <v>16000</v>
      </c>
      <c r="AB9" s="433">
        <v>71500</v>
      </c>
      <c r="AC9" s="433">
        <v>10000</v>
      </c>
      <c r="AD9" s="433">
        <v>533500</v>
      </c>
      <c r="AE9"/>
      <c r="AF9" s="433">
        <v>10000</v>
      </c>
      <c r="AG9" s="433">
        <v>351000</v>
      </c>
      <c r="AH9" s="433">
        <v>71500</v>
      </c>
      <c r="AI9" s="433">
        <v>243222.22222222222</v>
      </c>
      <c r="AJ9" s="433">
        <v>10000</v>
      </c>
      <c r="AK9" s="433">
        <v>247000</v>
      </c>
      <c r="AL9" s="433">
        <v>111416.66666666666</v>
      </c>
      <c r="AM9" s="433">
        <v>145000</v>
      </c>
      <c r="AN9" s="433">
        <v>186600</v>
      </c>
      <c r="AO9" s="433">
        <v>160000</v>
      </c>
      <c r="AP9" s="433">
        <v>111416.66666666666</v>
      </c>
      <c r="AQ9" s="433">
        <v>299200</v>
      </c>
      <c r="AR9" s="433">
        <v>1946355.5555555557</v>
      </c>
      <c r="AS9"/>
      <c r="AT9" s="433">
        <v>0</v>
      </c>
      <c r="AU9" s="433">
        <v>554500</v>
      </c>
      <c r="AV9" s="433">
        <v>198108.33333333334</v>
      </c>
      <c r="AW9" s="433">
        <v>135000</v>
      </c>
      <c r="AX9" s="433">
        <v>6000</v>
      </c>
      <c r="AY9" s="433">
        <v>512450</v>
      </c>
      <c r="AZ9" s="433">
        <v>49908.333333333336</v>
      </c>
      <c r="BA9" s="433">
        <v>135000</v>
      </c>
      <c r="BB9" s="433">
        <v>154200</v>
      </c>
      <c r="BC9" s="433">
        <v>352250</v>
      </c>
      <c r="BD9" s="433">
        <v>45238.888888888898</v>
      </c>
      <c r="BE9" s="433">
        <v>362600</v>
      </c>
      <c r="BF9" s="433">
        <v>2505255.555555556</v>
      </c>
      <c r="BG9"/>
      <c r="BH9" s="433">
        <v>6000</v>
      </c>
      <c r="BI9" s="433">
        <v>358250</v>
      </c>
      <c r="BJ9" s="433">
        <v>136908.33333333334</v>
      </c>
      <c r="BK9" s="433">
        <v>6000</v>
      </c>
      <c r="BL9" s="433">
        <v>6000</v>
      </c>
      <c r="BM9" s="433">
        <v>439250</v>
      </c>
      <c r="BN9" s="433">
        <v>43908.333333333336</v>
      </c>
      <c r="BO9" s="433">
        <v>0</v>
      </c>
      <c r="BP9" s="433">
        <v>87000</v>
      </c>
      <c r="BQ9" s="433">
        <v>554500</v>
      </c>
      <c r="BR9" s="433">
        <v>45238.888888888898</v>
      </c>
      <c r="BS9" s="433">
        <v>87000</v>
      </c>
      <c r="BT9" s="433">
        <v>1770055.5555555557</v>
      </c>
      <c r="BU9"/>
      <c r="BV9" s="433">
        <v>0</v>
      </c>
      <c r="BW9" s="433">
        <v>154833.33333333331</v>
      </c>
      <c r="BX9" s="433">
        <v>87000</v>
      </c>
      <c r="BY9" s="433">
        <v>241833.33333333331</v>
      </c>
      <c r="BZ9" s="433">
        <v>6997000.0000000009</v>
      </c>
    </row>
    <row r="10" spans="1:87" s="153" customFormat="1" ht="29" customHeight="1" outlineLevel="2">
      <c r="A10" s="172"/>
      <c r="B10" s="171" t="s">
        <v>499</v>
      </c>
      <c r="C10" s="171"/>
      <c r="D10" s="538" t="s">
        <v>12</v>
      </c>
      <c r="E10"/>
      <c r="F10" s="176">
        <v>0</v>
      </c>
      <c r="G10" s="176">
        <v>0</v>
      </c>
      <c r="H10" s="176">
        <v>0</v>
      </c>
      <c r="I10" s="176">
        <v>0</v>
      </c>
      <c r="J10" s="176">
        <v>0</v>
      </c>
      <c r="K10" s="176">
        <v>0</v>
      </c>
      <c r="L10" s="176">
        <v>0</v>
      </c>
      <c r="M10" s="176">
        <v>0</v>
      </c>
      <c r="N10" s="176">
        <v>0</v>
      </c>
      <c r="O10" s="176">
        <v>0</v>
      </c>
      <c r="P10" s="176">
        <v>0</v>
      </c>
      <c r="Q10"/>
      <c r="R10" s="176">
        <v>44000</v>
      </c>
      <c r="S10" s="176">
        <v>44000</v>
      </c>
      <c r="T10" s="176">
        <v>44000</v>
      </c>
      <c r="U10" s="176">
        <v>38000</v>
      </c>
      <c r="V10" s="176">
        <v>38000</v>
      </c>
      <c r="W10" s="176">
        <v>38000</v>
      </c>
      <c r="X10" s="176">
        <v>10000</v>
      </c>
      <c r="Y10" s="176">
        <v>10000</v>
      </c>
      <c r="Z10" s="176">
        <v>10000</v>
      </c>
      <c r="AA10" s="176">
        <v>10000</v>
      </c>
      <c r="AB10" s="176">
        <v>71500</v>
      </c>
      <c r="AC10" s="176">
        <v>10000</v>
      </c>
      <c r="AD10" s="176">
        <v>367500</v>
      </c>
      <c r="AE10"/>
      <c r="AF10" s="176">
        <v>10000</v>
      </c>
      <c r="AG10" s="176">
        <v>126000</v>
      </c>
      <c r="AH10" s="176">
        <v>71500</v>
      </c>
      <c r="AI10" s="176">
        <v>10000</v>
      </c>
      <c r="AJ10" s="176">
        <v>10000</v>
      </c>
      <c r="AK10" s="176">
        <v>97000</v>
      </c>
      <c r="AL10" s="176">
        <v>71500</v>
      </c>
      <c r="AM10" s="176">
        <v>10000</v>
      </c>
      <c r="AN10" s="176">
        <v>97000</v>
      </c>
      <c r="AO10" s="176">
        <v>10000</v>
      </c>
      <c r="AP10" s="176">
        <v>71500</v>
      </c>
      <c r="AQ10" s="176">
        <v>97000</v>
      </c>
      <c r="AR10" s="176">
        <v>681500</v>
      </c>
      <c r="AS10"/>
      <c r="AT10" s="176">
        <v>0</v>
      </c>
      <c r="AU10" s="176">
        <v>404500</v>
      </c>
      <c r="AV10" s="176">
        <v>87000</v>
      </c>
      <c r="AW10" s="176">
        <v>0</v>
      </c>
      <c r="AX10" s="176">
        <v>0</v>
      </c>
      <c r="AY10" s="176">
        <v>289250</v>
      </c>
      <c r="AZ10" s="176">
        <v>0</v>
      </c>
      <c r="BA10" s="176">
        <v>0</v>
      </c>
      <c r="BB10" s="176">
        <v>87000</v>
      </c>
      <c r="BC10" s="176">
        <v>202250</v>
      </c>
      <c r="BD10" s="176">
        <v>0</v>
      </c>
      <c r="BE10" s="176">
        <v>87000</v>
      </c>
      <c r="BF10" s="176">
        <v>1157000</v>
      </c>
      <c r="BG10"/>
      <c r="BH10" s="176">
        <v>0</v>
      </c>
      <c r="BI10" s="176">
        <v>202250</v>
      </c>
      <c r="BJ10" s="176">
        <v>87000</v>
      </c>
      <c r="BK10" s="176">
        <v>0</v>
      </c>
      <c r="BL10" s="176">
        <v>0</v>
      </c>
      <c r="BM10" s="176">
        <v>289250</v>
      </c>
      <c r="BN10" s="176">
        <v>0</v>
      </c>
      <c r="BO10" s="176">
        <v>0</v>
      </c>
      <c r="BP10" s="176">
        <v>87000</v>
      </c>
      <c r="BQ10" s="176">
        <v>404500</v>
      </c>
      <c r="BR10" s="176">
        <v>0</v>
      </c>
      <c r="BS10" s="176">
        <v>87000</v>
      </c>
      <c r="BT10" s="176">
        <v>1157000</v>
      </c>
      <c r="BU10"/>
      <c r="BV10" s="176">
        <v>0</v>
      </c>
      <c r="BW10" s="176">
        <v>0</v>
      </c>
      <c r="BX10" s="176">
        <v>87000</v>
      </c>
      <c r="BY10" s="176">
        <v>87000</v>
      </c>
      <c r="BZ10" s="176">
        <v>3450000</v>
      </c>
    </row>
    <row r="11" spans="1:87" s="153" customFormat="1" ht="47" hidden="1" customHeight="1" outlineLevel="3">
      <c r="A11" s="397"/>
      <c r="B11" s="395" t="s">
        <v>497</v>
      </c>
      <c r="C11" s="395"/>
      <c r="D11" s="1249" t="s">
        <v>498</v>
      </c>
      <c r="E11"/>
      <c r="F11" s="992">
        <v>0</v>
      </c>
      <c r="G11" s="992">
        <v>0</v>
      </c>
      <c r="H11" s="992">
        <v>0</v>
      </c>
      <c r="I11" s="992">
        <v>0</v>
      </c>
      <c r="J11" s="992">
        <v>0</v>
      </c>
      <c r="K11" s="992">
        <v>0</v>
      </c>
      <c r="L11" s="992">
        <v>0</v>
      </c>
      <c r="M11" s="992">
        <v>0</v>
      </c>
      <c r="N11" s="992">
        <v>0</v>
      </c>
      <c r="O11" s="992">
        <v>0</v>
      </c>
      <c r="P11" s="992">
        <v>0</v>
      </c>
      <c r="Q11"/>
      <c r="R11" s="992">
        <v>10000</v>
      </c>
      <c r="S11" s="992">
        <v>10000</v>
      </c>
      <c r="T11" s="992">
        <v>10000</v>
      </c>
      <c r="U11" s="992">
        <v>10000</v>
      </c>
      <c r="V11" s="992">
        <v>10000</v>
      </c>
      <c r="W11" s="992">
        <v>10000</v>
      </c>
      <c r="X11" s="992">
        <v>10000</v>
      </c>
      <c r="Y11" s="992">
        <v>10000</v>
      </c>
      <c r="Z11" s="992">
        <v>10000</v>
      </c>
      <c r="AA11" s="992">
        <v>10000</v>
      </c>
      <c r="AB11" s="992">
        <v>10000</v>
      </c>
      <c r="AC11" s="992">
        <v>10000</v>
      </c>
      <c r="AD11" s="992">
        <v>120000</v>
      </c>
      <c r="AE11"/>
      <c r="AF11" s="992">
        <v>10000</v>
      </c>
      <c r="AG11" s="992">
        <v>72000</v>
      </c>
      <c r="AH11" s="992">
        <v>10000</v>
      </c>
      <c r="AI11" s="992">
        <v>10000</v>
      </c>
      <c r="AJ11" s="992">
        <v>10000</v>
      </c>
      <c r="AK11" s="992">
        <v>56500</v>
      </c>
      <c r="AL11" s="992">
        <v>10000</v>
      </c>
      <c r="AM11" s="992">
        <v>10000</v>
      </c>
      <c r="AN11" s="992">
        <v>56500</v>
      </c>
      <c r="AO11" s="992">
        <v>10000</v>
      </c>
      <c r="AP11" s="992">
        <v>10000</v>
      </c>
      <c r="AQ11" s="992">
        <v>56500</v>
      </c>
      <c r="AR11" s="992">
        <v>321500</v>
      </c>
      <c r="AS11"/>
      <c r="AT11" s="992">
        <v>0</v>
      </c>
      <c r="AU11" s="992">
        <v>0</v>
      </c>
      <c r="AV11" s="992">
        <v>46500</v>
      </c>
      <c r="AW11" s="992">
        <v>0</v>
      </c>
      <c r="AX11" s="992">
        <v>0</v>
      </c>
      <c r="AY11" s="992">
        <v>46500</v>
      </c>
      <c r="AZ11" s="992">
        <v>0</v>
      </c>
      <c r="BA11" s="992">
        <v>0</v>
      </c>
      <c r="BB11" s="992">
        <v>46500</v>
      </c>
      <c r="BC11" s="992">
        <v>0</v>
      </c>
      <c r="BD11" s="992">
        <v>0</v>
      </c>
      <c r="BE11" s="992">
        <v>46500</v>
      </c>
      <c r="BF11" s="993">
        <v>186000</v>
      </c>
      <c r="BG11"/>
      <c r="BH11" s="992">
        <v>0</v>
      </c>
      <c r="BI11" s="992">
        <v>0</v>
      </c>
      <c r="BJ11" s="992">
        <v>46500</v>
      </c>
      <c r="BK11" s="992">
        <v>0</v>
      </c>
      <c r="BL11" s="992">
        <v>0</v>
      </c>
      <c r="BM11" s="992">
        <v>46500</v>
      </c>
      <c r="BN11" s="992">
        <v>0</v>
      </c>
      <c r="BO11" s="992">
        <v>0</v>
      </c>
      <c r="BP11" s="992">
        <v>46500</v>
      </c>
      <c r="BQ11" s="992">
        <v>0</v>
      </c>
      <c r="BR11" s="992">
        <v>0</v>
      </c>
      <c r="BS11" s="992">
        <v>46500</v>
      </c>
      <c r="BT11" s="994">
        <v>186000</v>
      </c>
      <c r="BU11"/>
      <c r="BV11" s="992">
        <v>0</v>
      </c>
      <c r="BW11" s="992">
        <v>0</v>
      </c>
      <c r="BX11" s="992">
        <v>46500</v>
      </c>
      <c r="BY11" s="994">
        <v>46500</v>
      </c>
      <c r="BZ11" s="994">
        <v>860000</v>
      </c>
    </row>
    <row r="12" spans="1:87" s="108" customFormat="1" ht="27.5" hidden="1" customHeight="1" outlineLevel="4">
      <c r="A12" s="580"/>
      <c r="B12" s="107" t="s">
        <v>616</v>
      </c>
      <c r="C12" s="107" t="s">
        <v>1279</v>
      </c>
      <c r="D12" s="703" t="s">
        <v>617</v>
      </c>
      <c r="E12"/>
      <c r="F12" s="3872"/>
      <c r="G12" s="3872"/>
      <c r="H12" s="3872"/>
      <c r="I12" s="3872"/>
      <c r="J12" s="3872"/>
      <c r="K12" s="3872"/>
      <c r="L12" s="3872"/>
      <c r="M12" s="3872"/>
      <c r="N12" s="3872"/>
      <c r="O12" s="3872"/>
      <c r="P12" s="4172">
        <v>0</v>
      </c>
      <c r="Q12"/>
      <c r="R12" s="3872"/>
      <c r="S12" s="3872"/>
      <c r="T12" s="3872"/>
      <c r="U12" s="3872"/>
      <c r="V12" s="3872"/>
      <c r="W12" s="3872"/>
      <c r="X12" s="3872"/>
      <c r="Y12" s="3872"/>
      <c r="Z12" s="3872"/>
      <c r="AA12" s="3872"/>
      <c r="AB12" s="3872"/>
      <c r="AC12" s="3872"/>
      <c r="AD12" s="4172">
        <v>0</v>
      </c>
      <c r="AE12"/>
      <c r="AF12" s="3872"/>
      <c r="AG12" s="3872">
        <v>62000</v>
      </c>
      <c r="AH12" s="3872"/>
      <c r="AI12" s="3872"/>
      <c r="AJ12" s="3872"/>
      <c r="AK12" s="3872">
        <v>46500</v>
      </c>
      <c r="AL12" s="3872"/>
      <c r="AM12" s="3872"/>
      <c r="AN12" s="3872">
        <v>46500</v>
      </c>
      <c r="AO12" s="3872"/>
      <c r="AP12" s="3872"/>
      <c r="AQ12" s="3872">
        <v>46500</v>
      </c>
      <c r="AR12" s="4172">
        <v>201500</v>
      </c>
      <c r="AS12"/>
      <c r="AT12" s="3872"/>
      <c r="AU12" s="3872"/>
      <c r="AV12" s="3872">
        <v>46500</v>
      </c>
      <c r="AW12" s="3872"/>
      <c r="AX12" s="3872"/>
      <c r="AY12" s="3872">
        <v>46500</v>
      </c>
      <c r="AZ12" s="3872"/>
      <c r="BA12" s="3872"/>
      <c r="BB12" s="3872">
        <v>46500</v>
      </c>
      <c r="BC12" s="3872"/>
      <c r="BD12" s="3872"/>
      <c r="BE12" s="3872">
        <v>46500</v>
      </c>
      <c r="BF12" s="4172">
        <v>186000</v>
      </c>
      <c r="BG12"/>
      <c r="BH12" s="3872"/>
      <c r="BI12" s="3872"/>
      <c r="BJ12" s="3872">
        <v>46500</v>
      </c>
      <c r="BK12" s="3872"/>
      <c r="BL12" s="3872"/>
      <c r="BM12" s="3872">
        <v>46500</v>
      </c>
      <c r="BN12" s="3872"/>
      <c r="BO12" s="3872"/>
      <c r="BP12" s="3872">
        <v>46500</v>
      </c>
      <c r="BQ12" s="3872"/>
      <c r="BR12" s="3872"/>
      <c r="BS12" s="3872">
        <v>46500</v>
      </c>
      <c r="BT12" s="4172">
        <v>186000</v>
      </c>
      <c r="BU12"/>
      <c r="BV12" s="3872"/>
      <c r="BW12" s="3872"/>
      <c r="BX12" s="3872">
        <v>46500</v>
      </c>
      <c r="BY12" s="4172">
        <v>46500</v>
      </c>
      <c r="BZ12" s="4172">
        <v>620000</v>
      </c>
    </row>
    <row r="13" spans="1:87" s="108" customFormat="1" ht="27.5" hidden="1" customHeight="1" outlineLevel="4">
      <c r="A13" s="580"/>
      <c r="B13" s="107" t="s">
        <v>618</v>
      </c>
      <c r="C13" s="107" t="s">
        <v>1279</v>
      </c>
      <c r="D13" s="703" t="s">
        <v>619</v>
      </c>
      <c r="E13"/>
      <c r="F13" s="3873"/>
      <c r="G13" s="3873"/>
      <c r="H13" s="3873"/>
      <c r="I13" s="3873"/>
      <c r="J13" s="3873"/>
      <c r="K13" s="3873"/>
      <c r="L13" s="3873"/>
      <c r="M13" s="3873"/>
      <c r="N13" s="3873"/>
      <c r="O13" s="3873"/>
      <c r="P13" s="4173">
        <f>SUM(F13:O13)</f>
        <v>0</v>
      </c>
      <c r="Q13"/>
      <c r="R13" s="3873"/>
      <c r="S13" s="3873"/>
      <c r="T13" s="3873"/>
      <c r="U13" s="3873"/>
      <c r="V13" s="3873"/>
      <c r="W13" s="3873"/>
      <c r="X13" s="3873"/>
      <c r="Y13" s="3873"/>
      <c r="Z13" s="3873"/>
      <c r="AA13" s="3873"/>
      <c r="AB13" s="3873"/>
      <c r="AC13" s="3873"/>
      <c r="AD13" s="4173">
        <f>SUM(R13:AC13)</f>
        <v>0</v>
      </c>
      <c r="AE13"/>
      <c r="AF13" s="3873"/>
      <c r="AG13" s="3873"/>
      <c r="AH13" s="3873"/>
      <c r="AI13" s="3873"/>
      <c r="AJ13" s="3873"/>
      <c r="AK13" s="3873"/>
      <c r="AL13" s="3873"/>
      <c r="AM13" s="3873"/>
      <c r="AN13" s="3873"/>
      <c r="AO13" s="3873"/>
      <c r="AP13" s="3873"/>
      <c r="AQ13" s="3873"/>
      <c r="AR13" s="4173">
        <f>SUM(AF13:AQ13)</f>
        <v>0</v>
      </c>
      <c r="AS13"/>
      <c r="AT13" s="3873"/>
      <c r="AU13" s="3873"/>
      <c r="AV13" s="3873"/>
      <c r="AW13" s="3873"/>
      <c r="AX13" s="3873"/>
      <c r="AY13" s="3873"/>
      <c r="AZ13" s="3873"/>
      <c r="BA13" s="3873"/>
      <c r="BB13" s="3873"/>
      <c r="BC13" s="3873"/>
      <c r="BD13" s="3873"/>
      <c r="BE13" s="3873"/>
      <c r="BF13" s="4173">
        <f>SUM(AT13:BE13)</f>
        <v>0</v>
      </c>
      <c r="BG13"/>
      <c r="BH13" s="3873"/>
      <c r="BI13" s="3873"/>
      <c r="BJ13" s="3873"/>
      <c r="BK13" s="3873"/>
      <c r="BL13" s="3873"/>
      <c r="BM13" s="3873"/>
      <c r="BN13" s="3873"/>
      <c r="BO13" s="3873"/>
      <c r="BP13" s="3873"/>
      <c r="BQ13" s="3873"/>
      <c r="BR13" s="3873"/>
      <c r="BS13" s="3873"/>
      <c r="BT13" s="4173">
        <f>SUM(BH13:BS13)</f>
        <v>0</v>
      </c>
      <c r="BU13"/>
      <c r="BV13" s="3873"/>
      <c r="BW13" s="3873"/>
      <c r="BX13" s="3873"/>
      <c r="BY13" s="4173">
        <f>SUM(BV13:BX13)</f>
        <v>0</v>
      </c>
      <c r="BZ13" s="4173">
        <f>+P13+AD13+AR13+BF13+BT13+BY13</f>
        <v>0</v>
      </c>
    </row>
    <row r="14" spans="1:87" s="108" customFormat="1" ht="27.5" hidden="1" customHeight="1" outlineLevel="4">
      <c r="A14" s="580"/>
      <c r="B14" s="107" t="s">
        <v>620</v>
      </c>
      <c r="C14" s="107" t="s">
        <v>1279</v>
      </c>
      <c r="D14" s="703" t="s">
        <v>621</v>
      </c>
      <c r="E14"/>
      <c r="F14" s="728"/>
      <c r="G14" s="728"/>
      <c r="H14" s="728"/>
      <c r="I14" s="728"/>
      <c r="J14" s="728"/>
      <c r="K14" s="728"/>
      <c r="L14" s="728"/>
      <c r="M14" s="728"/>
      <c r="N14" s="728"/>
      <c r="O14" s="728"/>
      <c r="P14" s="995">
        <v>0</v>
      </c>
      <c r="Q14"/>
      <c r="R14" s="728">
        <v>5000</v>
      </c>
      <c r="S14" s="728">
        <v>5000</v>
      </c>
      <c r="T14" s="728">
        <v>5000</v>
      </c>
      <c r="U14" s="728">
        <v>5000</v>
      </c>
      <c r="V14" s="728">
        <v>5000</v>
      </c>
      <c r="W14" s="728">
        <v>5000</v>
      </c>
      <c r="X14" s="728">
        <v>5000</v>
      </c>
      <c r="Y14" s="728">
        <v>5000</v>
      </c>
      <c r="Z14" s="728">
        <v>5000</v>
      </c>
      <c r="AA14" s="728">
        <v>5000</v>
      </c>
      <c r="AB14" s="728">
        <v>5000</v>
      </c>
      <c r="AC14" s="728">
        <v>5000</v>
      </c>
      <c r="AD14" s="995">
        <v>60000</v>
      </c>
      <c r="AE14"/>
      <c r="AF14" s="728">
        <v>5000</v>
      </c>
      <c r="AG14" s="728">
        <v>5000</v>
      </c>
      <c r="AH14" s="728">
        <v>5000</v>
      </c>
      <c r="AI14" s="728">
        <v>5000</v>
      </c>
      <c r="AJ14" s="728">
        <v>5000</v>
      </c>
      <c r="AK14" s="728">
        <v>5000</v>
      </c>
      <c r="AL14" s="728">
        <v>5000</v>
      </c>
      <c r="AM14" s="728">
        <v>5000</v>
      </c>
      <c r="AN14" s="728">
        <v>5000</v>
      </c>
      <c r="AO14" s="728">
        <v>5000</v>
      </c>
      <c r="AP14" s="728">
        <v>5000</v>
      </c>
      <c r="AQ14" s="728">
        <v>5000</v>
      </c>
      <c r="AR14" s="995">
        <v>60000</v>
      </c>
      <c r="AS14"/>
      <c r="AT14" s="728"/>
      <c r="AU14" s="728"/>
      <c r="AV14" s="728"/>
      <c r="AW14" s="728"/>
      <c r="AX14" s="728"/>
      <c r="AY14" s="728"/>
      <c r="AZ14" s="728"/>
      <c r="BA14" s="728"/>
      <c r="BB14" s="728"/>
      <c r="BC14" s="728"/>
      <c r="BD14" s="728"/>
      <c r="BE14" s="728"/>
      <c r="BF14" s="2032">
        <v>0</v>
      </c>
      <c r="BG14"/>
      <c r="BH14" s="728"/>
      <c r="BI14" s="728"/>
      <c r="BJ14" s="728"/>
      <c r="BK14" s="728"/>
      <c r="BL14" s="728"/>
      <c r="BM14" s="728"/>
      <c r="BN14" s="728"/>
      <c r="BO14" s="728"/>
      <c r="BP14" s="728"/>
      <c r="BQ14" s="728"/>
      <c r="BR14" s="728"/>
      <c r="BS14" s="728"/>
      <c r="BT14" s="2007">
        <v>0</v>
      </c>
      <c r="BU14"/>
      <c r="BV14" s="728"/>
      <c r="BW14" s="728"/>
      <c r="BX14" s="728"/>
      <c r="BY14" s="2007">
        <v>0</v>
      </c>
      <c r="BZ14" s="2007">
        <v>120000</v>
      </c>
    </row>
    <row r="15" spans="1:87" s="108" customFormat="1" ht="27.5" hidden="1" customHeight="1" outlineLevel="4">
      <c r="A15" s="580"/>
      <c r="B15" s="107" t="s">
        <v>622</v>
      </c>
      <c r="C15" s="107" t="s">
        <v>1279</v>
      </c>
      <c r="D15" s="533" t="s">
        <v>623</v>
      </c>
      <c r="E15"/>
      <c r="F15" s="990"/>
      <c r="G15" s="990"/>
      <c r="H15" s="990"/>
      <c r="I15" s="990"/>
      <c r="J15" s="990"/>
      <c r="K15" s="990"/>
      <c r="L15" s="990"/>
      <c r="M15" s="990"/>
      <c r="N15" s="990"/>
      <c r="O15" s="990"/>
      <c r="P15" s="1914">
        <v>0</v>
      </c>
      <c r="Q15"/>
      <c r="R15" s="728">
        <v>5000</v>
      </c>
      <c r="S15" s="728">
        <v>5000</v>
      </c>
      <c r="T15" s="728">
        <v>5000</v>
      </c>
      <c r="U15" s="728">
        <v>5000</v>
      </c>
      <c r="V15" s="728">
        <v>5000</v>
      </c>
      <c r="W15" s="728">
        <v>5000</v>
      </c>
      <c r="X15" s="728">
        <v>5000</v>
      </c>
      <c r="Y15" s="728">
        <v>5000</v>
      </c>
      <c r="Z15" s="728">
        <v>5000</v>
      </c>
      <c r="AA15" s="728">
        <v>5000</v>
      </c>
      <c r="AB15" s="728">
        <v>5000</v>
      </c>
      <c r="AC15" s="728">
        <v>5000</v>
      </c>
      <c r="AD15" s="995">
        <v>60000</v>
      </c>
      <c r="AE15"/>
      <c r="AF15" s="728">
        <v>5000</v>
      </c>
      <c r="AG15" s="728">
        <v>5000</v>
      </c>
      <c r="AH15" s="728">
        <v>5000</v>
      </c>
      <c r="AI15" s="728">
        <v>5000</v>
      </c>
      <c r="AJ15" s="728">
        <v>5000</v>
      </c>
      <c r="AK15" s="728">
        <v>5000</v>
      </c>
      <c r="AL15" s="728">
        <v>5000</v>
      </c>
      <c r="AM15" s="728">
        <v>5000</v>
      </c>
      <c r="AN15" s="728">
        <v>5000</v>
      </c>
      <c r="AO15" s="728">
        <v>5000</v>
      </c>
      <c r="AP15" s="728">
        <v>5000</v>
      </c>
      <c r="AQ15" s="728">
        <v>5000</v>
      </c>
      <c r="AR15" s="995">
        <v>60000</v>
      </c>
      <c r="AS15"/>
      <c r="AT15" s="990"/>
      <c r="AU15" s="990"/>
      <c r="AV15" s="990"/>
      <c r="AW15" s="990"/>
      <c r="AX15" s="990"/>
      <c r="AY15" s="990"/>
      <c r="AZ15" s="990"/>
      <c r="BA15" s="990"/>
      <c r="BB15" s="990"/>
      <c r="BC15" s="990"/>
      <c r="BD15" s="990"/>
      <c r="BE15" s="990"/>
      <c r="BF15" s="1914">
        <v>0</v>
      </c>
      <c r="BG15"/>
      <c r="BH15" s="990"/>
      <c r="BI15" s="990"/>
      <c r="BJ15" s="990"/>
      <c r="BK15" s="990"/>
      <c r="BL15" s="990"/>
      <c r="BM15" s="990"/>
      <c r="BN15" s="990"/>
      <c r="BO15" s="990"/>
      <c r="BP15" s="990"/>
      <c r="BQ15" s="990"/>
      <c r="BR15" s="990"/>
      <c r="BS15" s="990"/>
      <c r="BT15" s="1914">
        <v>0</v>
      </c>
      <c r="BU15"/>
      <c r="BV15" s="990"/>
      <c r="BW15" s="990"/>
      <c r="BX15" s="990"/>
      <c r="BY15" s="1914">
        <v>0</v>
      </c>
      <c r="BZ15" s="1914">
        <v>120000</v>
      </c>
    </row>
    <row r="16" spans="1:87" s="108" customFormat="1" ht="62" hidden="1" customHeight="1" outlineLevel="3" collapsed="1">
      <c r="A16" s="580"/>
      <c r="B16" s="107" t="s">
        <v>624</v>
      </c>
      <c r="C16" s="107" t="s">
        <v>1279</v>
      </c>
      <c r="D16" s="703" t="s">
        <v>625</v>
      </c>
      <c r="E16"/>
      <c r="F16" s="986"/>
      <c r="G16" s="986"/>
      <c r="H16" s="986"/>
      <c r="I16" s="986"/>
      <c r="J16" s="986"/>
      <c r="K16" s="986"/>
      <c r="L16" s="986"/>
      <c r="M16" s="986"/>
      <c r="N16" s="986"/>
      <c r="O16" s="986"/>
      <c r="P16" s="2011">
        <v>0</v>
      </c>
      <c r="Q16"/>
      <c r="R16" s="986">
        <v>6000</v>
      </c>
      <c r="S16" s="986">
        <v>6000</v>
      </c>
      <c r="T16" s="986">
        <v>6000</v>
      </c>
      <c r="U16" s="986"/>
      <c r="V16" s="986"/>
      <c r="W16" s="986"/>
      <c r="X16" s="986"/>
      <c r="Y16" s="986"/>
      <c r="Z16" s="986"/>
      <c r="AA16" s="986"/>
      <c r="AB16" s="986"/>
      <c r="AC16" s="986"/>
      <c r="AD16" s="2011">
        <v>18000</v>
      </c>
      <c r="AE16"/>
      <c r="AF16" s="986"/>
      <c r="AG16" s="986"/>
      <c r="AH16" s="986"/>
      <c r="AI16" s="986"/>
      <c r="AJ16" s="986"/>
      <c r="AK16" s="986"/>
      <c r="AL16" s="986"/>
      <c r="AM16" s="986"/>
      <c r="AN16" s="986"/>
      <c r="AO16" s="986"/>
      <c r="AP16" s="986"/>
      <c r="AQ16" s="986"/>
      <c r="AR16" s="2011">
        <v>0</v>
      </c>
      <c r="AS16"/>
      <c r="AT16" s="986"/>
      <c r="AU16" s="986"/>
      <c r="AV16" s="986"/>
      <c r="AW16" s="986"/>
      <c r="AX16" s="986"/>
      <c r="AY16" s="986"/>
      <c r="AZ16" s="986"/>
      <c r="BA16" s="986"/>
      <c r="BB16" s="986"/>
      <c r="BC16" s="986"/>
      <c r="BD16" s="986"/>
      <c r="BE16" s="986"/>
      <c r="BF16" s="2014">
        <v>0</v>
      </c>
      <c r="BG16"/>
      <c r="BH16" s="986"/>
      <c r="BI16" s="986"/>
      <c r="BJ16" s="986"/>
      <c r="BK16" s="986"/>
      <c r="BL16" s="986"/>
      <c r="BM16" s="986"/>
      <c r="BN16" s="986"/>
      <c r="BO16" s="986"/>
      <c r="BP16" s="986"/>
      <c r="BQ16" s="986"/>
      <c r="BR16" s="986"/>
      <c r="BS16" s="986"/>
      <c r="BT16" s="2008">
        <v>0</v>
      </c>
      <c r="BU16"/>
      <c r="BV16" s="986"/>
      <c r="BW16" s="986"/>
      <c r="BX16" s="986"/>
      <c r="BY16" s="2008">
        <v>0</v>
      </c>
      <c r="BZ16" s="2008">
        <v>18000</v>
      </c>
    </row>
    <row r="17" spans="1:78" s="108" customFormat="1" ht="124.25" hidden="1" customHeight="1" outlineLevel="3" collapsed="1">
      <c r="A17" s="580"/>
      <c r="B17" s="107" t="s">
        <v>626</v>
      </c>
      <c r="C17" s="107" t="s">
        <v>1279</v>
      </c>
      <c r="D17" s="703" t="s">
        <v>627</v>
      </c>
      <c r="E17"/>
      <c r="F17" s="986"/>
      <c r="G17" s="986"/>
      <c r="H17" s="986"/>
      <c r="I17" s="986"/>
      <c r="J17" s="986"/>
      <c r="K17" s="986"/>
      <c r="L17" s="986"/>
      <c r="M17" s="986"/>
      <c r="N17" s="986"/>
      <c r="O17" s="986"/>
      <c r="P17" s="2011">
        <v>0</v>
      </c>
      <c r="Q17"/>
      <c r="R17" s="986">
        <v>6000</v>
      </c>
      <c r="S17" s="986">
        <v>6000</v>
      </c>
      <c r="T17" s="986">
        <v>6000</v>
      </c>
      <c r="U17" s="986">
        <v>6000</v>
      </c>
      <c r="V17" s="986">
        <v>6000</v>
      </c>
      <c r="W17" s="986">
        <v>6000</v>
      </c>
      <c r="X17" s="986"/>
      <c r="Y17" s="986"/>
      <c r="Z17" s="986"/>
      <c r="AA17" s="986"/>
      <c r="AB17" s="986"/>
      <c r="AC17" s="986"/>
      <c r="AD17" s="2011">
        <v>36000</v>
      </c>
      <c r="AE17"/>
      <c r="AF17" s="986"/>
      <c r="AG17" s="986"/>
      <c r="AH17" s="986"/>
      <c r="AI17" s="986"/>
      <c r="AJ17" s="986"/>
      <c r="AK17" s="986"/>
      <c r="AL17" s="986"/>
      <c r="AM17" s="986"/>
      <c r="AN17" s="986"/>
      <c r="AO17" s="986"/>
      <c r="AP17" s="986"/>
      <c r="AQ17" s="986"/>
      <c r="AR17" s="2011">
        <v>0</v>
      </c>
      <c r="AS17"/>
      <c r="AT17" s="986"/>
      <c r="AU17" s="986"/>
      <c r="AV17" s="986"/>
      <c r="AW17" s="986"/>
      <c r="AX17" s="986"/>
      <c r="AY17" s="986"/>
      <c r="AZ17" s="986"/>
      <c r="BA17" s="986"/>
      <c r="BB17" s="986"/>
      <c r="BC17" s="986"/>
      <c r="BD17" s="986"/>
      <c r="BE17" s="986"/>
      <c r="BF17" s="2014">
        <v>0</v>
      </c>
      <c r="BG17"/>
      <c r="BH17" s="986"/>
      <c r="BI17" s="986"/>
      <c r="BJ17" s="986"/>
      <c r="BK17" s="986"/>
      <c r="BL17" s="986"/>
      <c r="BM17" s="986"/>
      <c r="BN17" s="986"/>
      <c r="BO17" s="986"/>
      <c r="BP17" s="986"/>
      <c r="BQ17" s="986"/>
      <c r="BR17" s="986"/>
      <c r="BS17" s="986"/>
      <c r="BT17" s="2008">
        <v>0</v>
      </c>
      <c r="BU17"/>
      <c r="BV17" s="986"/>
      <c r="BW17" s="986"/>
      <c r="BX17" s="986"/>
      <c r="BY17" s="2008">
        <v>0</v>
      </c>
      <c r="BZ17" s="2008">
        <v>36000</v>
      </c>
    </row>
    <row r="18" spans="1:78" s="108" customFormat="1" ht="83" hidden="1" customHeight="1" outlineLevel="3" collapsed="1">
      <c r="A18" s="580"/>
      <c r="B18" s="107" t="s">
        <v>628</v>
      </c>
      <c r="C18" s="107" t="s">
        <v>1279</v>
      </c>
      <c r="D18" s="533" t="s">
        <v>629</v>
      </c>
      <c r="E18"/>
      <c r="F18" s="986"/>
      <c r="G18" s="986"/>
      <c r="H18" s="986"/>
      <c r="I18" s="986"/>
      <c r="J18" s="986"/>
      <c r="K18" s="986"/>
      <c r="L18" s="986"/>
      <c r="M18" s="986"/>
      <c r="N18" s="986"/>
      <c r="O18" s="986"/>
      <c r="P18" s="2011">
        <v>0</v>
      </c>
      <c r="Q18"/>
      <c r="R18" s="986"/>
      <c r="S18" s="986"/>
      <c r="T18" s="986"/>
      <c r="U18" s="986"/>
      <c r="V18" s="986"/>
      <c r="W18" s="986"/>
      <c r="X18" s="986"/>
      <c r="Y18" s="986"/>
      <c r="Z18" s="986"/>
      <c r="AA18" s="986"/>
      <c r="AB18" s="986">
        <v>61500</v>
      </c>
      <c r="AC18" s="986"/>
      <c r="AD18" s="2011">
        <v>61500</v>
      </c>
      <c r="AE18"/>
      <c r="AF18" s="986"/>
      <c r="AG18" s="986"/>
      <c r="AH18" s="986">
        <v>61500</v>
      </c>
      <c r="AI18" s="986"/>
      <c r="AJ18" s="986"/>
      <c r="AK18" s="986"/>
      <c r="AL18" s="986">
        <v>61500</v>
      </c>
      <c r="AM18" s="986"/>
      <c r="AN18" s="986"/>
      <c r="AO18" s="986"/>
      <c r="AP18" s="986">
        <v>61500</v>
      </c>
      <c r="AQ18" s="986"/>
      <c r="AR18" s="2011">
        <v>184500</v>
      </c>
      <c r="AS18"/>
      <c r="AT18" s="986"/>
      <c r="AU18" s="986"/>
      <c r="AV18" s="986"/>
      <c r="AW18" s="986"/>
      <c r="AX18" s="986"/>
      <c r="AY18" s="986"/>
      <c r="AZ18" s="986"/>
      <c r="BA18" s="986"/>
      <c r="BB18" s="986"/>
      <c r="BC18" s="986"/>
      <c r="BD18" s="986"/>
      <c r="BE18" s="986"/>
      <c r="BF18" s="2014">
        <v>0</v>
      </c>
      <c r="BG18"/>
      <c r="BH18" s="986"/>
      <c r="BI18" s="986"/>
      <c r="BJ18" s="986"/>
      <c r="BK18" s="986"/>
      <c r="BL18" s="986"/>
      <c r="BM18" s="986"/>
      <c r="BN18" s="986"/>
      <c r="BO18" s="986"/>
      <c r="BP18" s="986"/>
      <c r="BQ18" s="986"/>
      <c r="BR18" s="986"/>
      <c r="BS18" s="986"/>
      <c r="BT18" s="2008">
        <v>0</v>
      </c>
      <c r="BU18"/>
      <c r="BV18" s="986"/>
      <c r="BW18" s="986"/>
      <c r="BX18" s="986"/>
      <c r="BY18" s="2008">
        <v>0</v>
      </c>
      <c r="BZ18" s="2008">
        <v>246000</v>
      </c>
    </row>
    <row r="19" spans="1:78" s="153" customFormat="1" ht="26.5" hidden="1" customHeight="1" outlineLevel="3">
      <c r="A19" s="581"/>
      <c r="B19" s="400" t="s">
        <v>630</v>
      </c>
      <c r="C19" s="400"/>
      <c r="D19" s="536" t="s">
        <v>631</v>
      </c>
      <c r="E19"/>
      <c r="F19" s="992">
        <v>0</v>
      </c>
      <c r="G19" s="992">
        <v>0</v>
      </c>
      <c r="H19" s="992">
        <v>0</v>
      </c>
      <c r="I19" s="992">
        <v>0</v>
      </c>
      <c r="J19" s="992">
        <v>0</v>
      </c>
      <c r="K19" s="992">
        <v>0</v>
      </c>
      <c r="L19" s="992">
        <v>0</v>
      </c>
      <c r="M19" s="992">
        <v>0</v>
      </c>
      <c r="N19" s="992">
        <v>0</v>
      </c>
      <c r="O19" s="992">
        <v>0</v>
      </c>
      <c r="P19" s="992">
        <v>0</v>
      </c>
      <c r="Q19"/>
      <c r="R19" s="992">
        <v>22000</v>
      </c>
      <c r="S19" s="992">
        <v>22000</v>
      </c>
      <c r="T19" s="992">
        <v>22000</v>
      </c>
      <c r="U19" s="992">
        <v>22000</v>
      </c>
      <c r="V19" s="992">
        <v>22000</v>
      </c>
      <c r="W19" s="992">
        <v>22000</v>
      </c>
      <c r="X19" s="992">
        <v>0</v>
      </c>
      <c r="Y19" s="992">
        <v>0</v>
      </c>
      <c r="Z19" s="992">
        <v>0</v>
      </c>
      <c r="AA19" s="992">
        <v>0</v>
      </c>
      <c r="AB19" s="992">
        <v>0</v>
      </c>
      <c r="AC19" s="992">
        <v>0</v>
      </c>
      <c r="AD19" s="992">
        <v>132000</v>
      </c>
      <c r="AE19"/>
      <c r="AF19" s="992">
        <v>0</v>
      </c>
      <c r="AG19" s="992">
        <v>0</v>
      </c>
      <c r="AH19" s="992">
        <v>0</v>
      </c>
      <c r="AI19" s="992">
        <v>0</v>
      </c>
      <c r="AJ19" s="992">
        <v>0</v>
      </c>
      <c r="AK19" s="992">
        <v>0</v>
      </c>
      <c r="AL19" s="992">
        <v>0</v>
      </c>
      <c r="AM19" s="992">
        <v>0</v>
      </c>
      <c r="AN19" s="992">
        <v>0</v>
      </c>
      <c r="AO19" s="992">
        <v>0</v>
      </c>
      <c r="AP19" s="992">
        <v>0</v>
      </c>
      <c r="AQ19" s="992">
        <v>0</v>
      </c>
      <c r="AR19" s="992">
        <v>0</v>
      </c>
      <c r="AS19"/>
      <c r="AT19" s="992">
        <v>0</v>
      </c>
      <c r="AU19" s="992">
        <v>404500</v>
      </c>
      <c r="AV19" s="992">
        <v>0</v>
      </c>
      <c r="AW19" s="992">
        <v>0</v>
      </c>
      <c r="AX19" s="992">
        <v>0</v>
      </c>
      <c r="AY19" s="992">
        <v>202250</v>
      </c>
      <c r="AZ19" s="992">
        <v>0</v>
      </c>
      <c r="BA19" s="992">
        <v>0</v>
      </c>
      <c r="BB19" s="992">
        <v>0</v>
      </c>
      <c r="BC19" s="992">
        <v>202250</v>
      </c>
      <c r="BD19" s="992">
        <v>0</v>
      </c>
      <c r="BE19" s="992">
        <v>0</v>
      </c>
      <c r="BF19" s="993">
        <v>809000</v>
      </c>
      <c r="BG19"/>
      <c r="BH19" s="992">
        <v>0</v>
      </c>
      <c r="BI19" s="992">
        <v>202250</v>
      </c>
      <c r="BJ19" s="992">
        <v>0</v>
      </c>
      <c r="BK19" s="992">
        <v>0</v>
      </c>
      <c r="BL19" s="992">
        <v>0</v>
      </c>
      <c r="BM19" s="992">
        <v>202250</v>
      </c>
      <c r="BN19" s="992">
        <v>0</v>
      </c>
      <c r="BO19" s="992">
        <v>0</v>
      </c>
      <c r="BP19" s="992">
        <v>0</v>
      </c>
      <c r="BQ19" s="992">
        <v>404500</v>
      </c>
      <c r="BR19" s="992">
        <v>0</v>
      </c>
      <c r="BS19" s="992">
        <v>0</v>
      </c>
      <c r="BT19" s="994">
        <v>809000</v>
      </c>
      <c r="BU19"/>
      <c r="BV19" s="992">
        <v>0</v>
      </c>
      <c r="BW19" s="992">
        <v>0</v>
      </c>
      <c r="BX19" s="992">
        <v>0</v>
      </c>
      <c r="BY19" s="994">
        <v>0</v>
      </c>
      <c r="BZ19" s="994">
        <v>1750000</v>
      </c>
    </row>
    <row r="20" spans="1:78" s="108" customFormat="1" ht="14" hidden="1" customHeight="1" outlineLevel="4">
      <c r="A20" s="580"/>
      <c r="B20" s="107" t="s">
        <v>632</v>
      </c>
      <c r="C20" s="107"/>
      <c r="D20" s="533" t="s">
        <v>633</v>
      </c>
      <c r="E20"/>
      <c r="F20" s="990"/>
      <c r="G20" s="990"/>
      <c r="H20" s="990"/>
      <c r="I20" s="990"/>
      <c r="J20" s="990"/>
      <c r="K20" s="990"/>
      <c r="L20" s="990"/>
      <c r="M20" s="990"/>
      <c r="N20" s="990"/>
      <c r="O20" s="990"/>
      <c r="P20" s="1914">
        <v>0</v>
      </c>
      <c r="Q20"/>
      <c r="R20" s="990"/>
      <c r="S20" s="990"/>
      <c r="T20" s="990"/>
      <c r="U20" s="990"/>
      <c r="V20" s="990"/>
      <c r="W20" s="990"/>
      <c r="X20" s="990"/>
      <c r="Y20" s="990"/>
      <c r="Z20" s="990"/>
      <c r="AA20" s="990"/>
      <c r="AB20" s="990"/>
      <c r="AC20" s="990"/>
      <c r="AD20" s="1914">
        <v>0</v>
      </c>
      <c r="AE20"/>
      <c r="AF20" s="990"/>
      <c r="AG20" s="990"/>
      <c r="AH20" s="990"/>
      <c r="AI20" s="990"/>
      <c r="AJ20" s="990"/>
      <c r="AK20" s="990"/>
      <c r="AL20" s="990"/>
      <c r="AM20" s="990"/>
      <c r="AN20" s="990"/>
      <c r="AO20" s="990"/>
      <c r="AP20" s="990"/>
      <c r="AQ20" s="990"/>
      <c r="AR20" s="1914">
        <v>0</v>
      </c>
      <c r="AS20"/>
      <c r="AT20" s="990"/>
      <c r="AU20" s="990">
        <v>125000</v>
      </c>
      <c r="AV20" s="990"/>
      <c r="AW20" s="990"/>
      <c r="AX20" s="990"/>
      <c r="AY20" s="990">
        <v>62500</v>
      </c>
      <c r="AZ20" s="990"/>
      <c r="BA20" s="990"/>
      <c r="BB20" s="990"/>
      <c r="BC20" s="990">
        <v>62500</v>
      </c>
      <c r="BD20" s="990"/>
      <c r="BE20" s="990"/>
      <c r="BF20" s="1914">
        <v>250000</v>
      </c>
      <c r="BG20"/>
      <c r="BH20" s="990"/>
      <c r="BI20" s="990">
        <v>62500</v>
      </c>
      <c r="BJ20" s="990"/>
      <c r="BK20" s="990"/>
      <c r="BL20" s="990"/>
      <c r="BM20" s="990">
        <v>62500</v>
      </c>
      <c r="BN20" s="990"/>
      <c r="BO20" s="990"/>
      <c r="BP20" s="990"/>
      <c r="BQ20" s="990">
        <v>125000</v>
      </c>
      <c r="BR20" s="990"/>
      <c r="BS20" s="990"/>
      <c r="BT20" s="1914">
        <v>250000</v>
      </c>
      <c r="BU20"/>
      <c r="BV20" s="990"/>
      <c r="BW20" s="990"/>
      <c r="BX20" s="990"/>
      <c r="BY20" s="1914">
        <v>0</v>
      </c>
      <c r="BZ20" s="1914">
        <v>500000</v>
      </c>
    </row>
    <row r="21" spans="1:78" s="108" customFormat="1" ht="14.5" hidden="1" customHeight="1" outlineLevel="4">
      <c r="A21" s="580"/>
      <c r="B21" s="107" t="s">
        <v>635</v>
      </c>
      <c r="C21" s="107"/>
      <c r="D21" s="533" t="s">
        <v>636</v>
      </c>
      <c r="E21"/>
      <c r="F21" s="990"/>
      <c r="G21" s="990"/>
      <c r="H21" s="990"/>
      <c r="I21" s="990"/>
      <c r="J21" s="990"/>
      <c r="K21" s="990"/>
      <c r="L21" s="990"/>
      <c r="M21" s="990"/>
      <c r="N21" s="990"/>
      <c r="O21" s="990"/>
      <c r="P21" s="1914">
        <v>0</v>
      </c>
      <c r="Q21"/>
      <c r="R21" s="990"/>
      <c r="S21" s="990"/>
      <c r="T21" s="990"/>
      <c r="U21" s="990"/>
      <c r="V21" s="990"/>
      <c r="W21" s="990"/>
      <c r="X21" s="990"/>
      <c r="Y21" s="990"/>
      <c r="Z21" s="990"/>
      <c r="AA21" s="990"/>
      <c r="AB21" s="990"/>
      <c r="AC21" s="990"/>
      <c r="AD21" s="1914">
        <v>0</v>
      </c>
      <c r="AE21"/>
      <c r="AF21" s="990"/>
      <c r="AG21" s="990"/>
      <c r="AH21" s="990"/>
      <c r="AI21" s="990"/>
      <c r="AJ21" s="990"/>
      <c r="AK21" s="990"/>
      <c r="AL21" s="990"/>
      <c r="AM21" s="990"/>
      <c r="AN21" s="990"/>
      <c r="AO21" s="990"/>
      <c r="AP21" s="990"/>
      <c r="AQ21" s="990"/>
      <c r="AR21" s="1914">
        <v>0</v>
      </c>
      <c r="AS21"/>
      <c r="AT21" s="990"/>
      <c r="AU21" s="990">
        <v>125000</v>
      </c>
      <c r="AV21" s="990"/>
      <c r="AW21" s="990"/>
      <c r="AX21" s="990"/>
      <c r="AY21" s="990">
        <v>62500</v>
      </c>
      <c r="AZ21" s="990"/>
      <c r="BA21" s="990"/>
      <c r="BB21" s="990"/>
      <c r="BC21" s="990">
        <v>62500</v>
      </c>
      <c r="BD21" s="990"/>
      <c r="BE21" s="990"/>
      <c r="BF21" s="1914">
        <v>250000</v>
      </c>
      <c r="BG21"/>
      <c r="BH21" s="990"/>
      <c r="BI21" s="990">
        <v>62500</v>
      </c>
      <c r="BJ21" s="990"/>
      <c r="BK21" s="990"/>
      <c r="BL21" s="990"/>
      <c r="BM21" s="990">
        <v>62500</v>
      </c>
      <c r="BN21" s="990"/>
      <c r="BO21" s="990"/>
      <c r="BP21" s="990"/>
      <c r="BQ21" s="990">
        <v>125000</v>
      </c>
      <c r="BR21" s="990"/>
      <c r="BS21" s="990"/>
      <c r="BT21" s="1914">
        <v>250000</v>
      </c>
      <c r="BU21"/>
      <c r="BV21" s="990"/>
      <c r="BW21" s="990"/>
      <c r="BX21" s="990"/>
      <c r="BY21" s="1914">
        <v>0</v>
      </c>
      <c r="BZ21" s="1914">
        <v>500000</v>
      </c>
    </row>
    <row r="22" spans="1:78" s="153" customFormat="1" ht="41.5" hidden="1" customHeight="1" outlineLevel="4">
      <c r="A22" s="582"/>
      <c r="B22" s="434" t="s">
        <v>637</v>
      </c>
      <c r="C22" s="434"/>
      <c r="D22" s="544" t="s">
        <v>638</v>
      </c>
      <c r="E22"/>
      <c r="F22" s="1913">
        <v>0</v>
      </c>
      <c r="G22" s="1913">
        <v>0</v>
      </c>
      <c r="H22" s="1913">
        <v>0</v>
      </c>
      <c r="I22" s="1913">
        <v>0</v>
      </c>
      <c r="J22" s="1913">
        <v>0</v>
      </c>
      <c r="K22" s="1913">
        <v>0</v>
      </c>
      <c r="L22" s="1913">
        <v>0</v>
      </c>
      <c r="M22" s="1913">
        <v>0</v>
      </c>
      <c r="N22" s="1913">
        <v>0</v>
      </c>
      <c r="O22" s="1913">
        <v>0</v>
      </c>
      <c r="P22" s="1914">
        <v>0</v>
      </c>
      <c r="Q22"/>
      <c r="R22" s="1913">
        <v>22000</v>
      </c>
      <c r="S22" s="1913">
        <v>22000</v>
      </c>
      <c r="T22" s="1913">
        <v>22000</v>
      </c>
      <c r="U22" s="1913">
        <v>22000</v>
      </c>
      <c r="V22" s="1913">
        <v>22000</v>
      </c>
      <c r="W22" s="1913">
        <v>22000</v>
      </c>
      <c r="X22" s="1913">
        <v>0</v>
      </c>
      <c r="Y22" s="1913">
        <v>0</v>
      </c>
      <c r="Z22" s="1913">
        <v>0</v>
      </c>
      <c r="AA22" s="1913">
        <v>0</v>
      </c>
      <c r="AB22" s="1913">
        <v>0</v>
      </c>
      <c r="AC22" s="1913">
        <v>0</v>
      </c>
      <c r="AD22" s="1914">
        <v>132000</v>
      </c>
      <c r="AE22"/>
      <c r="AF22" s="1913">
        <v>0</v>
      </c>
      <c r="AG22" s="1913">
        <v>0</v>
      </c>
      <c r="AH22" s="1913">
        <v>0</v>
      </c>
      <c r="AI22" s="1913">
        <v>0</v>
      </c>
      <c r="AJ22" s="1913">
        <v>0</v>
      </c>
      <c r="AK22" s="1913">
        <v>0</v>
      </c>
      <c r="AL22" s="1913">
        <v>0</v>
      </c>
      <c r="AM22" s="1913">
        <v>0</v>
      </c>
      <c r="AN22" s="1913">
        <v>0</v>
      </c>
      <c r="AO22" s="1913">
        <v>0</v>
      </c>
      <c r="AP22" s="1913">
        <v>0</v>
      </c>
      <c r="AQ22" s="1913">
        <v>0</v>
      </c>
      <c r="AR22" s="1914">
        <v>0</v>
      </c>
      <c r="AS22"/>
      <c r="AT22" s="1913">
        <v>0</v>
      </c>
      <c r="AU22" s="1913">
        <v>154500</v>
      </c>
      <c r="AV22" s="1913">
        <v>0</v>
      </c>
      <c r="AW22" s="1913">
        <v>0</v>
      </c>
      <c r="AX22" s="1913">
        <v>0</v>
      </c>
      <c r="AY22" s="1913">
        <v>77250</v>
      </c>
      <c r="AZ22" s="1913">
        <v>0</v>
      </c>
      <c r="BA22" s="1913">
        <v>0</v>
      </c>
      <c r="BB22" s="1913">
        <v>0</v>
      </c>
      <c r="BC22" s="1913">
        <v>77250</v>
      </c>
      <c r="BD22" s="1913">
        <v>0</v>
      </c>
      <c r="BE22" s="1913">
        <v>0</v>
      </c>
      <c r="BF22" s="1914">
        <v>309000</v>
      </c>
      <c r="BG22"/>
      <c r="BH22" s="1913">
        <v>0</v>
      </c>
      <c r="BI22" s="1913">
        <v>77250</v>
      </c>
      <c r="BJ22" s="1913">
        <v>0</v>
      </c>
      <c r="BK22" s="1913">
        <v>0</v>
      </c>
      <c r="BL22" s="1913">
        <v>0</v>
      </c>
      <c r="BM22" s="1913">
        <v>77250</v>
      </c>
      <c r="BN22" s="1913">
        <v>0</v>
      </c>
      <c r="BO22" s="1913">
        <v>0</v>
      </c>
      <c r="BP22" s="1913">
        <v>0</v>
      </c>
      <c r="BQ22" s="1913">
        <v>154500</v>
      </c>
      <c r="BR22" s="1913">
        <v>0</v>
      </c>
      <c r="BS22" s="1913">
        <v>0</v>
      </c>
      <c r="BT22" s="1914">
        <v>309000</v>
      </c>
      <c r="BU22"/>
      <c r="BV22" s="1913">
        <v>0</v>
      </c>
      <c r="BW22" s="1913">
        <v>0</v>
      </c>
      <c r="BX22" s="1913">
        <v>0</v>
      </c>
      <c r="BY22" s="1914">
        <v>0</v>
      </c>
      <c r="BZ22" s="1914">
        <v>750000</v>
      </c>
    </row>
    <row r="23" spans="1:78" s="108" customFormat="1" ht="41.5" hidden="1" customHeight="1" outlineLevel="4">
      <c r="A23" s="580"/>
      <c r="B23" s="107" t="s">
        <v>639</v>
      </c>
      <c r="C23" s="107"/>
      <c r="D23" s="533" t="s">
        <v>638</v>
      </c>
      <c r="E23"/>
      <c r="F23" s="990"/>
      <c r="G23" s="990"/>
      <c r="H23" s="990"/>
      <c r="I23" s="990"/>
      <c r="J23" s="990"/>
      <c r="K23" s="990"/>
      <c r="L23" s="990"/>
      <c r="M23" s="990"/>
      <c r="N23" s="990"/>
      <c r="O23" s="990"/>
      <c r="P23" s="1914">
        <v>0</v>
      </c>
      <c r="Q23"/>
      <c r="R23" s="990"/>
      <c r="S23" s="990"/>
      <c r="T23" s="990"/>
      <c r="U23" s="990"/>
      <c r="V23" s="990"/>
      <c r="W23" s="990"/>
      <c r="X23" s="990"/>
      <c r="Y23" s="990"/>
      <c r="Z23" s="990"/>
      <c r="AA23" s="990"/>
      <c r="AB23" s="990"/>
      <c r="AC23" s="990"/>
      <c r="AD23" s="1914">
        <v>0</v>
      </c>
      <c r="AE23"/>
      <c r="AF23" s="990"/>
      <c r="AG23" s="990"/>
      <c r="AH23" s="990"/>
      <c r="AI23" s="990"/>
      <c r="AJ23" s="990"/>
      <c r="AK23" s="990"/>
      <c r="AL23" s="990"/>
      <c r="AM23" s="990"/>
      <c r="AN23" s="990"/>
      <c r="AO23" s="990"/>
      <c r="AP23" s="990"/>
      <c r="AQ23" s="990"/>
      <c r="AR23" s="1914">
        <v>0</v>
      </c>
      <c r="AS23"/>
      <c r="AT23" s="990"/>
      <c r="AU23" s="990">
        <v>154500</v>
      </c>
      <c r="AV23" s="990"/>
      <c r="AW23" s="990"/>
      <c r="AX23" s="990"/>
      <c r="AY23" s="990">
        <v>77250</v>
      </c>
      <c r="AZ23" s="990"/>
      <c r="BA23" s="990"/>
      <c r="BB23" s="990"/>
      <c r="BC23" s="990">
        <v>77250</v>
      </c>
      <c r="BD23" s="990"/>
      <c r="BE23" s="990"/>
      <c r="BF23" s="1914">
        <v>309000</v>
      </c>
      <c r="BG23"/>
      <c r="BH23" s="990"/>
      <c r="BI23" s="990">
        <v>77250</v>
      </c>
      <c r="BJ23" s="990"/>
      <c r="BK23" s="990"/>
      <c r="BL23" s="990"/>
      <c r="BM23" s="990">
        <v>77250</v>
      </c>
      <c r="BN23" s="990"/>
      <c r="BO23" s="990"/>
      <c r="BP23" s="990"/>
      <c r="BQ23" s="990">
        <v>154500</v>
      </c>
      <c r="BR23" s="990"/>
      <c r="BS23" s="990"/>
      <c r="BT23" s="1914">
        <v>309000</v>
      </c>
      <c r="BU23"/>
      <c r="BV23" s="990"/>
      <c r="BW23" s="990"/>
      <c r="BX23" s="990"/>
      <c r="BY23" s="1914">
        <v>0</v>
      </c>
      <c r="BZ23" s="1914">
        <v>618000</v>
      </c>
    </row>
    <row r="24" spans="1:78" s="1924" customFormat="1" ht="27.5" hidden="1" customHeight="1" outlineLevel="4">
      <c r="A24" s="1917"/>
      <c r="B24" s="1918" t="s">
        <v>640</v>
      </c>
      <c r="C24" s="1918" t="s">
        <v>1279</v>
      </c>
      <c r="D24" s="1919" t="s">
        <v>641</v>
      </c>
      <c r="E24"/>
      <c r="F24" s="1923"/>
      <c r="G24" s="1923"/>
      <c r="H24" s="1923"/>
      <c r="I24" s="1923"/>
      <c r="J24" s="1923"/>
      <c r="K24" s="1923"/>
      <c r="L24" s="1923"/>
      <c r="M24" s="1923"/>
      <c r="N24" s="1923"/>
      <c r="O24" s="1923"/>
      <c r="P24" s="2009">
        <v>0</v>
      </c>
      <c r="Q24"/>
      <c r="R24" s="1923">
        <v>8000</v>
      </c>
      <c r="S24" s="1923">
        <v>8000</v>
      </c>
      <c r="T24" s="1923">
        <v>8000</v>
      </c>
      <c r="U24" s="1923">
        <v>8000</v>
      </c>
      <c r="V24" s="1923">
        <v>8000</v>
      </c>
      <c r="W24" s="1923">
        <v>8000</v>
      </c>
      <c r="X24" s="1923"/>
      <c r="Y24" s="1923"/>
      <c r="Z24" s="1923"/>
      <c r="AA24" s="1923"/>
      <c r="AB24" s="1923"/>
      <c r="AC24" s="1923"/>
      <c r="AD24" s="2009">
        <v>48000</v>
      </c>
      <c r="AE24"/>
      <c r="AF24" s="1923"/>
      <c r="AG24" s="1923"/>
      <c r="AH24" s="1923"/>
      <c r="AI24" s="1923"/>
      <c r="AJ24" s="1923"/>
      <c r="AK24" s="1923"/>
      <c r="AL24" s="1923"/>
      <c r="AM24" s="1923"/>
      <c r="AN24" s="1923"/>
      <c r="AO24" s="1923"/>
      <c r="AP24" s="1923"/>
      <c r="AQ24" s="1923"/>
      <c r="AR24" s="2009">
        <v>0</v>
      </c>
      <c r="AS24"/>
      <c r="AT24" s="1923"/>
      <c r="AU24" s="1923"/>
      <c r="AV24" s="1923"/>
      <c r="AW24" s="1923"/>
      <c r="AX24" s="1923"/>
      <c r="AY24" s="1923"/>
      <c r="AZ24" s="1923"/>
      <c r="BA24" s="1923"/>
      <c r="BB24" s="1923"/>
      <c r="BC24" s="1923"/>
      <c r="BD24" s="1923"/>
      <c r="BE24" s="1923"/>
      <c r="BF24" s="2009">
        <v>0</v>
      </c>
      <c r="BG24"/>
      <c r="BH24" s="1923"/>
      <c r="BI24" s="1923"/>
      <c r="BJ24" s="1923"/>
      <c r="BK24" s="1923"/>
      <c r="BL24" s="1923"/>
      <c r="BM24" s="1923"/>
      <c r="BN24" s="1923"/>
      <c r="BO24" s="1923"/>
      <c r="BP24" s="1923"/>
      <c r="BQ24" s="1923"/>
      <c r="BR24" s="1923"/>
      <c r="BS24" s="1923"/>
      <c r="BT24" s="2009">
        <v>0</v>
      </c>
      <c r="BU24"/>
      <c r="BV24" s="1923"/>
      <c r="BW24" s="1923"/>
      <c r="BX24" s="1923"/>
      <c r="BY24" s="2009">
        <v>0</v>
      </c>
      <c r="BZ24" s="2009">
        <v>48000</v>
      </c>
    </row>
    <row r="25" spans="1:78" s="1924" customFormat="1" ht="27.5" hidden="1" customHeight="1" outlineLevel="4">
      <c r="A25" s="1917"/>
      <c r="B25" s="1918" t="s">
        <v>642</v>
      </c>
      <c r="C25" s="1918" t="s">
        <v>1279</v>
      </c>
      <c r="D25" s="1919" t="s">
        <v>643</v>
      </c>
      <c r="E25"/>
      <c r="F25" s="1923"/>
      <c r="G25" s="1923"/>
      <c r="H25" s="1923"/>
      <c r="I25" s="1923"/>
      <c r="J25" s="1923"/>
      <c r="K25" s="1923"/>
      <c r="L25" s="1923"/>
      <c r="M25" s="1923"/>
      <c r="N25" s="1923"/>
      <c r="O25" s="1923"/>
      <c r="P25" s="2009">
        <v>0</v>
      </c>
      <c r="Q25"/>
      <c r="R25" s="1923">
        <v>6000</v>
      </c>
      <c r="S25" s="1923">
        <v>6000</v>
      </c>
      <c r="T25" s="1923">
        <v>6000</v>
      </c>
      <c r="U25" s="1923">
        <v>6000</v>
      </c>
      <c r="V25" s="1923">
        <v>6000</v>
      </c>
      <c r="W25" s="1923">
        <v>6000</v>
      </c>
      <c r="X25" s="1923"/>
      <c r="Y25" s="1923"/>
      <c r="Z25" s="1923"/>
      <c r="AA25" s="1923"/>
      <c r="AB25" s="1923"/>
      <c r="AC25" s="1923"/>
      <c r="AD25" s="2009">
        <v>36000</v>
      </c>
      <c r="AE25"/>
      <c r="AF25" s="1923"/>
      <c r="AG25" s="1923"/>
      <c r="AH25" s="1923"/>
      <c r="AI25" s="1923"/>
      <c r="AJ25" s="1923"/>
      <c r="AK25" s="1923"/>
      <c r="AL25" s="1923"/>
      <c r="AM25" s="1923"/>
      <c r="AN25" s="1923"/>
      <c r="AO25" s="1923"/>
      <c r="AP25" s="1923"/>
      <c r="AQ25" s="1923"/>
      <c r="AR25" s="2009">
        <v>0</v>
      </c>
      <c r="AS25"/>
      <c r="AT25" s="1923"/>
      <c r="AU25" s="1923"/>
      <c r="AV25" s="1923"/>
      <c r="AW25" s="1923"/>
      <c r="AX25" s="1923"/>
      <c r="AY25" s="1923"/>
      <c r="AZ25" s="1923"/>
      <c r="BA25" s="1923"/>
      <c r="BB25" s="1923"/>
      <c r="BC25" s="1923"/>
      <c r="BD25" s="1923"/>
      <c r="BE25" s="1923"/>
      <c r="BF25" s="2009">
        <v>0</v>
      </c>
      <c r="BG25"/>
      <c r="BH25" s="1923"/>
      <c r="BI25" s="1923"/>
      <c r="BJ25" s="1923"/>
      <c r="BK25" s="1923"/>
      <c r="BL25" s="1923"/>
      <c r="BM25" s="1923"/>
      <c r="BN25" s="1923"/>
      <c r="BO25" s="1923"/>
      <c r="BP25" s="1923"/>
      <c r="BQ25" s="1923"/>
      <c r="BR25" s="1923"/>
      <c r="BS25" s="1923"/>
      <c r="BT25" s="2009">
        <v>0</v>
      </c>
      <c r="BU25"/>
      <c r="BV25" s="1923"/>
      <c r="BW25" s="1923"/>
      <c r="BX25" s="1923"/>
      <c r="BY25" s="2009">
        <v>0</v>
      </c>
      <c r="BZ25" s="2009">
        <v>36000</v>
      </c>
    </row>
    <row r="26" spans="1:78" s="1924" customFormat="1" ht="27.5" hidden="1" customHeight="1" outlineLevel="4">
      <c r="A26" s="1917"/>
      <c r="B26" s="1918" t="s">
        <v>644</v>
      </c>
      <c r="C26" s="1918" t="s">
        <v>1279</v>
      </c>
      <c r="D26" s="1919" t="s">
        <v>645</v>
      </c>
      <c r="E26"/>
      <c r="F26" s="1923"/>
      <c r="G26" s="1923"/>
      <c r="H26" s="1923"/>
      <c r="I26" s="1923"/>
      <c r="J26" s="1923"/>
      <c r="K26" s="1923"/>
      <c r="L26" s="1923"/>
      <c r="M26" s="1923"/>
      <c r="N26" s="1923"/>
      <c r="O26" s="1923"/>
      <c r="P26" s="2009">
        <v>0</v>
      </c>
      <c r="Q26"/>
      <c r="R26" s="1923">
        <v>4000</v>
      </c>
      <c r="S26" s="1923">
        <v>4000</v>
      </c>
      <c r="T26" s="1923">
        <v>4000</v>
      </c>
      <c r="U26" s="1923">
        <v>4000</v>
      </c>
      <c r="V26" s="1923">
        <v>4000</v>
      </c>
      <c r="W26" s="1923">
        <v>4000</v>
      </c>
      <c r="X26" s="1923"/>
      <c r="Y26" s="1923"/>
      <c r="Z26" s="1923"/>
      <c r="AA26" s="1923"/>
      <c r="AB26" s="1923"/>
      <c r="AC26" s="1923"/>
      <c r="AD26" s="2009">
        <v>24000</v>
      </c>
      <c r="AE26"/>
      <c r="AF26" s="1923"/>
      <c r="AG26" s="1923"/>
      <c r="AH26" s="1923"/>
      <c r="AI26" s="1923"/>
      <c r="AJ26" s="1923"/>
      <c r="AK26" s="1923"/>
      <c r="AL26" s="1923"/>
      <c r="AM26" s="1923"/>
      <c r="AN26" s="1923"/>
      <c r="AO26" s="1923"/>
      <c r="AP26" s="1923"/>
      <c r="AQ26" s="1923"/>
      <c r="AR26" s="2009">
        <v>0</v>
      </c>
      <c r="AS26"/>
      <c r="AT26" s="1923"/>
      <c r="AU26" s="1923"/>
      <c r="AV26" s="1923"/>
      <c r="AW26" s="1923"/>
      <c r="AX26" s="1923"/>
      <c r="AY26" s="1923"/>
      <c r="AZ26" s="1923"/>
      <c r="BA26" s="1923"/>
      <c r="BB26" s="1923"/>
      <c r="BC26" s="1923"/>
      <c r="BD26" s="1923"/>
      <c r="BE26" s="1923"/>
      <c r="BF26" s="2009">
        <v>0</v>
      </c>
      <c r="BG26"/>
      <c r="BH26" s="1923"/>
      <c r="BI26" s="1923"/>
      <c r="BJ26" s="1923"/>
      <c r="BK26" s="1923"/>
      <c r="BL26" s="1923"/>
      <c r="BM26" s="1923"/>
      <c r="BN26" s="1923"/>
      <c r="BO26" s="1923"/>
      <c r="BP26" s="1923"/>
      <c r="BQ26" s="1923"/>
      <c r="BR26" s="1923"/>
      <c r="BS26" s="1923"/>
      <c r="BT26" s="2009">
        <v>0</v>
      </c>
      <c r="BU26"/>
      <c r="BV26" s="1923"/>
      <c r="BW26" s="1923"/>
      <c r="BX26" s="1923"/>
      <c r="BY26" s="2009">
        <v>0</v>
      </c>
      <c r="BZ26" s="2009">
        <v>24000</v>
      </c>
    </row>
    <row r="27" spans="1:78" s="1924" customFormat="1" ht="27.5" hidden="1" customHeight="1" outlineLevel="4">
      <c r="A27" s="1917"/>
      <c r="B27" s="1918" t="s">
        <v>646</v>
      </c>
      <c r="C27" s="1918" t="s">
        <v>1279</v>
      </c>
      <c r="D27" s="1919" t="s">
        <v>647</v>
      </c>
      <c r="E27"/>
      <c r="F27" s="1923"/>
      <c r="G27" s="1923"/>
      <c r="H27" s="1923"/>
      <c r="I27" s="1923"/>
      <c r="J27" s="1923"/>
      <c r="K27" s="1923"/>
      <c r="L27" s="1923"/>
      <c r="M27" s="1923"/>
      <c r="N27" s="1923"/>
      <c r="O27" s="1923"/>
      <c r="P27" s="2009">
        <v>0</v>
      </c>
      <c r="Q27"/>
      <c r="R27" s="1923">
        <v>4000</v>
      </c>
      <c r="S27" s="1923">
        <v>4000</v>
      </c>
      <c r="T27" s="1923">
        <v>4000</v>
      </c>
      <c r="U27" s="1923">
        <v>4000</v>
      </c>
      <c r="V27" s="1923">
        <v>4000</v>
      </c>
      <c r="W27" s="1923">
        <v>4000</v>
      </c>
      <c r="X27" s="1923"/>
      <c r="Y27" s="1923"/>
      <c r="Z27" s="1923"/>
      <c r="AA27" s="1923"/>
      <c r="AB27" s="1923"/>
      <c r="AC27" s="1923"/>
      <c r="AD27" s="2009">
        <v>24000</v>
      </c>
      <c r="AE27"/>
      <c r="AF27" s="1923"/>
      <c r="AG27" s="1923"/>
      <c r="AH27" s="1923"/>
      <c r="AI27" s="1923"/>
      <c r="AJ27" s="1923"/>
      <c r="AK27" s="1923"/>
      <c r="AL27" s="1923"/>
      <c r="AM27" s="1923"/>
      <c r="AN27" s="1923"/>
      <c r="AO27" s="1923"/>
      <c r="AP27" s="1923"/>
      <c r="AQ27" s="1923"/>
      <c r="AR27" s="2009">
        <v>0</v>
      </c>
      <c r="AS27"/>
      <c r="AT27" s="1923"/>
      <c r="AU27" s="1923"/>
      <c r="AV27" s="1923"/>
      <c r="AW27" s="1923"/>
      <c r="AX27" s="1923"/>
      <c r="AY27" s="1923"/>
      <c r="AZ27" s="1923"/>
      <c r="BA27" s="1923"/>
      <c r="BB27" s="1923"/>
      <c r="BC27" s="1923"/>
      <c r="BD27" s="1923"/>
      <c r="BE27" s="1923"/>
      <c r="BF27" s="2009">
        <v>0</v>
      </c>
      <c r="BG27"/>
      <c r="BH27" s="1923"/>
      <c r="BI27" s="1923"/>
      <c r="BJ27" s="1923"/>
      <c r="BK27" s="1923"/>
      <c r="BL27" s="1923"/>
      <c r="BM27" s="1923"/>
      <c r="BN27" s="1923"/>
      <c r="BO27" s="1923"/>
      <c r="BP27" s="1923"/>
      <c r="BQ27" s="1923"/>
      <c r="BR27" s="1923"/>
      <c r="BS27" s="1923"/>
      <c r="BT27" s="2009">
        <v>0</v>
      </c>
      <c r="BU27"/>
      <c r="BV27" s="1923"/>
      <c r="BW27" s="1923"/>
      <c r="BX27" s="1923"/>
      <c r="BY27" s="2009">
        <v>0</v>
      </c>
      <c r="BZ27" s="2009">
        <v>24000</v>
      </c>
    </row>
    <row r="28" spans="1:78" s="153" customFormat="1" ht="24.5" hidden="1" customHeight="1" outlineLevel="3" collapsed="1">
      <c r="A28" s="581"/>
      <c r="B28" s="400" t="s">
        <v>648</v>
      </c>
      <c r="C28" s="400"/>
      <c r="D28" s="399" t="s">
        <v>649</v>
      </c>
      <c r="E28"/>
      <c r="F28" s="992">
        <v>0</v>
      </c>
      <c r="G28" s="992">
        <v>0</v>
      </c>
      <c r="H28" s="992">
        <v>0</v>
      </c>
      <c r="I28" s="992">
        <v>0</v>
      </c>
      <c r="J28" s="992">
        <v>0</v>
      </c>
      <c r="K28" s="992">
        <v>0</v>
      </c>
      <c r="L28" s="992">
        <v>0</v>
      </c>
      <c r="M28" s="992">
        <v>0</v>
      </c>
      <c r="N28" s="992">
        <v>0</v>
      </c>
      <c r="O28" s="992">
        <v>0</v>
      </c>
      <c r="P28" s="992">
        <v>0</v>
      </c>
      <c r="Q28"/>
      <c r="R28" s="992">
        <v>0</v>
      </c>
      <c r="S28" s="992">
        <v>0</v>
      </c>
      <c r="T28" s="992">
        <v>0</v>
      </c>
      <c r="U28" s="992">
        <v>0</v>
      </c>
      <c r="V28" s="992">
        <v>0</v>
      </c>
      <c r="W28" s="992">
        <v>0</v>
      </c>
      <c r="X28" s="992">
        <v>0</v>
      </c>
      <c r="Y28" s="992">
        <v>0</v>
      </c>
      <c r="Z28" s="992">
        <v>0</v>
      </c>
      <c r="AA28" s="992">
        <v>0</v>
      </c>
      <c r="AB28" s="992">
        <v>0</v>
      </c>
      <c r="AC28" s="992">
        <v>0</v>
      </c>
      <c r="AD28" s="992">
        <v>0</v>
      </c>
      <c r="AE28"/>
      <c r="AF28" s="992">
        <v>0</v>
      </c>
      <c r="AG28" s="992">
        <v>54000</v>
      </c>
      <c r="AH28" s="992">
        <v>0</v>
      </c>
      <c r="AI28" s="992">
        <v>0</v>
      </c>
      <c r="AJ28" s="992">
        <v>0</v>
      </c>
      <c r="AK28" s="992">
        <v>40500</v>
      </c>
      <c r="AL28" s="992">
        <v>0</v>
      </c>
      <c r="AM28" s="992">
        <v>0</v>
      </c>
      <c r="AN28" s="992">
        <v>40500</v>
      </c>
      <c r="AO28" s="992">
        <v>0</v>
      </c>
      <c r="AP28" s="992">
        <v>0</v>
      </c>
      <c r="AQ28" s="992">
        <v>40500</v>
      </c>
      <c r="AR28" s="992">
        <v>175500</v>
      </c>
      <c r="AS28"/>
      <c r="AT28" s="992">
        <v>0</v>
      </c>
      <c r="AU28" s="992">
        <v>0</v>
      </c>
      <c r="AV28" s="992">
        <v>40500</v>
      </c>
      <c r="AW28" s="992">
        <v>0</v>
      </c>
      <c r="AX28" s="992">
        <v>0</v>
      </c>
      <c r="AY28" s="992">
        <v>40500</v>
      </c>
      <c r="AZ28" s="992">
        <v>0</v>
      </c>
      <c r="BA28" s="992">
        <v>0</v>
      </c>
      <c r="BB28" s="992">
        <v>40500</v>
      </c>
      <c r="BC28" s="992">
        <v>0</v>
      </c>
      <c r="BD28" s="992">
        <v>0</v>
      </c>
      <c r="BE28" s="992">
        <v>40500</v>
      </c>
      <c r="BF28" s="993">
        <v>162000</v>
      </c>
      <c r="BG28"/>
      <c r="BH28" s="992">
        <v>0</v>
      </c>
      <c r="BI28" s="992">
        <v>0</v>
      </c>
      <c r="BJ28" s="992">
        <v>40500</v>
      </c>
      <c r="BK28" s="992">
        <v>0</v>
      </c>
      <c r="BL28" s="992">
        <v>0</v>
      </c>
      <c r="BM28" s="992">
        <v>40500</v>
      </c>
      <c r="BN28" s="992">
        <v>0</v>
      </c>
      <c r="BO28" s="992">
        <v>0</v>
      </c>
      <c r="BP28" s="992">
        <v>40500</v>
      </c>
      <c r="BQ28" s="992">
        <v>0</v>
      </c>
      <c r="BR28" s="992">
        <v>0</v>
      </c>
      <c r="BS28" s="992">
        <v>40500</v>
      </c>
      <c r="BT28" s="994">
        <v>162000</v>
      </c>
      <c r="BU28"/>
      <c r="BV28" s="992">
        <v>0</v>
      </c>
      <c r="BW28" s="992">
        <v>0</v>
      </c>
      <c r="BX28" s="992">
        <v>40500</v>
      </c>
      <c r="BY28" s="994">
        <v>40500</v>
      </c>
      <c r="BZ28" s="994">
        <v>540000</v>
      </c>
    </row>
    <row r="29" spans="1:78" s="108" customFormat="1" ht="27.5" hidden="1" customHeight="1" outlineLevel="4">
      <c r="A29" s="580"/>
      <c r="B29" s="107" t="s">
        <v>650</v>
      </c>
      <c r="C29" s="107" t="s">
        <v>1279</v>
      </c>
      <c r="D29" s="703" t="s">
        <v>617</v>
      </c>
      <c r="E29"/>
      <c r="F29" s="3787"/>
      <c r="G29" s="3787"/>
      <c r="H29" s="3787"/>
      <c r="I29" s="3787"/>
      <c r="J29" s="3787"/>
      <c r="K29" s="3787"/>
      <c r="L29" s="3787"/>
      <c r="M29" s="3787"/>
      <c r="N29" s="3787"/>
      <c r="O29" s="3787"/>
      <c r="P29" s="3811">
        <v>0</v>
      </c>
      <c r="Q29"/>
      <c r="R29" s="3787"/>
      <c r="S29" s="3787"/>
      <c r="T29" s="3787"/>
      <c r="U29" s="3787"/>
      <c r="V29" s="3787"/>
      <c r="W29" s="3787"/>
      <c r="X29" s="3787"/>
      <c r="Y29" s="3787"/>
      <c r="Z29" s="3787"/>
      <c r="AA29" s="3787"/>
      <c r="AB29" s="3787"/>
      <c r="AC29" s="3787"/>
      <c r="AD29" s="3811">
        <v>0</v>
      </c>
      <c r="AE29"/>
      <c r="AF29" s="3787"/>
      <c r="AG29" s="3787">
        <v>54000</v>
      </c>
      <c r="AH29" s="3787"/>
      <c r="AI29" s="3787"/>
      <c r="AJ29" s="3787"/>
      <c r="AK29" s="3787">
        <v>40500</v>
      </c>
      <c r="AL29" s="3787"/>
      <c r="AM29" s="3787"/>
      <c r="AN29" s="3787">
        <v>40500</v>
      </c>
      <c r="AO29" s="3787"/>
      <c r="AP29" s="3787"/>
      <c r="AQ29" s="3787">
        <v>40500</v>
      </c>
      <c r="AR29" s="3811">
        <v>175500</v>
      </c>
      <c r="AS29"/>
      <c r="AT29" s="3787"/>
      <c r="AU29" s="3787"/>
      <c r="AV29" s="3787">
        <v>40500</v>
      </c>
      <c r="AW29" s="3787"/>
      <c r="AX29" s="3787"/>
      <c r="AY29" s="3787">
        <v>40500</v>
      </c>
      <c r="AZ29" s="3787"/>
      <c r="BA29" s="3787"/>
      <c r="BB29" s="3787">
        <v>40500</v>
      </c>
      <c r="BC29" s="3787"/>
      <c r="BD29" s="3787"/>
      <c r="BE29" s="3787">
        <v>40500</v>
      </c>
      <c r="BF29" s="3811">
        <v>162000</v>
      </c>
      <c r="BG29"/>
      <c r="BH29" s="3787"/>
      <c r="BI29" s="3787"/>
      <c r="BJ29" s="3787">
        <v>40500</v>
      </c>
      <c r="BK29" s="3787"/>
      <c r="BL29" s="3787"/>
      <c r="BM29" s="3787">
        <v>40500</v>
      </c>
      <c r="BN29" s="3787"/>
      <c r="BO29" s="3787"/>
      <c r="BP29" s="3787">
        <v>40500</v>
      </c>
      <c r="BQ29" s="3787"/>
      <c r="BR29" s="3787"/>
      <c r="BS29" s="3787">
        <v>40500</v>
      </c>
      <c r="BT29" s="3811">
        <v>162000</v>
      </c>
      <c r="BU29"/>
      <c r="BV29" s="3787"/>
      <c r="BW29" s="3787"/>
      <c r="BX29" s="3787">
        <v>40500</v>
      </c>
      <c r="BY29" s="3811">
        <v>40500</v>
      </c>
      <c r="BZ29" s="3811">
        <v>540000</v>
      </c>
    </row>
    <row r="30" spans="1:78" s="108" customFormat="1" ht="27.5" hidden="1" customHeight="1" outlineLevel="4">
      <c r="A30" s="580"/>
      <c r="B30" s="107" t="s">
        <v>651</v>
      </c>
      <c r="C30" s="107" t="s">
        <v>1279</v>
      </c>
      <c r="D30" s="703" t="s">
        <v>619</v>
      </c>
      <c r="E30"/>
      <c r="F30" s="3788"/>
      <c r="G30" s="3788"/>
      <c r="H30" s="3788"/>
      <c r="I30" s="3788"/>
      <c r="J30" s="3788"/>
      <c r="K30" s="3788"/>
      <c r="L30" s="3788"/>
      <c r="M30" s="3788"/>
      <c r="N30" s="3788"/>
      <c r="O30" s="3788"/>
      <c r="P30" s="3812">
        <f>SUM(F30:O30)</f>
        <v>0</v>
      </c>
      <c r="Q30"/>
      <c r="R30" s="3788"/>
      <c r="S30" s="3788"/>
      <c r="T30" s="3788"/>
      <c r="U30" s="3788"/>
      <c r="V30" s="3788"/>
      <c r="W30" s="3788"/>
      <c r="X30" s="3788"/>
      <c r="Y30" s="3788"/>
      <c r="Z30" s="3788"/>
      <c r="AA30" s="3788"/>
      <c r="AB30" s="3788"/>
      <c r="AC30" s="3788"/>
      <c r="AD30" s="3812">
        <f>SUM(R30:AC30)</f>
        <v>0</v>
      </c>
      <c r="AE30"/>
      <c r="AF30" s="3788"/>
      <c r="AG30" s="3788"/>
      <c r="AH30" s="3788"/>
      <c r="AI30" s="3788"/>
      <c r="AJ30" s="3788"/>
      <c r="AK30" s="3788"/>
      <c r="AL30" s="3788"/>
      <c r="AM30" s="3788"/>
      <c r="AN30" s="3788"/>
      <c r="AO30" s="3788"/>
      <c r="AP30" s="3788"/>
      <c r="AQ30" s="3788"/>
      <c r="AR30" s="3812">
        <f>SUM(AF30:AQ30)</f>
        <v>0</v>
      </c>
      <c r="AS30"/>
      <c r="AT30" s="3788"/>
      <c r="AU30" s="3788"/>
      <c r="AV30" s="3788"/>
      <c r="AW30" s="3788"/>
      <c r="AX30" s="3788"/>
      <c r="AY30" s="3788"/>
      <c r="AZ30" s="3788"/>
      <c r="BA30" s="3788"/>
      <c r="BB30" s="3788"/>
      <c r="BC30" s="3788"/>
      <c r="BD30" s="3788"/>
      <c r="BE30" s="3788"/>
      <c r="BF30" s="3812">
        <f>SUM(AT30:BE30)</f>
        <v>0</v>
      </c>
      <c r="BG30"/>
      <c r="BH30" s="3788"/>
      <c r="BI30" s="3788"/>
      <c r="BJ30" s="3788"/>
      <c r="BK30" s="3788"/>
      <c r="BL30" s="3788"/>
      <c r="BM30" s="3788"/>
      <c r="BN30" s="3788"/>
      <c r="BO30" s="3788"/>
      <c r="BP30" s="3788"/>
      <c r="BQ30" s="3788"/>
      <c r="BR30" s="3788"/>
      <c r="BS30" s="3788"/>
      <c r="BT30" s="3812">
        <f>SUM(BH30:BS30)</f>
        <v>0</v>
      </c>
      <c r="BU30"/>
      <c r="BV30" s="3788"/>
      <c r="BW30" s="3788"/>
      <c r="BX30" s="3788"/>
      <c r="BY30" s="3812">
        <f>SUM(BV30:BX30)</f>
        <v>0</v>
      </c>
      <c r="BZ30" s="3812">
        <f>+P30+AD30+AR30+BF30+BT30+BY30</f>
        <v>0</v>
      </c>
    </row>
    <row r="31" spans="1:78" s="108" customFormat="1" ht="27.5" hidden="1" customHeight="1" outlineLevel="4">
      <c r="A31" s="580"/>
      <c r="B31" s="107" t="s">
        <v>652</v>
      </c>
      <c r="C31" s="107" t="s">
        <v>1279</v>
      </c>
      <c r="D31" s="703" t="s">
        <v>653</v>
      </c>
      <c r="E31"/>
      <c r="F31" s="3789"/>
      <c r="G31" s="3789"/>
      <c r="H31" s="3789"/>
      <c r="I31" s="3789"/>
      <c r="J31" s="3789"/>
      <c r="K31" s="3789"/>
      <c r="L31" s="3789"/>
      <c r="M31" s="3789"/>
      <c r="N31" s="3789"/>
      <c r="O31" s="3789"/>
      <c r="P31" s="3813">
        <f>SUM(F31:O31)</f>
        <v>0</v>
      </c>
      <c r="Q31"/>
      <c r="R31" s="3789"/>
      <c r="S31" s="3789"/>
      <c r="T31" s="3789"/>
      <c r="U31" s="3789"/>
      <c r="V31" s="3789"/>
      <c r="W31" s="3789"/>
      <c r="X31" s="3789"/>
      <c r="Y31" s="3789"/>
      <c r="Z31" s="3789"/>
      <c r="AA31" s="3789"/>
      <c r="AB31" s="3789"/>
      <c r="AC31" s="3789"/>
      <c r="AD31" s="3813">
        <f>SUM(R31:AC31)</f>
        <v>0</v>
      </c>
      <c r="AE31"/>
      <c r="AF31" s="3789"/>
      <c r="AG31" s="3789"/>
      <c r="AH31" s="3789"/>
      <c r="AI31" s="3789"/>
      <c r="AJ31" s="3789"/>
      <c r="AK31" s="3789"/>
      <c r="AL31" s="3789"/>
      <c r="AM31" s="3789"/>
      <c r="AN31" s="3789"/>
      <c r="AO31" s="3789"/>
      <c r="AP31" s="3789"/>
      <c r="AQ31" s="3789"/>
      <c r="AR31" s="3813">
        <f>SUM(AF31:AQ31)</f>
        <v>0</v>
      </c>
      <c r="AS31"/>
      <c r="AT31" s="3789"/>
      <c r="AU31" s="3789"/>
      <c r="AV31" s="3789"/>
      <c r="AW31" s="3789"/>
      <c r="AX31" s="3789"/>
      <c r="AY31" s="3789"/>
      <c r="AZ31" s="3789"/>
      <c r="BA31" s="3789"/>
      <c r="BB31" s="3789"/>
      <c r="BC31" s="3789"/>
      <c r="BD31" s="3789"/>
      <c r="BE31" s="3789"/>
      <c r="BF31" s="3813">
        <f>SUM(AT31:BE31)</f>
        <v>0</v>
      </c>
      <c r="BG31"/>
      <c r="BH31" s="3789"/>
      <c r="BI31" s="3789"/>
      <c r="BJ31" s="3789"/>
      <c r="BK31" s="3789"/>
      <c r="BL31" s="3789"/>
      <c r="BM31" s="3789"/>
      <c r="BN31" s="3789"/>
      <c r="BO31" s="3789"/>
      <c r="BP31" s="3789"/>
      <c r="BQ31" s="3789"/>
      <c r="BR31" s="3789"/>
      <c r="BS31" s="3789"/>
      <c r="BT31" s="3813">
        <f>SUM(BH31:BS31)</f>
        <v>0</v>
      </c>
      <c r="BU31"/>
      <c r="BV31" s="3789"/>
      <c r="BW31" s="3789"/>
      <c r="BX31" s="3789"/>
      <c r="BY31" s="3813">
        <f>SUM(BV31:BX31)</f>
        <v>0</v>
      </c>
      <c r="BZ31" s="3813">
        <f>+P31+AD31+AR31+BF31+BT31+BY31</f>
        <v>0</v>
      </c>
    </row>
    <row r="32" spans="1:78" s="108" customFormat="1" ht="14" hidden="1" customHeight="1" outlineLevel="3" collapsed="1">
      <c r="A32" s="580"/>
      <c r="B32" s="107"/>
      <c r="C32" s="107"/>
      <c r="D32" s="533"/>
      <c r="E32"/>
      <c r="F32" s="988"/>
      <c r="G32" s="988"/>
      <c r="H32" s="988"/>
      <c r="I32" s="988"/>
      <c r="J32" s="988"/>
      <c r="K32" s="988"/>
      <c r="L32" s="988"/>
      <c r="M32" s="988"/>
      <c r="N32" s="988"/>
      <c r="O32" s="988"/>
      <c r="P32" s="2043">
        <v>0</v>
      </c>
      <c r="Q32"/>
      <c r="R32" s="988"/>
      <c r="S32" s="988"/>
      <c r="T32" s="988"/>
      <c r="U32" s="988"/>
      <c r="V32" s="988"/>
      <c r="W32" s="988"/>
      <c r="X32" s="988"/>
      <c r="Y32" s="988"/>
      <c r="Z32" s="988"/>
      <c r="AA32" s="988"/>
      <c r="AB32" s="988"/>
      <c r="AC32" s="988"/>
      <c r="AD32" s="2043">
        <v>0</v>
      </c>
      <c r="AE32"/>
      <c r="AF32" s="988"/>
      <c r="AG32" s="988"/>
      <c r="AH32" s="988"/>
      <c r="AI32" s="988"/>
      <c r="AJ32" s="988"/>
      <c r="AK32" s="988"/>
      <c r="AL32" s="988"/>
      <c r="AM32" s="988"/>
      <c r="AN32" s="988"/>
      <c r="AO32" s="988"/>
      <c r="AP32" s="988"/>
      <c r="AQ32" s="988"/>
      <c r="AR32" s="2043">
        <v>0</v>
      </c>
      <c r="AS32"/>
      <c r="AT32" s="988"/>
      <c r="AU32" s="988"/>
      <c r="AV32" s="988"/>
      <c r="AW32" s="988"/>
      <c r="AX32" s="988"/>
      <c r="AY32" s="988"/>
      <c r="AZ32" s="988"/>
      <c r="BA32" s="988"/>
      <c r="BB32" s="988"/>
      <c r="BC32" s="988"/>
      <c r="BD32" s="988"/>
      <c r="BE32" s="988"/>
      <c r="BF32" s="2032">
        <v>0</v>
      </c>
      <c r="BG32"/>
      <c r="BH32" s="988"/>
      <c r="BI32" s="988"/>
      <c r="BJ32" s="988"/>
      <c r="BK32" s="988"/>
      <c r="BL32" s="988"/>
      <c r="BM32" s="988"/>
      <c r="BN32" s="988"/>
      <c r="BO32" s="988"/>
      <c r="BP32" s="988"/>
      <c r="BQ32" s="988"/>
      <c r="BR32" s="988"/>
      <c r="BS32" s="988"/>
      <c r="BT32" s="2007">
        <v>0</v>
      </c>
      <c r="BU32"/>
      <c r="BV32" s="988"/>
      <c r="BW32" s="988"/>
      <c r="BX32" s="988"/>
      <c r="BY32" s="2007">
        <v>0</v>
      </c>
      <c r="BZ32" s="2007">
        <v>0</v>
      </c>
    </row>
    <row r="33" spans="1:79" s="153" customFormat="1" ht="21.5" customHeight="1" outlineLevel="2" collapsed="1">
      <c r="A33" s="172"/>
      <c r="B33" s="171" t="s">
        <v>501</v>
      </c>
      <c r="C33" s="171"/>
      <c r="D33" s="538" t="s">
        <v>13</v>
      </c>
      <c r="E33"/>
      <c r="F33" s="176">
        <v>0</v>
      </c>
      <c r="G33" s="176">
        <v>0</v>
      </c>
      <c r="H33" s="176">
        <v>0</v>
      </c>
      <c r="I33" s="176">
        <v>0</v>
      </c>
      <c r="J33" s="176">
        <v>0</v>
      </c>
      <c r="K33" s="176">
        <v>0</v>
      </c>
      <c r="L33" s="176">
        <v>0</v>
      </c>
      <c r="M33" s="176">
        <v>0</v>
      </c>
      <c r="N33" s="176">
        <v>0</v>
      </c>
      <c r="O33" s="176">
        <v>0</v>
      </c>
      <c r="P33" s="176">
        <v>0</v>
      </c>
      <c r="Q33"/>
      <c r="R33" s="176">
        <v>6000</v>
      </c>
      <c r="S33" s="176">
        <v>6000</v>
      </c>
      <c r="T33" s="176">
        <v>6000</v>
      </c>
      <c r="U33" s="176">
        <v>6000</v>
      </c>
      <c r="V33" s="176">
        <v>6000</v>
      </c>
      <c r="W33" s="176">
        <v>0</v>
      </c>
      <c r="X33" s="176">
        <v>0</v>
      </c>
      <c r="Y33" s="176">
        <v>6000</v>
      </c>
      <c r="Z33" s="176">
        <v>6000</v>
      </c>
      <c r="AA33" s="176">
        <v>6000</v>
      </c>
      <c r="AB33" s="176">
        <v>0</v>
      </c>
      <c r="AC33" s="176">
        <v>0</v>
      </c>
      <c r="AD33" s="176">
        <v>48000</v>
      </c>
      <c r="AE33"/>
      <c r="AF33" s="176">
        <v>0</v>
      </c>
      <c r="AG33" s="176">
        <v>0</v>
      </c>
      <c r="AH33" s="176">
        <v>0</v>
      </c>
      <c r="AI33" s="176">
        <v>0</v>
      </c>
      <c r="AJ33" s="176">
        <v>0</v>
      </c>
      <c r="AK33" s="176">
        <v>0</v>
      </c>
      <c r="AL33" s="176">
        <v>0</v>
      </c>
      <c r="AM33" s="176">
        <v>0</v>
      </c>
      <c r="AN33" s="176">
        <v>89600</v>
      </c>
      <c r="AO33" s="176">
        <v>0</v>
      </c>
      <c r="AP33" s="176">
        <v>0</v>
      </c>
      <c r="AQ33" s="176">
        <v>67200</v>
      </c>
      <c r="AR33" s="176">
        <v>156800</v>
      </c>
      <c r="AS33"/>
      <c r="AT33" s="176">
        <v>0</v>
      </c>
      <c r="AU33" s="176">
        <v>0</v>
      </c>
      <c r="AV33" s="176">
        <v>67200</v>
      </c>
      <c r="AW33" s="176">
        <v>0</v>
      </c>
      <c r="AX33" s="176">
        <v>6000</v>
      </c>
      <c r="AY33" s="176">
        <v>73200</v>
      </c>
      <c r="AZ33" s="176">
        <v>6000</v>
      </c>
      <c r="BA33" s="176">
        <v>0</v>
      </c>
      <c r="BB33" s="176">
        <v>67200</v>
      </c>
      <c r="BC33" s="176">
        <v>0</v>
      </c>
      <c r="BD33" s="176">
        <v>0</v>
      </c>
      <c r="BE33" s="176">
        <v>95600</v>
      </c>
      <c r="BF33" s="176">
        <v>315200</v>
      </c>
      <c r="BG33"/>
      <c r="BH33" s="176">
        <v>6000</v>
      </c>
      <c r="BI33" s="176">
        <v>6000</v>
      </c>
      <c r="BJ33" s="176">
        <v>6000</v>
      </c>
      <c r="BK33" s="176">
        <v>6000</v>
      </c>
      <c r="BL33" s="176">
        <v>6000</v>
      </c>
      <c r="BM33" s="176">
        <v>0</v>
      </c>
      <c r="BN33" s="176">
        <v>0</v>
      </c>
      <c r="BO33" s="176">
        <v>0</v>
      </c>
      <c r="BP33" s="176">
        <v>0</v>
      </c>
      <c r="BQ33" s="176">
        <v>0</v>
      </c>
      <c r="BR33" s="176">
        <v>0</v>
      </c>
      <c r="BS33" s="176">
        <v>0</v>
      </c>
      <c r="BT33" s="176">
        <v>30000</v>
      </c>
      <c r="BU33"/>
      <c r="BV33" s="176">
        <v>0</v>
      </c>
      <c r="BW33" s="176">
        <v>0</v>
      </c>
      <c r="BX33" s="176">
        <v>0</v>
      </c>
      <c r="BY33" s="176">
        <v>0</v>
      </c>
      <c r="BZ33" s="176">
        <v>550000</v>
      </c>
    </row>
    <row r="34" spans="1:79" s="108" customFormat="1" ht="77.5" hidden="1" customHeight="1" outlineLevel="3">
      <c r="A34" s="580"/>
      <c r="B34" s="107" t="s">
        <v>677</v>
      </c>
      <c r="C34" s="107" t="s">
        <v>1279</v>
      </c>
      <c r="D34" s="703" t="s">
        <v>680</v>
      </c>
      <c r="E34"/>
      <c r="F34" s="988"/>
      <c r="G34" s="988"/>
      <c r="H34" s="988"/>
      <c r="I34" s="988"/>
      <c r="J34" s="988"/>
      <c r="K34" s="988"/>
      <c r="L34" s="988"/>
      <c r="M34" s="988"/>
      <c r="N34" s="988"/>
      <c r="O34" s="988"/>
      <c r="P34" s="2043">
        <v>0</v>
      </c>
      <c r="Q34"/>
      <c r="R34" s="988">
        <v>6000</v>
      </c>
      <c r="S34" s="988">
        <v>6000</v>
      </c>
      <c r="T34" s="988">
        <v>6000</v>
      </c>
      <c r="U34" s="988">
        <v>6000</v>
      </c>
      <c r="V34" s="988">
        <v>6000</v>
      </c>
      <c r="W34" s="988"/>
      <c r="X34" s="988"/>
      <c r="Y34" s="988"/>
      <c r="Z34" s="988"/>
      <c r="AA34" s="988"/>
      <c r="AB34" s="988"/>
      <c r="AC34" s="988"/>
      <c r="AD34" s="2043">
        <v>30000</v>
      </c>
      <c r="AE34"/>
      <c r="AF34" s="988"/>
      <c r="AG34" s="988"/>
      <c r="AH34" s="988"/>
      <c r="AI34" s="988"/>
      <c r="AJ34" s="988"/>
      <c r="AK34" s="988"/>
      <c r="AL34" s="988"/>
      <c r="AM34" s="988"/>
      <c r="AN34" s="988"/>
      <c r="AO34" s="988"/>
      <c r="AP34" s="988"/>
      <c r="AQ34" s="988"/>
      <c r="AR34" s="2043">
        <v>0</v>
      </c>
      <c r="AS34"/>
      <c r="AT34" s="988"/>
      <c r="AU34" s="988"/>
      <c r="AV34" s="988"/>
      <c r="AW34" s="988"/>
      <c r="AX34" s="988"/>
      <c r="AY34" s="988"/>
      <c r="AZ34" s="988"/>
      <c r="BA34" s="988"/>
      <c r="BB34" s="988"/>
      <c r="BC34" s="988"/>
      <c r="BD34" s="988"/>
      <c r="BE34" s="988"/>
      <c r="BF34" s="2032">
        <v>0</v>
      </c>
      <c r="BG34"/>
      <c r="BH34" s="988"/>
      <c r="BI34" s="988"/>
      <c r="BJ34" s="988"/>
      <c r="BK34" s="988"/>
      <c r="BL34" s="988"/>
      <c r="BM34" s="988"/>
      <c r="BN34" s="988"/>
      <c r="BO34" s="988"/>
      <c r="BP34" s="988"/>
      <c r="BQ34" s="988"/>
      <c r="BR34" s="988"/>
      <c r="BS34" s="988"/>
      <c r="BT34" s="2007">
        <v>0</v>
      </c>
      <c r="BU34"/>
      <c r="BV34" s="988"/>
      <c r="BW34" s="988"/>
      <c r="BX34" s="988"/>
      <c r="BY34" s="2007">
        <v>0</v>
      </c>
      <c r="BZ34" s="2007">
        <v>30000</v>
      </c>
    </row>
    <row r="35" spans="1:79" s="108" customFormat="1" ht="41.5" hidden="1" customHeight="1" outlineLevel="3">
      <c r="A35" s="580"/>
      <c r="B35" s="107" t="s">
        <v>696</v>
      </c>
      <c r="C35" s="107" t="s">
        <v>1279</v>
      </c>
      <c r="D35" s="703" t="s">
        <v>682</v>
      </c>
      <c r="E35"/>
      <c r="F35" s="988"/>
      <c r="G35" s="988"/>
      <c r="H35" s="988"/>
      <c r="I35" s="988"/>
      <c r="J35" s="988"/>
      <c r="K35" s="988"/>
      <c r="L35" s="988"/>
      <c r="M35" s="988"/>
      <c r="N35" s="988"/>
      <c r="O35" s="988"/>
      <c r="P35" s="2043">
        <v>0</v>
      </c>
      <c r="Q35"/>
      <c r="R35" s="988"/>
      <c r="S35" s="988"/>
      <c r="T35" s="988"/>
      <c r="U35" s="988"/>
      <c r="V35" s="988"/>
      <c r="W35" s="988"/>
      <c r="X35" s="988"/>
      <c r="Y35" s="988">
        <v>6000</v>
      </c>
      <c r="Z35" s="988">
        <v>6000</v>
      </c>
      <c r="AA35" s="988">
        <v>6000</v>
      </c>
      <c r="AB35" s="988"/>
      <c r="AC35" s="988"/>
      <c r="AD35" s="2043">
        <v>18000</v>
      </c>
      <c r="AE35"/>
      <c r="AF35" s="988"/>
      <c r="AG35" s="988"/>
      <c r="AH35" s="988"/>
      <c r="AI35" s="988"/>
      <c r="AJ35" s="988"/>
      <c r="AK35" s="988"/>
      <c r="AL35" s="988"/>
      <c r="AM35" s="988"/>
      <c r="AN35" s="988"/>
      <c r="AO35" s="988"/>
      <c r="AP35" s="988"/>
      <c r="AQ35" s="988"/>
      <c r="AR35" s="2043">
        <v>0</v>
      </c>
      <c r="AS35"/>
      <c r="AT35" s="988"/>
      <c r="AU35" s="988"/>
      <c r="AV35" s="988"/>
      <c r="AW35" s="988"/>
      <c r="AX35" s="988"/>
      <c r="AY35" s="988"/>
      <c r="AZ35" s="988"/>
      <c r="BA35" s="988"/>
      <c r="BB35" s="988"/>
      <c r="BC35" s="988"/>
      <c r="BD35" s="988"/>
      <c r="BE35" s="988"/>
      <c r="BF35" s="2032">
        <v>0</v>
      </c>
      <c r="BG35"/>
      <c r="BH35" s="988"/>
      <c r="BI35" s="988"/>
      <c r="BJ35" s="988"/>
      <c r="BK35" s="988"/>
      <c r="BL35" s="988"/>
      <c r="BM35" s="988"/>
      <c r="BN35" s="988"/>
      <c r="BO35" s="988"/>
      <c r="BP35" s="988"/>
      <c r="BQ35" s="988"/>
      <c r="BR35" s="988"/>
      <c r="BS35" s="988"/>
      <c r="BT35" s="2007">
        <v>0</v>
      </c>
      <c r="BU35"/>
      <c r="BV35" s="988"/>
      <c r="BW35" s="988"/>
      <c r="BX35" s="988"/>
      <c r="BY35" s="2007">
        <v>0</v>
      </c>
      <c r="BZ35" s="2007">
        <v>18000</v>
      </c>
    </row>
    <row r="36" spans="1:79" s="108" customFormat="1" ht="110.5" hidden="1" customHeight="1" outlineLevel="3">
      <c r="A36" s="580"/>
      <c r="B36" s="107" t="s">
        <v>2270</v>
      </c>
      <c r="C36" s="107"/>
      <c r="D36" s="533" t="s">
        <v>684</v>
      </c>
      <c r="E36"/>
      <c r="F36" s="988"/>
      <c r="G36" s="988"/>
      <c r="H36" s="988"/>
      <c r="I36" s="988"/>
      <c r="J36" s="988"/>
      <c r="K36" s="988"/>
      <c r="L36" s="988"/>
      <c r="M36" s="988"/>
      <c r="N36" s="988"/>
      <c r="O36" s="988"/>
      <c r="P36" s="2043">
        <v>0</v>
      </c>
      <c r="Q36"/>
      <c r="R36" s="988"/>
      <c r="S36" s="988"/>
      <c r="T36" s="988"/>
      <c r="U36" s="988"/>
      <c r="V36" s="988"/>
      <c r="W36" s="988"/>
      <c r="X36" s="988"/>
      <c r="Y36" s="988"/>
      <c r="Z36" s="988"/>
      <c r="AA36" s="988"/>
      <c r="AB36" s="2048"/>
      <c r="AC36" s="2048"/>
      <c r="AD36" s="2043">
        <v>0</v>
      </c>
      <c r="AE36"/>
      <c r="AF36" s="988"/>
      <c r="AG36" s="988"/>
      <c r="AH36" s="988"/>
      <c r="AI36" s="988"/>
      <c r="AJ36" s="988"/>
      <c r="AK36" s="988"/>
      <c r="AL36" s="988"/>
      <c r="AM36" s="988"/>
      <c r="AN36" s="988">
        <v>89600</v>
      </c>
      <c r="AO36" s="988"/>
      <c r="AP36" s="988"/>
      <c r="AQ36" s="988">
        <v>67200</v>
      </c>
      <c r="AR36" s="2043">
        <v>156800</v>
      </c>
      <c r="AS36"/>
      <c r="AT36" s="988"/>
      <c r="AU36" s="988"/>
      <c r="AV36" s="988">
        <v>67200</v>
      </c>
      <c r="AW36" s="988"/>
      <c r="AX36" s="988"/>
      <c r="AY36" s="988">
        <v>67200</v>
      </c>
      <c r="AZ36" s="988"/>
      <c r="BA36" s="988"/>
      <c r="BB36" s="988">
        <v>67200</v>
      </c>
      <c r="BC36" s="988"/>
      <c r="BD36" s="988"/>
      <c r="BE36" s="988">
        <v>89600</v>
      </c>
      <c r="BF36" s="2032">
        <v>291200</v>
      </c>
      <c r="BG36"/>
      <c r="BH36" s="988"/>
      <c r="BI36" s="988"/>
      <c r="BJ36" s="988"/>
      <c r="BK36" s="988"/>
      <c r="BL36" s="988"/>
      <c r="BM36" s="988"/>
      <c r="BN36" s="988"/>
      <c r="BO36" s="988"/>
      <c r="BP36" s="988"/>
      <c r="BQ36" s="988"/>
      <c r="BR36" s="988"/>
      <c r="BS36" s="988"/>
      <c r="BT36" s="2007">
        <v>0</v>
      </c>
      <c r="BU36"/>
      <c r="BV36" s="988"/>
      <c r="BW36" s="988"/>
      <c r="BX36" s="988"/>
      <c r="BY36" s="2007">
        <v>0</v>
      </c>
      <c r="BZ36" s="2007">
        <v>448000</v>
      </c>
    </row>
    <row r="37" spans="1:79" s="108" customFormat="1" ht="55.25" hidden="1" customHeight="1" outlineLevel="3">
      <c r="A37" s="580"/>
      <c r="B37" s="107" t="s">
        <v>2271</v>
      </c>
      <c r="C37" s="107"/>
      <c r="D37" s="533" t="s">
        <v>687</v>
      </c>
      <c r="E37"/>
      <c r="F37" s="988"/>
      <c r="G37" s="988"/>
      <c r="H37" s="988"/>
      <c r="I37" s="988"/>
      <c r="J37" s="988"/>
      <c r="K37" s="988"/>
      <c r="L37" s="988"/>
      <c r="M37" s="988"/>
      <c r="N37" s="988"/>
      <c r="O37" s="988"/>
      <c r="P37" s="2043">
        <v>0</v>
      </c>
      <c r="Q37"/>
      <c r="R37" s="988"/>
      <c r="S37" s="988"/>
      <c r="T37" s="988"/>
      <c r="U37" s="988"/>
      <c r="V37" s="988"/>
      <c r="W37" s="988"/>
      <c r="X37" s="988"/>
      <c r="Y37" s="988"/>
      <c r="Z37" s="988"/>
      <c r="AA37" s="988"/>
      <c r="AB37" s="988"/>
      <c r="AC37" s="988"/>
      <c r="AD37" s="2043">
        <v>0</v>
      </c>
      <c r="AE37"/>
      <c r="AF37" s="988"/>
      <c r="AG37" s="988"/>
      <c r="AH37" s="988"/>
      <c r="AI37" s="988"/>
      <c r="AJ37" s="988"/>
      <c r="AK37" s="988"/>
      <c r="AL37" s="988"/>
      <c r="AM37" s="988"/>
      <c r="AN37" s="988"/>
      <c r="AO37" s="988"/>
      <c r="AP37" s="988"/>
      <c r="AQ37" s="988"/>
      <c r="AR37" s="2043">
        <v>0</v>
      </c>
      <c r="AS37"/>
      <c r="AT37" s="988"/>
      <c r="AU37" s="988"/>
      <c r="AV37" s="988"/>
      <c r="AW37" s="988"/>
      <c r="AX37" s="988">
        <v>6000</v>
      </c>
      <c r="AY37" s="988">
        <v>6000</v>
      </c>
      <c r="AZ37" s="988">
        <v>6000</v>
      </c>
      <c r="BA37" s="988"/>
      <c r="BB37" s="988"/>
      <c r="BC37" s="988"/>
      <c r="BD37" s="988"/>
      <c r="BE37" s="988"/>
      <c r="BF37" s="2032">
        <v>18000</v>
      </c>
      <c r="BG37"/>
      <c r="BH37" s="988"/>
      <c r="BI37" s="988"/>
      <c r="BJ37" s="988"/>
      <c r="BK37" s="988"/>
      <c r="BL37" s="988"/>
      <c r="BM37" s="988"/>
      <c r="BN37" s="988"/>
      <c r="BO37" s="988"/>
      <c r="BP37" s="988"/>
      <c r="BQ37" s="988"/>
      <c r="BR37" s="988"/>
      <c r="BS37" s="988"/>
      <c r="BT37" s="2007">
        <v>0</v>
      </c>
      <c r="BU37"/>
      <c r="BV37" s="988"/>
      <c r="BW37" s="988"/>
      <c r="BX37" s="988"/>
      <c r="BY37" s="2007">
        <v>0</v>
      </c>
      <c r="BZ37" s="2007">
        <v>18000</v>
      </c>
    </row>
    <row r="38" spans="1:79" s="108" customFormat="1" ht="55.25" hidden="1" customHeight="1" outlineLevel="3">
      <c r="A38" s="580"/>
      <c r="B38" s="107" t="s">
        <v>2272</v>
      </c>
      <c r="C38" s="107"/>
      <c r="D38" s="533" t="s">
        <v>690</v>
      </c>
      <c r="E38"/>
      <c r="F38" s="988"/>
      <c r="G38" s="988"/>
      <c r="H38" s="988"/>
      <c r="I38" s="988"/>
      <c r="J38" s="988"/>
      <c r="K38" s="988"/>
      <c r="L38" s="988"/>
      <c r="M38" s="988"/>
      <c r="N38" s="988"/>
      <c r="O38" s="988"/>
      <c r="P38" s="2043">
        <v>0</v>
      </c>
      <c r="Q38"/>
      <c r="R38" s="988"/>
      <c r="S38" s="988"/>
      <c r="T38" s="988"/>
      <c r="U38" s="988"/>
      <c r="V38" s="988"/>
      <c r="W38" s="988"/>
      <c r="X38" s="988"/>
      <c r="Y38" s="988"/>
      <c r="Z38" s="988"/>
      <c r="AA38" s="988"/>
      <c r="AB38" s="988"/>
      <c r="AC38" s="988"/>
      <c r="AD38" s="2043">
        <v>0</v>
      </c>
      <c r="AE38"/>
      <c r="AF38" s="988"/>
      <c r="AG38" s="988"/>
      <c r="AH38" s="988"/>
      <c r="AI38" s="988"/>
      <c r="AJ38" s="988"/>
      <c r="AK38" s="988"/>
      <c r="AL38" s="988"/>
      <c r="AM38" s="988"/>
      <c r="AN38" s="988"/>
      <c r="AO38" s="988"/>
      <c r="AP38" s="988"/>
      <c r="AQ38" s="988"/>
      <c r="AR38" s="2043">
        <v>0</v>
      </c>
      <c r="AS38"/>
      <c r="AT38" s="988"/>
      <c r="AU38" s="988"/>
      <c r="AV38" s="988"/>
      <c r="AW38" s="988"/>
      <c r="AX38" s="988"/>
      <c r="AY38" s="988"/>
      <c r="AZ38" s="988"/>
      <c r="BA38" s="988"/>
      <c r="BB38" s="988"/>
      <c r="BC38" s="988"/>
      <c r="BD38" s="988"/>
      <c r="BE38" s="988">
        <v>6000</v>
      </c>
      <c r="BF38" s="2032">
        <v>6000</v>
      </c>
      <c r="BG38"/>
      <c r="BH38" s="988">
        <v>6000</v>
      </c>
      <c r="BI38" s="988">
        <v>6000</v>
      </c>
      <c r="BJ38" s="988">
        <v>6000</v>
      </c>
      <c r="BK38" s="988">
        <v>6000</v>
      </c>
      <c r="BL38" s="988">
        <v>6000</v>
      </c>
      <c r="BM38" s="988"/>
      <c r="BN38" s="988"/>
      <c r="BO38" s="988"/>
      <c r="BP38" s="988"/>
      <c r="BQ38" s="988"/>
      <c r="BR38" s="988"/>
      <c r="BS38" s="988"/>
      <c r="BT38" s="2007">
        <v>30000</v>
      </c>
      <c r="BU38"/>
      <c r="BV38" s="988"/>
      <c r="BW38" s="988"/>
      <c r="BX38" s="988"/>
      <c r="BY38" s="2007">
        <v>0</v>
      </c>
      <c r="BZ38" s="2007">
        <v>36000</v>
      </c>
    </row>
    <row r="39" spans="1:79" s="880" customFormat="1" ht="27" hidden="1" customHeight="1" outlineLevel="3">
      <c r="A39" s="533"/>
      <c r="B39" s="107" t="s">
        <v>2359</v>
      </c>
      <c r="C39" s="1080"/>
      <c r="D39" s="1202" t="s">
        <v>693</v>
      </c>
      <c r="E39"/>
      <c r="F39" s="988"/>
      <c r="G39" s="988"/>
      <c r="H39" s="988"/>
      <c r="I39" s="988"/>
      <c r="J39" s="988"/>
      <c r="K39" s="988"/>
      <c r="L39" s="988"/>
      <c r="M39" s="988"/>
      <c r="N39" s="988"/>
      <c r="O39" s="988"/>
      <c r="P39" s="2043">
        <v>0</v>
      </c>
      <c r="Q39"/>
      <c r="R39" s="988"/>
      <c r="S39" s="988"/>
      <c r="T39" s="988"/>
      <c r="U39" s="988"/>
      <c r="V39" s="988"/>
      <c r="W39" s="988"/>
      <c r="X39" s="988"/>
      <c r="Y39" s="988"/>
      <c r="Z39" s="988"/>
      <c r="AA39" s="988"/>
      <c r="AB39" s="988"/>
      <c r="AC39" s="988"/>
      <c r="AD39" s="995">
        <v>0</v>
      </c>
      <c r="AE39"/>
      <c r="AF39" s="988"/>
      <c r="AG39" s="988"/>
      <c r="AH39" s="988"/>
      <c r="AI39" s="988"/>
      <c r="AJ39" s="988"/>
      <c r="AK39" s="988"/>
      <c r="AL39" s="988"/>
      <c r="AM39" s="988"/>
      <c r="AN39" s="988">
        <v>0</v>
      </c>
      <c r="AO39" s="988"/>
      <c r="AP39" s="988"/>
      <c r="AQ39" s="988">
        <v>0</v>
      </c>
      <c r="AR39" s="2043">
        <v>0</v>
      </c>
      <c r="AS39"/>
      <c r="AT39" s="988"/>
      <c r="AU39" s="988"/>
      <c r="AV39" s="988">
        <v>0</v>
      </c>
      <c r="AW39" s="988"/>
      <c r="AX39" s="988"/>
      <c r="AY39" s="988">
        <v>0</v>
      </c>
      <c r="AZ39" s="988"/>
      <c r="BA39" s="988"/>
      <c r="BB39" s="988">
        <v>0</v>
      </c>
      <c r="BC39" s="988"/>
      <c r="BD39" s="988"/>
      <c r="BE39" s="988">
        <v>0</v>
      </c>
      <c r="BF39" s="2032">
        <v>0</v>
      </c>
      <c r="BG39"/>
      <c r="BH39" s="988"/>
      <c r="BI39" s="988"/>
      <c r="BJ39" s="988"/>
      <c r="BK39" s="988"/>
      <c r="BL39" s="988"/>
      <c r="BM39" s="988"/>
      <c r="BN39" s="988"/>
      <c r="BO39" s="988"/>
      <c r="BP39" s="988"/>
      <c r="BQ39" s="988"/>
      <c r="BR39" s="988"/>
      <c r="BS39" s="988"/>
      <c r="BT39" s="995">
        <v>0</v>
      </c>
      <c r="BU39"/>
      <c r="BV39" s="988"/>
      <c r="BW39" s="988"/>
      <c r="BX39" s="988"/>
      <c r="BY39" s="995">
        <v>0</v>
      </c>
      <c r="BZ39" s="995">
        <v>0</v>
      </c>
      <c r="CA39" s="1111"/>
    </row>
    <row r="40" spans="1:79" s="880" customFormat="1" ht="27" hidden="1" customHeight="1" outlineLevel="3">
      <c r="A40" s="533"/>
      <c r="B40" s="107" t="s">
        <v>2360</v>
      </c>
      <c r="C40" s="1080"/>
      <c r="D40" s="1202" t="s">
        <v>695</v>
      </c>
      <c r="E40"/>
      <c r="F40" s="988"/>
      <c r="G40" s="988"/>
      <c r="H40" s="988"/>
      <c r="I40" s="988"/>
      <c r="J40" s="988"/>
      <c r="K40" s="988"/>
      <c r="L40" s="988"/>
      <c r="M40" s="988"/>
      <c r="N40" s="988"/>
      <c r="O40" s="988"/>
      <c r="P40" s="2043">
        <v>0</v>
      </c>
      <c r="Q40"/>
      <c r="R40" s="988"/>
      <c r="S40" s="988"/>
      <c r="T40" s="988"/>
      <c r="U40" s="988"/>
      <c r="V40" s="988"/>
      <c r="W40" s="988"/>
      <c r="X40" s="988"/>
      <c r="Y40" s="988"/>
      <c r="Z40" s="988"/>
      <c r="AA40" s="988"/>
      <c r="AB40" s="988"/>
      <c r="AC40" s="988"/>
      <c r="AD40" s="995">
        <v>0</v>
      </c>
      <c r="AE40"/>
      <c r="AF40" s="988"/>
      <c r="AG40" s="988"/>
      <c r="AH40" s="988"/>
      <c r="AI40" s="988"/>
      <c r="AJ40" s="988"/>
      <c r="AK40" s="988"/>
      <c r="AL40" s="988"/>
      <c r="AM40" s="988"/>
      <c r="AN40" s="988">
        <v>0</v>
      </c>
      <c r="AO40" s="988"/>
      <c r="AP40" s="988"/>
      <c r="AQ40" s="988">
        <v>0</v>
      </c>
      <c r="AR40" s="2043">
        <v>0</v>
      </c>
      <c r="AS40"/>
      <c r="AT40" s="988"/>
      <c r="AU40" s="988"/>
      <c r="AV40" s="988">
        <v>0</v>
      </c>
      <c r="AW40" s="988"/>
      <c r="AX40" s="988"/>
      <c r="AY40" s="988">
        <v>0</v>
      </c>
      <c r="AZ40" s="988"/>
      <c r="BA40" s="988"/>
      <c r="BB40" s="988">
        <v>0</v>
      </c>
      <c r="BC40" s="988"/>
      <c r="BD40" s="988"/>
      <c r="BE40" s="988">
        <v>0</v>
      </c>
      <c r="BF40" s="2032">
        <v>0</v>
      </c>
      <c r="BG40"/>
      <c r="BH40" s="988"/>
      <c r="BI40" s="988"/>
      <c r="BJ40" s="988"/>
      <c r="BK40" s="988"/>
      <c r="BL40" s="988"/>
      <c r="BM40" s="988"/>
      <c r="BN40" s="988"/>
      <c r="BO40" s="988"/>
      <c r="BP40" s="988"/>
      <c r="BQ40" s="988"/>
      <c r="BR40" s="988"/>
      <c r="BS40" s="988"/>
      <c r="BT40" s="995">
        <v>0</v>
      </c>
      <c r="BU40"/>
      <c r="BV40" s="988"/>
      <c r="BW40" s="988"/>
      <c r="BX40" s="988"/>
      <c r="BY40" s="995">
        <v>0</v>
      </c>
      <c r="BZ40" s="995">
        <v>0</v>
      </c>
      <c r="CA40" s="1111"/>
    </row>
    <row r="41" spans="1:79" s="153" customFormat="1" ht="27.5" customHeight="1" outlineLevel="2" collapsed="1">
      <c r="A41" s="172"/>
      <c r="B41" s="171" t="s">
        <v>502</v>
      </c>
      <c r="C41" s="171"/>
      <c r="D41" s="538" t="s">
        <v>14</v>
      </c>
      <c r="E41"/>
      <c r="F41" s="176">
        <v>0</v>
      </c>
      <c r="G41" s="176">
        <v>0</v>
      </c>
      <c r="H41" s="176">
        <v>0</v>
      </c>
      <c r="I41" s="176">
        <v>0</v>
      </c>
      <c r="J41" s="176">
        <v>0</v>
      </c>
      <c r="K41" s="176">
        <v>0</v>
      </c>
      <c r="L41" s="176">
        <v>0</v>
      </c>
      <c r="M41" s="176">
        <v>0</v>
      </c>
      <c r="N41" s="176">
        <v>0</v>
      </c>
      <c r="O41" s="176">
        <v>0</v>
      </c>
      <c r="P41" s="176">
        <v>0</v>
      </c>
      <c r="Q41"/>
      <c r="R41" s="176">
        <v>35000</v>
      </c>
      <c r="S41" s="176">
        <v>0</v>
      </c>
      <c r="T41" s="176">
        <v>0</v>
      </c>
      <c r="U41" s="176">
        <v>0</v>
      </c>
      <c r="V41" s="176">
        <v>30000</v>
      </c>
      <c r="W41" s="176">
        <v>0</v>
      </c>
      <c r="X41" s="176">
        <v>0</v>
      </c>
      <c r="Y41" s="176">
        <v>0</v>
      </c>
      <c r="Z41" s="176">
        <v>35000</v>
      </c>
      <c r="AA41" s="176">
        <v>0</v>
      </c>
      <c r="AB41" s="176">
        <v>0</v>
      </c>
      <c r="AC41" s="176">
        <v>0</v>
      </c>
      <c r="AD41" s="176">
        <v>100000</v>
      </c>
      <c r="AE41"/>
      <c r="AF41" s="176">
        <v>0</v>
      </c>
      <c r="AG41" s="176">
        <v>0</v>
      </c>
      <c r="AH41" s="176">
        <v>0</v>
      </c>
      <c r="AI41" s="176">
        <v>180000</v>
      </c>
      <c r="AJ41" s="176">
        <v>0</v>
      </c>
      <c r="AK41" s="176">
        <v>0</v>
      </c>
      <c r="AL41" s="176">
        <v>0</v>
      </c>
      <c r="AM41" s="176">
        <v>135000</v>
      </c>
      <c r="AN41" s="176">
        <v>0</v>
      </c>
      <c r="AO41" s="176">
        <v>0</v>
      </c>
      <c r="AP41" s="176">
        <v>0</v>
      </c>
      <c r="AQ41" s="176">
        <v>135000</v>
      </c>
      <c r="AR41" s="176">
        <v>450000</v>
      </c>
      <c r="AS41"/>
      <c r="AT41" s="176">
        <v>0</v>
      </c>
      <c r="AU41" s="176">
        <v>0</v>
      </c>
      <c r="AV41" s="176">
        <v>0</v>
      </c>
      <c r="AW41" s="176">
        <v>135000</v>
      </c>
      <c r="AX41" s="176">
        <v>0</v>
      </c>
      <c r="AY41" s="176">
        <v>0</v>
      </c>
      <c r="AZ41" s="176">
        <v>0</v>
      </c>
      <c r="BA41" s="176">
        <v>135000</v>
      </c>
      <c r="BB41" s="176">
        <v>0</v>
      </c>
      <c r="BC41" s="176">
        <v>0</v>
      </c>
      <c r="BD41" s="176">
        <v>0</v>
      </c>
      <c r="BE41" s="176">
        <v>180000</v>
      </c>
      <c r="BF41" s="176">
        <v>450000</v>
      </c>
      <c r="BG41"/>
      <c r="BH41" s="176">
        <v>0</v>
      </c>
      <c r="BI41" s="176">
        <v>0</v>
      </c>
      <c r="BJ41" s="176">
        <v>0</v>
      </c>
      <c r="BK41" s="176">
        <v>0</v>
      </c>
      <c r="BL41" s="176">
        <v>0</v>
      </c>
      <c r="BM41" s="176">
        <v>0</v>
      </c>
      <c r="BN41" s="176">
        <v>0</v>
      </c>
      <c r="BO41" s="176">
        <v>0</v>
      </c>
      <c r="BP41" s="176">
        <v>0</v>
      </c>
      <c r="BQ41" s="176">
        <v>0</v>
      </c>
      <c r="BR41" s="176">
        <v>0</v>
      </c>
      <c r="BS41" s="176">
        <v>0</v>
      </c>
      <c r="BT41" s="979">
        <v>0</v>
      </c>
      <c r="BU41"/>
      <c r="BV41" s="176">
        <v>0</v>
      </c>
      <c r="BW41" s="176">
        <v>0</v>
      </c>
      <c r="BX41" s="176">
        <v>0</v>
      </c>
      <c r="BY41" s="979">
        <v>0</v>
      </c>
      <c r="BZ41" s="979">
        <v>1000000</v>
      </c>
    </row>
    <row r="42" spans="1:79" s="153" customFormat="1" ht="63.5" hidden="1" customHeight="1" outlineLevel="3" collapsed="1">
      <c r="A42" s="581"/>
      <c r="B42" s="400" t="s">
        <v>705</v>
      </c>
      <c r="C42" s="400"/>
      <c r="D42" s="399" t="s">
        <v>1286</v>
      </c>
      <c r="E42"/>
      <c r="F42" s="992">
        <v>0</v>
      </c>
      <c r="G42" s="992">
        <v>0</v>
      </c>
      <c r="H42" s="992">
        <v>0</v>
      </c>
      <c r="I42" s="992">
        <v>0</v>
      </c>
      <c r="J42" s="992">
        <v>0</v>
      </c>
      <c r="K42" s="992">
        <v>0</v>
      </c>
      <c r="L42" s="992">
        <v>0</v>
      </c>
      <c r="M42" s="992">
        <v>0</v>
      </c>
      <c r="N42" s="992">
        <v>0</v>
      </c>
      <c r="O42" s="992">
        <v>0</v>
      </c>
      <c r="P42" s="992">
        <v>0</v>
      </c>
      <c r="Q42"/>
      <c r="R42" s="992">
        <v>35000</v>
      </c>
      <c r="S42" s="992">
        <v>0</v>
      </c>
      <c r="T42" s="992">
        <v>0</v>
      </c>
      <c r="U42" s="992">
        <v>0</v>
      </c>
      <c r="V42" s="992">
        <v>30000</v>
      </c>
      <c r="W42" s="992">
        <v>0</v>
      </c>
      <c r="X42" s="992">
        <v>0</v>
      </c>
      <c r="Y42" s="992">
        <v>0</v>
      </c>
      <c r="Z42" s="992">
        <v>35000</v>
      </c>
      <c r="AA42" s="992">
        <v>0</v>
      </c>
      <c r="AB42" s="992">
        <v>0</v>
      </c>
      <c r="AC42" s="992">
        <v>0</v>
      </c>
      <c r="AD42" s="992">
        <v>100000</v>
      </c>
      <c r="AE42"/>
      <c r="AF42" s="992">
        <v>0</v>
      </c>
      <c r="AG42" s="992">
        <v>0</v>
      </c>
      <c r="AH42" s="992">
        <v>0</v>
      </c>
      <c r="AI42" s="992">
        <v>180000</v>
      </c>
      <c r="AJ42" s="992">
        <v>0</v>
      </c>
      <c r="AK42" s="992">
        <v>0</v>
      </c>
      <c r="AL42" s="992">
        <v>0</v>
      </c>
      <c r="AM42" s="992">
        <v>135000</v>
      </c>
      <c r="AN42" s="992">
        <v>0</v>
      </c>
      <c r="AO42" s="992">
        <v>0</v>
      </c>
      <c r="AP42" s="992">
        <v>0</v>
      </c>
      <c r="AQ42" s="992">
        <v>135000</v>
      </c>
      <c r="AR42" s="992">
        <v>450000</v>
      </c>
      <c r="AS42"/>
      <c r="AT42" s="992">
        <v>0</v>
      </c>
      <c r="AU42" s="992">
        <v>0</v>
      </c>
      <c r="AV42" s="992">
        <v>0</v>
      </c>
      <c r="AW42" s="992">
        <v>135000</v>
      </c>
      <c r="AX42" s="992">
        <v>0</v>
      </c>
      <c r="AY42" s="992">
        <v>0</v>
      </c>
      <c r="AZ42" s="992">
        <v>0</v>
      </c>
      <c r="BA42" s="992">
        <v>135000</v>
      </c>
      <c r="BB42" s="992">
        <v>0</v>
      </c>
      <c r="BC42" s="992">
        <v>0</v>
      </c>
      <c r="BD42" s="992">
        <v>0</v>
      </c>
      <c r="BE42" s="992">
        <v>180000</v>
      </c>
      <c r="BF42" s="993">
        <v>450000</v>
      </c>
      <c r="BG42"/>
      <c r="BH42" s="992">
        <v>0</v>
      </c>
      <c r="BI42" s="992">
        <v>0</v>
      </c>
      <c r="BJ42" s="992">
        <v>0</v>
      </c>
      <c r="BK42" s="992">
        <v>0</v>
      </c>
      <c r="BL42" s="992">
        <v>0</v>
      </c>
      <c r="BM42" s="992">
        <v>0</v>
      </c>
      <c r="BN42" s="992">
        <v>0</v>
      </c>
      <c r="BO42" s="992">
        <v>0</v>
      </c>
      <c r="BP42" s="992">
        <v>0</v>
      </c>
      <c r="BQ42" s="992">
        <v>0</v>
      </c>
      <c r="BR42" s="992">
        <v>0</v>
      </c>
      <c r="BS42" s="992">
        <v>0</v>
      </c>
      <c r="BT42" s="994">
        <v>0</v>
      </c>
      <c r="BU42"/>
      <c r="BV42" s="992">
        <v>0</v>
      </c>
      <c r="BW42" s="992">
        <v>0</v>
      </c>
      <c r="BX42" s="992">
        <v>0</v>
      </c>
      <c r="BY42" s="994">
        <v>0</v>
      </c>
      <c r="BZ42" s="994">
        <v>1000000</v>
      </c>
    </row>
    <row r="43" spans="1:79" s="880" customFormat="1" ht="40.25" hidden="1" customHeight="1" outlineLevel="3">
      <c r="A43" s="533"/>
      <c r="B43" s="1080" t="s">
        <v>2361</v>
      </c>
      <c r="C43" s="1080" t="s">
        <v>1279</v>
      </c>
      <c r="D43" s="703" t="s">
        <v>699</v>
      </c>
      <c r="E43"/>
      <c r="F43" s="986"/>
      <c r="G43" s="986"/>
      <c r="H43" s="986"/>
      <c r="I43" s="986"/>
      <c r="J43" s="986"/>
      <c r="K43" s="986"/>
      <c r="L43" s="986"/>
      <c r="M43" s="986"/>
      <c r="N43" s="986"/>
      <c r="O43" s="986"/>
      <c r="P43" s="2011">
        <v>0</v>
      </c>
      <c r="Q43"/>
      <c r="R43" s="986">
        <v>35000</v>
      </c>
      <c r="S43" s="986"/>
      <c r="T43" s="986"/>
      <c r="U43" s="986"/>
      <c r="V43" s="986">
        <v>30000</v>
      </c>
      <c r="W43" s="986"/>
      <c r="X43" s="986"/>
      <c r="Y43" s="986"/>
      <c r="Z43" s="986">
        <v>35000</v>
      </c>
      <c r="AA43" s="986"/>
      <c r="AB43" s="986"/>
      <c r="AC43" s="986"/>
      <c r="AD43" s="2011">
        <v>100000</v>
      </c>
      <c r="AE43"/>
      <c r="AF43" s="986"/>
      <c r="AG43" s="986"/>
      <c r="AH43" s="986"/>
      <c r="AI43" s="986"/>
      <c r="AJ43" s="986"/>
      <c r="AK43" s="986"/>
      <c r="AL43" s="986"/>
      <c r="AM43" s="986"/>
      <c r="AN43" s="986"/>
      <c r="AO43" s="986"/>
      <c r="AP43" s="986"/>
      <c r="AQ43" s="986"/>
      <c r="AR43" s="995">
        <v>0</v>
      </c>
      <c r="AS43"/>
      <c r="AT43" s="986"/>
      <c r="AU43" s="986"/>
      <c r="AV43" s="986"/>
      <c r="AW43" s="986"/>
      <c r="AX43" s="986"/>
      <c r="AY43" s="986"/>
      <c r="AZ43" s="986"/>
      <c r="BA43" s="986"/>
      <c r="BB43" s="986"/>
      <c r="BC43" s="986"/>
      <c r="BD43" s="986"/>
      <c r="BE43" s="986"/>
      <c r="BF43" s="995">
        <v>0</v>
      </c>
      <c r="BG43"/>
      <c r="BH43" s="986"/>
      <c r="BI43" s="986"/>
      <c r="BJ43" s="986"/>
      <c r="BK43" s="986"/>
      <c r="BL43" s="986"/>
      <c r="BM43" s="986"/>
      <c r="BN43" s="986"/>
      <c r="BO43" s="986"/>
      <c r="BP43" s="986"/>
      <c r="BQ43" s="986"/>
      <c r="BR43" s="986"/>
      <c r="BS43" s="986"/>
      <c r="BT43" s="1498">
        <v>0</v>
      </c>
      <c r="BU43"/>
      <c r="BV43" s="986"/>
      <c r="BW43" s="986"/>
      <c r="BX43" s="986"/>
      <c r="BY43" s="1498">
        <v>0</v>
      </c>
      <c r="BZ43" s="1498">
        <v>100000</v>
      </c>
      <c r="CA43" s="1111"/>
    </row>
    <row r="44" spans="1:79" s="880" customFormat="1" ht="29" hidden="1" customHeight="1" outlineLevel="3">
      <c r="A44" s="533"/>
      <c r="B44" s="1080" t="s">
        <v>2362</v>
      </c>
      <c r="C44" s="1080" t="s">
        <v>1279</v>
      </c>
      <c r="D44" s="703" t="s">
        <v>701</v>
      </c>
      <c r="E44"/>
      <c r="F44" s="986"/>
      <c r="G44" s="986"/>
      <c r="H44" s="986"/>
      <c r="I44" s="986"/>
      <c r="J44" s="986"/>
      <c r="K44" s="986"/>
      <c r="L44" s="986"/>
      <c r="M44" s="986"/>
      <c r="N44" s="986"/>
      <c r="O44" s="986"/>
      <c r="P44" s="2011">
        <v>0</v>
      </c>
      <c r="Q44"/>
      <c r="R44" s="986"/>
      <c r="S44" s="986"/>
      <c r="T44" s="986"/>
      <c r="U44" s="986"/>
      <c r="V44" s="986"/>
      <c r="W44" s="986"/>
      <c r="X44" s="986"/>
      <c r="Y44" s="986"/>
      <c r="Z44" s="986"/>
      <c r="AA44" s="986"/>
      <c r="AB44" s="986"/>
      <c r="AC44" s="986"/>
      <c r="AD44" s="2011">
        <v>0</v>
      </c>
      <c r="AE44"/>
      <c r="AF44" s="986"/>
      <c r="AG44" s="986"/>
      <c r="AH44" s="986"/>
      <c r="AI44" s="986">
        <v>180000</v>
      </c>
      <c r="AJ44" s="986"/>
      <c r="AK44" s="986"/>
      <c r="AL44" s="986"/>
      <c r="AM44" s="986">
        <v>135000</v>
      </c>
      <c r="AN44" s="986"/>
      <c r="AO44" s="986"/>
      <c r="AP44" s="986"/>
      <c r="AQ44" s="986">
        <v>135000</v>
      </c>
      <c r="AR44" s="995">
        <v>450000</v>
      </c>
      <c r="AS44"/>
      <c r="AT44" s="986"/>
      <c r="AU44" s="986"/>
      <c r="AV44" s="986"/>
      <c r="AW44" s="986">
        <v>135000</v>
      </c>
      <c r="AX44" s="986"/>
      <c r="AY44" s="986"/>
      <c r="AZ44" s="986"/>
      <c r="BA44" s="986">
        <v>135000</v>
      </c>
      <c r="BB44" s="986"/>
      <c r="BC44" s="986"/>
      <c r="BD44" s="986"/>
      <c r="BE44" s="986">
        <v>180000</v>
      </c>
      <c r="BF44" s="995">
        <v>450000</v>
      </c>
      <c r="BG44"/>
      <c r="BH44" s="986"/>
      <c r="BI44" s="986"/>
      <c r="BJ44" s="986"/>
      <c r="BK44" s="986"/>
      <c r="BL44" s="986"/>
      <c r="BM44" s="986"/>
      <c r="BN44" s="986"/>
      <c r="BO44" s="986"/>
      <c r="BP44" s="986"/>
      <c r="BQ44" s="986"/>
      <c r="BR44" s="986"/>
      <c r="BS44" s="986"/>
      <c r="BT44" s="1498">
        <v>0</v>
      </c>
      <c r="BU44"/>
      <c r="BV44" s="986"/>
      <c r="BW44" s="986"/>
      <c r="BX44" s="986"/>
      <c r="BY44" s="1498">
        <v>0</v>
      </c>
      <c r="BZ44" s="1498">
        <v>900000</v>
      </c>
      <c r="CA44" s="1111"/>
    </row>
    <row r="45" spans="1:79" s="880" customFormat="1" ht="27.5" hidden="1" customHeight="1" outlineLevel="3">
      <c r="A45" s="533"/>
      <c r="B45" s="1080" t="s">
        <v>2363</v>
      </c>
      <c r="C45" s="1080" t="s">
        <v>1279</v>
      </c>
      <c r="D45" s="703" t="s">
        <v>703</v>
      </c>
      <c r="E45"/>
      <c r="F45" s="986"/>
      <c r="G45" s="986"/>
      <c r="H45" s="986"/>
      <c r="I45" s="986"/>
      <c r="J45" s="986"/>
      <c r="K45" s="986"/>
      <c r="L45" s="986"/>
      <c r="M45" s="986"/>
      <c r="N45" s="986"/>
      <c r="O45" s="986"/>
      <c r="P45" s="2011">
        <v>0</v>
      </c>
      <c r="Q45"/>
      <c r="R45" s="986"/>
      <c r="S45" s="986"/>
      <c r="T45" s="986"/>
      <c r="U45" s="986"/>
      <c r="V45" s="986"/>
      <c r="W45" s="986"/>
      <c r="X45" s="986"/>
      <c r="Y45" s="986"/>
      <c r="Z45" s="986"/>
      <c r="AA45" s="986"/>
      <c r="AB45" s="986"/>
      <c r="AC45" s="986"/>
      <c r="AD45" s="2011">
        <v>0</v>
      </c>
      <c r="AE45"/>
      <c r="AF45" s="986"/>
      <c r="AG45" s="986"/>
      <c r="AH45" s="986"/>
      <c r="AI45" s="986"/>
      <c r="AJ45" s="986"/>
      <c r="AK45" s="986"/>
      <c r="AL45" s="986"/>
      <c r="AM45" s="986"/>
      <c r="AN45" s="986"/>
      <c r="AO45" s="986"/>
      <c r="AP45" s="986"/>
      <c r="AQ45" s="986"/>
      <c r="AR45" s="995">
        <v>0</v>
      </c>
      <c r="AS45"/>
      <c r="AT45" s="986"/>
      <c r="AU45" s="986"/>
      <c r="AV45" s="986"/>
      <c r="AW45" s="986"/>
      <c r="AX45" s="986"/>
      <c r="AY45" s="986"/>
      <c r="AZ45" s="986"/>
      <c r="BA45" s="986"/>
      <c r="BB45" s="986"/>
      <c r="BC45" s="986"/>
      <c r="BD45" s="986"/>
      <c r="BE45" s="986"/>
      <c r="BF45" s="2011">
        <v>0</v>
      </c>
      <c r="BG45"/>
      <c r="BH45" s="986"/>
      <c r="BI45" s="986"/>
      <c r="BJ45" s="986"/>
      <c r="BK45" s="986"/>
      <c r="BL45" s="986"/>
      <c r="BM45" s="986"/>
      <c r="BN45" s="986"/>
      <c r="BO45" s="986"/>
      <c r="BP45" s="986"/>
      <c r="BQ45" s="986"/>
      <c r="BR45" s="986"/>
      <c r="BS45" s="986"/>
      <c r="BT45" s="1498">
        <v>0</v>
      </c>
      <c r="BU45"/>
      <c r="BV45" s="986"/>
      <c r="BW45" s="986"/>
      <c r="BX45" s="986"/>
      <c r="BY45" s="1498">
        <v>0</v>
      </c>
      <c r="BZ45" s="1498">
        <v>0</v>
      </c>
      <c r="CA45" s="1111"/>
    </row>
    <row r="46" spans="1:79" s="880" customFormat="1" ht="32.5" hidden="1" customHeight="1" outlineLevel="3">
      <c r="A46" s="533"/>
      <c r="B46" s="1080" t="s">
        <v>2364</v>
      </c>
      <c r="C46" s="1080" t="s">
        <v>1279</v>
      </c>
      <c r="D46" s="703" t="s">
        <v>693</v>
      </c>
      <c r="E46"/>
      <c r="F46" s="728">
        <v>0</v>
      </c>
      <c r="G46" s="728">
        <v>0</v>
      </c>
      <c r="H46" s="728">
        <v>0</v>
      </c>
      <c r="I46" s="728">
        <v>0</v>
      </c>
      <c r="J46" s="728">
        <v>0</v>
      </c>
      <c r="K46" s="728">
        <v>0</v>
      </c>
      <c r="L46" s="728">
        <v>0</v>
      </c>
      <c r="M46" s="728">
        <v>0</v>
      </c>
      <c r="N46" s="728">
        <v>0</v>
      </c>
      <c r="O46" s="728">
        <v>0</v>
      </c>
      <c r="P46" s="995">
        <v>0</v>
      </c>
      <c r="Q46"/>
      <c r="R46" s="728">
        <v>0</v>
      </c>
      <c r="S46" s="728">
        <v>0</v>
      </c>
      <c r="T46" s="728">
        <v>0</v>
      </c>
      <c r="U46" s="728">
        <v>0</v>
      </c>
      <c r="V46" s="728">
        <v>0</v>
      </c>
      <c r="W46" s="728">
        <v>0</v>
      </c>
      <c r="X46" s="728">
        <v>0</v>
      </c>
      <c r="Y46" s="728">
        <v>0</v>
      </c>
      <c r="Z46" s="728">
        <v>0</v>
      </c>
      <c r="AA46" s="728">
        <v>0</v>
      </c>
      <c r="AB46" s="728">
        <v>0</v>
      </c>
      <c r="AC46" s="728">
        <v>0</v>
      </c>
      <c r="AD46" s="995">
        <v>0</v>
      </c>
      <c r="AE46"/>
      <c r="AF46" s="728">
        <v>0</v>
      </c>
      <c r="AG46" s="728">
        <v>0</v>
      </c>
      <c r="AH46" s="728">
        <v>0</v>
      </c>
      <c r="AI46" s="728">
        <v>0</v>
      </c>
      <c r="AJ46" s="728">
        <v>0</v>
      </c>
      <c r="AK46" s="728">
        <v>0</v>
      </c>
      <c r="AL46" s="728">
        <v>0</v>
      </c>
      <c r="AM46" s="728">
        <v>0</v>
      </c>
      <c r="AN46" s="728">
        <v>0</v>
      </c>
      <c r="AO46" s="728">
        <v>0</v>
      </c>
      <c r="AP46" s="728">
        <v>0</v>
      </c>
      <c r="AQ46" s="728">
        <v>0</v>
      </c>
      <c r="AR46" s="995">
        <v>0</v>
      </c>
      <c r="AS46"/>
      <c r="AT46" s="728">
        <v>0</v>
      </c>
      <c r="AU46" s="728">
        <v>0</v>
      </c>
      <c r="AV46" s="728">
        <v>0</v>
      </c>
      <c r="AW46" s="728">
        <v>0</v>
      </c>
      <c r="AX46" s="728">
        <v>0</v>
      </c>
      <c r="AY46" s="728">
        <v>0</v>
      </c>
      <c r="AZ46" s="728">
        <v>0</v>
      </c>
      <c r="BA46" s="728">
        <v>0</v>
      </c>
      <c r="BB46" s="728">
        <v>0</v>
      </c>
      <c r="BC46" s="728">
        <v>0</v>
      </c>
      <c r="BD46" s="728">
        <v>0</v>
      </c>
      <c r="BE46" s="728">
        <v>0</v>
      </c>
      <c r="BF46" s="995">
        <v>0</v>
      </c>
      <c r="BG46"/>
      <c r="BH46" s="728">
        <v>0</v>
      </c>
      <c r="BI46" s="728">
        <v>0</v>
      </c>
      <c r="BJ46" s="728">
        <v>0</v>
      </c>
      <c r="BK46" s="728">
        <v>0</v>
      </c>
      <c r="BL46" s="728">
        <v>0</v>
      </c>
      <c r="BM46" s="728">
        <v>0</v>
      </c>
      <c r="BN46" s="728">
        <v>0</v>
      </c>
      <c r="BO46" s="728">
        <v>0</v>
      </c>
      <c r="BP46" s="728">
        <v>0</v>
      </c>
      <c r="BQ46" s="728">
        <v>0</v>
      </c>
      <c r="BR46" s="728">
        <v>0</v>
      </c>
      <c r="BS46" s="728">
        <v>0</v>
      </c>
      <c r="BT46" s="995">
        <v>0</v>
      </c>
      <c r="BU46"/>
      <c r="BV46" s="728">
        <v>0</v>
      </c>
      <c r="BW46" s="728">
        <v>0</v>
      </c>
      <c r="BX46" s="728">
        <v>0</v>
      </c>
      <c r="BY46" s="995">
        <v>0</v>
      </c>
      <c r="BZ46" s="995">
        <v>0</v>
      </c>
      <c r="CA46" s="1111"/>
    </row>
    <row r="47" spans="1:79" s="153" customFormat="1" ht="29.5" customHeight="1" outlineLevel="2" collapsed="1">
      <c r="A47" s="172"/>
      <c r="B47" s="171" t="s">
        <v>503</v>
      </c>
      <c r="C47" s="171"/>
      <c r="D47" s="538" t="s">
        <v>15</v>
      </c>
      <c r="E47"/>
      <c r="F47" s="1112">
        <v>0</v>
      </c>
      <c r="G47" s="1112">
        <v>0</v>
      </c>
      <c r="H47" s="1112">
        <v>0</v>
      </c>
      <c r="I47" s="1112">
        <v>0</v>
      </c>
      <c r="J47" s="1112">
        <v>0</v>
      </c>
      <c r="K47" s="1112">
        <v>0</v>
      </c>
      <c r="L47" s="1112">
        <v>0</v>
      </c>
      <c r="M47" s="1112">
        <v>0</v>
      </c>
      <c r="N47" s="1112">
        <v>0</v>
      </c>
      <c r="O47" s="1112">
        <v>0</v>
      </c>
      <c r="P47" s="1112">
        <v>0</v>
      </c>
      <c r="Q47"/>
      <c r="R47" s="1112">
        <v>0</v>
      </c>
      <c r="S47" s="1112">
        <v>0</v>
      </c>
      <c r="T47" s="1112">
        <v>0</v>
      </c>
      <c r="U47" s="1112">
        <v>0</v>
      </c>
      <c r="V47" s="1112">
        <v>6000</v>
      </c>
      <c r="W47" s="1112">
        <v>6000</v>
      </c>
      <c r="X47" s="1112">
        <v>6000</v>
      </c>
      <c r="Y47" s="1112">
        <v>0</v>
      </c>
      <c r="Z47" s="1112">
        <v>0</v>
      </c>
      <c r="AA47" s="1112">
        <v>0</v>
      </c>
      <c r="AB47" s="1112">
        <v>0</v>
      </c>
      <c r="AC47" s="1112">
        <v>0</v>
      </c>
      <c r="AD47" s="980">
        <v>18000</v>
      </c>
      <c r="AE47"/>
      <c r="AF47" s="1112">
        <v>0</v>
      </c>
      <c r="AG47" s="1112">
        <v>0</v>
      </c>
      <c r="AH47" s="1112">
        <v>0</v>
      </c>
      <c r="AI47" s="1112">
        <v>53222.222222222226</v>
      </c>
      <c r="AJ47" s="1112">
        <v>0</v>
      </c>
      <c r="AK47" s="1112">
        <v>0</v>
      </c>
      <c r="AL47" s="1112">
        <v>39916.666666666664</v>
      </c>
      <c r="AM47" s="1112">
        <v>0</v>
      </c>
      <c r="AN47" s="1112">
        <v>0</v>
      </c>
      <c r="AO47" s="1112">
        <v>0</v>
      </c>
      <c r="AP47" s="1112">
        <v>39916.666666666664</v>
      </c>
      <c r="AQ47" s="1112">
        <v>0</v>
      </c>
      <c r="AR47" s="980">
        <v>133055.55555555556</v>
      </c>
      <c r="AS47"/>
      <c r="AT47" s="1112">
        <v>0</v>
      </c>
      <c r="AU47" s="1112">
        <v>0</v>
      </c>
      <c r="AV47" s="1112">
        <v>43908.333333333336</v>
      </c>
      <c r="AW47" s="1112">
        <v>0</v>
      </c>
      <c r="AX47" s="1112">
        <v>0</v>
      </c>
      <c r="AY47" s="1112">
        <v>0</v>
      </c>
      <c r="AZ47" s="1112">
        <v>43908.333333333336</v>
      </c>
      <c r="BA47" s="1112">
        <v>0</v>
      </c>
      <c r="BB47" s="1112">
        <v>0</v>
      </c>
      <c r="BC47" s="1112">
        <v>0</v>
      </c>
      <c r="BD47" s="1112">
        <v>45238.888888888898</v>
      </c>
      <c r="BE47" s="1112">
        <v>0</v>
      </c>
      <c r="BF47" s="981">
        <v>133055.55555555556</v>
      </c>
      <c r="BG47"/>
      <c r="BH47" s="1112">
        <v>0</v>
      </c>
      <c r="BI47" s="1112">
        <v>0</v>
      </c>
      <c r="BJ47" s="1112">
        <v>43908.333333333336</v>
      </c>
      <c r="BK47" s="1112">
        <v>0</v>
      </c>
      <c r="BL47" s="1112">
        <v>0</v>
      </c>
      <c r="BM47" s="1112">
        <v>0</v>
      </c>
      <c r="BN47" s="1112">
        <v>43908.333333333336</v>
      </c>
      <c r="BO47" s="1112">
        <v>0</v>
      </c>
      <c r="BP47" s="1112">
        <v>0</v>
      </c>
      <c r="BQ47" s="1112">
        <v>0</v>
      </c>
      <c r="BR47" s="1112">
        <v>45238.888888888898</v>
      </c>
      <c r="BS47" s="1112">
        <v>0</v>
      </c>
      <c r="BT47" s="979">
        <v>133055.55555555556</v>
      </c>
      <c r="BU47"/>
      <c r="BV47" s="1112">
        <v>0</v>
      </c>
      <c r="BW47" s="1112">
        <v>79833.333333333328</v>
      </c>
      <c r="BX47" s="1112">
        <v>0</v>
      </c>
      <c r="BY47" s="979">
        <v>79833.333333333328</v>
      </c>
      <c r="BZ47" s="979">
        <v>497000</v>
      </c>
    </row>
    <row r="48" spans="1:79" s="108" customFormat="1" ht="88.25" hidden="1" customHeight="1" outlineLevel="3">
      <c r="A48" s="580"/>
      <c r="B48" s="107" t="s">
        <v>2365</v>
      </c>
      <c r="C48" s="107" t="s">
        <v>1279</v>
      </c>
      <c r="D48" s="703" t="s">
        <v>706</v>
      </c>
      <c r="E48"/>
      <c r="F48" s="986"/>
      <c r="G48" s="986"/>
      <c r="H48" s="986"/>
      <c r="I48" s="986"/>
      <c r="J48" s="986"/>
      <c r="K48" s="986"/>
      <c r="L48" s="986"/>
      <c r="M48" s="986"/>
      <c r="N48" s="986"/>
      <c r="O48" s="986"/>
      <c r="P48" s="2011">
        <v>0</v>
      </c>
      <c r="Q48"/>
      <c r="R48" s="986"/>
      <c r="S48" s="986"/>
      <c r="T48" s="986"/>
      <c r="U48" s="986"/>
      <c r="V48" s="986">
        <v>6000</v>
      </c>
      <c r="W48" s="986">
        <v>6000</v>
      </c>
      <c r="X48" s="986">
        <v>6000</v>
      </c>
      <c r="Y48" s="986"/>
      <c r="Z48" s="986"/>
      <c r="AA48" s="986"/>
      <c r="AB48" s="986"/>
      <c r="AC48" s="986"/>
      <c r="AD48" s="2011">
        <v>18000</v>
      </c>
      <c r="AE48"/>
      <c r="AF48" s="986"/>
      <c r="AG48" s="986"/>
      <c r="AH48" s="986"/>
      <c r="AI48" s="986"/>
      <c r="AJ48" s="986"/>
      <c r="AK48" s="986"/>
      <c r="AL48" s="986"/>
      <c r="AM48" s="986"/>
      <c r="AN48" s="986"/>
      <c r="AO48" s="986"/>
      <c r="AP48" s="986"/>
      <c r="AQ48" s="986"/>
      <c r="AR48" s="2011">
        <v>0</v>
      </c>
      <c r="AS48"/>
      <c r="AT48" s="986"/>
      <c r="AU48" s="986"/>
      <c r="AV48" s="986"/>
      <c r="AW48" s="986"/>
      <c r="AX48" s="986"/>
      <c r="AY48" s="986"/>
      <c r="AZ48" s="986"/>
      <c r="BA48" s="986"/>
      <c r="BB48" s="986"/>
      <c r="BC48" s="986"/>
      <c r="BD48" s="986"/>
      <c r="BE48" s="986"/>
      <c r="BF48" s="2014">
        <v>0</v>
      </c>
      <c r="BG48"/>
      <c r="BH48" s="986"/>
      <c r="BI48" s="986"/>
      <c r="BJ48" s="986"/>
      <c r="BK48" s="986"/>
      <c r="BL48" s="986"/>
      <c r="BM48" s="986"/>
      <c r="BN48" s="986"/>
      <c r="BO48" s="986"/>
      <c r="BP48" s="986"/>
      <c r="BQ48" s="986"/>
      <c r="BR48" s="986"/>
      <c r="BS48" s="986"/>
      <c r="BT48" s="2008">
        <v>0</v>
      </c>
      <c r="BU48"/>
      <c r="BV48" s="986"/>
      <c r="BW48" s="986"/>
      <c r="BX48" s="986"/>
      <c r="BY48" s="2008">
        <v>0</v>
      </c>
      <c r="BZ48" s="2008">
        <v>18000</v>
      </c>
    </row>
    <row r="49" spans="1:87" s="108" customFormat="1" ht="119.5" hidden="1" customHeight="1" outlineLevel="3">
      <c r="A49" s="580"/>
      <c r="B49" s="107" t="s">
        <v>2273</v>
      </c>
      <c r="C49" s="107"/>
      <c r="D49" s="533" t="s">
        <v>708</v>
      </c>
      <c r="E49"/>
      <c r="F49" s="986"/>
      <c r="G49" s="986"/>
      <c r="H49" s="986"/>
      <c r="I49" s="986"/>
      <c r="J49" s="986"/>
      <c r="K49" s="986"/>
      <c r="L49" s="986"/>
      <c r="M49" s="986"/>
      <c r="N49" s="986"/>
      <c r="O49" s="986"/>
      <c r="P49" s="2011">
        <v>0</v>
      </c>
      <c r="Q49"/>
      <c r="R49" s="986"/>
      <c r="S49" s="986"/>
      <c r="T49" s="986"/>
      <c r="U49" s="986"/>
      <c r="V49" s="986"/>
      <c r="W49" s="986"/>
      <c r="X49" s="986"/>
      <c r="Y49" s="986"/>
      <c r="Z49" s="986"/>
      <c r="AA49" s="986"/>
      <c r="AB49" s="986"/>
      <c r="AC49" s="986"/>
      <c r="AD49" s="2011">
        <v>0</v>
      </c>
      <c r="AE49"/>
      <c r="AF49" s="986"/>
      <c r="AG49" s="986"/>
      <c r="AH49" s="986"/>
      <c r="AI49" s="986">
        <v>53222.222222222226</v>
      </c>
      <c r="AJ49" s="986"/>
      <c r="AK49" s="986"/>
      <c r="AL49" s="986">
        <v>39916.666666666664</v>
      </c>
      <c r="AM49" s="986"/>
      <c r="AN49" s="986"/>
      <c r="AO49" s="986"/>
      <c r="AP49" s="986">
        <v>39916.666666666664</v>
      </c>
      <c r="AQ49" s="986"/>
      <c r="AR49" s="2011">
        <v>133055.55555555556</v>
      </c>
      <c r="AS49"/>
      <c r="AT49" s="986"/>
      <c r="AU49" s="986"/>
      <c r="AV49" s="986">
        <v>43908.333333333336</v>
      </c>
      <c r="AW49" s="986"/>
      <c r="AX49" s="986"/>
      <c r="AY49" s="986"/>
      <c r="AZ49" s="986">
        <v>43908.333333333336</v>
      </c>
      <c r="BA49" s="986"/>
      <c r="BB49" s="986"/>
      <c r="BC49" s="986"/>
      <c r="BD49" s="986">
        <v>45238.888888888898</v>
      </c>
      <c r="BE49" s="986"/>
      <c r="BF49" s="2011">
        <v>133055.55555555556</v>
      </c>
      <c r="BG49"/>
      <c r="BH49" s="986"/>
      <c r="BI49" s="986"/>
      <c r="BJ49" s="986">
        <v>43908.333333333336</v>
      </c>
      <c r="BK49" s="986"/>
      <c r="BL49" s="986"/>
      <c r="BM49" s="986"/>
      <c r="BN49" s="986">
        <v>43908.333333333336</v>
      </c>
      <c r="BO49" s="986"/>
      <c r="BP49" s="986"/>
      <c r="BQ49" s="986"/>
      <c r="BR49" s="986">
        <v>45238.888888888898</v>
      </c>
      <c r="BS49" s="986"/>
      <c r="BT49" s="2011">
        <v>133055.55555555556</v>
      </c>
      <c r="BU49"/>
      <c r="BV49" s="986"/>
      <c r="BW49" s="986">
        <v>79833.333333333328</v>
      </c>
      <c r="BX49" s="986"/>
      <c r="BY49" s="2011">
        <v>79833.333333333328</v>
      </c>
      <c r="BZ49" s="2011">
        <v>479000</v>
      </c>
    </row>
    <row r="50" spans="1:87" s="153" customFormat="1" ht="29.5" customHeight="1" outlineLevel="2" collapsed="1">
      <c r="A50" s="172"/>
      <c r="B50" s="171" t="s">
        <v>504</v>
      </c>
      <c r="C50" s="171"/>
      <c r="D50" s="538" t="s">
        <v>17</v>
      </c>
      <c r="E50"/>
      <c r="F50" s="1112">
        <v>0</v>
      </c>
      <c r="G50" s="1112">
        <v>0</v>
      </c>
      <c r="H50" s="1112">
        <v>0</v>
      </c>
      <c r="I50" s="1112">
        <v>0</v>
      </c>
      <c r="J50" s="1112">
        <v>0</v>
      </c>
      <c r="K50" s="1112">
        <v>0</v>
      </c>
      <c r="L50" s="1112">
        <v>0</v>
      </c>
      <c r="M50" s="1112">
        <v>0</v>
      </c>
      <c r="N50" s="1112">
        <v>0</v>
      </c>
      <c r="O50" s="1112">
        <v>0</v>
      </c>
      <c r="P50" s="1112">
        <v>0</v>
      </c>
      <c r="Q50"/>
      <c r="R50" s="1112">
        <v>0</v>
      </c>
      <c r="S50" s="1112">
        <v>0</v>
      </c>
      <c r="T50" s="1112">
        <v>0</v>
      </c>
      <c r="U50" s="1112">
        <v>0</v>
      </c>
      <c r="V50" s="1112">
        <v>0</v>
      </c>
      <c r="W50" s="1112">
        <v>0</v>
      </c>
      <c r="X50" s="1112">
        <v>0</v>
      </c>
      <c r="Y50" s="1112">
        <v>0</v>
      </c>
      <c r="Z50" s="1112">
        <v>0</v>
      </c>
      <c r="AA50" s="1112">
        <v>0</v>
      </c>
      <c r="AB50" s="1112">
        <v>0</v>
      </c>
      <c r="AC50" s="1112">
        <v>0</v>
      </c>
      <c r="AD50" s="980">
        <v>0</v>
      </c>
      <c r="AE50"/>
      <c r="AF50" s="1112">
        <v>0</v>
      </c>
      <c r="AG50" s="1112">
        <v>225000</v>
      </c>
      <c r="AH50" s="1112">
        <v>0</v>
      </c>
      <c r="AI50" s="1112">
        <v>0</v>
      </c>
      <c r="AJ50" s="1112">
        <v>0</v>
      </c>
      <c r="AK50" s="1112">
        <v>150000</v>
      </c>
      <c r="AL50" s="1112">
        <v>0</v>
      </c>
      <c r="AM50" s="1112">
        <v>0</v>
      </c>
      <c r="AN50" s="1112">
        <v>0</v>
      </c>
      <c r="AO50" s="1112">
        <v>150000</v>
      </c>
      <c r="AP50" s="1112">
        <v>0</v>
      </c>
      <c r="AQ50" s="1112">
        <v>0</v>
      </c>
      <c r="AR50" s="980">
        <v>525000</v>
      </c>
      <c r="AS50"/>
      <c r="AT50" s="1112">
        <v>0</v>
      </c>
      <c r="AU50" s="1112">
        <v>150000</v>
      </c>
      <c r="AV50" s="1112">
        <v>0</v>
      </c>
      <c r="AW50" s="1112">
        <v>0</v>
      </c>
      <c r="AX50" s="1112">
        <v>0</v>
      </c>
      <c r="AY50" s="1112">
        <v>150000</v>
      </c>
      <c r="AZ50" s="1112">
        <v>0</v>
      </c>
      <c r="BA50" s="1112">
        <v>0</v>
      </c>
      <c r="BB50" s="1112">
        <v>0</v>
      </c>
      <c r="BC50" s="1112">
        <v>150000</v>
      </c>
      <c r="BD50" s="1112">
        <v>0</v>
      </c>
      <c r="BE50" s="1112">
        <v>0</v>
      </c>
      <c r="BF50" s="981">
        <v>450000</v>
      </c>
      <c r="BG50"/>
      <c r="BH50" s="1112">
        <v>0</v>
      </c>
      <c r="BI50" s="1112">
        <v>150000</v>
      </c>
      <c r="BJ50" s="1112">
        <v>0</v>
      </c>
      <c r="BK50" s="1112">
        <v>0</v>
      </c>
      <c r="BL50" s="1112">
        <v>0</v>
      </c>
      <c r="BM50" s="1112">
        <v>150000</v>
      </c>
      <c r="BN50" s="1112">
        <v>0</v>
      </c>
      <c r="BO50" s="1112">
        <v>0</v>
      </c>
      <c r="BP50" s="1112">
        <v>0</v>
      </c>
      <c r="BQ50" s="1112">
        <v>150000</v>
      </c>
      <c r="BR50" s="1112">
        <v>0</v>
      </c>
      <c r="BS50" s="1112">
        <v>0</v>
      </c>
      <c r="BT50" s="979">
        <v>450000</v>
      </c>
      <c r="BU50"/>
      <c r="BV50" s="1112">
        <v>0</v>
      </c>
      <c r="BW50" s="1112">
        <v>75000</v>
      </c>
      <c r="BX50" s="1112">
        <v>0</v>
      </c>
      <c r="BY50" s="979">
        <v>75000</v>
      </c>
      <c r="BZ50" s="979">
        <v>1500000</v>
      </c>
    </row>
    <row r="51" spans="1:87" s="108" customFormat="1" ht="41.5" hidden="1" customHeight="1" outlineLevel="3">
      <c r="A51" s="580"/>
      <c r="B51" s="107" t="s">
        <v>2366</v>
      </c>
      <c r="C51" s="107" t="s">
        <v>1279</v>
      </c>
      <c r="D51" s="533" t="s">
        <v>675</v>
      </c>
      <c r="E51"/>
      <c r="F51" s="986"/>
      <c r="G51" s="986"/>
      <c r="H51" s="986"/>
      <c r="I51" s="986"/>
      <c r="J51" s="986"/>
      <c r="K51" s="986"/>
      <c r="L51" s="986"/>
      <c r="M51" s="986"/>
      <c r="N51" s="986"/>
      <c r="O51" s="986"/>
      <c r="P51" s="2011">
        <v>0</v>
      </c>
      <c r="Q51"/>
      <c r="R51" s="986"/>
      <c r="S51" s="986"/>
      <c r="T51" s="986"/>
      <c r="U51" s="986"/>
      <c r="V51" s="986"/>
      <c r="W51" s="986"/>
      <c r="X51" s="986"/>
      <c r="Y51" s="986"/>
      <c r="Z51" s="986"/>
      <c r="AA51" s="986"/>
      <c r="AB51" s="986"/>
      <c r="AC51" s="986"/>
      <c r="AD51" s="2011">
        <v>0</v>
      </c>
      <c r="AE51"/>
      <c r="AF51" s="986"/>
      <c r="AG51" s="986">
        <v>225000</v>
      </c>
      <c r="AH51" s="986"/>
      <c r="AI51" s="986"/>
      <c r="AJ51" s="986"/>
      <c r="AK51" s="986">
        <v>150000</v>
      </c>
      <c r="AL51" s="986"/>
      <c r="AM51" s="986"/>
      <c r="AN51" s="986"/>
      <c r="AO51" s="986">
        <v>150000</v>
      </c>
      <c r="AP51" s="986"/>
      <c r="AQ51" s="986"/>
      <c r="AR51" s="2011">
        <v>525000</v>
      </c>
      <c r="AS51"/>
      <c r="AT51" s="986"/>
      <c r="AU51" s="986">
        <v>150000</v>
      </c>
      <c r="AV51" s="986"/>
      <c r="AW51" s="986"/>
      <c r="AX51" s="986"/>
      <c r="AY51" s="986">
        <v>150000</v>
      </c>
      <c r="AZ51" s="986"/>
      <c r="BA51" s="986"/>
      <c r="BB51" s="986"/>
      <c r="BC51" s="986">
        <v>150000</v>
      </c>
      <c r="BD51" s="986"/>
      <c r="BE51" s="986"/>
      <c r="BF51" s="2011">
        <v>450000</v>
      </c>
      <c r="BG51"/>
      <c r="BH51" s="986"/>
      <c r="BI51" s="986">
        <v>150000</v>
      </c>
      <c r="BJ51" s="986"/>
      <c r="BK51" s="986"/>
      <c r="BL51" s="986"/>
      <c r="BM51" s="986">
        <v>150000</v>
      </c>
      <c r="BN51" s="986"/>
      <c r="BO51" s="986"/>
      <c r="BP51" s="986"/>
      <c r="BQ51" s="986">
        <v>150000</v>
      </c>
      <c r="BR51" s="986"/>
      <c r="BS51" s="986"/>
      <c r="BT51" s="2011">
        <v>450000</v>
      </c>
      <c r="BU51"/>
      <c r="BV51" s="986"/>
      <c r="BW51" s="986">
        <v>75000</v>
      </c>
      <c r="BX51" s="986"/>
      <c r="BY51" s="2011">
        <v>75000</v>
      </c>
      <c r="BZ51" s="2011">
        <v>1500000</v>
      </c>
    </row>
    <row r="52" spans="1:87" s="153" customFormat="1" ht="14" customHeight="1" outlineLevel="2" collapsed="1">
      <c r="A52" s="582"/>
      <c r="B52" s="434"/>
      <c r="C52" s="434"/>
      <c r="D52" s="544"/>
      <c r="E52"/>
      <c r="F52" s="996"/>
      <c r="G52" s="996"/>
      <c r="H52" s="996"/>
      <c r="I52" s="996"/>
      <c r="J52" s="996"/>
      <c r="K52" s="996"/>
      <c r="L52" s="996"/>
      <c r="M52" s="996"/>
      <c r="N52" s="996"/>
      <c r="O52" s="996"/>
      <c r="P52" s="996">
        <v>0</v>
      </c>
      <c r="Q52"/>
      <c r="R52" s="996"/>
      <c r="S52" s="996"/>
      <c r="T52" s="996"/>
      <c r="U52" s="996"/>
      <c r="V52" s="996"/>
      <c r="W52" s="996"/>
      <c r="X52" s="996"/>
      <c r="Y52" s="996"/>
      <c r="Z52" s="996"/>
      <c r="AA52" s="996"/>
      <c r="AB52" s="996"/>
      <c r="AC52" s="996"/>
      <c r="AD52" s="996">
        <v>0</v>
      </c>
      <c r="AE52"/>
      <c r="AF52" s="996"/>
      <c r="AG52" s="996"/>
      <c r="AH52" s="996"/>
      <c r="AI52" s="996"/>
      <c r="AJ52" s="996"/>
      <c r="AK52" s="996"/>
      <c r="AL52" s="996"/>
      <c r="AM52" s="996"/>
      <c r="AN52" s="996"/>
      <c r="AO52" s="996"/>
      <c r="AP52" s="996"/>
      <c r="AQ52" s="996"/>
      <c r="AR52" s="996">
        <v>0</v>
      </c>
      <c r="AS52"/>
      <c r="AT52" s="996"/>
      <c r="AU52" s="996"/>
      <c r="AV52" s="996"/>
      <c r="AW52" s="996"/>
      <c r="AX52" s="996"/>
      <c r="AY52" s="996"/>
      <c r="AZ52" s="996"/>
      <c r="BA52" s="996"/>
      <c r="BB52" s="996"/>
      <c r="BC52" s="996"/>
      <c r="BD52" s="996"/>
      <c r="BE52" s="996"/>
      <c r="BF52" s="997">
        <v>0</v>
      </c>
      <c r="BG52"/>
      <c r="BH52" s="996"/>
      <c r="BI52" s="996"/>
      <c r="BJ52" s="996"/>
      <c r="BK52" s="996"/>
      <c r="BL52" s="996"/>
      <c r="BM52" s="996"/>
      <c r="BN52" s="996"/>
      <c r="BO52" s="996"/>
      <c r="BP52" s="996"/>
      <c r="BQ52" s="996"/>
      <c r="BR52" s="996"/>
      <c r="BS52" s="996"/>
      <c r="BT52" s="995">
        <v>0</v>
      </c>
      <c r="BU52"/>
      <c r="BV52" s="996"/>
      <c r="BW52" s="996"/>
      <c r="BX52" s="996"/>
      <c r="BY52" s="995">
        <v>0</v>
      </c>
      <c r="BZ52" s="995">
        <v>0</v>
      </c>
    </row>
    <row r="53" spans="1:87" s="153" customFormat="1" ht="24" customHeight="1" outlineLevel="1">
      <c r="A53" s="578"/>
      <c r="B53" s="428" t="s">
        <v>505</v>
      </c>
      <c r="C53" s="428"/>
      <c r="D53" s="539" t="s">
        <v>19</v>
      </c>
      <c r="E53"/>
      <c r="F53" s="977">
        <v>0</v>
      </c>
      <c r="G53" s="977">
        <v>0</v>
      </c>
      <c r="H53" s="977">
        <v>0</v>
      </c>
      <c r="I53" s="977">
        <v>0</v>
      </c>
      <c r="J53" s="977">
        <v>0</v>
      </c>
      <c r="K53" s="977">
        <v>0</v>
      </c>
      <c r="L53" s="977">
        <v>0</v>
      </c>
      <c r="M53" s="977">
        <v>0</v>
      </c>
      <c r="N53" s="977">
        <v>0</v>
      </c>
      <c r="O53" s="977">
        <v>6250</v>
      </c>
      <c r="P53" s="977">
        <v>6250</v>
      </c>
      <c r="Q53"/>
      <c r="R53" s="977">
        <v>39750</v>
      </c>
      <c r="S53" s="977">
        <v>39750</v>
      </c>
      <c r="T53" s="977">
        <v>44750</v>
      </c>
      <c r="U53" s="977">
        <v>44750</v>
      </c>
      <c r="V53" s="977">
        <v>144750</v>
      </c>
      <c r="W53" s="977">
        <v>79750</v>
      </c>
      <c r="X53" s="977">
        <v>146083.33333333331</v>
      </c>
      <c r="Y53" s="977">
        <v>39833.333333333336</v>
      </c>
      <c r="Z53" s="977">
        <v>81833.333333333343</v>
      </c>
      <c r="AA53" s="977">
        <v>39833.333333333336</v>
      </c>
      <c r="AB53" s="977">
        <v>39833.333333333336</v>
      </c>
      <c r="AC53" s="977">
        <v>75833.333333333343</v>
      </c>
      <c r="AD53" s="977">
        <v>816750.00000000012</v>
      </c>
      <c r="AE53"/>
      <c r="AF53" s="977">
        <v>234833.33333333334</v>
      </c>
      <c r="AG53" s="977">
        <v>34833.333333333336</v>
      </c>
      <c r="AH53" s="977">
        <v>70583.333333333343</v>
      </c>
      <c r="AI53" s="977">
        <v>317833.33333333337</v>
      </c>
      <c r="AJ53" s="977">
        <v>89033.333333333343</v>
      </c>
      <c r="AK53" s="977">
        <v>812333.33333333337</v>
      </c>
      <c r="AL53" s="977">
        <v>285583.33333333337</v>
      </c>
      <c r="AM53" s="977">
        <v>925333.33333333337</v>
      </c>
      <c r="AN53" s="977">
        <v>296533.33333333337</v>
      </c>
      <c r="AO53" s="977">
        <v>48333.333333333336</v>
      </c>
      <c r="AP53" s="977">
        <v>1709833.3333333333</v>
      </c>
      <c r="AQ53" s="977">
        <v>168833.33333333334</v>
      </c>
      <c r="AR53" s="977">
        <v>4993900</v>
      </c>
      <c r="AS53"/>
      <c r="AT53" s="977">
        <v>572366.66666666674</v>
      </c>
      <c r="AU53" s="977">
        <v>1383166.6666666665</v>
      </c>
      <c r="AV53" s="977">
        <v>318166.66666666663</v>
      </c>
      <c r="AW53" s="977">
        <v>58166.666666666672</v>
      </c>
      <c r="AX53" s="977">
        <v>472366.66666666669</v>
      </c>
      <c r="AY53" s="977">
        <v>1184416.6666666665</v>
      </c>
      <c r="AZ53" s="977">
        <v>98166.666666666657</v>
      </c>
      <c r="BA53" s="977">
        <v>18166.666666666668</v>
      </c>
      <c r="BB53" s="977">
        <v>222366.66666666669</v>
      </c>
      <c r="BC53" s="977">
        <v>1274416.6666666665</v>
      </c>
      <c r="BD53" s="977">
        <v>68166.666666666672</v>
      </c>
      <c r="BE53" s="977">
        <v>130666.66666666666</v>
      </c>
      <c r="BF53" s="978">
        <v>5800600</v>
      </c>
      <c r="BG53"/>
      <c r="BH53" s="977">
        <v>328333.33333333331</v>
      </c>
      <c r="BI53" s="977">
        <v>934583.33333333337</v>
      </c>
      <c r="BJ53" s="977">
        <v>58333.333333333336</v>
      </c>
      <c r="BK53" s="977">
        <v>88333.333333333328</v>
      </c>
      <c r="BL53" s="977">
        <v>248333.33333333334</v>
      </c>
      <c r="BM53" s="977">
        <v>934583.33333333337</v>
      </c>
      <c r="BN53" s="977">
        <v>138333.33333333334</v>
      </c>
      <c r="BO53" s="977">
        <v>358333.33333333331</v>
      </c>
      <c r="BP53" s="977">
        <v>288333.33333333331</v>
      </c>
      <c r="BQ53" s="977">
        <v>648333.33333333337</v>
      </c>
      <c r="BR53" s="977">
        <v>48333.333333333336</v>
      </c>
      <c r="BS53" s="977">
        <v>8333.3333333333339</v>
      </c>
      <c r="BT53" s="976">
        <v>4082500.0000000009</v>
      </c>
      <c r="BU53"/>
      <c r="BV53" s="977">
        <v>8333.3333333333339</v>
      </c>
      <c r="BW53" s="977">
        <v>8333.3333333333339</v>
      </c>
      <c r="BX53" s="977">
        <v>33333.333333333336</v>
      </c>
      <c r="BY53" s="976">
        <v>50000</v>
      </c>
      <c r="BZ53" s="976">
        <v>15750000</v>
      </c>
    </row>
    <row r="54" spans="1:87" s="153" customFormat="1" ht="44.5" customHeight="1" outlineLevel="2">
      <c r="A54" s="172"/>
      <c r="B54" s="171" t="s">
        <v>506</v>
      </c>
      <c r="C54" s="171"/>
      <c r="D54" s="538" t="s">
        <v>20</v>
      </c>
      <c r="E54"/>
      <c r="F54" s="176">
        <v>0</v>
      </c>
      <c r="G54" s="176">
        <v>0</v>
      </c>
      <c r="H54" s="176">
        <v>0</v>
      </c>
      <c r="I54" s="176">
        <v>0</v>
      </c>
      <c r="J54" s="176">
        <v>0</v>
      </c>
      <c r="K54" s="176">
        <v>0</v>
      </c>
      <c r="L54" s="176">
        <v>0</v>
      </c>
      <c r="M54" s="176">
        <v>0</v>
      </c>
      <c r="N54" s="176">
        <v>0</v>
      </c>
      <c r="O54" s="176">
        <v>0</v>
      </c>
      <c r="P54" s="176">
        <v>0</v>
      </c>
      <c r="Q54"/>
      <c r="R54" s="176">
        <v>7000</v>
      </c>
      <c r="S54" s="176">
        <v>7000</v>
      </c>
      <c r="T54" s="176">
        <v>7000</v>
      </c>
      <c r="U54" s="176">
        <v>7000</v>
      </c>
      <c r="V54" s="176">
        <v>7000</v>
      </c>
      <c r="W54" s="176">
        <v>0</v>
      </c>
      <c r="X54" s="176">
        <v>0</v>
      </c>
      <c r="Y54" s="176">
        <v>0</v>
      </c>
      <c r="Z54" s="176">
        <v>0</v>
      </c>
      <c r="AA54" s="176">
        <v>0</v>
      </c>
      <c r="AB54" s="176">
        <v>0</v>
      </c>
      <c r="AC54" s="176">
        <v>0</v>
      </c>
      <c r="AD54" s="176">
        <v>35000</v>
      </c>
      <c r="AE54"/>
      <c r="AF54" s="176">
        <v>200000</v>
      </c>
      <c r="AG54" s="176">
        <v>0</v>
      </c>
      <c r="AH54" s="176">
        <v>0</v>
      </c>
      <c r="AI54" s="176">
        <v>150000</v>
      </c>
      <c r="AJ54" s="176">
        <v>0</v>
      </c>
      <c r="AK54" s="176">
        <v>0</v>
      </c>
      <c r="AL54" s="176">
        <v>235000</v>
      </c>
      <c r="AM54" s="176">
        <v>0</v>
      </c>
      <c r="AN54" s="176">
        <v>0</v>
      </c>
      <c r="AO54" s="176">
        <v>0</v>
      </c>
      <c r="AP54" s="176">
        <v>1675000</v>
      </c>
      <c r="AQ54" s="176">
        <v>0</v>
      </c>
      <c r="AR54" s="176">
        <v>2260000</v>
      </c>
      <c r="AS54"/>
      <c r="AT54" s="176">
        <v>350000</v>
      </c>
      <c r="AU54" s="176">
        <v>1350000</v>
      </c>
      <c r="AV54" s="176">
        <v>300000</v>
      </c>
      <c r="AW54" s="176">
        <v>40000</v>
      </c>
      <c r="AX54" s="176">
        <v>250000</v>
      </c>
      <c r="AY54" s="176">
        <v>1155000</v>
      </c>
      <c r="AZ54" s="176">
        <v>80000</v>
      </c>
      <c r="BA54" s="176">
        <v>0</v>
      </c>
      <c r="BB54" s="176">
        <v>0</v>
      </c>
      <c r="BC54" s="176">
        <v>1245000</v>
      </c>
      <c r="BD54" s="176">
        <v>50000</v>
      </c>
      <c r="BE54" s="176">
        <v>0</v>
      </c>
      <c r="BF54" s="176">
        <v>4820000</v>
      </c>
      <c r="BG54"/>
      <c r="BH54" s="176">
        <v>320000</v>
      </c>
      <c r="BI54" s="176">
        <v>915000</v>
      </c>
      <c r="BJ54" s="176">
        <v>50000</v>
      </c>
      <c r="BK54" s="176">
        <v>80000</v>
      </c>
      <c r="BL54" s="176">
        <v>240000</v>
      </c>
      <c r="BM54" s="176">
        <v>915000</v>
      </c>
      <c r="BN54" s="176">
        <v>130000</v>
      </c>
      <c r="BO54" s="176">
        <v>350000</v>
      </c>
      <c r="BP54" s="176">
        <v>280000</v>
      </c>
      <c r="BQ54" s="176">
        <v>625000</v>
      </c>
      <c r="BR54" s="176">
        <v>40000</v>
      </c>
      <c r="BS54" s="176">
        <v>0</v>
      </c>
      <c r="BT54" s="176">
        <v>3945000</v>
      </c>
      <c r="BU54"/>
      <c r="BV54" s="176">
        <v>0</v>
      </c>
      <c r="BW54" s="176">
        <v>0</v>
      </c>
      <c r="BX54" s="176">
        <v>0</v>
      </c>
      <c r="BY54" s="176">
        <v>0</v>
      </c>
      <c r="BZ54" s="176">
        <v>11060000</v>
      </c>
    </row>
    <row r="55" spans="1:87" s="153" customFormat="1" ht="26" hidden="1" customHeight="1" outlineLevel="3">
      <c r="A55" s="581"/>
      <c r="B55" s="400" t="s">
        <v>711</v>
      </c>
      <c r="C55" s="400"/>
      <c r="D55" s="536" t="s">
        <v>712</v>
      </c>
      <c r="E55"/>
      <c r="F55" s="398">
        <v>0</v>
      </c>
      <c r="G55" s="398">
        <v>0</v>
      </c>
      <c r="H55" s="398">
        <v>0</v>
      </c>
      <c r="I55" s="398">
        <v>0</v>
      </c>
      <c r="J55" s="398">
        <v>0</v>
      </c>
      <c r="K55" s="398">
        <v>0</v>
      </c>
      <c r="L55" s="398">
        <v>0</v>
      </c>
      <c r="M55" s="398">
        <v>0</v>
      </c>
      <c r="N55" s="398">
        <v>0</v>
      </c>
      <c r="O55" s="398">
        <v>0</v>
      </c>
      <c r="P55" s="398">
        <v>0</v>
      </c>
      <c r="Q55"/>
      <c r="R55" s="398">
        <v>7000</v>
      </c>
      <c r="S55" s="398">
        <v>7000</v>
      </c>
      <c r="T55" s="398">
        <v>7000</v>
      </c>
      <c r="U55" s="398">
        <v>7000</v>
      </c>
      <c r="V55" s="398">
        <v>7000</v>
      </c>
      <c r="W55" s="398">
        <v>0</v>
      </c>
      <c r="X55" s="398">
        <v>0</v>
      </c>
      <c r="Y55" s="398">
        <v>0</v>
      </c>
      <c r="Z55" s="398">
        <v>0</v>
      </c>
      <c r="AA55" s="398">
        <v>0</v>
      </c>
      <c r="AB55" s="398">
        <v>0</v>
      </c>
      <c r="AC55" s="398">
        <v>0</v>
      </c>
      <c r="AD55" s="398">
        <v>35000</v>
      </c>
      <c r="AE55"/>
      <c r="AF55" s="398">
        <v>200000</v>
      </c>
      <c r="AG55" s="398">
        <v>0</v>
      </c>
      <c r="AH55" s="398">
        <v>0</v>
      </c>
      <c r="AI55" s="398">
        <v>150000</v>
      </c>
      <c r="AJ55" s="398">
        <v>0</v>
      </c>
      <c r="AK55" s="398">
        <v>0</v>
      </c>
      <c r="AL55" s="398">
        <v>150000</v>
      </c>
      <c r="AM55" s="398">
        <v>0</v>
      </c>
      <c r="AN55" s="398">
        <v>0</v>
      </c>
      <c r="AO55" s="398">
        <v>0</v>
      </c>
      <c r="AP55" s="398">
        <v>0</v>
      </c>
      <c r="AQ55" s="398">
        <v>0</v>
      </c>
      <c r="AR55" s="398">
        <v>500000</v>
      </c>
      <c r="AS55"/>
      <c r="AT55" s="398">
        <v>0</v>
      </c>
      <c r="AU55" s="398">
        <v>0</v>
      </c>
      <c r="AV55" s="398">
        <v>0</v>
      </c>
      <c r="AW55" s="398">
        <v>0</v>
      </c>
      <c r="AX55" s="398">
        <v>0</v>
      </c>
      <c r="AY55" s="398">
        <v>0</v>
      </c>
      <c r="AZ55" s="398">
        <v>0</v>
      </c>
      <c r="BA55" s="398">
        <v>0</v>
      </c>
      <c r="BB55" s="398">
        <v>0</v>
      </c>
      <c r="BC55" s="398">
        <v>0</v>
      </c>
      <c r="BD55" s="398">
        <v>0</v>
      </c>
      <c r="BE55" s="398">
        <v>0</v>
      </c>
      <c r="BF55" s="398">
        <v>0</v>
      </c>
      <c r="BG55"/>
      <c r="BH55" s="398">
        <v>0</v>
      </c>
      <c r="BI55" s="398">
        <v>0</v>
      </c>
      <c r="BJ55" s="398">
        <v>0</v>
      </c>
      <c r="BK55" s="398">
        <v>0</v>
      </c>
      <c r="BL55" s="398">
        <v>0</v>
      </c>
      <c r="BM55" s="398">
        <v>0</v>
      </c>
      <c r="BN55" s="398">
        <v>0</v>
      </c>
      <c r="BO55" s="398">
        <v>0</v>
      </c>
      <c r="BP55" s="398">
        <v>0</v>
      </c>
      <c r="BQ55" s="398">
        <v>0</v>
      </c>
      <c r="BR55" s="398">
        <v>0</v>
      </c>
      <c r="BS55" s="398">
        <v>0</v>
      </c>
      <c r="BT55" s="398">
        <v>0</v>
      </c>
      <c r="BU55"/>
      <c r="BV55" s="398">
        <v>0</v>
      </c>
      <c r="BW55" s="398">
        <v>0</v>
      </c>
      <c r="BX55" s="398">
        <v>0</v>
      </c>
      <c r="BY55" s="398">
        <v>0</v>
      </c>
      <c r="BZ55" s="398">
        <v>535000</v>
      </c>
    </row>
    <row r="56" spans="1:87" s="881" customFormat="1" ht="138" hidden="1" customHeight="1" outlineLevel="4">
      <c r="A56" s="580"/>
      <c r="B56" s="107" t="s">
        <v>713</v>
      </c>
      <c r="C56" s="107" t="s">
        <v>1279</v>
      </c>
      <c r="D56" s="935" t="s">
        <v>714</v>
      </c>
      <c r="E56"/>
      <c r="F56" s="1253"/>
      <c r="G56" s="1253"/>
      <c r="H56" s="1253"/>
      <c r="I56" s="1253"/>
      <c r="J56" s="1253"/>
      <c r="K56" s="1253"/>
      <c r="L56" s="1253"/>
      <c r="M56" s="1253"/>
      <c r="N56" s="1253"/>
      <c r="O56" s="1253"/>
      <c r="P56" s="2047">
        <v>0</v>
      </c>
      <c r="Q56"/>
      <c r="R56" s="1253">
        <v>7000</v>
      </c>
      <c r="S56" s="1253">
        <v>7000</v>
      </c>
      <c r="T56" s="1253">
        <v>7000</v>
      </c>
      <c r="U56" s="1253">
        <v>7000</v>
      </c>
      <c r="V56" s="1253">
        <v>7000</v>
      </c>
      <c r="W56" s="1253"/>
      <c r="X56" s="1253"/>
      <c r="Y56" s="1253"/>
      <c r="Z56" s="1253"/>
      <c r="AA56" s="1253"/>
      <c r="AB56" s="1253"/>
      <c r="AC56" s="1253"/>
      <c r="AD56" s="2011">
        <v>35000</v>
      </c>
      <c r="AE56"/>
      <c r="AF56" s="1253"/>
      <c r="AG56" s="1253"/>
      <c r="AH56" s="1253"/>
      <c r="AI56" s="1253"/>
      <c r="AJ56" s="1253"/>
      <c r="AK56" s="1253"/>
      <c r="AL56" s="1253"/>
      <c r="AM56" s="1253"/>
      <c r="AN56" s="1253"/>
      <c r="AO56" s="1253"/>
      <c r="AP56" s="1253"/>
      <c r="AQ56" s="1253"/>
      <c r="AR56" s="2011">
        <v>0</v>
      </c>
      <c r="AS56"/>
      <c r="AT56" s="1253"/>
      <c r="AU56" s="1253"/>
      <c r="AV56" s="1253"/>
      <c r="AW56" s="1253"/>
      <c r="AX56" s="1253"/>
      <c r="AY56" s="1253"/>
      <c r="AZ56" s="1253"/>
      <c r="BA56" s="1253"/>
      <c r="BB56" s="1253"/>
      <c r="BC56" s="1253"/>
      <c r="BD56" s="1253"/>
      <c r="BE56" s="1253"/>
      <c r="BF56" s="2014">
        <v>0</v>
      </c>
      <c r="BG56"/>
      <c r="BH56" s="1253"/>
      <c r="BI56" s="1253"/>
      <c r="BJ56" s="1253"/>
      <c r="BK56" s="1253"/>
      <c r="BL56" s="1253"/>
      <c r="BM56" s="1253"/>
      <c r="BN56" s="1253"/>
      <c r="BO56" s="1253"/>
      <c r="BP56" s="1253"/>
      <c r="BQ56" s="1253"/>
      <c r="BR56" s="1253"/>
      <c r="BS56" s="1253"/>
      <c r="BT56" s="2008">
        <v>0</v>
      </c>
      <c r="BU56"/>
      <c r="BV56" s="1253"/>
      <c r="BW56" s="1253"/>
      <c r="BX56" s="1253"/>
      <c r="BY56" s="2008">
        <v>0</v>
      </c>
      <c r="BZ56" s="2008">
        <v>35000</v>
      </c>
      <c r="CA56" s="108"/>
    </row>
    <row r="57" spans="1:87" s="882" customFormat="1" ht="107" hidden="1" customHeight="1" outlineLevel="4">
      <c r="A57" s="580"/>
      <c r="B57" s="107" t="s">
        <v>716</v>
      </c>
      <c r="C57" s="107" t="s">
        <v>1279</v>
      </c>
      <c r="D57" s="935" t="s">
        <v>717</v>
      </c>
      <c r="E57"/>
      <c r="F57" s="1293"/>
      <c r="G57" s="1293"/>
      <c r="H57" s="1293"/>
      <c r="I57" s="1293"/>
      <c r="J57" s="1293"/>
      <c r="K57" s="1293"/>
      <c r="L57" s="1293"/>
      <c r="M57" s="1293"/>
      <c r="N57" s="1293"/>
      <c r="O57" s="1293"/>
      <c r="P57" s="2013">
        <v>0</v>
      </c>
      <c r="Q57"/>
      <c r="R57" s="1293"/>
      <c r="S57" s="1293"/>
      <c r="T57" s="1293"/>
      <c r="U57" s="1293"/>
      <c r="V57" s="1293"/>
      <c r="W57" s="1293"/>
      <c r="X57" s="1293"/>
      <c r="Y57" s="1293"/>
      <c r="Z57" s="1293"/>
      <c r="AA57" s="1293"/>
      <c r="AB57" s="1293"/>
      <c r="AC57" s="1293"/>
      <c r="AD57" s="2013">
        <v>0</v>
      </c>
      <c r="AE57"/>
      <c r="AF57" s="1293">
        <v>200000</v>
      </c>
      <c r="AG57" s="1293"/>
      <c r="AH57" s="1293"/>
      <c r="AI57" s="1293">
        <v>150000</v>
      </c>
      <c r="AJ57" s="1293"/>
      <c r="AK57" s="1293"/>
      <c r="AL57" s="1293">
        <v>150000</v>
      </c>
      <c r="AM57" s="1293"/>
      <c r="AN57" s="1293"/>
      <c r="AO57" s="1293"/>
      <c r="AP57" s="1293"/>
      <c r="AQ57" s="1293"/>
      <c r="AR57" s="2013">
        <v>500000</v>
      </c>
      <c r="AS57"/>
      <c r="AT57" s="1293"/>
      <c r="AU57" s="1293"/>
      <c r="AV57" s="1293"/>
      <c r="AW57" s="1293"/>
      <c r="AX57" s="1293"/>
      <c r="AY57" s="1293"/>
      <c r="AZ57" s="1293"/>
      <c r="BA57" s="1293"/>
      <c r="BB57" s="1293"/>
      <c r="BC57" s="1293"/>
      <c r="BD57" s="1293"/>
      <c r="BE57" s="1293"/>
      <c r="BF57" s="2013">
        <v>0</v>
      </c>
      <c r="BG57"/>
      <c r="BH57" s="1293"/>
      <c r="BI57" s="1293"/>
      <c r="BJ57" s="1293"/>
      <c r="BK57" s="1293"/>
      <c r="BL57" s="1293"/>
      <c r="BM57" s="1293"/>
      <c r="BN57" s="1293"/>
      <c r="BO57" s="1293"/>
      <c r="BP57" s="1293"/>
      <c r="BQ57" s="1293"/>
      <c r="BR57" s="1293"/>
      <c r="BS57" s="1293"/>
      <c r="BT57" s="2013">
        <v>0</v>
      </c>
      <c r="BU57"/>
      <c r="BV57" s="1293"/>
      <c r="BW57" s="1293"/>
      <c r="BX57" s="1293"/>
      <c r="BY57" s="2013">
        <v>0</v>
      </c>
      <c r="BZ57" s="2013">
        <v>500000</v>
      </c>
      <c r="CA57" s="108"/>
      <c r="CB57" s="881"/>
      <c r="CC57" s="881"/>
      <c r="CD57" s="881"/>
      <c r="CE57" s="881"/>
      <c r="CF57" s="881"/>
      <c r="CG57" s="881"/>
      <c r="CH57" s="881"/>
      <c r="CI57" s="881"/>
    </row>
    <row r="58" spans="1:87" s="153" customFormat="1" ht="14" hidden="1" customHeight="1" outlineLevel="3" collapsed="1">
      <c r="A58" s="581"/>
      <c r="B58" s="400" t="s">
        <v>719</v>
      </c>
      <c r="C58" s="400"/>
      <c r="D58" s="536" t="s">
        <v>720</v>
      </c>
      <c r="E58"/>
      <c r="F58" s="992">
        <v>0</v>
      </c>
      <c r="G58" s="992">
        <v>0</v>
      </c>
      <c r="H58" s="992">
        <v>0</v>
      </c>
      <c r="I58" s="992">
        <v>0</v>
      </c>
      <c r="J58" s="992">
        <v>0</v>
      </c>
      <c r="K58" s="992">
        <v>0</v>
      </c>
      <c r="L58" s="992">
        <v>0</v>
      </c>
      <c r="M58" s="992">
        <v>0</v>
      </c>
      <c r="N58" s="992">
        <v>0</v>
      </c>
      <c r="O58" s="992">
        <v>0</v>
      </c>
      <c r="P58" s="992">
        <v>0</v>
      </c>
      <c r="Q58"/>
      <c r="R58" s="992">
        <v>0</v>
      </c>
      <c r="S58" s="992">
        <v>0</v>
      </c>
      <c r="T58" s="992">
        <v>0</v>
      </c>
      <c r="U58" s="992">
        <v>0</v>
      </c>
      <c r="V58" s="992">
        <v>0</v>
      </c>
      <c r="W58" s="992">
        <v>0</v>
      </c>
      <c r="X58" s="992">
        <v>0</v>
      </c>
      <c r="Y58" s="992">
        <v>0</v>
      </c>
      <c r="Z58" s="992">
        <v>0</v>
      </c>
      <c r="AA58" s="992">
        <v>0</v>
      </c>
      <c r="AB58" s="992">
        <v>0</v>
      </c>
      <c r="AC58" s="992">
        <v>0</v>
      </c>
      <c r="AD58" s="992">
        <v>0</v>
      </c>
      <c r="AE58"/>
      <c r="AF58" s="992">
        <v>0</v>
      </c>
      <c r="AG58" s="992">
        <v>0</v>
      </c>
      <c r="AH58" s="992">
        <v>0</v>
      </c>
      <c r="AI58" s="992">
        <v>0</v>
      </c>
      <c r="AJ58" s="992">
        <v>0</v>
      </c>
      <c r="AK58" s="992">
        <v>0</v>
      </c>
      <c r="AL58" s="992">
        <v>85000</v>
      </c>
      <c r="AM58" s="992">
        <v>0</v>
      </c>
      <c r="AN58" s="992">
        <v>0</v>
      </c>
      <c r="AO58" s="992">
        <v>0</v>
      </c>
      <c r="AP58" s="992">
        <v>50000</v>
      </c>
      <c r="AQ58" s="992">
        <v>0</v>
      </c>
      <c r="AR58" s="992">
        <v>135000</v>
      </c>
      <c r="AS58"/>
      <c r="AT58" s="992">
        <v>0</v>
      </c>
      <c r="AU58" s="992">
        <v>0</v>
      </c>
      <c r="AV58" s="992">
        <v>50000</v>
      </c>
      <c r="AW58" s="992">
        <v>0</v>
      </c>
      <c r="AX58" s="992">
        <v>0</v>
      </c>
      <c r="AY58" s="992">
        <v>0</v>
      </c>
      <c r="AZ58" s="992">
        <v>50000</v>
      </c>
      <c r="BA58" s="992">
        <v>0</v>
      </c>
      <c r="BB58" s="992">
        <v>0</v>
      </c>
      <c r="BC58" s="992">
        <v>0</v>
      </c>
      <c r="BD58" s="992">
        <v>50000</v>
      </c>
      <c r="BE58" s="992">
        <v>0</v>
      </c>
      <c r="BF58" s="993">
        <v>150000</v>
      </c>
      <c r="BG58"/>
      <c r="BH58" s="992">
        <v>0</v>
      </c>
      <c r="BI58" s="992">
        <v>0</v>
      </c>
      <c r="BJ58" s="992">
        <v>50000</v>
      </c>
      <c r="BK58" s="992">
        <v>0</v>
      </c>
      <c r="BL58" s="992">
        <v>0</v>
      </c>
      <c r="BM58" s="992">
        <v>0</v>
      </c>
      <c r="BN58" s="992">
        <v>50000</v>
      </c>
      <c r="BO58" s="992">
        <v>0</v>
      </c>
      <c r="BP58" s="992">
        <v>0</v>
      </c>
      <c r="BQ58" s="992">
        <v>0</v>
      </c>
      <c r="BR58" s="992">
        <v>40000</v>
      </c>
      <c r="BS58" s="992">
        <v>0</v>
      </c>
      <c r="BT58" s="994">
        <v>140000</v>
      </c>
      <c r="BU58"/>
      <c r="BV58" s="992">
        <v>0</v>
      </c>
      <c r="BW58" s="992">
        <v>0</v>
      </c>
      <c r="BX58" s="992">
        <v>0</v>
      </c>
      <c r="BY58" s="994">
        <v>0</v>
      </c>
      <c r="BZ58" s="994">
        <v>425000</v>
      </c>
    </row>
    <row r="59" spans="1:87" s="881" customFormat="1" ht="27.5" hidden="1" customHeight="1" outlineLevel="4">
      <c r="A59" s="580"/>
      <c r="B59" s="107" t="s">
        <v>721</v>
      </c>
      <c r="C59" s="107"/>
      <c r="D59" s="935" t="s">
        <v>722</v>
      </c>
      <c r="E59"/>
      <c r="F59" s="986"/>
      <c r="G59" s="986"/>
      <c r="H59" s="986"/>
      <c r="I59" s="986"/>
      <c r="J59" s="986"/>
      <c r="K59" s="986"/>
      <c r="L59" s="986"/>
      <c r="M59" s="986"/>
      <c r="N59" s="986"/>
      <c r="O59" s="986"/>
      <c r="P59" s="2011">
        <v>0</v>
      </c>
      <c r="Q59"/>
      <c r="R59" s="986"/>
      <c r="S59" s="986"/>
      <c r="T59" s="986"/>
      <c r="U59" s="986"/>
      <c r="V59" s="986"/>
      <c r="W59" s="986"/>
      <c r="X59" s="986"/>
      <c r="Y59" s="986"/>
      <c r="Z59" s="986"/>
      <c r="AA59" s="986"/>
      <c r="AB59" s="986"/>
      <c r="AC59" s="986"/>
      <c r="AD59" s="2011">
        <v>0</v>
      </c>
      <c r="AE59"/>
      <c r="AF59" s="986"/>
      <c r="AG59" s="986"/>
      <c r="AH59" s="986"/>
      <c r="AI59" s="986"/>
      <c r="AJ59" s="986"/>
      <c r="AK59" s="986"/>
      <c r="AL59" s="986">
        <v>25000</v>
      </c>
      <c r="AM59" s="986"/>
      <c r="AN59" s="986"/>
      <c r="AO59" s="986"/>
      <c r="AP59" s="986"/>
      <c r="AQ59" s="986"/>
      <c r="AR59" s="2011">
        <v>25000</v>
      </c>
      <c r="AS59"/>
      <c r="AT59" s="986"/>
      <c r="AU59" s="986"/>
      <c r="AV59" s="986"/>
      <c r="AW59" s="986"/>
      <c r="AX59" s="986"/>
      <c r="AY59" s="986"/>
      <c r="AZ59" s="986"/>
      <c r="BA59" s="986"/>
      <c r="BB59" s="986"/>
      <c r="BC59" s="986"/>
      <c r="BD59" s="986"/>
      <c r="BE59" s="986"/>
      <c r="BF59" s="2014">
        <v>0</v>
      </c>
      <c r="BG59"/>
      <c r="BH59" s="986"/>
      <c r="BI59" s="986"/>
      <c r="BJ59" s="986"/>
      <c r="BK59" s="986"/>
      <c r="BL59" s="986"/>
      <c r="BM59" s="986"/>
      <c r="BN59" s="986"/>
      <c r="BO59" s="986"/>
      <c r="BP59" s="986"/>
      <c r="BQ59" s="986"/>
      <c r="BR59" s="986"/>
      <c r="BS59" s="986"/>
      <c r="BT59" s="995">
        <v>0</v>
      </c>
      <c r="BU59"/>
      <c r="BV59" s="986"/>
      <c r="BW59" s="986"/>
      <c r="BX59" s="986"/>
      <c r="BY59" s="995">
        <v>0</v>
      </c>
      <c r="BZ59" s="995">
        <v>25000</v>
      </c>
      <c r="CA59" s="108"/>
    </row>
    <row r="60" spans="1:87" s="881" customFormat="1" ht="41.5" hidden="1" customHeight="1" outlineLevel="4">
      <c r="A60" s="580"/>
      <c r="B60" s="107" t="s">
        <v>724</v>
      </c>
      <c r="C60" s="107" t="s">
        <v>1279</v>
      </c>
      <c r="D60" s="935" t="s">
        <v>725</v>
      </c>
      <c r="E60"/>
      <c r="F60" s="986"/>
      <c r="G60" s="986"/>
      <c r="H60" s="986"/>
      <c r="I60" s="986"/>
      <c r="J60" s="986"/>
      <c r="K60" s="986"/>
      <c r="L60" s="986"/>
      <c r="M60" s="986"/>
      <c r="N60" s="986"/>
      <c r="O60" s="986"/>
      <c r="P60" s="2011">
        <v>0</v>
      </c>
      <c r="Q60"/>
      <c r="R60" s="986"/>
      <c r="S60" s="986"/>
      <c r="T60" s="986"/>
      <c r="U60" s="986"/>
      <c r="V60" s="986"/>
      <c r="W60" s="986"/>
      <c r="X60" s="986"/>
      <c r="Y60" s="986"/>
      <c r="Z60" s="986"/>
      <c r="AA60" s="986"/>
      <c r="AB60" s="986"/>
      <c r="AC60" s="986"/>
      <c r="AD60" s="2011">
        <v>0</v>
      </c>
      <c r="AE60"/>
      <c r="AF60" s="1293"/>
      <c r="AG60" s="1293"/>
      <c r="AH60" s="1293"/>
      <c r="AI60" s="1293"/>
      <c r="AJ60" s="1293"/>
      <c r="AK60" s="1293"/>
      <c r="AL60" s="1293">
        <v>60000</v>
      </c>
      <c r="AM60" s="986"/>
      <c r="AN60" s="986"/>
      <c r="AO60" s="986"/>
      <c r="AP60" s="1293">
        <v>50000</v>
      </c>
      <c r="AQ60" s="986"/>
      <c r="AR60" s="2011">
        <v>110000</v>
      </c>
      <c r="AS60"/>
      <c r="AT60" s="986"/>
      <c r="AU60" s="986"/>
      <c r="AV60" s="1293">
        <v>50000</v>
      </c>
      <c r="AW60" s="986"/>
      <c r="AX60" s="986"/>
      <c r="AY60" s="986"/>
      <c r="AZ60" s="1293">
        <v>50000</v>
      </c>
      <c r="BA60" s="986"/>
      <c r="BB60" s="986"/>
      <c r="BC60" s="986"/>
      <c r="BD60" s="1293">
        <v>50000</v>
      </c>
      <c r="BE60" s="986"/>
      <c r="BF60" s="2011">
        <v>150000</v>
      </c>
      <c r="BG60"/>
      <c r="BH60" s="986"/>
      <c r="BI60" s="986"/>
      <c r="BJ60" s="1293">
        <v>50000</v>
      </c>
      <c r="BK60" s="986"/>
      <c r="BL60" s="986"/>
      <c r="BM60" s="986"/>
      <c r="BN60" s="1293">
        <v>50000</v>
      </c>
      <c r="BO60" s="986"/>
      <c r="BP60" s="986"/>
      <c r="BQ60" s="986"/>
      <c r="BR60" s="1293">
        <v>40000</v>
      </c>
      <c r="BS60" s="986"/>
      <c r="BT60" s="2011">
        <v>140000</v>
      </c>
      <c r="BU60"/>
      <c r="BV60" s="986"/>
      <c r="BW60" s="986"/>
      <c r="BX60" s="986"/>
      <c r="BY60" s="2011">
        <v>0</v>
      </c>
      <c r="BZ60" s="2011">
        <v>400000</v>
      </c>
      <c r="CA60" s="108"/>
    </row>
    <row r="61" spans="1:87" s="153" customFormat="1" ht="30.75" hidden="1" customHeight="1" outlineLevel="3" collapsed="1">
      <c r="A61" s="581"/>
      <c r="B61" s="400" t="s">
        <v>727</v>
      </c>
      <c r="C61" s="400"/>
      <c r="D61" s="536" t="s">
        <v>728</v>
      </c>
      <c r="E61"/>
      <c r="F61" s="992">
        <v>0</v>
      </c>
      <c r="G61" s="992">
        <v>0</v>
      </c>
      <c r="H61" s="992">
        <v>0</v>
      </c>
      <c r="I61" s="992">
        <v>0</v>
      </c>
      <c r="J61" s="992">
        <v>0</v>
      </c>
      <c r="K61" s="992">
        <v>0</v>
      </c>
      <c r="L61" s="992">
        <v>0</v>
      </c>
      <c r="M61" s="992">
        <v>0</v>
      </c>
      <c r="N61" s="992">
        <v>0</v>
      </c>
      <c r="O61" s="992">
        <v>0</v>
      </c>
      <c r="P61" s="992">
        <v>0</v>
      </c>
      <c r="Q61"/>
      <c r="R61" s="992">
        <v>0</v>
      </c>
      <c r="S61" s="992">
        <v>0</v>
      </c>
      <c r="T61" s="992">
        <v>0</v>
      </c>
      <c r="U61" s="992">
        <v>0</v>
      </c>
      <c r="V61" s="992">
        <v>0</v>
      </c>
      <c r="W61" s="992">
        <v>0</v>
      </c>
      <c r="X61" s="992">
        <v>0</v>
      </c>
      <c r="Y61" s="992">
        <v>0</v>
      </c>
      <c r="Z61" s="992">
        <v>0</v>
      </c>
      <c r="AA61" s="992">
        <v>0</v>
      </c>
      <c r="AB61" s="992">
        <v>0</v>
      </c>
      <c r="AC61" s="992">
        <v>0</v>
      </c>
      <c r="AD61" s="992">
        <v>0</v>
      </c>
      <c r="AE61"/>
      <c r="AF61" s="992">
        <v>0</v>
      </c>
      <c r="AG61" s="992">
        <v>0</v>
      </c>
      <c r="AH61" s="992">
        <v>0</v>
      </c>
      <c r="AI61" s="992">
        <v>0</v>
      </c>
      <c r="AJ61" s="992">
        <v>0</v>
      </c>
      <c r="AK61" s="992">
        <v>0</v>
      </c>
      <c r="AL61" s="992">
        <v>0</v>
      </c>
      <c r="AM61" s="992">
        <v>0</v>
      </c>
      <c r="AN61" s="992">
        <v>0</v>
      </c>
      <c r="AO61" s="992">
        <v>0</v>
      </c>
      <c r="AP61" s="992">
        <v>1275000</v>
      </c>
      <c r="AQ61" s="992">
        <v>0</v>
      </c>
      <c r="AR61" s="992">
        <v>1275000</v>
      </c>
      <c r="AS61"/>
      <c r="AT61" s="992">
        <v>0</v>
      </c>
      <c r="AU61" s="992">
        <v>765000</v>
      </c>
      <c r="AV61" s="992">
        <v>0</v>
      </c>
      <c r="AW61" s="992">
        <v>0</v>
      </c>
      <c r="AX61" s="992">
        <v>0</v>
      </c>
      <c r="AY61" s="992">
        <v>765000</v>
      </c>
      <c r="AZ61" s="992">
        <v>0</v>
      </c>
      <c r="BA61" s="992">
        <v>0</v>
      </c>
      <c r="BB61" s="992">
        <v>0</v>
      </c>
      <c r="BC61" s="992">
        <v>765000</v>
      </c>
      <c r="BD61" s="992">
        <v>0</v>
      </c>
      <c r="BE61" s="992">
        <v>0</v>
      </c>
      <c r="BF61" s="992">
        <v>2295000</v>
      </c>
      <c r="BG61"/>
      <c r="BH61" s="992">
        <v>0</v>
      </c>
      <c r="BI61" s="992">
        <v>765000</v>
      </c>
      <c r="BJ61" s="992">
        <v>0</v>
      </c>
      <c r="BK61" s="992">
        <v>0</v>
      </c>
      <c r="BL61" s="992">
        <v>0</v>
      </c>
      <c r="BM61" s="992">
        <v>765000</v>
      </c>
      <c r="BN61" s="992">
        <v>0</v>
      </c>
      <c r="BO61" s="992">
        <v>0</v>
      </c>
      <c r="BP61" s="992">
        <v>0</v>
      </c>
      <c r="BQ61" s="992">
        <v>0</v>
      </c>
      <c r="BR61" s="992">
        <v>0</v>
      </c>
      <c r="BS61" s="992">
        <v>0</v>
      </c>
      <c r="BT61" s="992">
        <v>1530000</v>
      </c>
      <c r="BU61"/>
      <c r="BV61" s="992">
        <v>0</v>
      </c>
      <c r="BW61" s="992">
        <v>0</v>
      </c>
      <c r="BX61" s="992">
        <v>0</v>
      </c>
      <c r="BY61" s="992">
        <v>0</v>
      </c>
      <c r="BZ61" s="992">
        <v>5100000</v>
      </c>
    </row>
    <row r="62" spans="1:87" s="881" customFormat="1" ht="41.5" hidden="1" customHeight="1" outlineLevel="4">
      <c r="A62" s="580"/>
      <c r="B62" s="107" t="s">
        <v>729</v>
      </c>
      <c r="C62" s="107"/>
      <c r="D62" s="935" t="s">
        <v>730</v>
      </c>
      <c r="E62"/>
      <c r="F62" s="996"/>
      <c r="G62" s="996"/>
      <c r="H62" s="996"/>
      <c r="I62" s="996"/>
      <c r="J62" s="996"/>
      <c r="K62" s="996"/>
      <c r="L62" s="996"/>
      <c r="M62" s="996"/>
      <c r="N62" s="996"/>
      <c r="O62" s="996"/>
      <c r="P62" s="996">
        <v>0</v>
      </c>
      <c r="Q62"/>
      <c r="R62" s="996"/>
      <c r="S62" s="996"/>
      <c r="T62" s="996"/>
      <c r="U62" s="996"/>
      <c r="V62" s="996"/>
      <c r="W62" s="996"/>
      <c r="X62" s="996"/>
      <c r="Y62" s="996"/>
      <c r="Z62" s="996"/>
      <c r="AA62" s="996"/>
      <c r="AB62" s="996"/>
      <c r="AC62" s="996"/>
      <c r="AD62" s="996">
        <v>0</v>
      </c>
      <c r="AE62"/>
      <c r="AF62" s="1001"/>
      <c r="AG62" s="1001"/>
      <c r="AH62" s="1001"/>
      <c r="AI62" s="1001"/>
      <c r="AJ62" s="1001"/>
      <c r="AK62" s="1001"/>
      <c r="AL62" s="1001"/>
      <c r="AM62" s="1001"/>
      <c r="AN62" s="1001"/>
      <c r="AO62" s="1001"/>
      <c r="AP62" s="1001">
        <v>950000</v>
      </c>
      <c r="AQ62" s="1001"/>
      <c r="AR62" s="996">
        <v>950000</v>
      </c>
      <c r="AS62"/>
      <c r="AT62" s="1001"/>
      <c r="AU62" s="1001">
        <v>570000</v>
      </c>
      <c r="AV62" s="1001"/>
      <c r="AW62" s="1001"/>
      <c r="AX62" s="1001"/>
      <c r="AY62" s="1001">
        <v>570000</v>
      </c>
      <c r="AZ62" s="1001"/>
      <c r="BA62" s="1001"/>
      <c r="BB62" s="1001"/>
      <c r="BC62" s="1001">
        <v>570000</v>
      </c>
      <c r="BD62" s="1001"/>
      <c r="BE62" s="1001"/>
      <c r="BF62" s="996">
        <v>1710000</v>
      </c>
      <c r="BG62"/>
      <c r="BH62" s="1001"/>
      <c r="BI62" s="1001">
        <v>570000</v>
      </c>
      <c r="BJ62" s="1001"/>
      <c r="BK62" s="1001"/>
      <c r="BL62" s="1001"/>
      <c r="BM62" s="1001">
        <v>570000</v>
      </c>
      <c r="BN62" s="1001"/>
      <c r="BO62" s="1001"/>
      <c r="BP62" s="1001"/>
      <c r="BQ62" s="1001"/>
      <c r="BR62" s="1001"/>
      <c r="BS62" s="1001"/>
      <c r="BT62" s="996">
        <v>1140000</v>
      </c>
      <c r="BU62"/>
      <c r="BV62" s="1001"/>
      <c r="BW62" s="1001"/>
      <c r="BX62" s="1001"/>
      <c r="BY62" s="996">
        <v>0</v>
      </c>
      <c r="BZ62" s="996">
        <v>3800000</v>
      </c>
      <c r="CA62" s="108"/>
    </row>
    <row r="63" spans="1:87" s="881" customFormat="1" ht="41.5" hidden="1" customHeight="1" outlineLevel="4">
      <c r="A63" s="580"/>
      <c r="B63" s="107" t="s">
        <v>731</v>
      </c>
      <c r="C63" s="107"/>
      <c r="D63" s="935" t="s">
        <v>732</v>
      </c>
      <c r="E63"/>
      <c r="F63" s="996"/>
      <c r="G63" s="996"/>
      <c r="H63" s="996"/>
      <c r="I63" s="996"/>
      <c r="J63" s="996"/>
      <c r="K63" s="996"/>
      <c r="L63" s="996"/>
      <c r="M63" s="996"/>
      <c r="N63" s="996"/>
      <c r="O63" s="996"/>
      <c r="P63" s="996">
        <v>0</v>
      </c>
      <c r="Q63"/>
      <c r="R63" s="996"/>
      <c r="S63" s="996"/>
      <c r="T63" s="996"/>
      <c r="U63" s="996"/>
      <c r="V63" s="996"/>
      <c r="W63" s="996"/>
      <c r="X63" s="996"/>
      <c r="Y63" s="996"/>
      <c r="Z63" s="996"/>
      <c r="AA63" s="996"/>
      <c r="AB63" s="996"/>
      <c r="AC63" s="996"/>
      <c r="AD63" s="996">
        <v>0</v>
      </c>
      <c r="AE63"/>
      <c r="AF63" s="1001"/>
      <c r="AG63" s="1001"/>
      <c r="AH63" s="1001"/>
      <c r="AI63" s="1001"/>
      <c r="AJ63" s="1001"/>
      <c r="AK63" s="1001"/>
      <c r="AL63" s="1001"/>
      <c r="AM63" s="1001"/>
      <c r="AN63" s="1001"/>
      <c r="AO63" s="1001"/>
      <c r="AP63" s="1001">
        <v>50000</v>
      </c>
      <c r="AQ63" s="1001"/>
      <c r="AR63" s="996">
        <v>50000</v>
      </c>
      <c r="AS63"/>
      <c r="AT63" s="1001"/>
      <c r="AU63" s="1001">
        <v>30000</v>
      </c>
      <c r="AV63" s="1001"/>
      <c r="AW63" s="1001"/>
      <c r="AX63" s="1001"/>
      <c r="AY63" s="1001">
        <v>30000</v>
      </c>
      <c r="AZ63" s="1001"/>
      <c r="BA63" s="1001"/>
      <c r="BB63" s="1001"/>
      <c r="BC63" s="1001">
        <v>30000</v>
      </c>
      <c r="BD63" s="1001"/>
      <c r="BE63" s="1001"/>
      <c r="BF63" s="996">
        <v>90000</v>
      </c>
      <c r="BG63"/>
      <c r="BH63" s="1001"/>
      <c r="BI63" s="1001">
        <v>30000</v>
      </c>
      <c r="BJ63" s="1001"/>
      <c r="BK63" s="1001"/>
      <c r="BL63" s="1001"/>
      <c r="BM63" s="1001">
        <v>30000</v>
      </c>
      <c r="BN63" s="1001"/>
      <c r="BO63" s="1001"/>
      <c r="BP63" s="1001"/>
      <c r="BQ63" s="1001"/>
      <c r="BR63" s="1001"/>
      <c r="BS63" s="1001"/>
      <c r="BT63" s="996">
        <v>60000</v>
      </c>
      <c r="BU63"/>
      <c r="BV63" s="1001"/>
      <c r="BW63" s="1001"/>
      <c r="BX63" s="1001"/>
      <c r="BY63" s="996">
        <v>0</v>
      </c>
      <c r="BZ63" s="996">
        <v>200000</v>
      </c>
      <c r="CA63" s="108"/>
    </row>
    <row r="64" spans="1:87" s="881" customFormat="1" ht="41.5" hidden="1" customHeight="1" outlineLevel="4">
      <c r="A64" s="580"/>
      <c r="B64" s="107" t="s">
        <v>733</v>
      </c>
      <c r="C64" s="107"/>
      <c r="D64" s="935" t="s">
        <v>734</v>
      </c>
      <c r="E64"/>
      <c r="F64" s="996"/>
      <c r="G64" s="996"/>
      <c r="H64" s="996"/>
      <c r="I64" s="996"/>
      <c r="J64" s="996"/>
      <c r="K64" s="996"/>
      <c r="L64" s="996"/>
      <c r="M64" s="996"/>
      <c r="N64" s="996"/>
      <c r="O64" s="996"/>
      <c r="P64" s="996">
        <v>0</v>
      </c>
      <c r="Q64"/>
      <c r="R64" s="996"/>
      <c r="S64" s="996"/>
      <c r="T64" s="996"/>
      <c r="U64" s="996"/>
      <c r="V64" s="996"/>
      <c r="W64" s="996"/>
      <c r="X64" s="996"/>
      <c r="Y64" s="996"/>
      <c r="Z64" s="996"/>
      <c r="AA64" s="996"/>
      <c r="AB64" s="996"/>
      <c r="AC64" s="996"/>
      <c r="AD64" s="996">
        <v>0</v>
      </c>
      <c r="AE64"/>
      <c r="AF64" s="1001"/>
      <c r="AG64" s="1001"/>
      <c r="AH64" s="1001"/>
      <c r="AI64" s="1001"/>
      <c r="AJ64" s="1001"/>
      <c r="AK64" s="1001"/>
      <c r="AL64" s="1001"/>
      <c r="AM64" s="1001"/>
      <c r="AN64" s="1001"/>
      <c r="AO64" s="1001"/>
      <c r="AP64" s="1001">
        <v>25000</v>
      </c>
      <c r="AQ64" s="1001"/>
      <c r="AR64" s="996">
        <v>25000</v>
      </c>
      <c r="AS64"/>
      <c r="AT64" s="1001"/>
      <c r="AU64" s="1001">
        <v>15000</v>
      </c>
      <c r="AV64" s="1001"/>
      <c r="AW64" s="1001"/>
      <c r="AX64" s="1001"/>
      <c r="AY64" s="1001">
        <v>15000</v>
      </c>
      <c r="AZ64" s="1001"/>
      <c r="BA64" s="1001"/>
      <c r="BB64" s="1001"/>
      <c r="BC64" s="1001">
        <v>15000</v>
      </c>
      <c r="BD64" s="1001"/>
      <c r="BE64" s="1001"/>
      <c r="BF64" s="996">
        <v>45000</v>
      </c>
      <c r="BG64"/>
      <c r="BH64" s="1001"/>
      <c r="BI64" s="1001">
        <v>15000</v>
      </c>
      <c r="BJ64" s="1001"/>
      <c r="BK64" s="1001"/>
      <c r="BL64" s="1001"/>
      <c r="BM64" s="1001">
        <v>15000</v>
      </c>
      <c r="BN64" s="1001"/>
      <c r="BO64" s="1001"/>
      <c r="BP64" s="1001"/>
      <c r="BQ64" s="1001"/>
      <c r="BR64" s="1001"/>
      <c r="BS64" s="1001"/>
      <c r="BT64" s="996">
        <v>30000</v>
      </c>
      <c r="BU64"/>
      <c r="BV64" s="1001"/>
      <c r="BW64" s="1001"/>
      <c r="BX64" s="1001"/>
      <c r="BY64" s="996">
        <v>0</v>
      </c>
      <c r="BZ64" s="996">
        <v>100000</v>
      </c>
      <c r="CA64" s="108"/>
    </row>
    <row r="65" spans="1:87" s="881" customFormat="1" ht="41.5" hidden="1" customHeight="1" outlineLevel="4">
      <c r="A65" s="580"/>
      <c r="B65" s="107" t="s">
        <v>735</v>
      </c>
      <c r="C65" s="107"/>
      <c r="D65" s="935" t="s">
        <v>736</v>
      </c>
      <c r="E65"/>
      <c r="F65" s="996"/>
      <c r="G65" s="996"/>
      <c r="H65" s="996"/>
      <c r="I65" s="996"/>
      <c r="J65" s="996"/>
      <c r="K65" s="996"/>
      <c r="L65" s="996"/>
      <c r="M65" s="996"/>
      <c r="N65" s="996"/>
      <c r="O65" s="996"/>
      <c r="P65" s="996">
        <v>0</v>
      </c>
      <c r="Q65"/>
      <c r="R65" s="996"/>
      <c r="S65" s="996"/>
      <c r="T65" s="996"/>
      <c r="U65" s="996"/>
      <c r="V65" s="996"/>
      <c r="W65" s="996"/>
      <c r="X65" s="996"/>
      <c r="Y65" s="996"/>
      <c r="Z65" s="996"/>
      <c r="AA65" s="996"/>
      <c r="AB65" s="996"/>
      <c r="AC65" s="996"/>
      <c r="AD65" s="996">
        <v>0</v>
      </c>
      <c r="AE65"/>
      <c r="AF65" s="1001"/>
      <c r="AG65" s="1001"/>
      <c r="AH65" s="1001"/>
      <c r="AI65" s="1001"/>
      <c r="AJ65" s="1001"/>
      <c r="AK65" s="1001"/>
      <c r="AL65" s="1001"/>
      <c r="AM65" s="1001"/>
      <c r="AN65" s="1001"/>
      <c r="AO65" s="1001"/>
      <c r="AP65" s="1001">
        <v>250000</v>
      </c>
      <c r="AQ65" s="1001"/>
      <c r="AR65" s="996">
        <v>250000</v>
      </c>
      <c r="AS65"/>
      <c r="AT65" s="1001"/>
      <c r="AU65" s="1001">
        <v>150000</v>
      </c>
      <c r="AV65" s="1001"/>
      <c r="AW65" s="1001"/>
      <c r="AX65" s="1001"/>
      <c r="AY65" s="1001">
        <v>150000</v>
      </c>
      <c r="AZ65" s="1001"/>
      <c r="BA65" s="1001"/>
      <c r="BB65" s="1001"/>
      <c r="BC65" s="1001">
        <v>150000</v>
      </c>
      <c r="BD65" s="1001"/>
      <c r="BE65" s="1001"/>
      <c r="BF65" s="996">
        <v>450000</v>
      </c>
      <c r="BG65"/>
      <c r="BH65" s="1001"/>
      <c r="BI65" s="1001">
        <v>150000</v>
      </c>
      <c r="BJ65" s="1001"/>
      <c r="BK65" s="1001"/>
      <c r="BL65" s="1001"/>
      <c r="BM65" s="1001">
        <v>150000</v>
      </c>
      <c r="BN65" s="1001"/>
      <c r="BO65" s="1001"/>
      <c r="BP65" s="1001"/>
      <c r="BQ65" s="1001"/>
      <c r="BR65" s="1001"/>
      <c r="BS65" s="1001"/>
      <c r="BT65" s="996">
        <v>300000</v>
      </c>
      <c r="BU65"/>
      <c r="BV65" s="1001"/>
      <c r="BW65" s="1001"/>
      <c r="BX65" s="1001"/>
      <c r="BY65" s="996">
        <v>0</v>
      </c>
      <c r="BZ65" s="996">
        <v>1000000</v>
      </c>
      <c r="CA65" s="108"/>
    </row>
    <row r="66" spans="1:87" s="153" customFormat="1" ht="39.5" hidden="1" customHeight="1" outlineLevel="3" collapsed="1">
      <c r="A66" s="581"/>
      <c r="B66" s="400" t="s">
        <v>737</v>
      </c>
      <c r="C66" s="400"/>
      <c r="D66" s="536" t="s">
        <v>738</v>
      </c>
      <c r="E66"/>
      <c r="F66" s="992">
        <v>0</v>
      </c>
      <c r="G66" s="992">
        <v>0</v>
      </c>
      <c r="H66" s="992">
        <v>0</v>
      </c>
      <c r="I66" s="992">
        <v>0</v>
      </c>
      <c r="J66" s="992">
        <v>0</v>
      </c>
      <c r="K66" s="992">
        <v>0</v>
      </c>
      <c r="L66" s="992">
        <v>0</v>
      </c>
      <c r="M66" s="992">
        <v>0</v>
      </c>
      <c r="N66" s="992">
        <v>0</v>
      </c>
      <c r="O66" s="992">
        <v>0</v>
      </c>
      <c r="P66" s="992">
        <v>0</v>
      </c>
      <c r="Q66"/>
      <c r="R66" s="992">
        <v>0</v>
      </c>
      <c r="S66" s="992">
        <v>0</v>
      </c>
      <c r="T66" s="992">
        <v>0</v>
      </c>
      <c r="U66" s="992">
        <v>0</v>
      </c>
      <c r="V66" s="992">
        <v>0</v>
      </c>
      <c r="W66" s="992">
        <v>0</v>
      </c>
      <c r="X66" s="992">
        <v>0</v>
      </c>
      <c r="Y66" s="992">
        <v>0</v>
      </c>
      <c r="Z66" s="992">
        <v>0</v>
      </c>
      <c r="AA66" s="992">
        <v>0</v>
      </c>
      <c r="AB66" s="992">
        <v>0</v>
      </c>
      <c r="AC66" s="992">
        <v>0</v>
      </c>
      <c r="AD66" s="992">
        <v>0</v>
      </c>
      <c r="AE66"/>
      <c r="AF66" s="992">
        <v>0</v>
      </c>
      <c r="AG66" s="992">
        <v>0</v>
      </c>
      <c r="AH66" s="992">
        <v>0</v>
      </c>
      <c r="AI66" s="992">
        <v>0</v>
      </c>
      <c r="AJ66" s="992">
        <v>0</v>
      </c>
      <c r="AK66" s="992">
        <v>0</v>
      </c>
      <c r="AL66" s="992">
        <v>0</v>
      </c>
      <c r="AM66" s="992">
        <v>0</v>
      </c>
      <c r="AN66" s="992">
        <v>0</v>
      </c>
      <c r="AO66" s="992">
        <v>0</v>
      </c>
      <c r="AP66" s="992">
        <v>350000</v>
      </c>
      <c r="AQ66" s="992">
        <v>0</v>
      </c>
      <c r="AR66" s="992">
        <v>350000</v>
      </c>
      <c r="AS66"/>
      <c r="AT66" s="992">
        <v>350000</v>
      </c>
      <c r="AU66" s="992">
        <v>225000</v>
      </c>
      <c r="AV66" s="992">
        <v>0</v>
      </c>
      <c r="AW66" s="992">
        <v>0</v>
      </c>
      <c r="AX66" s="992">
        <v>0</v>
      </c>
      <c r="AY66" s="992">
        <v>150000</v>
      </c>
      <c r="AZ66" s="992">
        <v>0</v>
      </c>
      <c r="BA66" s="992">
        <v>0</v>
      </c>
      <c r="BB66" s="992">
        <v>0</v>
      </c>
      <c r="BC66" s="992">
        <v>150000</v>
      </c>
      <c r="BD66" s="992">
        <v>0</v>
      </c>
      <c r="BE66" s="992">
        <v>0</v>
      </c>
      <c r="BF66" s="993">
        <v>875000</v>
      </c>
      <c r="BG66"/>
      <c r="BH66" s="992">
        <v>0</v>
      </c>
      <c r="BI66" s="992">
        <v>150000</v>
      </c>
      <c r="BJ66" s="992">
        <v>0</v>
      </c>
      <c r="BK66" s="992">
        <v>0</v>
      </c>
      <c r="BL66" s="992">
        <v>0</v>
      </c>
      <c r="BM66" s="992">
        <v>150000</v>
      </c>
      <c r="BN66" s="992">
        <v>0</v>
      </c>
      <c r="BO66" s="992">
        <v>350000</v>
      </c>
      <c r="BP66" s="992">
        <v>0</v>
      </c>
      <c r="BQ66" s="992">
        <v>525000</v>
      </c>
      <c r="BR66" s="992">
        <v>0</v>
      </c>
      <c r="BS66" s="992">
        <v>0</v>
      </c>
      <c r="BT66" s="994">
        <v>1175000</v>
      </c>
      <c r="BU66"/>
      <c r="BV66" s="992">
        <v>0</v>
      </c>
      <c r="BW66" s="992">
        <v>0</v>
      </c>
      <c r="BX66" s="992">
        <v>0</v>
      </c>
      <c r="BY66" s="994">
        <v>0</v>
      </c>
      <c r="BZ66" s="994">
        <v>2400000</v>
      </c>
    </row>
    <row r="67" spans="1:87" s="882" customFormat="1" ht="27.5" hidden="1" customHeight="1" outlineLevel="4">
      <c r="A67" s="580"/>
      <c r="B67" s="107" t="s">
        <v>739</v>
      </c>
      <c r="C67" s="107"/>
      <c r="D67" s="1266" t="s">
        <v>740</v>
      </c>
      <c r="E67"/>
      <c r="F67" s="986"/>
      <c r="G67" s="986"/>
      <c r="H67" s="986"/>
      <c r="I67" s="986"/>
      <c r="J67" s="986"/>
      <c r="K67" s="986"/>
      <c r="L67" s="986"/>
      <c r="M67" s="986"/>
      <c r="N67" s="986"/>
      <c r="O67" s="986"/>
      <c r="P67" s="2011">
        <v>0</v>
      </c>
      <c r="Q67"/>
      <c r="R67" s="986"/>
      <c r="S67" s="986"/>
      <c r="T67" s="986"/>
      <c r="U67" s="986"/>
      <c r="V67" s="986"/>
      <c r="W67" s="986"/>
      <c r="X67" s="986"/>
      <c r="Y67" s="986"/>
      <c r="Z67" s="986"/>
      <c r="AA67" s="986"/>
      <c r="AB67" s="986"/>
      <c r="AC67" s="986"/>
      <c r="AD67" s="2011">
        <v>0</v>
      </c>
      <c r="AE67"/>
      <c r="AF67" s="986"/>
      <c r="AG67" s="986"/>
      <c r="AH67" s="986"/>
      <c r="AI67" s="986"/>
      <c r="AJ67" s="986"/>
      <c r="AK67" s="986"/>
      <c r="AL67" s="986"/>
      <c r="AM67" s="986"/>
      <c r="AN67" s="986"/>
      <c r="AO67" s="986"/>
      <c r="AP67" s="986">
        <v>350000</v>
      </c>
      <c r="AQ67" s="986"/>
      <c r="AR67" s="2011">
        <v>350000</v>
      </c>
      <c r="AS67"/>
      <c r="AT67" s="986">
        <v>350000</v>
      </c>
      <c r="AU67" s="986"/>
      <c r="AV67" s="986"/>
      <c r="AW67" s="986"/>
      <c r="AX67" s="986"/>
      <c r="AY67" s="986"/>
      <c r="AZ67" s="986"/>
      <c r="BA67" s="986"/>
      <c r="BB67" s="986"/>
      <c r="BC67" s="986"/>
      <c r="BD67" s="986"/>
      <c r="BE67" s="986"/>
      <c r="BF67" s="2014">
        <v>350000</v>
      </c>
      <c r="BG67"/>
      <c r="BH67" s="986"/>
      <c r="BI67" s="986"/>
      <c r="BJ67" s="986"/>
      <c r="BK67" s="986"/>
      <c r="BL67" s="986"/>
      <c r="BM67" s="986"/>
      <c r="BN67" s="986"/>
      <c r="BO67" s="986">
        <v>350000</v>
      </c>
      <c r="BP67" s="986"/>
      <c r="BQ67" s="986">
        <v>350000</v>
      </c>
      <c r="BR67" s="986"/>
      <c r="BS67" s="986"/>
      <c r="BT67" s="2011">
        <v>700000</v>
      </c>
      <c r="BU67"/>
      <c r="BV67" s="986"/>
      <c r="BW67" s="986"/>
      <c r="BX67" s="986"/>
      <c r="BY67" s="2011">
        <v>0</v>
      </c>
      <c r="BZ67" s="2011">
        <v>1400000</v>
      </c>
      <c r="CA67" s="108"/>
      <c r="CB67" s="881"/>
      <c r="CC67" s="881"/>
      <c r="CD67" s="881"/>
      <c r="CE67" s="881"/>
      <c r="CF67" s="881"/>
      <c r="CG67" s="881"/>
      <c r="CH67" s="881"/>
      <c r="CI67" s="881"/>
    </row>
    <row r="68" spans="1:87" s="882" customFormat="1" ht="27.5" hidden="1" customHeight="1" outlineLevel="4">
      <c r="A68" s="580"/>
      <c r="B68" s="107" t="s">
        <v>741</v>
      </c>
      <c r="C68" s="107"/>
      <c r="D68" s="611" t="s">
        <v>742</v>
      </c>
      <c r="E68"/>
      <c r="F68" s="986"/>
      <c r="G68" s="986"/>
      <c r="H68" s="986"/>
      <c r="I68" s="986"/>
      <c r="J68" s="986"/>
      <c r="K68" s="986"/>
      <c r="L68" s="986"/>
      <c r="M68" s="986"/>
      <c r="N68" s="986"/>
      <c r="O68" s="986"/>
      <c r="P68" s="2011">
        <v>0</v>
      </c>
      <c r="Q68"/>
      <c r="R68" s="986"/>
      <c r="S68" s="986"/>
      <c r="T68" s="986"/>
      <c r="U68" s="986"/>
      <c r="V68" s="986"/>
      <c r="W68" s="986"/>
      <c r="X68" s="986"/>
      <c r="Y68" s="986"/>
      <c r="Z68" s="986"/>
      <c r="AA68" s="986"/>
      <c r="AB68" s="986"/>
      <c r="AC68" s="986"/>
      <c r="AD68" s="2011">
        <v>0</v>
      </c>
      <c r="AE68"/>
      <c r="AF68" s="986"/>
      <c r="AG68" s="986"/>
      <c r="AH68" s="986"/>
      <c r="AI68" s="986"/>
      <c r="AJ68" s="986"/>
      <c r="AK68" s="986"/>
      <c r="AL68" s="986"/>
      <c r="AM68" s="986"/>
      <c r="AN68" s="986"/>
      <c r="AO68" s="986"/>
      <c r="AP68" s="986"/>
      <c r="AQ68" s="986"/>
      <c r="AR68" s="2011">
        <v>0</v>
      </c>
      <c r="AS68"/>
      <c r="AT68" s="986"/>
      <c r="AU68" s="1001">
        <v>135000</v>
      </c>
      <c r="AV68" s="1001"/>
      <c r="AW68" s="1001"/>
      <c r="AX68" s="1001"/>
      <c r="AY68" s="1001">
        <v>90000</v>
      </c>
      <c r="AZ68" s="1001"/>
      <c r="BA68" s="1001"/>
      <c r="BB68" s="1001"/>
      <c r="BC68" s="1001">
        <v>90000</v>
      </c>
      <c r="BD68" s="1001"/>
      <c r="BE68" s="1001"/>
      <c r="BF68" s="2014">
        <v>315000</v>
      </c>
      <c r="BG68"/>
      <c r="BH68" s="986"/>
      <c r="BI68" s="1001">
        <v>90000</v>
      </c>
      <c r="BJ68" s="1001"/>
      <c r="BK68" s="1001"/>
      <c r="BL68" s="1001"/>
      <c r="BM68" s="1001">
        <v>90000</v>
      </c>
      <c r="BN68" s="1001"/>
      <c r="BO68" s="1001"/>
      <c r="BP68" s="1001"/>
      <c r="BQ68" s="1001">
        <v>105000</v>
      </c>
      <c r="BR68" s="1001"/>
      <c r="BS68" s="1001"/>
      <c r="BT68" s="2011">
        <v>285000</v>
      </c>
      <c r="BU68"/>
      <c r="BV68" s="986"/>
      <c r="BW68" s="986"/>
      <c r="BX68" s="986"/>
      <c r="BY68" s="2011">
        <v>0</v>
      </c>
      <c r="BZ68" s="2011">
        <v>600000</v>
      </c>
      <c r="CA68" s="108"/>
      <c r="CB68" s="881"/>
      <c r="CC68" s="881"/>
      <c r="CD68" s="881"/>
      <c r="CE68" s="881"/>
      <c r="CF68" s="881"/>
      <c r="CG68" s="881"/>
      <c r="CH68" s="881"/>
      <c r="CI68" s="881"/>
    </row>
    <row r="69" spans="1:87" s="882" customFormat="1" ht="27.5" hidden="1" customHeight="1" outlineLevel="4">
      <c r="A69" s="580"/>
      <c r="B69" s="107" t="s">
        <v>743</v>
      </c>
      <c r="C69" s="107"/>
      <c r="D69" s="611" t="s">
        <v>744</v>
      </c>
      <c r="E69"/>
      <c r="F69" s="986"/>
      <c r="G69" s="986"/>
      <c r="H69" s="986"/>
      <c r="I69" s="986"/>
      <c r="J69" s="986"/>
      <c r="K69" s="986"/>
      <c r="L69" s="986"/>
      <c r="M69" s="986"/>
      <c r="N69" s="986"/>
      <c r="O69" s="986"/>
      <c r="P69" s="2011">
        <v>0</v>
      </c>
      <c r="Q69"/>
      <c r="R69" s="986"/>
      <c r="S69" s="986"/>
      <c r="T69" s="986"/>
      <c r="U69" s="986"/>
      <c r="V69" s="986"/>
      <c r="W69" s="986"/>
      <c r="X69" s="986"/>
      <c r="Y69" s="986"/>
      <c r="Z69" s="986"/>
      <c r="AA69" s="986"/>
      <c r="AB69" s="986"/>
      <c r="AC69" s="986"/>
      <c r="AD69" s="2011">
        <v>0</v>
      </c>
      <c r="AE69"/>
      <c r="AF69" s="986"/>
      <c r="AG69" s="986"/>
      <c r="AH69" s="986"/>
      <c r="AI69" s="986"/>
      <c r="AJ69" s="986"/>
      <c r="AK69" s="986"/>
      <c r="AL69" s="986"/>
      <c r="AM69" s="986"/>
      <c r="AN69" s="986"/>
      <c r="AO69" s="986"/>
      <c r="AP69" s="986"/>
      <c r="AQ69" s="986"/>
      <c r="AR69" s="2011">
        <v>0</v>
      </c>
      <c r="AS69"/>
      <c r="AT69" s="986"/>
      <c r="AU69" s="1001">
        <v>22500</v>
      </c>
      <c r="AV69" s="1001"/>
      <c r="AW69" s="1001"/>
      <c r="AX69" s="1001"/>
      <c r="AY69" s="1001">
        <v>15000</v>
      </c>
      <c r="AZ69" s="1001"/>
      <c r="BA69" s="1001"/>
      <c r="BB69" s="1001"/>
      <c r="BC69" s="1001">
        <v>15000</v>
      </c>
      <c r="BD69" s="1001"/>
      <c r="BE69" s="1001"/>
      <c r="BF69" s="2014">
        <v>52500</v>
      </c>
      <c r="BG69"/>
      <c r="BH69" s="986"/>
      <c r="BI69" s="1001">
        <v>15000</v>
      </c>
      <c r="BJ69" s="1001"/>
      <c r="BK69" s="1001"/>
      <c r="BL69" s="1001"/>
      <c r="BM69" s="1001">
        <v>15000</v>
      </c>
      <c r="BN69" s="1001"/>
      <c r="BO69" s="1001"/>
      <c r="BP69" s="1001"/>
      <c r="BQ69" s="1001">
        <v>17500</v>
      </c>
      <c r="BR69" s="1001"/>
      <c r="BS69" s="1001"/>
      <c r="BT69" s="2011">
        <v>47500</v>
      </c>
      <c r="BU69"/>
      <c r="BV69" s="986"/>
      <c r="BW69" s="986"/>
      <c r="BX69" s="986"/>
      <c r="BY69" s="2011">
        <v>0</v>
      </c>
      <c r="BZ69" s="2011">
        <v>100000</v>
      </c>
      <c r="CA69" s="108"/>
      <c r="CB69" s="881"/>
      <c r="CC69" s="881"/>
      <c r="CD69" s="881"/>
      <c r="CE69" s="881"/>
      <c r="CF69" s="881"/>
      <c r="CG69" s="881"/>
      <c r="CH69" s="881"/>
      <c r="CI69" s="881"/>
    </row>
    <row r="70" spans="1:87" s="882" customFormat="1" ht="27.5" hidden="1" customHeight="1" outlineLevel="4">
      <c r="A70" s="580"/>
      <c r="B70" s="107" t="s">
        <v>745</v>
      </c>
      <c r="C70" s="107"/>
      <c r="D70" s="611" t="s">
        <v>746</v>
      </c>
      <c r="E70"/>
      <c r="F70" s="986"/>
      <c r="G70" s="986"/>
      <c r="H70" s="986"/>
      <c r="I70" s="986"/>
      <c r="J70" s="986"/>
      <c r="K70" s="986"/>
      <c r="L70" s="986"/>
      <c r="M70" s="986"/>
      <c r="N70" s="986"/>
      <c r="O70" s="986"/>
      <c r="P70" s="2011">
        <v>0</v>
      </c>
      <c r="Q70"/>
      <c r="R70" s="986"/>
      <c r="S70" s="986"/>
      <c r="T70" s="986"/>
      <c r="U70" s="986"/>
      <c r="V70" s="986"/>
      <c r="W70" s="986"/>
      <c r="X70" s="986"/>
      <c r="Y70" s="986"/>
      <c r="Z70" s="986"/>
      <c r="AA70" s="986"/>
      <c r="AB70" s="986"/>
      <c r="AC70" s="986"/>
      <c r="AD70" s="2011">
        <v>0</v>
      </c>
      <c r="AE70"/>
      <c r="AF70" s="986"/>
      <c r="AG70" s="986"/>
      <c r="AH70" s="986"/>
      <c r="AI70" s="986"/>
      <c r="AJ70" s="986"/>
      <c r="AK70" s="986"/>
      <c r="AL70" s="986"/>
      <c r="AM70" s="986"/>
      <c r="AN70" s="986"/>
      <c r="AO70" s="986"/>
      <c r="AP70" s="986"/>
      <c r="AQ70" s="986"/>
      <c r="AR70" s="2011">
        <v>0</v>
      </c>
      <c r="AS70"/>
      <c r="AT70" s="986"/>
      <c r="AU70" s="1001">
        <v>67500</v>
      </c>
      <c r="AV70" s="1001"/>
      <c r="AW70" s="1001"/>
      <c r="AX70" s="1001"/>
      <c r="AY70" s="1001">
        <v>45000</v>
      </c>
      <c r="AZ70" s="1001"/>
      <c r="BA70" s="1001"/>
      <c r="BB70" s="1001"/>
      <c r="BC70" s="1001">
        <v>45000</v>
      </c>
      <c r="BD70" s="1001"/>
      <c r="BE70" s="1001"/>
      <c r="BF70" s="2014">
        <v>157500</v>
      </c>
      <c r="BG70"/>
      <c r="BH70" s="986"/>
      <c r="BI70" s="1001">
        <v>45000</v>
      </c>
      <c r="BJ70" s="1001"/>
      <c r="BK70" s="1001"/>
      <c r="BL70" s="1001"/>
      <c r="BM70" s="1001">
        <v>45000</v>
      </c>
      <c r="BN70" s="1001"/>
      <c r="BO70" s="1001"/>
      <c r="BP70" s="1001"/>
      <c r="BQ70" s="1001">
        <v>52500</v>
      </c>
      <c r="BR70" s="1001"/>
      <c r="BS70" s="1001"/>
      <c r="BT70" s="2011">
        <v>142500</v>
      </c>
      <c r="BU70"/>
      <c r="BV70" s="986"/>
      <c r="BW70" s="986"/>
      <c r="BX70" s="986"/>
      <c r="BY70" s="2011">
        <v>0</v>
      </c>
      <c r="BZ70" s="2011">
        <v>300000</v>
      </c>
      <c r="CA70" s="108"/>
      <c r="CB70" s="881"/>
      <c r="CC70" s="881"/>
      <c r="CD70" s="881"/>
      <c r="CE70" s="881"/>
      <c r="CF70" s="881"/>
      <c r="CG70" s="881"/>
      <c r="CH70" s="881"/>
      <c r="CI70" s="881"/>
    </row>
    <row r="71" spans="1:87" s="153" customFormat="1" ht="14" hidden="1" customHeight="1" outlineLevel="3" collapsed="1">
      <c r="A71" s="581"/>
      <c r="B71" s="400" t="s">
        <v>747</v>
      </c>
      <c r="C71" s="400"/>
      <c r="D71" s="536" t="s">
        <v>748</v>
      </c>
      <c r="E71"/>
      <c r="F71" s="992">
        <v>0</v>
      </c>
      <c r="G71" s="992">
        <v>0</v>
      </c>
      <c r="H71" s="992">
        <v>0</v>
      </c>
      <c r="I71" s="992">
        <v>0</v>
      </c>
      <c r="J71" s="992">
        <v>0</v>
      </c>
      <c r="K71" s="992">
        <v>0</v>
      </c>
      <c r="L71" s="992">
        <v>0</v>
      </c>
      <c r="M71" s="992">
        <v>0</v>
      </c>
      <c r="N71" s="992">
        <v>0</v>
      </c>
      <c r="O71" s="992">
        <v>0</v>
      </c>
      <c r="P71" s="992">
        <v>0</v>
      </c>
      <c r="Q71"/>
      <c r="R71" s="992">
        <v>0</v>
      </c>
      <c r="S71" s="992">
        <v>0</v>
      </c>
      <c r="T71" s="992">
        <v>0</v>
      </c>
      <c r="U71" s="992">
        <v>0</v>
      </c>
      <c r="V71" s="992">
        <v>0</v>
      </c>
      <c r="W71" s="992">
        <v>0</v>
      </c>
      <c r="X71" s="992">
        <v>0</v>
      </c>
      <c r="Y71" s="992">
        <v>0</v>
      </c>
      <c r="Z71" s="992">
        <v>0</v>
      </c>
      <c r="AA71" s="992">
        <v>0</v>
      </c>
      <c r="AB71" s="992">
        <v>0</v>
      </c>
      <c r="AC71" s="992">
        <v>0</v>
      </c>
      <c r="AD71" s="992">
        <v>0</v>
      </c>
      <c r="AE71"/>
      <c r="AF71" s="992">
        <v>0</v>
      </c>
      <c r="AG71" s="992">
        <v>0</v>
      </c>
      <c r="AH71" s="992">
        <v>0</v>
      </c>
      <c r="AI71" s="992">
        <v>0</v>
      </c>
      <c r="AJ71" s="992">
        <v>0</v>
      </c>
      <c r="AK71" s="992">
        <v>0</v>
      </c>
      <c r="AL71" s="992">
        <v>0</v>
      </c>
      <c r="AM71" s="992">
        <v>0</v>
      </c>
      <c r="AN71" s="992">
        <v>0</v>
      </c>
      <c r="AO71" s="992">
        <v>0</v>
      </c>
      <c r="AP71" s="992">
        <v>0</v>
      </c>
      <c r="AQ71" s="992">
        <v>0</v>
      </c>
      <c r="AR71" s="992">
        <v>0</v>
      </c>
      <c r="AS71"/>
      <c r="AT71" s="992">
        <v>0</v>
      </c>
      <c r="AU71" s="992">
        <v>360000</v>
      </c>
      <c r="AV71" s="992">
        <v>250000</v>
      </c>
      <c r="AW71" s="992">
        <v>0</v>
      </c>
      <c r="AX71" s="992">
        <v>250000</v>
      </c>
      <c r="AY71" s="992">
        <v>240000</v>
      </c>
      <c r="AZ71" s="992">
        <v>0</v>
      </c>
      <c r="BA71" s="992">
        <v>0</v>
      </c>
      <c r="BB71" s="992">
        <v>0</v>
      </c>
      <c r="BC71" s="992">
        <v>240000</v>
      </c>
      <c r="BD71" s="992">
        <v>0</v>
      </c>
      <c r="BE71" s="992">
        <v>0</v>
      </c>
      <c r="BF71" s="993">
        <v>1340000</v>
      </c>
      <c r="BG71"/>
      <c r="BH71" s="992">
        <v>240000</v>
      </c>
      <c r="BI71" s="992">
        <v>0</v>
      </c>
      <c r="BJ71" s="992">
        <v>0</v>
      </c>
      <c r="BK71" s="992">
        <v>0</v>
      </c>
      <c r="BL71" s="992">
        <v>240000</v>
      </c>
      <c r="BM71" s="992">
        <v>0</v>
      </c>
      <c r="BN71" s="992">
        <v>0</v>
      </c>
      <c r="BO71" s="992">
        <v>0</v>
      </c>
      <c r="BP71" s="992">
        <v>280000</v>
      </c>
      <c r="BQ71" s="992">
        <v>0</v>
      </c>
      <c r="BR71" s="992">
        <v>0</v>
      </c>
      <c r="BS71" s="992">
        <v>0</v>
      </c>
      <c r="BT71" s="994">
        <v>760000</v>
      </c>
      <c r="BU71"/>
      <c r="BV71" s="992">
        <v>0</v>
      </c>
      <c r="BW71" s="992">
        <v>0</v>
      </c>
      <c r="BX71" s="992">
        <v>0</v>
      </c>
      <c r="BY71" s="994">
        <v>0</v>
      </c>
      <c r="BZ71" s="994">
        <v>2100000</v>
      </c>
    </row>
    <row r="72" spans="1:87" s="882" customFormat="1" ht="41.5" hidden="1" customHeight="1" outlineLevel="4">
      <c r="A72" s="580"/>
      <c r="B72" s="107" t="s">
        <v>749</v>
      </c>
      <c r="C72" s="107"/>
      <c r="D72" s="935" t="s">
        <v>750</v>
      </c>
      <c r="E72"/>
      <c r="F72" s="986"/>
      <c r="G72" s="986"/>
      <c r="H72" s="986"/>
      <c r="I72" s="986"/>
      <c r="J72" s="986"/>
      <c r="K72" s="986"/>
      <c r="L72" s="986"/>
      <c r="M72" s="986"/>
      <c r="N72" s="986"/>
      <c r="O72" s="986"/>
      <c r="P72" s="2011">
        <v>0</v>
      </c>
      <c r="Q72"/>
      <c r="R72" s="986"/>
      <c r="S72" s="986"/>
      <c r="T72" s="986"/>
      <c r="U72" s="986"/>
      <c r="V72" s="986"/>
      <c r="W72" s="986"/>
      <c r="X72" s="986"/>
      <c r="Y72" s="986"/>
      <c r="Z72" s="986"/>
      <c r="AA72" s="986"/>
      <c r="AB72" s="986"/>
      <c r="AC72" s="986"/>
      <c r="AD72" s="2011">
        <v>0</v>
      </c>
      <c r="AE72"/>
      <c r="AF72" s="986"/>
      <c r="AG72" s="986"/>
      <c r="AH72" s="986"/>
      <c r="AI72" s="986"/>
      <c r="AJ72" s="986"/>
      <c r="AK72" s="986"/>
      <c r="AL72" s="986"/>
      <c r="AM72" s="986"/>
      <c r="AN72" s="986"/>
      <c r="AO72" s="986"/>
      <c r="AP72" s="986"/>
      <c r="AQ72" s="986"/>
      <c r="AR72" s="2011">
        <v>0</v>
      </c>
      <c r="AS72"/>
      <c r="AT72" s="986"/>
      <c r="AU72" s="1001">
        <v>360000</v>
      </c>
      <c r="AV72" s="1001"/>
      <c r="AW72" s="1001"/>
      <c r="AX72" s="1001"/>
      <c r="AY72" s="1001">
        <v>240000</v>
      </c>
      <c r="AZ72" s="1001"/>
      <c r="BA72" s="1001"/>
      <c r="BB72" s="1001"/>
      <c r="BC72" s="1001">
        <v>240000</v>
      </c>
      <c r="BD72" s="1001"/>
      <c r="BE72" s="1001"/>
      <c r="BF72" s="996">
        <v>840000</v>
      </c>
      <c r="BG72"/>
      <c r="BH72" s="1001">
        <v>240000</v>
      </c>
      <c r="BI72" s="1001"/>
      <c r="BJ72" s="1001"/>
      <c r="BK72" s="1001"/>
      <c r="BL72" s="1001">
        <v>240000</v>
      </c>
      <c r="BM72" s="1001"/>
      <c r="BN72" s="1001"/>
      <c r="BO72" s="1001"/>
      <c r="BP72" s="1001">
        <v>280000</v>
      </c>
      <c r="BQ72" s="1001"/>
      <c r="BR72" s="1001"/>
      <c r="BS72" s="1001"/>
      <c r="BT72" s="996">
        <v>760000</v>
      </c>
      <c r="BU72"/>
      <c r="BV72" s="986"/>
      <c r="BW72" s="986"/>
      <c r="BX72" s="986"/>
      <c r="BY72" s="2014">
        <v>0</v>
      </c>
      <c r="BZ72" s="2014">
        <v>1600000</v>
      </c>
      <c r="CA72" s="108"/>
      <c r="CB72" s="881"/>
      <c r="CC72" s="881"/>
      <c r="CD72" s="881"/>
      <c r="CE72" s="881"/>
      <c r="CF72" s="881"/>
      <c r="CG72" s="881"/>
      <c r="CH72" s="881"/>
      <c r="CI72" s="881"/>
    </row>
    <row r="73" spans="1:87" s="882" customFormat="1" ht="41.5" hidden="1" customHeight="1" outlineLevel="4">
      <c r="A73" s="580"/>
      <c r="B73" s="107" t="s">
        <v>751</v>
      </c>
      <c r="C73" s="107"/>
      <c r="D73" s="935" t="s">
        <v>752</v>
      </c>
      <c r="E73"/>
      <c r="F73" s="986"/>
      <c r="G73" s="986"/>
      <c r="H73" s="986"/>
      <c r="I73" s="986"/>
      <c r="J73" s="986"/>
      <c r="K73" s="986"/>
      <c r="L73" s="986"/>
      <c r="M73" s="986"/>
      <c r="N73" s="986"/>
      <c r="O73" s="986"/>
      <c r="P73" s="2011">
        <v>0</v>
      </c>
      <c r="Q73"/>
      <c r="R73" s="986"/>
      <c r="S73" s="986"/>
      <c r="T73" s="986"/>
      <c r="U73" s="986"/>
      <c r="V73" s="986"/>
      <c r="W73" s="986"/>
      <c r="X73" s="986"/>
      <c r="Y73" s="986"/>
      <c r="Z73" s="986"/>
      <c r="AA73" s="986"/>
      <c r="AB73" s="986"/>
      <c r="AC73" s="986"/>
      <c r="AD73" s="2011">
        <v>0</v>
      </c>
      <c r="AE73"/>
      <c r="AF73" s="986"/>
      <c r="AG73" s="986"/>
      <c r="AH73" s="986"/>
      <c r="AI73" s="986"/>
      <c r="AJ73" s="986"/>
      <c r="AK73" s="986"/>
      <c r="AL73" s="986"/>
      <c r="AM73" s="986"/>
      <c r="AN73" s="986"/>
      <c r="AO73" s="986"/>
      <c r="AP73" s="986"/>
      <c r="AQ73" s="986"/>
      <c r="AR73" s="2011">
        <v>0</v>
      </c>
      <c r="AS73"/>
      <c r="AT73" s="986"/>
      <c r="AU73" s="986"/>
      <c r="AV73" s="986">
        <v>250000</v>
      </c>
      <c r="AW73" s="986"/>
      <c r="AX73" s="986">
        <v>250000</v>
      </c>
      <c r="AY73" s="986"/>
      <c r="AZ73" s="986"/>
      <c r="BA73" s="986"/>
      <c r="BB73" s="986"/>
      <c r="BC73" s="986"/>
      <c r="BD73" s="986"/>
      <c r="BE73" s="986"/>
      <c r="BF73" s="2014">
        <v>500000</v>
      </c>
      <c r="BG73"/>
      <c r="BH73" s="986"/>
      <c r="BI73" s="986"/>
      <c r="BJ73" s="986"/>
      <c r="BK73" s="986"/>
      <c r="BL73" s="986"/>
      <c r="BM73" s="986"/>
      <c r="BN73" s="986"/>
      <c r="BO73" s="986"/>
      <c r="BP73" s="986"/>
      <c r="BQ73" s="986"/>
      <c r="BR73" s="986"/>
      <c r="BS73" s="986"/>
      <c r="BT73" s="2014">
        <v>0</v>
      </c>
      <c r="BU73"/>
      <c r="BV73" s="986"/>
      <c r="BW73" s="986"/>
      <c r="BX73" s="986"/>
      <c r="BY73" s="2014">
        <v>0</v>
      </c>
      <c r="BZ73" s="2014">
        <v>500000</v>
      </c>
      <c r="CA73" s="108"/>
      <c r="CB73" s="881"/>
      <c r="CC73" s="881"/>
      <c r="CD73" s="881"/>
      <c r="CE73" s="881"/>
      <c r="CF73" s="881"/>
      <c r="CG73" s="881"/>
      <c r="CH73" s="881"/>
      <c r="CI73" s="881"/>
    </row>
    <row r="74" spans="1:87" s="153" customFormat="1" ht="23.5" hidden="1" customHeight="1" outlineLevel="3" collapsed="1">
      <c r="A74" s="581"/>
      <c r="B74" s="400" t="s">
        <v>753</v>
      </c>
      <c r="C74" s="400"/>
      <c r="D74" s="536" t="s">
        <v>754</v>
      </c>
      <c r="E74"/>
      <c r="F74" s="992">
        <v>0</v>
      </c>
      <c r="G74" s="992">
        <v>0</v>
      </c>
      <c r="H74" s="992">
        <v>0</v>
      </c>
      <c r="I74" s="992">
        <v>0</v>
      </c>
      <c r="J74" s="992">
        <v>0</v>
      </c>
      <c r="K74" s="992">
        <v>0</v>
      </c>
      <c r="L74" s="992">
        <v>0</v>
      </c>
      <c r="M74" s="992">
        <v>0</v>
      </c>
      <c r="N74" s="992">
        <v>0</v>
      </c>
      <c r="O74" s="992">
        <v>0</v>
      </c>
      <c r="P74" s="992">
        <v>0</v>
      </c>
      <c r="Q74"/>
      <c r="R74" s="992">
        <v>0</v>
      </c>
      <c r="S74" s="992">
        <v>0</v>
      </c>
      <c r="T74" s="992">
        <v>0</v>
      </c>
      <c r="U74" s="992">
        <v>0</v>
      </c>
      <c r="V74" s="992">
        <v>0</v>
      </c>
      <c r="W74" s="992">
        <v>0</v>
      </c>
      <c r="X74" s="992">
        <v>0</v>
      </c>
      <c r="Y74" s="992">
        <v>0</v>
      </c>
      <c r="Z74" s="992">
        <v>0</v>
      </c>
      <c r="AA74" s="992">
        <v>0</v>
      </c>
      <c r="AB74" s="992">
        <v>0</v>
      </c>
      <c r="AC74" s="992">
        <v>0</v>
      </c>
      <c r="AD74" s="992">
        <v>0</v>
      </c>
      <c r="AE74"/>
      <c r="AF74" s="992">
        <v>0</v>
      </c>
      <c r="AG74" s="992">
        <v>0</v>
      </c>
      <c r="AH74" s="992">
        <v>0</v>
      </c>
      <c r="AI74" s="992">
        <v>0</v>
      </c>
      <c r="AJ74" s="992">
        <v>0</v>
      </c>
      <c r="AK74" s="992">
        <v>0</v>
      </c>
      <c r="AL74" s="992">
        <v>0</v>
      </c>
      <c r="AM74" s="992">
        <v>0</v>
      </c>
      <c r="AN74" s="992">
        <v>0</v>
      </c>
      <c r="AO74" s="992">
        <v>0</v>
      </c>
      <c r="AP74" s="992">
        <v>0</v>
      </c>
      <c r="AQ74" s="992">
        <v>0</v>
      </c>
      <c r="AR74" s="992">
        <v>0</v>
      </c>
      <c r="AS74"/>
      <c r="AT74" s="992">
        <v>0</v>
      </c>
      <c r="AU74" s="992">
        <v>0</v>
      </c>
      <c r="AV74" s="992">
        <v>0</v>
      </c>
      <c r="AW74" s="992">
        <v>40000</v>
      </c>
      <c r="AX74" s="992">
        <v>0</v>
      </c>
      <c r="AY74" s="992">
        <v>0</v>
      </c>
      <c r="AZ74" s="992">
        <v>30000</v>
      </c>
      <c r="BA74" s="992">
        <v>0</v>
      </c>
      <c r="BB74" s="992">
        <v>0</v>
      </c>
      <c r="BC74" s="992">
        <v>90000</v>
      </c>
      <c r="BD74" s="992">
        <v>0</v>
      </c>
      <c r="BE74" s="992">
        <v>0</v>
      </c>
      <c r="BF74" s="993">
        <v>160000</v>
      </c>
      <c r="BG74"/>
      <c r="BH74" s="992">
        <v>80000</v>
      </c>
      <c r="BI74" s="992">
        <v>0</v>
      </c>
      <c r="BJ74" s="992">
        <v>0</v>
      </c>
      <c r="BK74" s="992">
        <v>80000</v>
      </c>
      <c r="BL74" s="992">
        <v>0</v>
      </c>
      <c r="BM74" s="992">
        <v>0</v>
      </c>
      <c r="BN74" s="992">
        <v>80000</v>
      </c>
      <c r="BO74" s="992">
        <v>0</v>
      </c>
      <c r="BP74" s="992">
        <v>0</v>
      </c>
      <c r="BQ74" s="992">
        <v>100000</v>
      </c>
      <c r="BR74" s="992">
        <v>0</v>
      </c>
      <c r="BS74" s="992">
        <v>0</v>
      </c>
      <c r="BT74" s="994">
        <v>340000</v>
      </c>
      <c r="BU74"/>
      <c r="BV74" s="992">
        <v>0</v>
      </c>
      <c r="BW74" s="992">
        <v>0</v>
      </c>
      <c r="BX74" s="992">
        <v>0</v>
      </c>
      <c r="BY74" s="994">
        <v>0</v>
      </c>
      <c r="BZ74" s="994">
        <v>500000</v>
      </c>
    </row>
    <row r="75" spans="1:87" s="882" customFormat="1" ht="27.5" hidden="1" customHeight="1" outlineLevel="4">
      <c r="A75" s="580"/>
      <c r="B75" s="107" t="s">
        <v>755</v>
      </c>
      <c r="C75" s="107"/>
      <c r="D75" s="935" t="s">
        <v>756</v>
      </c>
      <c r="E75"/>
      <c r="F75" s="986"/>
      <c r="G75" s="986"/>
      <c r="H75" s="986"/>
      <c r="I75" s="986"/>
      <c r="J75" s="986"/>
      <c r="K75" s="986"/>
      <c r="L75" s="986"/>
      <c r="M75" s="986"/>
      <c r="N75" s="986"/>
      <c r="O75" s="986"/>
      <c r="P75" s="2011">
        <v>0</v>
      </c>
      <c r="Q75"/>
      <c r="R75" s="986"/>
      <c r="S75" s="986"/>
      <c r="T75" s="986"/>
      <c r="U75" s="986"/>
      <c r="V75" s="986"/>
      <c r="W75" s="986"/>
      <c r="X75" s="986"/>
      <c r="Y75" s="986"/>
      <c r="Z75" s="986"/>
      <c r="AA75" s="986"/>
      <c r="AB75" s="986"/>
      <c r="AC75" s="986"/>
      <c r="AD75" s="2011">
        <v>0</v>
      </c>
      <c r="AE75"/>
      <c r="AF75" s="986"/>
      <c r="AG75" s="986"/>
      <c r="AH75" s="986"/>
      <c r="AI75" s="986"/>
      <c r="AJ75" s="986"/>
      <c r="AK75" s="986"/>
      <c r="AL75" s="986"/>
      <c r="AM75" s="986"/>
      <c r="AN75" s="986"/>
      <c r="AO75" s="986"/>
      <c r="AP75" s="986"/>
      <c r="AQ75" s="986"/>
      <c r="AR75" s="2011">
        <v>0</v>
      </c>
      <c r="AS75"/>
      <c r="AT75" s="986"/>
      <c r="AU75" s="1001"/>
      <c r="AV75" s="1001"/>
      <c r="AW75" s="1001">
        <v>40000</v>
      </c>
      <c r="AX75" s="1001"/>
      <c r="AY75" s="1001"/>
      <c r="AZ75" s="1001">
        <v>30000</v>
      </c>
      <c r="BA75" s="1001"/>
      <c r="BB75" s="1001"/>
      <c r="BC75" s="1001">
        <v>30000</v>
      </c>
      <c r="BD75" s="1001"/>
      <c r="BE75" s="1001"/>
      <c r="BF75" s="996">
        <v>100000</v>
      </c>
      <c r="BG75"/>
      <c r="BH75" s="1001"/>
      <c r="BI75" s="1001"/>
      <c r="BJ75" s="1001"/>
      <c r="BK75" s="1001"/>
      <c r="BL75" s="1001"/>
      <c r="BM75" s="1001"/>
      <c r="BN75" s="1001"/>
      <c r="BO75" s="1001"/>
      <c r="BP75" s="1001"/>
      <c r="BQ75" s="1001"/>
      <c r="BR75" s="1001"/>
      <c r="BS75" s="1001"/>
      <c r="BT75" s="2011">
        <v>0</v>
      </c>
      <c r="BU75"/>
      <c r="BV75" s="986"/>
      <c r="BW75" s="986"/>
      <c r="BX75" s="986"/>
      <c r="BY75" s="2011">
        <v>0</v>
      </c>
      <c r="BZ75" s="2011">
        <v>100000</v>
      </c>
      <c r="CA75" s="108"/>
      <c r="CB75" s="881"/>
      <c r="CC75" s="881"/>
      <c r="CD75" s="881"/>
      <c r="CE75" s="881"/>
      <c r="CF75" s="881"/>
      <c r="CG75" s="881"/>
      <c r="CH75" s="881"/>
      <c r="CI75" s="881"/>
    </row>
    <row r="76" spans="1:87" s="882" customFormat="1" ht="27.5" hidden="1" customHeight="1" outlineLevel="4">
      <c r="A76" s="580"/>
      <c r="B76" s="107" t="s">
        <v>757</v>
      </c>
      <c r="C76" s="107"/>
      <c r="D76" s="935" t="s">
        <v>758</v>
      </c>
      <c r="E76"/>
      <c r="F76" s="986"/>
      <c r="G76" s="986"/>
      <c r="H76" s="986"/>
      <c r="I76" s="986"/>
      <c r="J76" s="986"/>
      <c r="K76" s="986"/>
      <c r="L76" s="986"/>
      <c r="M76" s="986"/>
      <c r="N76" s="986"/>
      <c r="O76" s="986"/>
      <c r="P76" s="2011">
        <v>0</v>
      </c>
      <c r="Q76"/>
      <c r="R76" s="986"/>
      <c r="S76" s="986"/>
      <c r="T76" s="986"/>
      <c r="U76" s="986"/>
      <c r="V76" s="986"/>
      <c r="W76" s="986"/>
      <c r="X76" s="986"/>
      <c r="Y76" s="986"/>
      <c r="Z76" s="986"/>
      <c r="AA76" s="986"/>
      <c r="AB76" s="986"/>
      <c r="AC76" s="986"/>
      <c r="AD76" s="2011">
        <v>0</v>
      </c>
      <c r="AE76"/>
      <c r="AF76" s="986"/>
      <c r="AG76" s="986"/>
      <c r="AH76" s="986"/>
      <c r="AI76" s="986"/>
      <c r="AJ76" s="986"/>
      <c r="AK76" s="986"/>
      <c r="AL76" s="986"/>
      <c r="AM76" s="986"/>
      <c r="AN76" s="986"/>
      <c r="AO76" s="986"/>
      <c r="AP76" s="986"/>
      <c r="AQ76" s="986"/>
      <c r="AR76" s="2011">
        <v>0</v>
      </c>
      <c r="AS76"/>
      <c r="AT76" s="986"/>
      <c r="AU76" s="1001"/>
      <c r="AV76" s="1001"/>
      <c r="AW76" s="1001"/>
      <c r="AX76" s="1001"/>
      <c r="AY76" s="1001"/>
      <c r="AZ76" s="1001"/>
      <c r="BA76" s="1001"/>
      <c r="BB76" s="1001"/>
      <c r="BC76" s="1001">
        <v>60000</v>
      </c>
      <c r="BD76" s="1001"/>
      <c r="BE76" s="1001"/>
      <c r="BF76" s="996">
        <v>60000</v>
      </c>
      <c r="BG76"/>
      <c r="BH76" s="1001">
        <v>80000</v>
      </c>
      <c r="BI76" s="1001"/>
      <c r="BJ76" s="1001"/>
      <c r="BK76" s="1001">
        <v>80000</v>
      </c>
      <c r="BL76" s="1001"/>
      <c r="BM76" s="1001"/>
      <c r="BN76" s="1001">
        <v>80000</v>
      </c>
      <c r="BO76" s="1001"/>
      <c r="BP76" s="1001"/>
      <c r="BQ76" s="1001">
        <v>100000</v>
      </c>
      <c r="BR76" s="1001"/>
      <c r="BS76" s="1001"/>
      <c r="BT76" s="2011">
        <v>340000</v>
      </c>
      <c r="BU76"/>
      <c r="BV76" s="986"/>
      <c r="BW76" s="986"/>
      <c r="BX76" s="986"/>
      <c r="BY76" s="2011">
        <v>0</v>
      </c>
      <c r="BZ76" s="2011">
        <v>400000</v>
      </c>
      <c r="CA76" s="108"/>
      <c r="CB76" s="881"/>
      <c r="CC76" s="881"/>
      <c r="CD76" s="881"/>
      <c r="CE76" s="881"/>
      <c r="CF76" s="881"/>
      <c r="CG76" s="881"/>
      <c r="CH76" s="881"/>
      <c r="CI76" s="881"/>
    </row>
    <row r="77" spans="1:87" s="882" customFormat="1" ht="14" hidden="1" customHeight="1" outlineLevel="3" collapsed="1">
      <c r="A77" s="580"/>
      <c r="B77" s="107"/>
      <c r="C77" s="107"/>
      <c r="D77" s="935"/>
      <c r="E77"/>
      <c r="F77" s="986"/>
      <c r="G77" s="986"/>
      <c r="H77" s="986"/>
      <c r="I77" s="986"/>
      <c r="J77" s="986"/>
      <c r="K77" s="986"/>
      <c r="L77" s="986"/>
      <c r="M77" s="986"/>
      <c r="N77" s="986"/>
      <c r="O77" s="986"/>
      <c r="P77" s="2011">
        <v>0</v>
      </c>
      <c r="Q77"/>
      <c r="R77" s="986"/>
      <c r="S77" s="986"/>
      <c r="T77" s="986"/>
      <c r="U77" s="986"/>
      <c r="V77" s="986"/>
      <c r="W77" s="986"/>
      <c r="X77" s="986"/>
      <c r="Y77" s="986"/>
      <c r="Z77" s="986"/>
      <c r="AA77" s="986"/>
      <c r="AB77" s="986"/>
      <c r="AC77" s="986"/>
      <c r="AD77" s="2011">
        <v>0</v>
      </c>
      <c r="AE77"/>
      <c r="AF77" s="986"/>
      <c r="AG77" s="986"/>
      <c r="AH77" s="986"/>
      <c r="AI77" s="986"/>
      <c r="AJ77" s="986"/>
      <c r="AK77" s="986"/>
      <c r="AL77" s="986"/>
      <c r="AM77" s="986"/>
      <c r="AN77" s="986"/>
      <c r="AO77" s="986"/>
      <c r="AP77" s="986"/>
      <c r="AQ77" s="986"/>
      <c r="AR77" s="2011">
        <v>0</v>
      </c>
      <c r="AS77"/>
      <c r="AT77" s="986"/>
      <c r="AU77" s="986"/>
      <c r="AV77" s="986"/>
      <c r="AW77" s="986"/>
      <c r="AX77" s="986"/>
      <c r="AY77" s="986"/>
      <c r="AZ77" s="986"/>
      <c r="BA77" s="986"/>
      <c r="BB77" s="986"/>
      <c r="BC77" s="986"/>
      <c r="BD77" s="986"/>
      <c r="BE77" s="986"/>
      <c r="BF77" s="2014">
        <v>0</v>
      </c>
      <c r="BG77"/>
      <c r="BH77" s="986"/>
      <c r="BI77" s="986"/>
      <c r="BJ77" s="986"/>
      <c r="BK77" s="986"/>
      <c r="BL77" s="986"/>
      <c r="BM77" s="986"/>
      <c r="BN77" s="986"/>
      <c r="BO77" s="986"/>
      <c r="BP77" s="986"/>
      <c r="BQ77" s="986"/>
      <c r="BR77" s="986"/>
      <c r="BS77" s="986"/>
      <c r="BT77" s="1498">
        <v>0</v>
      </c>
      <c r="BU77"/>
      <c r="BV77" s="986"/>
      <c r="BW77" s="986"/>
      <c r="BX77" s="986"/>
      <c r="BY77" s="1498">
        <v>0</v>
      </c>
      <c r="BZ77" s="1498">
        <v>0</v>
      </c>
      <c r="CA77" s="108"/>
      <c r="CB77" s="881"/>
      <c r="CC77" s="881"/>
      <c r="CD77" s="881"/>
      <c r="CE77" s="881"/>
      <c r="CF77" s="881"/>
      <c r="CG77" s="881"/>
      <c r="CH77" s="881"/>
      <c r="CI77" s="881"/>
    </row>
    <row r="78" spans="1:87" s="153" customFormat="1" ht="35" customHeight="1" outlineLevel="2" collapsed="1">
      <c r="A78" s="172"/>
      <c r="B78" s="171" t="s">
        <v>507</v>
      </c>
      <c r="C78" s="171"/>
      <c r="D78" s="538" t="s">
        <v>21</v>
      </c>
      <c r="E78"/>
      <c r="F78" s="176">
        <v>0</v>
      </c>
      <c r="G78" s="176">
        <v>0</v>
      </c>
      <c r="H78" s="176">
        <v>0</v>
      </c>
      <c r="I78" s="176">
        <v>0</v>
      </c>
      <c r="J78" s="176">
        <v>0</v>
      </c>
      <c r="K78" s="176">
        <v>0</v>
      </c>
      <c r="L78" s="176">
        <v>0</v>
      </c>
      <c r="M78" s="176">
        <v>0</v>
      </c>
      <c r="N78" s="176">
        <v>0</v>
      </c>
      <c r="O78" s="176">
        <v>0</v>
      </c>
      <c r="P78" s="176">
        <v>0</v>
      </c>
      <c r="Q78"/>
      <c r="R78" s="176">
        <v>26500</v>
      </c>
      <c r="S78" s="176">
        <v>26500</v>
      </c>
      <c r="T78" s="176">
        <v>26500</v>
      </c>
      <c r="U78" s="176">
        <v>26500</v>
      </c>
      <c r="V78" s="176">
        <v>26500</v>
      </c>
      <c r="W78" s="176">
        <v>26500</v>
      </c>
      <c r="X78" s="176">
        <v>26500</v>
      </c>
      <c r="Y78" s="176">
        <v>26500</v>
      </c>
      <c r="Z78" s="176">
        <v>26500</v>
      </c>
      <c r="AA78" s="176">
        <v>26500</v>
      </c>
      <c r="AB78" s="176">
        <v>26500</v>
      </c>
      <c r="AC78" s="176">
        <v>26500</v>
      </c>
      <c r="AD78" s="176">
        <v>318000</v>
      </c>
      <c r="AE78"/>
      <c r="AF78" s="176">
        <v>26500</v>
      </c>
      <c r="AG78" s="176">
        <v>26500</v>
      </c>
      <c r="AH78" s="176">
        <v>26500</v>
      </c>
      <c r="AI78" s="176">
        <v>26500</v>
      </c>
      <c r="AJ78" s="176">
        <v>26500</v>
      </c>
      <c r="AK78" s="176">
        <v>784000</v>
      </c>
      <c r="AL78" s="176">
        <v>26500</v>
      </c>
      <c r="AM78" s="176">
        <v>784000</v>
      </c>
      <c r="AN78" s="176">
        <v>26500</v>
      </c>
      <c r="AO78" s="176">
        <v>26500</v>
      </c>
      <c r="AP78" s="176">
        <v>26500</v>
      </c>
      <c r="AQ78" s="176">
        <v>26500</v>
      </c>
      <c r="AR78" s="176">
        <v>1833000</v>
      </c>
      <c r="AS78"/>
      <c r="AT78" s="176">
        <v>9833.3333333333339</v>
      </c>
      <c r="AU78" s="176">
        <v>9833.3333333333339</v>
      </c>
      <c r="AV78" s="176">
        <v>9833.3333333333339</v>
      </c>
      <c r="AW78" s="176">
        <v>9833.3333333333339</v>
      </c>
      <c r="AX78" s="176">
        <v>9833.3333333333339</v>
      </c>
      <c r="AY78" s="176">
        <v>9833.3333333333339</v>
      </c>
      <c r="AZ78" s="176">
        <v>9833.3333333333339</v>
      </c>
      <c r="BA78" s="176">
        <v>9833.3333333333339</v>
      </c>
      <c r="BB78" s="176">
        <v>9833.3333333333339</v>
      </c>
      <c r="BC78" s="176">
        <v>9833.3333333333339</v>
      </c>
      <c r="BD78" s="176">
        <v>9833.3333333333339</v>
      </c>
      <c r="BE78" s="176">
        <v>9833.3333333333339</v>
      </c>
      <c r="BF78" s="176">
        <v>117999.99999999999</v>
      </c>
      <c r="BG78"/>
      <c r="BH78" s="176">
        <v>0</v>
      </c>
      <c r="BI78" s="176">
        <v>0</v>
      </c>
      <c r="BJ78" s="176">
        <v>0</v>
      </c>
      <c r="BK78" s="176">
        <v>0</v>
      </c>
      <c r="BL78" s="176">
        <v>0</v>
      </c>
      <c r="BM78" s="176">
        <v>0</v>
      </c>
      <c r="BN78" s="176">
        <v>0</v>
      </c>
      <c r="BO78" s="176">
        <v>0</v>
      </c>
      <c r="BP78" s="176">
        <v>0</v>
      </c>
      <c r="BQ78" s="176">
        <v>0</v>
      </c>
      <c r="BR78" s="176">
        <v>0</v>
      </c>
      <c r="BS78" s="176">
        <v>0</v>
      </c>
      <c r="BT78" s="176">
        <v>0</v>
      </c>
      <c r="BU78"/>
      <c r="BV78" s="176">
        <v>0</v>
      </c>
      <c r="BW78" s="176">
        <v>0</v>
      </c>
      <c r="BX78" s="176">
        <v>0</v>
      </c>
      <c r="BY78" s="176">
        <v>0</v>
      </c>
      <c r="BZ78" s="176">
        <v>2269000</v>
      </c>
    </row>
    <row r="79" spans="1:87" s="153" customFormat="1" ht="19.25" hidden="1" customHeight="1" outlineLevel="3">
      <c r="A79" s="581"/>
      <c r="B79" s="400" t="s">
        <v>809</v>
      </c>
      <c r="C79" s="400"/>
      <c r="D79" s="536" t="s">
        <v>2367</v>
      </c>
      <c r="E79"/>
      <c r="F79" s="398">
        <v>0</v>
      </c>
      <c r="G79" s="398">
        <v>0</v>
      </c>
      <c r="H79" s="398">
        <v>0</v>
      </c>
      <c r="I79" s="398">
        <v>0</v>
      </c>
      <c r="J79" s="398">
        <v>0</v>
      </c>
      <c r="K79" s="398">
        <v>0</v>
      </c>
      <c r="L79" s="398">
        <v>0</v>
      </c>
      <c r="M79" s="398">
        <v>0</v>
      </c>
      <c r="N79" s="398">
        <v>0</v>
      </c>
      <c r="O79" s="398">
        <v>0</v>
      </c>
      <c r="P79" s="992">
        <v>0</v>
      </c>
      <c r="Q79"/>
      <c r="R79" s="398">
        <v>26500</v>
      </c>
      <c r="S79" s="398">
        <v>26500</v>
      </c>
      <c r="T79" s="398">
        <v>26500</v>
      </c>
      <c r="U79" s="398">
        <v>26500</v>
      </c>
      <c r="V79" s="398">
        <v>26500</v>
      </c>
      <c r="W79" s="398">
        <v>26500</v>
      </c>
      <c r="X79" s="398">
        <v>26500</v>
      </c>
      <c r="Y79" s="398">
        <v>26500</v>
      </c>
      <c r="Z79" s="398">
        <v>26500</v>
      </c>
      <c r="AA79" s="398">
        <v>26500</v>
      </c>
      <c r="AB79" s="398">
        <v>26500</v>
      </c>
      <c r="AC79" s="398">
        <v>26500</v>
      </c>
      <c r="AD79" s="992">
        <v>318000</v>
      </c>
      <c r="AE79"/>
      <c r="AF79" s="398">
        <v>26500</v>
      </c>
      <c r="AG79" s="398">
        <v>26500</v>
      </c>
      <c r="AH79" s="398">
        <v>26500</v>
      </c>
      <c r="AI79" s="398">
        <v>26500</v>
      </c>
      <c r="AJ79" s="398">
        <v>26500</v>
      </c>
      <c r="AK79" s="398">
        <v>784000</v>
      </c>
      <c r="AL79" s="398">
        <v>26500</v>
      </c>
      <c r="AM79" s="398">
        <v>784000</v>
      </c>
      <c r="AN79" s="398">
        <v>26500</v>
      </c>
      <c r="AO79" s="398">
        <v>26500</v>
      </c>
      <c r="AP79" s="398">
        <v>26500</v>
      </c>
      <c r="AQ79" s="398">
        <v>26500</v>
      </c>
      <c r="AR79" s="992">
        <v>1833000</v>
      </c>
      <c r="AS79"/>
      <c r="AT79" s="398">
        <v>9833.3333333333339</v>
      </c>
      <c r="AU79" s="398">
        <v>9833.3333333333339</v>
      </c>
      <c r="AV79" s="398">
        <v>9833.3333333333339</v>
      </c>
      <c r="AW79" s="398">
        <v>9833.3333333333339</v>
      </c>
      <c r="AX79" s="398">
        <v>9833.3333333333339</v>
      </c>
      <c r="AY79" s="398">
        <v>9833.3333333333339</v>
      </c>
      <c r="AZ79" s="398">
        <v>9833.3333333333339</v>
      </c>
      <c r="BA79" s="398">
        <v>9833.3333333333339</v>
      </c>
      <c r="BB79" s="398">
        <v>9833.3333333333339</v>
      </c>
      <c r="BC79" s="398">
        <v>9833.3333333333339</v>
      </c>
      <c r="BD79" s="398">
        <v>9833.3333333333339</v>
      </c>
      <c r="BE79" s="398">
        <v>9833.3333333333339</v>
      </c>
      <c r="BF79" s="992">
        <v>117999.99999999999</v>
      </c>
      <c r="BG79"/>
      <c r="BH79" s="398">
        <v>0</v>
      </c>
      <c r="BI79" s="398">
        <v>0</v>
      </c>
      <c r="BJ79" s="398">
        <v>0</v>
      </c>
      <c r="BK79" s="398">
        <v>0</v>
      </c>
      <c r="BL79" s="398">
        <v>0</v>
      </c>
      <c r="BM79" s="398">
        <v>0</v>
      </c>
      <c r="BN79" s="398">
        <v>0</v>
      </c>
      <c r="BO79" s="398">
        <v>0</v>
      </c>
      <c r="BP79" s="398">
        <v>0</v>
      </c>
      <c r="BQ79" s="398">
        <v>0</v>
      </c>
      <c r="BR79" s="398">
        <v>0</v>
      </c>
      <c r="BS79" s="398">
        <v>0</v>
      </c>
      <c r="BT79" s="992">
        <v>0</v>
      </c>
      <c r="BU79"/>
      <c r="BV79" s="398">
        <v>0</v>
      </c>
      <c r="BW79" s="398">
        <v>0</v>
      </c>
      <c r="BX79" s="398">
        <v>0</v>
      </c>
      <c r="BY79" s="992">
        <v>0</v>
      </c>
      <c r="BZ79" s="992">
        <v>2269000</v>
      </c>
    </row>
    <row r="80" spans="1:87" s="108" customFormat="1" ht="36.5" hidden="1" customHeight="1" outlineLevel="3">
      <c r="A80" s="580"/>
      <c r="B80" s="702" t="s">
        <v>811</v>
      </c>
      <c r="C80" s="107" t="s">
        <v>1279</v>
      </c>
      <c r="D80" s="533" t="s">
        <v>2368</v>
      </c>
      <c r="E80"/>
      <c r="F80" s="1032">
        <v>0</v>
      </c>
      <c r="G80" s="1032">
        <v>0</v>
      </c>
      <c r="H80" s="1032">
        <v>0</v>
      </c>
      <c r="I80" s="1032">
        <v>0</v>
      </c>
      <c r="J80" s="1032">
        <v>0</v>
      </c>
      <c r="K80" s="1032">
        <v>0</v>
      </c>
      <c r="L80" s="1032">
        <v>0</v>
      </c>
      <c r="M80" s="1032">
        <v>0</v>
      </c>
      <c r="N80" s="1032">
        <v>0</v>
      </c>
      <c r="O80" s="1032">
        <v>0</v>
      </c>
      <c r="P80" s="2011">
        <v>0</v>
      </c>
      <c r="Q80"/>
      <c r="R80" s="1032">
        <v>26500</v>
      </c>
      <c r="S80" s="1032">
        <v>26500</v>
      </c>
      <c r="T80" s="1032">
        <v>26500</v>
      </c>
      <c r="U80" s="1032">
        <v>26500</v>
      </c>
      <c r="V80" s="1032">
        <v>26500</v>
      </c>
      <c r="W80" s="1032">
        <v>26500</v>
      </c>
      <c r="X80" s="1032">
        <v>26500</v>
      </c>
      <c r="Y80" s="1032">
        <v>26500</v>
      </c>
      <c r="Z80" s="1032">
        <v>26500</v>
      </c>
      <c r="AA80" s="1032">
        <v>26500</v>
      </c>
      <c r="AB80" s="1032">
        <v>26500</v>
      </c>
      <c r="AC80" s="1032">
        <v>26500</v>
      </c>
      <c r="AD80" s="2011">
        <v>318000</v>
      </c>
      <c r="AE80"/>
      <c r="AF80" s="1032">
        <v>26500</v>
      </c>
      <c r="AG80" s="1032">
        <v>26500</v>
      </c>
      <c r="AH80" s="1032">
        <v>26500</v>
      </c>
      <c r="AI80" s="1032">
        <v>26500</v>
      </c>
      <c r="AJ80" s="1032">
        <v>26500</v>
      </c>
      <c r="AK80" s="1032">
        <v>26500</v>
      </c>
      <c r="AL80" s="1032">
        <v>26500</v>
      </c>
      <c r="AM80" s="1032">
        <v>26500</v>
      </c>
      <c r="AN80" s="1032">
        <v>26500</v>
      </c>
      <c r="AO80" s="1032">
        <v>26500</v>
      </c>
      <c r="AP80" s="1032">
        <v>26500</v>
      </c>
      <c r="AQ80" s="1032">
        <v>26500</v>
      </c>
      <c r="AR80" s="2011">
        <v>318000</v>
      </c>
      <c r="AS80"/>
      <c r="AT80" s="1032">
        <v>9833.3333333333339</v>
      </c>
      <c r="AU80" s="1032">
        <v>9833.3333333333339</v>
      </c>
      <c r="AV80" s="1032">
        <v>9833.3333333333339</v>
      </c>
      <c r="AW80" s="1032">
        <v>9833.3333333333339</v>
      </c>
      <c r="AX80" s="1032">
        <v>9833.3333333333339</v>
      </c>
      <c r="AY80" s="1032">
        <v>9833.3333333333339</v>
      </c>
      <c r="AZ80" s="1032">
        <v>9833.3333333333339</v>
      </c>
      <c r="BA80" s="1032">
        <v>9833.3333333333339</v>
      </c>
      <c r="BB80" s="1032">
        <v>9833.3333333333339</v>
      </c>
      <c r="BC80" s="1032">
        <v>9833.3333333333339</v>
      </c>
      <c r="BD80" s="1032">
        <v>9833.3333333333339</v>
      </c>
      <c r="BE80" s="1032">
        <v>9833.3333333333339</v>
      </c>
      <c r="BF80" s="2011">
        <v>117999.99999999999</v>
      </c>
      <c r="BG80"/>
      <c r="BH80" s="1032">
        <v>0</v>
      </c>
      <c r="BI80" s="1032">
        <v>0</v>
      </c>
      <c r="BJ80" s="1032">
        <v>0</v>
      </c>
      <c r="BK80" s="1032">
        <v>0</v>
      </c>
      <c r="BL80" s="1032">
        <v>0</v>
      </c>
      <c r="BM80" s="1032">
        <v>0</v>
      </c>
      <c r="BN80" s="1032">
        <v>0</v>
      </c>
      <c r="BO80" s="1032">
        <v>0</v>
      </c>
      <c r="BP80" s="1032">
        <v>0</v>
      </c>
      <c r="BQ80" s="1032">
        <v>0</v>
      </c>
      <c r="BR80" s="1032">
        <v>0</v>
      </c>
      <c r="BS80" s="1032">
        <v>0</v>
      </c>
      <c r="BT80" s="2011">
        <v>0</v>
      </c>
      <c r="BU80"/>
      <c r="BV80" s="1032">
        <v>0</v>
      </c>
      <c r="BW80" s="1032">
        <v>0</v>
      </c>
      <c r="BX80" s="1032">
        <v>0</v>
      </c>
      <c r="BY80" s="2011">
        <v>0</v>
      </c>
      <c r="BZ80" s="2011">
        <v>754000</v>
      </c>
    </row>
    <row r="81" spans="1:87" s="108" customFormat="1" ht="23" hidden="1" customHeight="1" outlineLevel="4">
      <c r="A81" s="580"/>
      <c r="B81" s="702" t="s">
        <v>2369</v>
      </c>
      <c r="C81" s="107" t="s">
        <v>1279</v>
      </c>
      <c r="D81" s="703" t="s">
        <v>762</v>
      </c>
      <c r="E81"/>
      <c r="F81" s="986"/>
      <c r="G81" s="986"/>
      <c r="H81" s="986"/>
      <c r="I81" s="986"/>
      <c r="J81" s="986"/>
      <c r="K81" s="986"/>
      <c r="L81" s="986"/>
      <c r="M81" s="986"/>
      <c r="N81" s="986"/>
      <c r="O81" s="986"/>
      <c r="P81" s="2011">
        <v>0</v>
      </c>
      <c r="Q81"/>
      <c r="R81" s="986">
        <v>6166.666666666667</v>
      </c>
      <c r="S81" s="986">
        <v>6166.666666666667</v>
      </c>
      <c r="T81" s="986">
        <v>6166.666666666667</v>
      </c>
      <c r="U81" s="986">
        <v>6166.666666666667</v>
      </c>
      <c r="V81" s="986">
        <v>6166.666666666667</v>
      </c>
      <c r="W81" s="986">
        <v>6166.666666666667</v>
      </c>
      <c r="X81" s="986">
        <v>6166.666666666667</v>
      </c>
      <c r="Y81" s="986">
        <v>6166.666666666667</v>
      </c>
      <c r="Z81" s="986">
        <v>6166.666666666667</v>
      </c>
      <c r="AA81" s="986">
        <v>6166.666666666667</v>
      </c>
      <c r="AB81" s="986">
        <v>6166.666666666667</v>
      </c>
      <c r="AC81" s="986">
        <v>6166.666666666667</v>
      </c>
      <c r="AD81" s="2011">
        <v>74000</v>
      </c>
      <c r="AE81"/>
      <c r="AF81" s="986">
        <v>6166.666666666667</v>
      </c>
      <c r="AG81" s="986">
        <v>6166.666666666667</v>
      </c>
      <c r="AH81" s="986">
        <v>6166.666666666667</v>
      </c>
      <c r="AI81" s="986">
        <v>6166.666666666667</v>
      </c>
      <c r="AJ81" s="986">
        <v>6166.666666666667</v>
      </c>
      <c r="AK81" s="986">
        <v>6166.666666666667</v>
      </c>
      <c r="AL81" s="986">
        <v>6166.666666666667</v>
      </c>
      <c r="AM81" s="986">
        <v>6166.666666666667</v>
      </c>
      <c r="AN81" s="986">
        <v>6166.666666666667</v>
      </c>
      <c r="AO81" s="986">
        <v>6166.666666666667</v>
      </c>
      <c r="AP81" s="986">
        <v>6166.666666666667</v>
      </c>
      <c r="AQ81" s="986">
        <v>6166.666666666667</v>
      </c>
      <c r="AR81" s="2011">
        <v>74000</v>
      </c>
      <c r="AS81"/>
      <c r="AT81" s="986">
        <v>6166.666666666667</v>
      </c>
      <c r="AU81" s="986">
        <v>6166.666666666667</v>
      </c>
      <c r="AV81" s="986">
        <v>6166.666666666667</v>
      </c>
      <c r="AW81" s="986">
        <v>6166.666666666667</v>
      </c>
      <c r="AX81" s="986">
        <v>6166.666666666667</v>
      </c>
      <c r="AY81" s="986">
        <v>6166.666666666667</v>
      </c>
      <c r="AZ81" s="986">
        <v>6166.666666666667</v>
      </c>
      <c r="BA81" s="986">
        <v>6166.666666666667</v>
      </c>
      <c r="BB81" s="986">
        <v>6166.666666666667</v>
      </c>
      <c r="BC81" s="986">
        <v>6166.666666666667</v>
      </c>
      <c r="BD81" s="986">
        <v>6166.666666666667</v>
      </c>
      <c r="BE81" s="986">
        <v>6166.666666666667</v>
      </c>
      <c r="BF81" s="2011">
        <v>74000</v>
      </c>
      <c r="BG81"/>
      <c r="BH81" s="986"/>
      <c r="BI81" s="986"/>
      <c r="BJ81" s="986"/>
      <c r="BK81" s="986"/>
      <c r="BL81" s="986"/>
      <c r="BM81" s="986"/>
      <c r="BN81" s="986"/>
      <c r="BO81" s="986"/>
      <c r="BP81" s="986"/>
      <c r="BQ81" s="986"/>
      <c r="BR81" s="986"/>
      <c r="BS81" s="986"/>
      <c r="BT81" s="2011">
        <v>0</v>
      </c>
      <c r="BU81"/>
      <c r="BV81" s="986"/>
      <c r="BW81" s="986"/>
      <c r="BX81" s="986"/>
      <c r="BY81" s="2011">
        <v>0</v>
      </c>
      <c r="BZ81" s="2011">
        <v>222000</v>
      </c>
    </row>
    <row r="82" spans="1:87" s="108" customFormat="1" ht="23" hidden="1" customHeight="1" outlineLevel="4">
      <c r="A82" s="580"/>
      <c r="B82" s="702" t="s">
        <v>2370</v>
      </c>
      <c r="C82" s="107" t="s">
        <v>1279</v>
      </c>
      <c r="D82" s="703" t="s">
        <v>767</v>
      </c>
      <c r="E82"/>
      <c r="F82" s="986"/>
      <c r="G82" s="986"/>
      <c r="H82" s="986"/>
      <c r="I82" s="986"/>
      <c r="J82" s="986"/>
      <c r="K82" s="986"/>
      <c r="L82" s="986"/>
      <c r="M82" s="986"/>
      <c r="N82" s="986"/>
      <c r="O82" s="986"/>
      <c r="P82" s="2011">
        <v>0</v>
      </c>
      <c r="Q82"/>
      <c r="R82" s="986">
        <v>3666.6666666666665</v>
      </c>
      <c r="S82" s="986">
        <v>3666.6666666666665</v>
      </c>
      <c r="T82" s="986">
        <v>3666.6666666666665</v>
      </c>
      <c r="U82" s="986">
        <v>3666.6666666666665</v>
      </c>
      <c r="V82" s="986">
        <v>3666.6666666666665</v>
      </c>
      <c r="W82" s="986">
        <v>3666.6666666666665</v>
      </c>
      <c r="X82" s="986">
        <v>3666.6666666666665</v>
      </c>
      <c r="Y82" s="986">
        <v>3666.6666666666665</v>
      </c>
      <c r="Z82" s="986">
        <v>3666.6666666666665</v>
      </c>
      <c r="AA82" s="986">
        <v>3666.6666666666665</v>
      </c>
      <c r="AB82" s="986">
        <v>3666.6666666666665</v>
      </c>
      <c r="AC82" s="986">
        <v>3666.6666666666665</v>
      </c>
      <c r="AD82" s="2011">
        <v>43999.999999999993</v>
      </c>
      <c r="AE82"/>
      <c r="AF82" s="986">
        <v>3666.6666666666665</v>
      </c>
      <c r="AG82" s="986">
        <v>3666.6666666666665</v>
      </c>
      <c r="AH82" s="986">
        <v>3666.6666666666665</v>
      </c>
      <c r="AI82" s="986">
        <v>3666.6666666666665</v>
      </c>
      <c r="AJ82" s="986">
        <v>3666.6666666666665</v>
      </c>
      <c r="AK82" s="986">
        <v>3666.6666666666665</v>
      </c>
      <c r="AL82" s="986">
        <v>3666.6666666666665</v>
      </c>
      <c r="AM82" s="986">
        <v>3666.6666666666665</v>
      </c>
      <c r="AN82" s="986">
        <v>3666.6666666666665</v>
      </c>
      <c r="AO82" s="986">
        <v>3666.6666666666665</v>
      </c>
      <c r="AP82" s="986">
        <v>3666.6666666666665</v>
      </c>
      <c r="AQ82" s="986">
        <v>3666.6666666666665</v>
      </c>
      <c r="AR82" s="2011">
        <v>43999.999999999993</v>
      </c>
      <c r="AS82"/>
      <c r="AT82" s="986">
        <v>3666.6666666666665</v>
      </c>
      <c r="AU82" s="986">
        <v>3666.6666666666665</v>
      </c>
      <c r="AV82" s="986">
        <v>3666.6666666666665</v>
      </c>
      <c r="AW82" s="986">
        <v>3666.6666666666665</v>
      </c>
      <c r="AX82" s="986">
        <v>3666.6666666666665</v>
      </c>
      <c r="AY82" s="986">
        <v>3666.6666666666665</v>
      </c>
      <c r="AZ82" s="986">
        <v>3666.6666666666665</v>
      </c>
      <c r="BA82" s="986">
        <v>3666.6666666666665</v>
      </c>
      <c r="BB82" s="986">
        <v>3666.6666666666665</v>
      </c>
      <c r="BC82" s="986">
        <v>3666.6666666666665</v>
      </c>
      <c r="BD82" s="986">
        <v>3666.6666666666665</v>
      </c>
      <c r="BE82" s="986">
        <v>3666.6666666666665</v>
      </c>
      <c r="BF82" s="2011">
        <v>43999.999999999993</v>
      </c>
      <c r="BG82"/>
      <c r="BH82" s="986"/>
      <c r="BI82" s="986"/>
      <c r="BJ82" s="986"/>
      <c r="BK82" s="986"/>
      <c r="BL82" s="986"/>
      <c r="BM82" s="986"/>
      <c r="BN82" s="986"/>
      <c r="BO82" s="986"/>
      <c r="BP82" s="986"/>
      <c r="BQ82" s="986"/>
      <c r="BR82" s="986"/>
      <c r="BS82" s="986"/>
      <c r="BT82" s="2011">
        <v>0</v>
      </c>
      <c r="BU82"/>
      <c r="BV82" s="986"/>
      <c r="BW82" s="986"/>
      <c r="BX82" s="986"/>
      <c r="BY82" s="2011">
        <v>0</v>
      </c>
      <c r="BZ82" s="2011">
        <v>131999.99999999997</v>
      </c>
    </row>
    <row r="83" spans="1:87" s="108" customFormat="1" ht="23" hidden="1" customHeight="1" outlineLevel="4">
      <c r="A83" s="580"/>
      <c r="B83" s="702" t="s">
        <v>2371</v>
      </c>
      <c r="C83" s="107" t="s">
        <v>1279</v>
      </c>
      <c r="D83" s="703" t="s">
        <v>769</v>
      </c>
      <c r="E83"/>
      <c r="F83" s="986"/>
      <c r="G83" s="986"/>
      <c r="H83" s="986"/>
      <c r="I83" s="986"/>
      <c r="J83" s="986"/>
      <c r="K83" s="986"/>
      <c r="L83" s="986"/>
      <c r="M83" s="986"/>
      <c r="N83" s="986"/>
      <c r="O83" s="986"/>
      <c r="P83" s="2011">
        <v>0</v>
      </c>
      <c r="Q83"/>
      <c r="R83" s="986">
        <v>8333.3333333333339</v>
      </c>
      <c r="S83" s="986">
        <v>8333.3333333333339</v>
      </c>
      <c r="T83" s="986">
        <v>8333.3333333333339</v>
      </c>
      <c r="U83" s="986">
        <v>8333.3333333333339</v>
      </c>
      <c r="V83" s="986">
        <v>8333.3333333333339</v>
      </c>
      <c r="W83" s="986">
        <v>8333.3333333333339</v>
      </c>
      <c r="X83" s="986">
        <v>8333.3333333333339</v>
      </c>
      <c r="Y83" s="986">
        <v>8333.3333333333339</v>
      </c>
      <c r="Z83" s="986">
        <v>8333.3333333333339</v>
      </c>
      <c r="AA83" s="986">
        <v>8333.3333333333339</v>
      </c>
      <c r="AB83" s="986">
        <v>8333.3333333333339</v>
      </c>
      <c r="AC83" s="986">
        <v>8333.3333333333339</v>
      </c>
      <c r="AD83" s="2011">
        <v>99999.999999999985</v>
      </c>
      <c r="AE83"/>
      <c r="AF83" s="986">
        <v>8333.3333333333339</v>
      </c>
      <c r="AG83" s="986">
        <v>8333.3333333333339</v>
      </c>
      <c r="AH83" s="986">
        <v>8333.3333333333339</v>
      </c>
      <c r="AI83" s="986">
        <v>8333.3333333333339</v>
      </c>
      <c r="AJ83" s="986">
        <v>8333.3333333333339</v>
      </c>
      <c r="AK83" s="986">
        <v>8333.3333333333339</v>
      </c>
      <c r="AL83" s="986">
        <v>8333.3333333333339</v>
      </c>
      <c r="AM83" s="986">
        <v>8333.3333333333339</v>
      </c>
      <c r="AN83" s="986">
        <v>8333.3333333333339</v>
      </c>
      <c r="AO83" s="986">
        <v>8333.3333333333339</v>
      </c>
      <c r="AP83" s="986">
        <v>8333.3333333333339</v>
      </c>
      <c r="AQ83" s="986">
        <v>8333.3333333333339</v>
      </c>
      <c r="AR83" s="2011">
        <v>99999.999999999985</v>
      </c>
      <c r="AS83"/>
      <c r="AT83" s="986"/>
      <c r="AU83" s="986"/>
      <c r="AV83" s="986"/>
      <c r="AW83" s="986"/>
      <c r="AX83" s="986"/>
      <c r="AY83" s="986"/>
      <c r="AZ83" s="986"/>
      <c r="BA83" s="986"/>
      <c r="BB83" s="986"/>
      <c r="BC83" s="986"/>
      <c r="BD83" s="986"/>
      <c r="BE83" s="986"/>
      <c r="BF83" s="2011">
        <v>0</v>
      </c>
      <c r="BG83"/>
      <c r="BH83" s="986"/>
      <c r="BI83" s="986"/>
      <c r="BJ83" s="986"/>
      <c r="BK83" s="986"/>
      <c r="BL83" s="986"/>
      <c r="BM83" s="986"/>
      <c r="BN83" s="986"/>
      <c r="BO83" s="986"/>
      <c r="BP83" s="986"/>
      <c r="BQ83" s="986"/>
      <c r="BR83" s="986"/>
      <c r="BS83" s="986"/>
      <c r="BT83" s="2011">
        <v>0</v>
      </c>
      <c r="BU83"/>
      <c r="BV83" s="986"/>
      <c r="BW83" s="986"/>
      <c r="BX83" s="986"/>
      <c r="BY83" s="2011">
        <v>0</v>
      </c>
      <c r="BZ83" s="2011">
        <v>199999.99999999997</v>
      </c>
    </row>
    <row r="84" spans="1:87" s="108" customFormat="1" ht="23" hidden="1" customHeight="1" outlineLevel="4">
      <c r="A84" s="580"/>
      <c r="B84" s="702" t="s">
        <v>2372</v>
      </c>
      <c r="C84" s="107" t="s">
        <v>1279</v>
      </c>
      <c r="D84" s="703" t="s">
        <v>771</v>
      </c>
      <c r="E84"/>
      <c r="F84" s="986"/>
      <c r="G84" s="986"/>
      <c r="H84" s="986"/>
      <c r="I84" s="986"/>
      <c r="J84" s="986"/>
      <c r="K84" s="986"/>
      <c r="L84" s="986"/>
      <c r="M84" s="986"/>
      <c r="N84" s="986"/>
      <c r="O84" s="986"/>
      <c r="P84" s="2011">
        <v>0</v>
      </c>
      <c r="Q84"/>
      <c r="R84" s="986">
        <v>8333.3333333333339</v>
      </c>
      <c r="S84" s="986">
        <v>8333.3333333333339</v>
      </c>
      <c r="T84" s="986">
        <v>8333.3333333333339</v>
      </c>
      <c r="U84" s="986">
        <v>8333.3333333333339</v>
      </c>
      <c r="V84" s="986">
        <v>8333.3333333333339</v>
      </c>
      <c r="W84" s="986">
        <v>8333.3333333333339</v>
      </c>
      <c r="X84" s="986">
        <v>8333.3333333333339</v>
      </c>
      <c r="Y84" s="986">
        <v>8333.3333333333339</v>
      </c>
      <c r="Z84" s="986">
        <v>8333.3333333333339</v>
      </c>
      <c r="AA84" s="986">
        <v>8333.3333333333339</v>
      </c>
      <c r="AB84" s="986">
        <v>8333.3333333333339</v>
      </c>
      <c r="AC84" s="986">
        <v>8333.3333333333339</v>
      </c>
      <c r="AD84" s="2011">
        <v>99999.999999999985</v>
      </c>
      <c r="AE84"/>
      <c r="AF84" s="986">
        <v>8333.3333333333339</v>
      </c>
      <c r="AG84" s="986">
        <v>8333.3333333333339</v>
      </c>
      <c r="AH84" s="986">
        <v>8333.3333333333339</v>
      </c>
      <c r="AI84" s="986">
        <v>8333.3333333333339</v>
      </c>
      <c r="AJ84" s="986">
        <v>8333.3333333333339</v>
      </c>
      <c r="AK84" s="986">
        <v>8333.3333333333339</v>
      </c>
      <c r="AL84" s="986">
        <v>8333.3333333333339</v>
      </c>
      <c r="AM84" s="986">
        <v>8333.3333333333339</v>
      </c>
      <c r="AN84" s="986">
        <v>8333.3333333333339</v>
      </c>
      <c r="AO84" s="986">
        <v>8333.3333333333339</v>
      </c>
      <c r="AP84" s="986">
        <v>8333.3333333333339</v>
      </c>
      <c r="AQ84" s="986">
        <v>8333.3333333333339</v>
      </c>
      <c r="AR84" s="2011">
        <v>99999.999999999985</v>
      </c>
      <c r="AS84"/>
      <c r="AT84" s="986"/>
      <c r="AU84" s="986"/>
      <c r="AV84" s="986"/>
      <c r="AW84" s="986"/>
      <c r="AX84" s="986"/>
      <c r="AY84" s="986"/>
      <c r="AZ84" s="986"/>
      <c r="BA84" s="986"/>
      <c r="BB84" s="986"/>
      <c r="BC84" s="986"/>
      <c r="BD84" s="986"/>
      <c r="BE84" s="986"/>
      <c r="BF84" s="2011">
        <v>0</v>
      </c>
      <c r="BG84"/>
      <c r="BH84" s="986"/>
      <c r="BI84" s="986"/>
      <c r="BJ84" s="986"/>
      <c r="BK84" s="986"/>
      <c r="BL84" s="986"/>
      <c r="BM84" s="986"/>
      <c r="BN84" s="986"/>
      <c r="BO84" s="986"/>
      <c r="BP84" s="986"/>
      <c r="BQ84" s="986"/>
      <c r="BR84" s="986"/>
      <c r="BS84" s="986"/>
      <c r="BT84" s="2011">
        <v>0</v>
      </c>
      <c r="BU84"/>
      <c r="BV84" s="986"/>
      <c r="BW84" s="986"/>
      <c r="BX84" s="986"/>
      <c r="BY84" s="2011">
        <v>0</v>
      </c>
      <c r="BZ84" s="2011">
        <v>199999.99999999997</v>
      </c>
    </row>
    <row r="85" spans="1:87" s="108" customFormat="1" ht="36.5" hidden="1" customHeight="1" outlineLevel="3">
      <c r="A85" s="580"/>
      <c r="B85" s="702" t="s">
        <v>2373</v>
      </c>
      <c r="C85" s="107" t="s">
        <v>1279</v>
      </c>
      <c r="D85" s="533" t="s">
        <v>773</v>
      </c>
      <c r="E85"/>
      <c r="F85" s="986"/>
      <c r="G85" s="986"/>
      <c r="H85" s="986"/>
      <c r="I85" s="986"/>
      <c r="J85" s="986"/>
      <c r="K85" s="986"/>
      <c r="L85" s="986"/>
      <c r="M85" s="986"/>
      <c r="N85" s="986"/>
      <c r="O85" s="986"/>
      <c r="P85" s="2011">
        <v>0</v>
      </c>
      <c r="Q85"/>
      <c r="R85" s="986"/>
      <c r="S85" s="986"/>
      <c r="T85" s="986"/>
      <c r="U85" s="986"/>
      <c r="V85" s="986"/>
      <c r="W85" s="986"/>
      <c r="X85" s="986"/>
      <c r="Y85" s="986"/>
      <c r="Z85" s="986"/>
      <c r="AA85" s="986"/>
      <c r="AB85" s="986"/>
      <c r="AC85" s="986"/>
      <c r="AD85" s="2011">
        <v>0</v>
      </c>
      <c r="AE85"/>
      <c r="AF85" s="986"/>
      <c r="AG85" s="986"/>
      <c r="AH85" s="986"/>
      <c r="AI85" s="986"/>
      <c r="AJ85" s="986"/>
      <c r="AK85" s="986">
        <v>757500</v>
      </c>
      <c r="AL85" s="986"/>
      <c r="AM85" s="986">
        <v>757500</v>
      </c>
      <c r="AN85" s="986"/>
      <c r="AO85" s="986"/>
      <c r="AP85" s="986"/>
      <c r="AQ85" s="986"/>
      <c r="AR85" s="2011">
        <v>1515000</v>
      </c>
      <c r="AS85"/>
      <c r="AT85" s="986"/>
      <c r="AU85" s="986"/>
      <c r="AV85" s="986"/>
      <c r="AW85" s="986"/>
      <c r="AX85" s="986"/>
      <c r="AY85" s="986"/>
      <c r="AZ85" s="986"/>
      <c r="BA85" s="986"/>
      <c r="BB85" s="986"/>
      <c r="BC85" s="986"/>
      <c r="BD85" s="986"/>
      <c r="BE85" s="986"/>
      <c r="BF85" s="2011">
        <v>0</v>
      </c>
      <c r="BG85"/>
      <c r="BH85" s="986"/>
      <c r="BI85" s="986"/>
      <c r="BJ85" s="986"/>
      <c r="BK85" s="986"/>
      <c r="BL85" s="986"/>
      <c r="BM85" s="986"/>
      <c r="BN85" s="986"/>
      <c r="BO85" s="986"/>
      <c r="BP85" s="986"/>
      <c r="BQ85" s="986"/>
      <c r="BR85" s="986"/>
      <c r="BS85" s="986"/>
      <c r="BT85" s="2011">
        <v>0</v>
      </c>
      <c r="BU85"/>
      <c r="BV85" s="986"/>
      <c r="BW85" s="986"/>
      <c r="BX85" s="986"/>
      <c r="BY85" s="2011">
        <v>0</v>
      </c>
      <c r="BZ85" s="2011">
        <v>1515000</v>
      </c>
    </row>
    <row r="86" spans="1:87" s="2052" customFormat="1" ht="26" customHeight="1" outlineLevel="2" collapsed="1">
      <c r="A86" s="1529"/>
      <c r="B86" s="1934" t="s">
        <v>508</v>
      </c>
      <c r="C86" s="1934"/>
      <c r="D86" s="2049" t="s">
        <v>23</v>
      </c>
      <c r="E86"/>
      <c r="F86" s="2062">
        <v>0</v>
      </c>
      <c r="G86" s="2062">
        <v>0</v>
      </c>
      <c r="H86" s="2062">
        <v>0</v>
      </c>
      <c r="I86" s="2062">
        <v>0</v>
      </c>
      <c r="J86" s="2062">
        <v>0</v>
      </c>
      <c r="K86" s="2062">
        <v>0</v>
      </c>
      <c r="L86" s="2062">
        <v>0</v>
      </c>
      <c r="M86" s="2062">
        <v>0</v>
      </c>
      <c r="N86" s="2062">
        <v>0</v>
      </c>
      <c r="O86" s="2062">
        <v>6250</v>
      </c>
      <c r="P86" s="2062">
        <v>6250</v>
      </c>
      <c r="Q86"/>
      <c r="R86" s="2062">
        <v>6250</v>
      </c>
      <c r="S86" s="2062">
        <v>6250</v>
      </c>
      <c r="T86" s="2062">
        <v>6250</v>
      </c>
      <c r="U86" s="2062">
        <v>6250</v>
      </c>
      <c r="V86" s="2062">
        <v>106250</v>
      </c>
      <c r="W86" s="2062">
        <v>6250</v>
      </c>
      <c r="X86" s="2062">
        <v>114583.33333333333</v>
      </c>
      <c r="Y86" s="2062">
        <v>8333.3333333333339</v>
      </c>
      <c r="Z86" s="2062">
        <v>8333.3333333333339</v>
      </c>
      <c r="AA86" s="2062">
        <v>8333.3333333333339</v>
      </c>
      <c r="AB86" s="2062">
        <v>8333.3333333333339</v>
      </c>
      <c r="AC86" s="2062">
        <v>8333.3333333333339</v>
      </c>
      <c r="AD86" s="2063">
        <v>293749.99999999994</v>
      </c>
      <c r="AE86"/>
      <c r="AF86" s="2062">
        <v>8333.3333333333339</v>
      </c>
      <c r="AG86" s="2062">
        <v>8333.3333333333339</v>
      </c>
      <c r="AH86" s="2062">
        <v>8333.3333333333339</v>
      </c>
      <c r="AI86" s="2062">
        <v>8333.3333333333339</v>
      </c>
      <c r="AJ86" s="2062">
        <v>8333.3333333333339</v>
      </c>
      <c r="AK86" s="2062">
        <v>8333.3333333333339</v>
      </c>
      <c r="AL86" s="2062">
        <v>8333.3333333333339</v>
      </c>
      <c r="AM86" s="2062">
        <v>8333.3333333333339</v>
      </c>
      <c r="AN86" s="2062">
        <v>195833.33333333334</v>
      </c>
      <c r="AO86" s="2062">
        <v>8333.3333333333339</v>
      </c>
      <c r="AP86" s="2062">
        <v>8333.3333333333339</v>
      </c>
      <c r="AQ86" s="2062">
        <v>8333.3333333333339</v>
      </c>
      <c r="AR86" s="2063">
        <v>287499.99999999994</v>
      </c>
      <c r="AS86"/>
      <c r="AT86" s="2062">
        <v>158333.33333333334</v>
      </c>
      <c r="AU86" s="2062">
        <v>23333.333333333336</v>
      </c>
      <c r="AV86" s="2062">
        <v>8333.3333333333339</v>
      </c>
      <c r="AW86" s="2062">
        <v>8333.3333333333339</v>
      </c>
      <c r="AX86" s="2062">
        <v>158333.33333333334</v>
      </c>
      <c r="AY86" s="2062">
        <v>19583.333333333336</v>
      </c>
      <c r="AZ86" s="2062">
        <v>8333.3333333333339</v>
      </c>
      <c r="BA86" s="2062">
        <v>8333.3333333333339</v>
      </c>
      <c r="BB86" s="2062">
        <v>158333.33333333334</v>
      </c>
      <c r="BC86" s="2062">
        <v>19583.333333333336</v>
      </c>
      <c r="BD86" s="2062">
        <v>8333.3333333333339</v>
      </c>
      <c r="BE86" s="2062">
        <v>120833.33333333333</v>
      </c>
      <c r="BF86" s="2063">
        <v>700000.00000000012</v>
      </c>
      <c r="BG86"/>
      <c r="BH86" s="2062">
        <v>8333.3333333333339</v>
      </c>
      <c r="BI86" s="2062">
        <v>19583.333333333336</v>
      </c>
      <c r="BJ86" s="2062">
        <v>8333.3333333333339</v>
      </c>
      <c r="BK86" s="2062">
        <v>8333.3333333333339</v>
      </c>
      <c r="BL86" s="2062">
        <v>8333.3333333333339</v>
      </c>
      <c r="BM86" s="2062">
        <v>19583.333333333336</v>
      </c>
      <c r="BN86" s="2062">
        <v>8333.3333333333339</v>
      </c>
      <c r="BO86" s="2062">
        <v>8333.3333333333339</v>
      </c>
      <c r="BP86" s="2062">
        <v>8333.3333333333339</v>
      </c>
      <c r="BQ86" s="2062">
        <v>23333.333333333336</v>
      </c>
      <c r="BR86" s="2062">
        <v>8333.3333333333339</v>
      </c>
      <c r="BS86" s="2062">
        <v>8333.3333333333339</v>
      </c>
      <c r="BT86" s="2063">
        <v>137500</v>
      </c>
      <c r="BU86"/>
      <c r="BV86" s="2062">
        <v>8333.3333333333339</v>
      </c>
      <c r="BW86" s="2062">
        <v>8333.3333333333339</v>
      </c>
      <c r="BX86" s="2062">
        <v>33333.333333333336</v>
      </c>
      <c r="BY86" s="2063">
        <v>50000</v>
      </c>
      <c r="BZ86" s="2063">
        <v>1475000</v>
      </c>
      <c r="CA86" s="2050"/>
      <c r="CB86" s="2050"/>
      <c r="CC86" s="2050"/>
      <c r="CD86" s="2050"/>
      <c r="CE86" s="2050"/>
      <c r="CF86" s="2050"/>
      <c r="CG86" s="2050"/>
      <c r="CH86" s="2050"/>
      <c r="CI86" s="2050"/>
    </row>
    <row r="87" spans="1:87" s="2050" customFormat="1" ht="30.75" hidden="1" customHeight="1" outlineLevel="3">
      <c r="A87" s="2006"/>
      <c r="B87" s="2040" t="s">
        <v>834</v>
      </c>
      <c r="C87" s="2040"/>
      <c r="D87" s="2005" t="s">
        <v>789</v>
      </c>
      <c r="E87"/>
      <c r="F87" s="1458">
        <v>0</v>
      </c>
      <c r="G87" s="1458">
        <v>0</v>
      </c>
      <c r="H87" s="1458">
        <v>0</v>
      </c>
      <c r="I87" s="1458">
        <v>0</v>
      </c>
      <c r="J87" s="1458">
        <v>0</v>
      </c>
      <c r="K87" s="1458">
        <v>0</v>
      </c>
      <c r="L87" s="1458">
        <v>0</v>
      </c>
      <c r="M87" s="1458">
        <v>0</v>
      </c>
      <c r="N87" s="1458">
        <v>0</v>
      </c>
      <c r="O87" s="1458">
        <v>6250</v>
      </c>
      <c r="P87" s="2064">
        <v>6250</v>
      </c>
      <c r="Q87"/>
      <c r="R87" s="1458">
        <v>6250</v>
      </c>
      <c r="S87" s="1458">
        <v>6250</v>
      </c>
      <c r="T87" s="1458">
        <v>6250</v>
      </c>
      <c r="U87" s="1458">
        <v>6250</v>
      </c>
      <c r="V87" s="1458">
        <v>6250</v>
      </c>
      <c r="W87" s="1458">
        <v>6250</v>
      </c>
      <c r="X87" s="1458">
        <v>6250</v>
      </c>
      <c r="Y87" s="1458">
        <v>0</v>
      </c>
      <c r="Z87" s="1458">
        <v>0</v>
      </c>
      <c r="AA87" s="1458">
        <v>0</v>
      </c>
      <c r="AB87" s="1458">
        <v>0</v>
      </c>
      <c r="AC87" s="1458">
        <v>0</v>
      </c>
      <c r="AD87" s="2065">
        <v>43750</v>
      </c>
      <c r="AE87"/>
      <c r="AF87" s="1458">
        <v>0</v>
      </c>
      <c r="AG87" s="1458">
        <v>0</v>
      </c>
      <c r="AH87" s="1458">
        <v>0</v>
      </c>
      <c r="AI87" s="1458">
        <v>0</v>
      </c>
      <c r="AJ87" s="1458">
        <v>0</v>
      </c>
      <c r="AK87" s="1458">
        <v>0</v>
      </c>
      <c r="AL87" s="1458">
        <v>0</v>
      </c>
      <c r="AM87" s="1458">
        <v>0</v>
      </c>
      <c r="AN87" s="1458">
        <v>0</v>
      </c>
      <c r="AO87" s="1458">
        <v>0</v>
      </c>
      <c r="AP87" s="1458">
        <v>0</v>
      </c>
      <c r="AQ87" s="1458">
        <v>0</v>
      </c>
      <c r="AR87" s="2065">
        <v>0</v>
      </c>
      <c r="AS87"/>
      <c r="AT87" s="1458">
        <v>0</v>
      </c>
      <c r="AU87" s="1458">
        <v>0</v>
      </c>
      <c r="AV87" s="1458">
        <v>0</v>
      </c>
      <c r="AW87" s="1458">
        <v>0</v>
      </c>
      <c r="AX87" s="1458">
        <v>0</v>
      </c>
      <c r="AY87" s="1458">
        <v>0</v>
      </c>
      <c r="AZ87" s="1458">
        <v>0</v>
      </c>
      <c r="BA87" s="1458">
        <v>0</v>
      </c>
      <c r="BB87" s="1458">
        <v>0</v>
      </c>
      <c r="BC87" s="1458">
        <v>0</v>
      </c>
      <c r="BD87" s="1458">
        <v>0</v>
      </c>
      <c r="BE87" s="1458">
        <v>0</v>
      </c>
      <c r="BF87" s="2065">
        <v>0</v>
      </c>
      <c r="BG87"/>
      <c r="BH87" s="1458">
        <v>0</v>
      </c>
      <c r="BI87" s="1458">
        <v>0</v>
      </c>
      <c r="BJ87" s="1458">
        <v>0</v>
      </c>
      <c r="BK87" s="1458">
        <v>0</v>
      </c>
      <c r="BL87" s="1458">
        <v>0</v>
      </c>
      <c r="BM87" s="1458">
        <v>0</v>
      </c>
      <c r="BN87" s="1458">
        <v>0</v>
      </c>
      <c r="BO87" s="1458">
        <v>0</v>
      </c>
      <c r="BP87" s="1458">
        <v>0</v>
      </c>
      <c r="BQ87" s="1458">
        <v>0</v>
      </c>
      <c r="BR87" s="1458">
        <v>0</v>
      </c>
      <c r="BS87" s="1458">
        <v>0</v>
      </c>
      <c r="BT87" s="2065">
        <v>0</v>
      </c>
      <c r="BU87"/>
      <c r="BV87" s="1458">
        <v>0</v>
      </c>
      <c r="BW87" s="1458">
        <v>0</v>
      </c>
      <c r="BX87" s="1458">
        <v>0</v>
      </c>
      <c r="BY87" s="2065">
        <v>0</v>
      </c>
      <c r="BZ87" s="2065">
        <v>50000</v>
      </c>
    </row>
    <row r="88" spans="1:87" s="2055" customFormat="1" ht="51.5" hidden="1" customHeight="1" outlineLevel="4">
      <c r="A88" s="1835"/>
      <c r="B88" s="1849" t="s">
        <v>1358</v>
      </c>
      <c r="C88" s="1849" t="s">
        <v>1279</v>
      </c>
      <c r="D88" s="2053" t="s">
        <v>791</v>
      </c>
      <c r="E88"/>
      <c r="F88" s="2066"/>
      <c r="G88" s="2066"/>
      <c r="H88" s="2066"/>
      <c r="I88" s="2066"/>
      <c r="J88" s="2066"/>
      <c r="K88" s="2066"/>
      <c r="L88" s="2066"/>
      <c r="M88" s="2066"/>
      <c r="N88" s="2066"/>
      <c r="O88" s="2066">
        <v>6250</v>
      </c>
      <c r="P88" s="2067">
        <v>6250</v>
      </c>
      <c r="Q88"/>
      <c r="R88" s="2066">
        <v>6250</v>
      </c>
      <c r="S88" s="2066">
        <v>6250</v>
      </c>
      <c r="T88" s="2066">
        <v>6250</v>
      </c>
      <c r="U88" s="2066">
        <v>6250</v>
      </c>
      <c r="V88" s="2066">
        <v>6250</v>
      </c>
      <c r="W88" s="2066">
        <v>6250</v>
      </c>
      <c r="X88" s="2066">
        <v>6250</v>
      </c>
      <c r="Y88" s="2066"/>
      <c r="Z88" s="2066"/>
      <c r="AA88" s="2066"/>
      <c r="AB88" s="2066"/>
      <c r="AC88" s="2066"/>
      <c r="AD88" s="2068">
        <v>43750</v>
      </c>
      <c r="AE88"/>
      <c r="AF88" s="2066"/>
      <c r="AG88" s="2066"/>
      <c r="AH88" s="2066"/>
      <c r="AI88" s="2066"/>
      <c r="AJ88" s="2066"/>
      <c r="AK88" s="2066"/>
      <c r="AL88" s="2066"/>
      <c r="AM88" s="2066"/>
      <c r="AN88" s="2066"/>
      <c r="AO88" s="2066"/>
      <c r="AP88" s="2066"/>
      <c r="AQ88" s="2066"/>
      <c r="AR88" s="2068">
        <v>0</v>
      </c>
      <c r="AS88"/>
      <c r="AT88" s="2066"/>
      <c r="AU88" s="2066"/>
      <c r="AV88" s="2066"/>
      <c r="AW88" s="2066"/>
      <c r="AX88" s="2066"/>
      <c r="AY88" s="2066"/>
      <c r="AZ88" s="2066"/>
      <c r="BA88" s="2066"/>
      <c r="BB88" s="2066"/>
      <c r="BC88" s="2066"/>
      <c r="BD88" s="2066"/>
      <c r="BE88" s="2066"/>
      <c r="BF88" s="2068">
        <v>0</v>
      </c>
      <c r="BG88"/>
      <c r="BH88" s="2066"/>
      <c r="BI88" s="2066"/>
      <c r="BJ88" s="2066"/>
      <c r="BK88" s="2066"/>
      <c r="BL88" s="2066"/>
      <c r="BM88" s="2066"/>
      <c r="BN88" s="2066"/>
      <c r="BO88" s="2066"/>
      <c r="BP88" s="2066"/>
      <c r="BQ88" s="2066"/>
      <c r="BR88" s="2066"/>
      <c r="BS88" s="2066"/>
      <c r="BT88" s="2069">
        <v>0</v>
      </c>
      <c r="BU88"/>
      <c r="BV88" s="2066"/>
      <c r="BW88" s="2066"/>
      <c r="BX88" s="2066"/>
      <c r="BY88" s="2069">
        <v>0</v>
      </c>
      <c r="BZ88" s="2069">
        <v>50000</v>
      </c>
      <c r="CA88" s="2051"/>
      <c r="CB88" s="2054"/>
      <c r="CC88" s="2054"/>
      <c r="CD88" s="2054"/>
      <c r="CE88" s="2054"/>
      <c r="CF88" s="2054"/>
      <c r="CG88" s="2054"/>
      <c r="CH88" s="2054"/>
      <c r="CI88" s="2054"/>
    </row>
    <row r="89" spans="1:87" s="2050" customFormat="1" ht="30.75" hidden="1" customHeight="1" outlineLevel="3" collapsed="1">
      <c r="A89" s="2006"/>
      <c r="B89" s="2040" t="s">
        <v>839</v>
      </c>
      <c r="C89" s="2040"/>
      <c r="D89" s="2005" t="s">
        <v>793</v>
      </c>
      <c r="E89"/>
      <c r="F89" s="1458">
        <v>0</v>
      </c>
      <c r="G89" s="1458">
        <v>0</v>
      </c>
      <c r="H89" s="1458">
        <v>0</v>
      </c>
      <c r="I89" s="1458">
        <v>0</v>
      </c>
      <c r="J89" s="1458">
        <v>0</v>
      </c>
      <c r="K89" s="1458">
        <v>0</v>
      </c>
      <c r="L89" s="1458">
        <v>0</v>
      </c>
      <c r="M89" s="1458">
        <v>0</v>
      </c>
      <c r="N89" s="1458">
        <v>0</v>
      </c>
      <c r="O89" s="1458">
        <v>0</v>
      </c>
      <c r="P89" s="2064">
        <v>0</v>
      </c>
      <c r="Q89"/>
      <c r="R89" s="1458">
        <v>0</v>
      </c>
      <c r="S89" s="1458">
        <v>0</v>
      </c>
      <c r="T89" s="1458">
        <v>0</v>
      </c>
      <c r="U89" s="1458">
        <v>0</v>
      </c>
      <c r="V89" s="1458">
        <v>100000</v>
      </c>
      <c r="W89" s="1458">
        <v>0</v>
      </c>
      <c r="X89" s="1458">
        <v>108333.33333333333</v>
      </c>
      <c r="Y89" s="1458">
        <v>8333.3333333333339</v>
      </c>
      <c r="Z89" s="1458">
        <v>8333.3333333333339</v>
      </c>
      <c r="AA89" s="1458">
        <v>8333.3333333333339</v>
      </c>
      <c r="AB89" s="1458">
        <v>8333.3333333333339</v>
      </c>
      <c r="AC89" s="1458">
        <v>8333.3333333333339</v>
      </c>
      <c r="AD89" s="2065">
        <v>250000.00000000003</v>
      </c>
      <c r="AE89"/>
      <c r="AF89" s="1458">
        <v>8333.3333333333339</v>
      </c>
      <c r="AG89" s="1458">
        <v>8333.3333333333339</v>
      </c>
      <c r="AH89" s="1458">
        <v>8333.3333333333339</v>
      </c>
      <c r="AI89" s="1458">
        <v>8333.3333333333339</v>
      </c>
      <c r="AJ89" s="1458">
        <v>8333.3333333333339</v>
      </c>
      <c r="AK89" s="1458">
        <v>8333.3333333333339</v>
      </c>
      <c r="AL89" s="1458">
        <v>8333.3333333333339</v>
      </c>
      <c r="AM89" s="1458">
        <v>8333.3333333333339</v>
      </c>
      <c r="AN89" s="1458">
        <v>8333.3333333333339</v>
      </c>
      <c r="AO89" s="1458">
        <v>8333.3333333333339</v>
      </c>
      <c r="AP89" s="1458">
        <v>8333.3333333333339</v>
      </c>
      <c r="AQ89" s="1458">
        <v>8333.3333333333339</v>
      </c>
      <c r="AR89" s="2065">
        <v>99999.999999999985</v>
      </c>
      <c r="AS89"/>
      <c r="AT89" s="1458">
        <v>8333.3333333333339</v>
      </c>
      <c r="AU89" s="1458">
        <v>23333.333333333336</v>
      </c>
      <c r="AV89" s="1458">
        <v>8333.3333333333339</v>
      </c>
      <c r="AW89" s="1458">
        <v>8333.3333333333339</v>
      </c>
      <c r="AX89" s="1458">
        <v>8333.3333333333339</v>
      </c>
      <c r="AY89" s="1458">
        <v>19583.333333333336</v>
      </c>
      <c r="AZ89" s="1458">
        <v>8333.3333333333339</v>
      </c>
      <c r="BA89" s="1458">
        <v>8333.3333333333339</v>
      </c>
      <c r="BB89" s="1458">
        <v>8333.3333333333339</v>
      </c>
      <c r="BC89" s="1458">
        <v>19583.333333333336</v>
      </c>
      <c r="BD89" s="1458">
        <v>8333.3333333333339</v>
      </c>
      <c r="BE89" s="1458">
        <v>8333.3333333333339</v>
      </c>
      <c r="BF89" s="2065">
        <v>137500</v>
      </c>
      <c r="BG89"/>
      <c r="BH89" s="1458">
        <v>8333.3333333333339</v>
      </c>
      <c r="BI89" s="1458">
        <v>19583.333333333336</v>
      </c>
      <c r="BJ89" s="1458">
        <v>8333.3333333333339</v>
      </c>
      <c r="BK89" s="1458">
        <v>8333.3333333333339</v>
      </c>
      <c r="BL89" s="1458">
        <v>8333.3333333333339</v>
      </c>
      <c r="BM89" s="1458">
        <v>19583.333333333336</v>
      </c>
      <c r="BN89" s="1458">
        <v>8333.3333333333339</v>
      </c>
      <c r="BO89" s="1458">
        <v>8333.3333333333339</v>
      </c>
      <c r="BP89" s="1458">
        <v>8333.3333333333339</v>
      </c>
      <c r="BQ89" s="1458">
        <v>23333.333333333336</v>
      </c>
      <c r="BR89" s="1458">
        <v>8333.3333333333339</v>
      </c>
      <c r="BS89" s="1458">
        <v>8333.3333333333339</v>
      </c>
      <c r="BT89" s="2065">
        <v>137500</v>
      </c>
      <c r="BU89"/>
      <c r="BV89" s="1458">
        <v>8333.3333333333339</v>
      </c>
      <c r="BW89" s="1458">
        <v>8333.3333333333339</v>
      </c>
      <c r="BX89" s="1458">
        <v>33333.333333333336</v>
      </c>
      <c r="BY89" s="2065">
        <v>50000</v>
      </c>
      <c r="BZ89" s="2065">
        <v>675000</v>
      </c>
    </row>
    <row r="90" spans="1:87" s="2055" customFormat="1" ht="45" hidden="1" customHeight="1" outlineLevel="4">
      <c r="A90" s="1835"/>
      <c r="B90" s="1849" t="s">
        <v>841</v>
      </c>
      <c r="C90" s="1849" t="s">
        <v>1279</v>
      </c>
      <c r="D90" s="2053" t="s">
        <v>795</v>
      </c>
      <c r="E90"/>
      <c r="F90" s="619">
        <v>0</v>
      </c>
      <c r="G90" s="619">
        <v>0</v>
      </c>
      <c r="H90" s="619">
        <v>0</v>
      </c>
      <c r="I90" s="619">
        <v>0</v>
      </c>
      <c r="J90" s="619">
        <v>0</v>
      </c>
      <c r="K90" s="619">
        <v>0</v>
      </c>
      <c r="L90" s="619">
        <v>0</v>
      </c>
      <c r="M90" s="619">
        <v>0</v>
      </c>
      <c r="N90" s="619">
        <v>0</v>
      </c>
      <c r="O90" s="619">
        <v>0</v>
      </c>
      <c r="P90" s="2067">
        <v>0</v>
      </c>
      <c r="Q90"/>
      <c r="R90" s="619">
        <v>0</v>
      </c>
      <c r="S90" s="619">
        <v>0</v>
      </c>
      <c r="T90" s="619">
        <v>0</v>
      </c>
      <c r="U90" s="619">
        <v>0</v>
      </c>
      <c r="V90" s="619">
        <v>100000</v>
      </c>
      <c r="W90" s="619">
        <v>0</v>
      </c>
      <c r="X90" s="619">
        <v>108333.33333333333</v>
      </c>
      <c r="Y90" s="619">
        <v>8333.3333333333339</v>
      </c>
      <c r="Z90" s="619">
        <v>8333.3333333333339</v>
      </c>
      <c r="AA90" s="619">
        <v>8333.3333333333339</v>
      </c>
      <c r="AB90" s="619">
        <v>8333.3333333333339</v>
      </c>
      <c r="AC90" s="619">
        <v>8333.3333333333339</v>
      </c>
      <c r="AD90" s="2068">
        <v>250000.00000000003</v>
      </c>
      <c r="AE90"/>
      <c r="AF90" s="619">
        <v>8333.3333333333339</v>
      </c>
      <c r="AG90" s="619">
        <v>8333.3333333333339</v>
      </c>
      <c r="AH90" s="619">
        <v>8333.3333333333339</v>
      </c>
      <c r="AI90" s="619">
        <v>8333.3333333333339</v>
      </c>
      <c r="AJ90" s="619">
        <v>8333.3333333333339</v>
      </c>
      <c r="AK90" s="619">
        <v>8333.3333333333339</v>
      </c>
      <c r="AL90" s="619">
        <v>8333.3333333333339</v>
      </c>
      <c r="AM90" s="619">
        <v>8333.3333333333339</v>
      </c>
      <c r="AN90" s="619">
        <v>8333.3333333333339</v>
      </c>
      <c r="AO90" s="619">
        <v>8333.3333333333339</v>
      </c>
      <c r="AP90" s="619">
        <v>8333.3333333333339</v>
      </c>
      <c r="AQ90" s="619">
        <v>8333.3333333333339</v>
      </c>
      <c r="AR90" s="2068">
        <v>99999.999999999985</v>
      </c>
      <c r="AS90"/>
      <c r="AT90" s="619">
        <v>8333.3333333333339</v>
      </c>
      <c r="AU90" s="619">
        <v>8333.3333333333339</v>
      </c>
      <c r="AV90" s="619">
        <v>8333.3333333333339</v>
      </c>
      <c r="AW90" s="619">
        <v>8333.3333333333339</v>
      </c>
      <c r="AX90" s="619">
        <v>8333.3333333333339</v>
      </c>
      <c r="AY90" s="619">
        <v>8333.3333333333339</v>
      </c>
      <c r="AZ90" s="619">
        <v>8333.3333333333339</v>
      </c>
      <c r="BA90" s="619">
        <v>8333.3333333333339</v>
      </c>
      <c r="BB90" s="619">
        <v>8333.3333333333339</v>
      </c>
      <c r="BC90" s="619">
        <v>8333.3333333333339</v>
      </c>
      <c r="BD90" s="619">
        <v>8333.3333333333339</v>
      </c>
      <c r="BE90" s="619">
        <v>8333.3333333333339</v>
      </c>
      <c r="BF90" s="2068">
        <v>99999.999999999985</v>
      </c>
      <c r="BG90"/>
      <c r="BH90" s="619">
        <v>8333.3333333333339</v>
      </c>
      <c r="BI90" s="619">
        <v>8333.3333333333339</v>
      </c>
      <c r="BJ90" s="619">
        <v>8333.3333333333339</v>
      </c>
      <c r="BK90" s="619">
        <v>8333.3333333333339</v>
      </c>
      <c r="BL90" s="619">
        <v>8333.3333333333339</v>
      </c>
      <c r="BM90" s="619">
        <v>8333.3333333333339</v>
      </c>
      <c r="BN90" s="619">
        <v>8333.3333333333339</v>
      </c>
      <c r="BO90" s="619">
        <v>8333.3333333333339</v>
      </c>
      <c r="BP90" s="619">
        <v>8333.3333333333339</v>
      </c>
      <c r="BQ90" s="619">
        <v>8333.3333333333339</v>
      </c>
      <c r="BR90" s="619">
        <v>8333.3333333333339</v>
      </c>
      <c r="BS90" s="619">
        <v>8333.3333333333339</v>
      </c>
      <c r="BT90" s="2068">
        <v>99999.999999999985</v>
      </c>
      <c r="BU90"/>
      <c r="BV90" s="619">
        <v>8333.3333333333339</v>
      </c>
      <c r="BW90" s="619">
        <v>8333.3333333333339</v>
      </c>
      <c r="BX90" s="619">
        <v>33333.333333333336</v>
      </c>
      <c r="BY90" s="2068">
        <v>50000</v>
      </c>
      <c r="BZ90" s="2068">
        <v>600000</v>
      </c>
      <c r="CA90" s="2051"/>
      <c r="CB90" s="2054"/>
      <c r="CC90" s="2054"/>
      <c r="CD90" s="2054"/>
      <c r="CE90" s="2054"/>
      <c r="CF90" s="2054"/>
      <c r="CG90" s="2054"/>
      <c r="CH90" s="2054"/>
      <c r="CI90" s="2054"/>
    </row>
    <row r="91" spans="1:87" s="2055" customFormat="1" ht="32" hidden="1" customHeight="1" outlineLevel="4">
      <c r="A91" s="1835"/>
      <c r="B91" s="1849" t="s">
        <v>2374</v>
      </c>
      <c r="C91" s="1849" t="s">
        <v>1279</v>
      </c>
      <c r="D91" s="2120" t="s">
        <v>797</v>
      </c>
      <c r="E91"/>
      <c r="F91" s="2066"/>
      <c r="G91" s="2066"/>
      <c r="H91" s="2066"/>
      <c r="I91" s="2066"/>
      <c r="J91" s="2066"/>
      <c r="K91" s="2066"/>
      <c r="L91" s="2066"/>
      <c r="M91" s="2066"/>
      <c r="N91" s="2066"/>
      <c r="O91" s="2066"/>
      <c r="P91" s="2067">
        <v>0</v>
      </c>
      <c r="Q91"/>
      <c r="R91" s="2066"/>
      <c r="S91" s="2066"/>
      <c r="T91" s="2066"/>
      <c r="U91" s="2066"/>
      <c r="V91" s="2066"/>
      <c r="W91" s="2066"/>
      <c r="X91" s="2066">
        <v>2083.3333333333335</v>
      </c>
      <c r="Y91" s="2066">
        <v>2083.3333333333335</v>
      </c>
      <c r="Z91" s="2066">
        <v>2083.3333333333335</v>
      </c>
      <c r="AA91" s="2066">
        <v>2083.3333333333335</v>
      </c>
      <c r="AB91" s="2066">
        <v>2083.3333333333335</v>
      </c>
      <c r="AC91" s="2066">
        <v>2083.3333333333335</v>
      </c>
      <c r="AD91" s="2068">
        <v>12500.000000000002</v>
      </c>
      <c r="AE91"/>
      <c r="AF91" s="2066">
        <v>2083.3333333333335</v>
      </c>
      <c r="AG91" s="2066">
        <v>2083.3333333333335</v>
      </c>
      <c r="AH91" s="2066">
        <v>2083.3333333333335</v>
      </c>
      <c r="AI91" s="2066">
        <v>2083.3333333333335</v>
      </c>
      <c r="AJ91" s="2066">
        <v>2083.3333333333335</v>
      </c>
      <c r="AK91" s="2066">
        <v>2083.3333333333335</v>
      </c>
      <c r="AL91" s="2066">
        <v>2083.3333333333335</v>
      </c>
      <c r="AM91" s="2066">
        <v>2083.3333333333335</v>
      </c>
      <c r="AN91" s="2066">
        <v>2083.3333333333335</v>
      </c>
      <c r="AO91" s="2066">
        <v>2083.3333333333335</v>
      </c>
      <c r="AP91" s="2066">
        <v>2083.3333333333335</v>
      </c>
      <c r="AQ91" s="2066">
        <v>2083.3333333333335</v>
      </c>
      <c r="AR91" s="2068">
        <v>24999.999999999996</v>
      </c>
      <c r="AS91"/>
      <c r="AT91" s="2066">
        <v>2083.3333333333335</v>
      </c>
      <c r="AU91" s="2066">
        <v>2083.3333333333335</v>
      </c>
      <c r="AV91" s="2066">
        <v>2083.3333333333335</v>
      </c>
      <c r="AW91" s="2066">
        <v>2083.3333333333335</v>
      </c>
      <c r="AX91" s="2066">
        <v>2083.3333333333335</v>
      </c>
      <c r="AY91" s="2066">
        <v>2083.3333333333335</v>
      </c>
      <c r="AZ91" s="2066">
        <v>2083.3333333333335</v>
      </c>
      <c r="BA91" s="2066">
        <v>2083.3333333333335</v>
      </c>
      <c r="BB91" s="2066">
        <v>2083.3333333333335</v>
      </c>
      <c r="BC91" s="2066">
        <v>2083.3333333333335</v>
      </c>
      <c r="BD91" s="2066">
        <v>2083.3333333333335</v>
      </c>
      <c r="BE91" s="2066">
        <v>2083.3333333333335</v>
      </c>
      <c r="BF91" s="2068">
        <v>24999.999999999996</v>
      </c>
      <c r="BG91"/>
      <c r="BH91" s="2066">
        <v>2083.3333333333335</v>
      </c>
      <c r="BI91" s="2066">
        <v>2083.3333333333335</v>
      </c>
      <c r="BJ91" s="2066">
        <v>2083.3333333333335</v>
      </c>
      <c r="BK91" s="2066">
        <v>2083.3333333333335</v>
      </c>
      <c r="BL91" s="2066">
        <v>2083.3333333333335</v>
      </c>
      <c r="BM91" s="2066">
        <v>2083.3333333333335</v>
      </c>
      <c r="BN91" s="2066">
        <v>2083.3333333333335</v>
      </c>
      <c r="BO91" s="2066">
        <v>2083.3333333333335</v>
      </c>
      <c r="BP91" s="2066">
        <v>2083.3333333333335</v>
      </c>
      <c r="BQ91" s="2066">
        <v>2083.3333333333335</v>
      </c>
      <c r="BR91" s="2066">
        <v>2083.3333333333335</v>
      </c>
      <c r="BS91" s="2066">
        <v>2083.3333333333335</v>
      </c>
      <c r="BT91" s="2068">
        <v>24999.999999999996</v>
      </c>
      <c r="BU91"/>
      <c r="BV91" s="2066">
        <v>2083.3333333333335</v>
      </c>
      <c r="BW91" s="2066">
        <v>2083.3333333333335</v>
      </c>
      <c r="BX91" s="2066">
        <v>8333.3333333333339</v>
      </c>
      <c r="BY91" s="2068">
        <v>12500</v>
      </c>
      <c r="BZ91" s="2068">
        <v>100000</v>
      </c>
      <c r="CA91" s="2051"/>
      <c r="CB91" s="2054"/>
      <c r="CC91" s="2054"/>
      <c r="CD91" s="2054"/>
      <c r="CE91" s="2054"/>
      <c r="CF91" s="2054"/>
      <c r="CG91" s="2054"/>
      <c r="CH91" s="2054"/>
      <c r="CI91" s="2054"/>
    </row>
    <row r="92" spans="1:87" s="2055" customFormat="1" ht="32" hidden="1" customHeight="1" outlineLevel="4">
      <c r="A92" s="1835"/>
      <c r="B92" s="1849" t="s">
        <v>2375</v>
      </c>
      <c r="C92" s="1849" t="s">
        <v>1279</v>
      </c>
      <c r="D92" s="2120" t="s">
        <v>799</v>
      </c>
      <c r="E92"/>
      <c r="F92" s="2066"/>
      <c r="G92" s="2066"/>
      <c r="H92" s="2066"/>
      <c r="I92" s="2066"/>
      <c r="J92" s="2066"/>
      <c r="K92" s="2066"/>
      <c r="L92" s="2066"/>
      <c r="M92" s="2066"/>
      <c r="N92" s="2066"/>
      <c r="O92" s="2066"/>
      <c r="P92" s="2067">
        <v>0</v>
      </c>
      <c r="Q92"/>
      <c r="R92" s="2066"/>
      <c r="S92" s="2066"/>
      <c r="T92" s="2066"/>
      <c r="U92" s="2066"/>
      <c r="V92" s="2066"/>
      <c r="W92" s="2066"/>
      <c r="X92" s="2066">
        <v>6250</v>
      </c>
      <c r="Y92" s="2066">
        <v>6250</v>
      </c>
      <c r="Z92" s="2066">
        <v>6250</v>
      </c>
      <c r="AA92" s="2066">
        <v>6250</v>
      </c>
      <c r="AB92" s="2066">
        <v>6250</v>
      </c>
      <c r="AC92" s="2066">
        <v>6250</v>
      </c>
      <c r="AD92" s="2068">
        <v>37500</v>
      </c>
      <c r="AE92"/>
      <c r="AF92" s="2066">
        <v>6250</v>
      </c>
      <c r="AG92" s="2066">
        <v>6250</v>
      </c>
      <c r="AH92" s="2066">
        <v>6250</v>
      </c>
      <c r="AI92" s="2066">
        <v>6250</v>
      </c>
      <c r="AJ92" s="2066">
        <v>6250</v>
      </c>
      <c r="AK92" s="2066">
        <v>6250</v>
      </c>
      <c r="AL92" s="2066">
        <v>6250</v>
      </c>
      <c r="AM92" s="2066">
        <v>6250</v>
      </c>
      <c r="AN92" s="2066">
        <v>6250</v>
      </c>
      <c r="AO92" s="2066">
        <v>6250</v>
      </c>
      <c r="AP92" s="2066">
        <v>6250</v>
      </c>
      <c r="AQ92" s="2066">
        <v>6250</v>
      </c>
      <c r="AR92" s="2068">
        <v>75000</v>
      </c>
      <c r="AS92"/>
      <c r="AT92" s="2066">
        <v>6250</v>
      </c>
      <c r="AU92" s="2066">
        <v>6250</v>
      </c>
      <c r="AV92" s="2066">
        <v>6250</v>
      </c>
      <c r="AW92" s="2066">
        <v>6250</v>
      </c>
      <c r="AX92" s="2066">
        <v>6250</v>
      </c>
      <c r="AY92" s="2066">
        <v>6250</v>
      </c>
      <c r="AZ92" s="2066">
        <v>6250</v>
      </c>
      <c r="BA92" s="2066">
        <v>6250</v>
      </c>
      <c r="BB92" s="2066">
        <v>6250</v>
      </c>
      <c r="BC92" s="2066">
        <v>6250</v>
      </c>
      <c r="BD92" s="2066">
        <v>6250</v>
      </c>
      <c r="BE92" s="2066">
        <v>6250</v>
      </c>
      <c r="BF92" s="2068">
        <v>75000</v>
      </c>
      <c r="BG92"/>
      <c r="BH92" s="2066">
        <v>6250</v>
      </c>
      <c r="BI92" s="2066">
        <v>6250</v>
      </c>
      <c r="BJ92" s="2066">
        <v>6250</v>
      </c>
      <c r="BK92" s="2066">
        <v>6250</v>
      </c>
      <c r="BL92" s="2066">
        <v>6250</v>
      </c>
      <c r="BM92" s="2066">
        <v>6250</v>
      </c>
      <c r="BN92" s="2066">
        <v>6250</v>
      </c>
      <c r="BO92" s="2066">
        <v>6250</v>
      </c>
      <c r="BP92" s="2066">
        <v>6250</v>
      </c>
      <c r="BQ92" s="2066">
        <v>6250</v>
      </c>
      <c r="BR92" s="2066">
        <v>6250</v>
      </c>
      <c r="BS92" s="2066">
        <v>6250</v>
      </c>
      <c r="BT92" s="2068">
        <v>75000</v>
      </c>
      <c r="BU92"/>
      <c r="BV92" s="2066">
        <v>6250</v>
      </c>
      <c r="BW92" s="2066">
        <v>6250</v>
      </c>
      <c r="BX92" s="2066">
        <v>25000</v>
      </c>
      <c r="BY92" s="2068">
        <v>37500</v>
      </c>
      <c r="BZ92" s="2068">
        <v>300000</v>
      </c>
      <c r="CA92" s="2051"/>
      <c r="CB92" s="2054"/>
      <c r="CC92" s="2054"/>
      <c r="CD92" s="2054"/>
      <c r="CE92" s="2054"/>
      <c r="CF92" s="2054"/>
      <c r="CG92" s="2054"/>
      <c r="CH92" s="2054"/>
      <c r="CI92" s="2054"/>
    </row>
    <row r="93" spans="1:87" s="2055" customFormat="1" ht="32" hidden="1" customHeight="1" outlineLevel="4">
      <c r="A93" s="1835"/>
      <c r="B93" s="1849" t="s">
        <v>2376</v>
      </c>
      <c r="C93" s="1849" t="s">
        <v>1279</v>
      </c>
      <c r="D93" s="2121" t="s">
        <v>801</v>
      </c>
      <c r="E93"/>
      <c r="F93" s="2066"/>
      <c r="G93" s="2066"/>
      <c r="H93" s="2066"/>
      <c r="I93" s="2066"/>
      <c r="J93" s="2066"/>
      <c r="K93" s="2066"/>
      <c r="L93" s="2066"/>
      <c r="M93" s="2066"/>
      <c r="N93" s="2066"/>
      <c r="O93" s="2066"/>
      <c r="P93" s="2067">
        <v>0</v>
      </c>
      <c r="Q93"/>
      <c r="R93" s="2066"/>
      <c r="S93" s="2066"/>
      <c r="T93" s="2066"/>
      <c r="U93" s="2066"/>
      <c r="V93" s="2066">
        <v>100000</v>
      </c>
      <c r="W93" s="2066"/>
      <c r="X93" s="2066">
        <v>100000</v>
      </c>
      <c r="Y93" s="2066"/>
      <c r="Z93" s="2066"/>
      <c r="AA93" s="2066"/>
      <c r="AB93" s="2066"/>
      <c r="AC93" s="2066"/>
      <c r="AD93" s="2068">
        <v>200000</v>
      </c>
      <c r="AE93"/>
      <c r="AF93" s="2066"/>
      <c r="AG93" s="2066"/>
      <c r="AH93" s="2066"/>
      <c r="AI93" s="2066"/>
      <c r="AJ93" s="2066"/>
      <c r="AK93" s="2066"/>
      <c r="AL93" s="2066"/>
      <c r="AM93" s="2066"/>
      <c r="AN93" s="2066"/>
      <c r="AO93" s="2066"/>
      <c r="AP93" s="2066"/>
      <c r="AQ93" s="2066"/>
      <c r="AR93" s="2068">
        <v>0</v>
      </c>
      <c r="AS93"/>
      <c r="AT93" s="2066"/>
      <c r="AU93" s="2066"/>
      <c r="AV93" s="2066"/>
      <c r="AW93" s="2066"/>
      <c r="AX93" s="2066"/>
      <c r="AY93" s="2066"/>
      <c r="AZ93" s="2066"/>
      <c r="BA93" s="2066"/>
      <c r="BB93" s="2066"/>
      <c r="BC93" s="2066"/>
      <c r="BD93" s="2066"/>
      <c r="BE93" s="2066"/>
      <c r="BF93" s="2068">
        <v>0</v>
      </c>
      <c r="BG93"/>
      <c r="BH93" s="2066"/>
      <c r="BI93" s="2066"/>
      <c r="BJ93" s="2066"/>
      <c r="BK93" s="2066"/>
      <c r="BL93" s="2066"/>
      <c r="BM93" s="2066"/>
      <c r="BN93" s="2066"/>
      <c r="BO93" s="2066"/>
      <c r="BP93" s="2066"/>
      <c r="BQ93" s="2066"/>
      <c r="BR93" s="2066"/>
      <c r="BS93" s="2066"/>
      <c r="BT93" s="2068">
        <v>0</v>
      </c>
      <c r="BU93"/>
      <c r="BV93" s="2066"/>
      <c r="BW93" s="2066"/>
      <c r="BX93" s="2066"/>
      <c r="BY93" s="2068">
        <v>0</v>
      </c>
      <c r="BZ93" s="2068">
        <v>200000</v>
      </c>
      <c r="CA93" s="2051"/>
      <c r="CB93" s="2054"/>
      <c r="CC93" s="2054"/>
      <c r="CD93" s="2054"/>
      <c r="CE93" s="2054"/>
      <c r="CF93" s="2054"/>
      <c r="CG93" s="2054"/>
      <c r="CH93" s="2054"/>
      <c r="CI93" s="2054"/>
    </row>
    <row r="94" spans="1:87" s="2055" customFormat="1" ht="41.5" hidden="1" customHeight="1" outlineLevel="4">
      <c r="A94" s="1835"/>
      <c r="B94" s="1849" t="s">
        <v>2274</v>
      </c>
      <c r="C94" s="1849"/>
      <c r="D94" s="2053" t="s">
        <v>804</v>
      </c>
      <c r="E94"/>
      <c r="F94" s="2066"/>
      <c r="G94" s="2066"/>
      <c r="H94" s="2066"/>
      <c r="I94" s="2066"/>
      <c r="J94" s="2066"/>
      <c r="K94" s="2066"/>
      <c r="L94" s="2066"/>
      <c r="M94" s="2066"/>
      <c r="N94" s="2066"/>
      <c r="O94" s="2066"/>
      <c r="P94" s="2067">
        <v>0</v>
      </c>
      <c r="Q94"/>
      <c r="R94" s="2066"/>
      <c r="S94" s="2066"/>
      <c r="T94" s="2066"/>
      <c r="U94" s="2066"/>
      <c r="V94" s="2066"/>
      <c r="W94" s="2066"/>
      <c r="X94" s="2066"/>
      <c r="Y94" s="2066"/>
      <c r="Z94" s="2066"/>
      <c r="AA94" s="2066"/>
      <c r="AB94" s="2066"/>
      <c r="AC94" s="2066"/>
      <c r="AD94" s="2068">
        <v>0</v>
      </c>
      <c r="AE94"/>
      <c r="AF94" s="2066"/>
      <c r="AG94" s="2066"/>
      <c r="AH94" s="2066"/>
      <c r="AI94" s="2066"/>
      <c r="AJ94" s="2066"/>
      <c r="AK94" s="2066"/>
      <c r="AL94" s="2066"/>
      <c r="AM94" s="2066"/>
      <c r="AN94" s="2066"/>
      <c r="AO94" s="2066"/>
      <c r="AP94" s="2066"/>
      <c r="AQ94" s="2066"/>
      <c r="AR94" s="2068">
        <v>0</v>
      </c>
      <c r="AS94"/>
      <c r="AT94" s="2066"/>
      <c r="AU94" s="2066">
        <v>15000</v>
      </c>
      <c r="AV94" s="2066"/>
      <c r="AW94" s="2066"/>
      <c r="AX94" s="2066"/>
      <c r="AY94" s="2066">
        <v>11250</v>
      </c>
      <c r="AZ94" s="2066"/>
      <c r="BA94" s="2066"/>
      <c r="BB94" s="2066"/>
      <c r="BC94" s="2066">
        <v>11250</v>
      </c>
      <c r="BD94" s="2066"/>
      <c r="BE94" s="2066"/>
      <c r="BF94" s="2068">
        <v>37500</v>
      </c>
      <c r="BG94"/>
      <c r="BH94" s="2066"/>
      <c r="BI94" s="2066">
        <v>11250</v>
      </c>
      <c r="BJ94" s="2066"/>
      <c r="BK94" s="2066"/>
      <c r="BL94" s="2066"/>
      <c r="BM94" s="2066">
        <v>11250</v>
      </c>
      <c r="BN94" s="2066"/>
      <c r="BO94" s="2066"/>
      <c r="BP94" s="2066"/>
      <c r="BQ94" s="2066">
        <v>15000</v>
      </c>
      <c r="BR94" s="2066"/>
      <c r="BS94" s="2066"/>
      <c r="BT94" s="2070">
        <v>37500</v>
      </c>
      <c r="BU94"/>
      <c r="BV94" s="2066"/>
      <c r="BW94" s="2066"/>
      <c r="BX94" s="2066"/>
      <c r="BY94" s="2070">
        <v>0</v>
      </c>
      <c r="BZ94" s="2070">
        <v>75000</v>
      </c>
      <c r="CA94" s="2051"/>
      <c r="CB94" s="2054"/>
      <c r="CC94" s="2054"/>
      <c r="CD94" s="2054"/>
      <c r="CE94" s="2054"/>
      <c r="CF94" s="2054"/>
      <c r="CG94" s="2054"/>
      <c r="CH94" s="2054"/>
      <c r="CI94" s="2054"/>
    </row>
    <row r="95" spans="1:87" s="2050" customFormat="1" ht="30.75" hidden="1" customHeight="1" outlineLevel="3" collapsed="1">
      <c r="A95" s="2006"/>
      <c r="B95" s="2040" t="s">
        <v>834</v>
      </c>
      <c r="C95" s="2040"/>
      <c r="D95" s="2005" t="s">
        <v>806</v>
      </c>
      <c r="E95"/>
      <c r="F95" s="1458">
        <v>0</v>
      </c>
      <c r="G95" s="1458">
        <v>0</v>
      </c>
      <c r="H95" s="1458">
        <v>0</v>
      </c>
      <c r="I95" s="1458">
        <v>0</v>
      </c>
      <c r="J95" s="1458">
        <v>0</v>
      </c>
      <c r="K95" s="1458">
        <v>0</v>
      </c>
      <c r="L95" s="1458">
        <v>0</v>
      </c>
      <c r="M95" s="1458">
        <v>0</v>
      </c>
      <c r="N95" s="1458">
        <v>0</v>
      </c>
      <c r="O95" s="1458">
        <v>0</v>
      </c>
      <c r="P95" s="2064">
        <v>0</v>
      </c>
      <c r="Q95"/>
      <c r="R95" s="1458">
        <v>0</v>
      </c>
      <c r="S95" s="1458">
        <v>0</v>
      </c>
      <c r="T95" s="1458">
        <v>0</v>
      </c>
      <c r="U95" s="1458">
        <v>0</v>
      </c>
      <c r="V95" s="1458">
        <v>0</v>
      </c>
      <c r="W95" s="1458">
        <v>0</v>
      </c>
      <c r="X95" s="1458">
        <v>0</v>
      </c>
      <c r="Y95" s="1458">
        <v>0</v>
      </c>
      <c r="Z95" s="1458">
        <v>0</v>
      </c>
      <c r="AA95" s="1458">
        <v>0</v>
      </c>
      <c r="AB95" s="1458">
        <v>0</v>
      </c>
      <c r="AC95" s="1458">
        <v>0</v>
      </c>
      <c r="AD95" s="2065">
        <v>0</v>
      </c>
      <c r="AE95"/>
      <c r="AF95" s="1458">
        <v>0</v>
      </c>
      <c r="AG95" s="1458">
        <v>0</v>
      </c>
      <c r="AH95" s="1458">
        <v>0</v>
      </c>
      <c r="AI95" s="1458">
        <v>0</v>
      </c>
      <c r="AJ95" s="1458">
        <v>0</v>
      </c>
      <c r="AK95" s="1458">
        <v>0</v>
      </c>
      <c r="AL95" s="1458">
        <v>0</v>
      </c>
      <c r="AM95" s="1458">
        <v>0</v>
      </c>
      <c r="AN95" s="1458">
        <v>187500</v>
      </c>
      <c r="AO95" s="1458">
        <v>0</v>
      </c>
      <c r="AP95" s="1458">
        <v>0</v>
      </c>
      <c r="AQ95" s="1458">
        <v>0</v>
      </c>
      <c r="AR95" s="2065">
        <v>187500</v>
      </c>
      <c r="AS95"/>
      <c r="AT95" s="1458">
        <v>150000</v>
      </c>
      <c r="AU95" s="1458">
        <v>0</v>
      </c>
      <c r="AV95" s="1458">
        <v>0</v>
      </c>
      <c r="AW95" s="1458">
        <v>0</v>
      </c>
      <c r="AX95" s="1458">
        <v>150000</v>
      </c>
      <c r="AY95" s="1458">
        <v>0</v>
      </c>
      <c r="AZ95" s="1458">
        <v>0</v>
      </c>
      <c r="BA95" s="1458">
        <v>0</v>
      </c>
      <c r="BB95" s="1458">
        <v>150000</v>
      </c>
      <c r="BC95" s="1458">
        <v>0</v>
      </c>
      <c r="BD95" s="1458">
        <v>0</v>
      </c>
      <c r="BE95" s="1458">
        <v>112500</v>
      </c>
      <c r="BF95" s="2065">
        <v>562500</v>
      </c>
      <c r="BG95"/>
      <c r="BH95" s="1458">
        <v>0</v>
      </c>
      <c r="BI95" s="1458">
        <v>0</v>
      </c>
      <c r="BJ95" s="1458">
        <v>0</v>
      </c>
      <c r="BK95" s="1458">
        <v>0</v>
      </c>
      <c r="BL95" s="1458">
        <v>0</v>
      </c>
      <c r="BM95" s="1458">
        <v>0</v>
      </c>
      <c r="BN95" s="1458">
        <v>0</v>
      </c>
      <c r="BO95" s="1458">
        <v>0</v>
      </c>
      <c r="BP95" s="1458">
        <v>0</v>
      </c>
      <c r="BQ95" s="1458">
        <v>0</v>
      </c>
      <c r="BR95" s="1458">
        <v>0</v>
      </c>
      <c r="BS95" s="1458">
        <v>0</v>
      </c>
      <c r="BT95" s="2065">
        <v>0</v>
      </c>
      <c r="BU95"/>
      <c r="BV95" s="1458">
        <v>0</v>
      </c>
      <c r="BW95" s="1458">
        <v>0</v>
      </c>
      <c r="BX95" s="1458">
        <v>0</v>
      </c>
      <c r="BY95" s="2065">
        <v>0</v>
      </c>
      <c r="BZ95" s="2065">
        <v>750000</v>
      </c>
    </row>
    <row r="96" spans="1:87" s="2055" customFormat="1" ht="14" hidden="1" customHeight="1" outlineLevel="4">
      <c r="A96" s="1835"/>
      <c r="B96" s="1849" t="s">
        <v>839</v>
      </c>
      <c r="C96" s="1849"/>
      <c r="D96" s="2056" t="s">
        <v>808</v>
      </c>
      <c r="E96"/>
      <c r="F96" s="2066"/>
      <c r="G96" s="2066"/>
      <c r="H96" s="2066"/>
      <c r="I96" s="2066"/>
      <c r="J96" s="2066"/>
      <c r="K96" s="2066"/>
      <c r="L96" s="2066"/>
      <c r="M96" s="2066"/>
      <c r="N96" s="2066"/>
      <c r="O96" s="2066"/>
      <c r="P96" s="2067">
        <v>0</v>
      </c>
      <c r="Q96"/>
      <c r="R96" s="2066"/>
      <c r="S96" s="2066"/>
      <c r="T96" s="2066"/>
      <c r="U96" s="2066"/>
      <c r="V96" s="2066"/>
      <c r="W96" s="2066"/>
      <c r="X96" s="2066"/>
      <c r="Y96" s="2066"/>
      <c r="Z96" s="2066"/>
      <c r="AA96" s="2066"/>
      <c r="AB96" s="2066"/>
      <c r="AC96" s="2066"/>
      <c r="AD96" s="2068">
        <v>0</v>
      </c>
      <c r="AE96"/>
      <c r="AF96" s="2066"/>
      <c r="AG96" s="2066"/>
      <c r="AH96" s="2066"/>
      <c r="AI96" s="2066"/>
      <c r="AJ96" s="2066"/>
      <c r="AK96" s="2066"/>
      <c r="AL96" s="2066"/>
      <c r="AM96" s="2066"/>
      <c r="AN96" s="2066">
        <v>187500</v>
      </c>
      <c r="AO96" s="2066"/>
      <c r="AP96" s="2066"/>
      <c r="AQ96" s="2066"/>
      <c r="AR96" s="2068">
        <v>187500</v>
      </c>
      <c r="AS96"/>
      <c r="AT96" s="2066">
        <v>150000</v>
      </c>
      <c r="AU96" s="2066"/>
      <c r="AV96" s="2066"/>
      <c r="AW96" s="2066"/>
      <c r="AX96" s="2066">
        <v>150000</v>
      </c>
      <c r="AY96" s="2066"/>
      <c r="AZ96" s="2066"/>
      <c r="BA96" s="2066"/>
      <c r="BB96" s="2066">
        <v>150000</v>
      </c>
      <c r="BC96" s="2066"/>
      <c r="BD96" s="2066"/>
      <c r="BE96" s="2066">
        <v>112500</v>
      </c>
      <c r="BF96" s="2068">
        <v>562500</v>
      </c>
      <c r="BG96"/>
      <c r="BH96" s="2066"/>
      <c r="BI96" s="2066"/>
      <c r="BJ96" s="2066"/>
      <c r="BK96" s="2066"/>
      <c r="BL96" s="2066"/>
      <c r="BM96" s="2066"/>
      <c r="BN96" s="2066"/>
      <c r="BO96" s="2066"/>
      <c r="BP96" s="2066"/>
      <c r="BQ96" s="2066"/>
      <c r="BR96" s="2066"/>
      <c r="BS96" s="2066"/>
      <c r="BT96" s="2068">
        <v>0</v>
      </c>
      <c r="BU96"/>
      <c r="BV96" s="2066"/>
      <c r="BW96" s="2066"/>
      <c r="BX96" s="2066"/>
      <c r="BY96" s="2068">
        <v>0</v>
      </c>
      <c r="BZ96" s="2068">
        <v>750000</v>
      </c>
      <c r="CA96" s="2051"/>
      <c r="CB96" s="2054"/>
      <c r="CC96" s="2054"/>
      <c r="CD96" s="2054"/>
      <c r="CE96" s="2054"/>
      <c r="CF96" s="2054"/>
      <c r="CG96" s="2054"/>
      <c r="CH96" s="2054"/>
      <c r="CI96" s="2054"/>
    </row>
    <row r="97" spans="1:87" s="2055" customFormat="1" ht="14" hidden="1" customHeight="1" outlineLevel="3" collapsed="1">
      <c r="A97" s="1835"/>
      <c r="B97" s="1849"/>
      <c r="C97" s="1849"/>
      <c r="D97" s="2056"/>
      <c r="E97"/>
      <c r="F97" s="187"/>
      <c r="G97" s="187"/>
      <c r="H97" s="187"/>
      <c r="I97" s="187"/>
      <c r="J97" s="187"/>
      <c r="K97" s="187"/>
      <c r="L97" s="187"/>
      <c r="M97" s="187"/>
      <c r="N97" s="187"/>
      <c r="O97" s="187"/>
      <c r="P97" s="2057">
        <v>0</v>
      </c>
      <c r="Q97"/>
      <c r="R97" s="187"/>
      <c r="S97" s="187"/>
      <c r="T97" s="187"/>
      <c r="U97" s="187"/>
      <c r="V97" s="187"/>
      <c r="W97" s="187"/>
      <c r="X97" s="187"/>
      <c r="Y97" s="187"/>
      <c r="Z97" s="187"/>
      <c r="AA97" s="187"/>
      <c r="AB97" s="187"/>
      <c r="AC97" s="187"/>
      <c r="AD97" s="2057">
        <v>0</v>
      </c>
      <c r="AE97"/>
      <c r="AF97" s="187"/>
      <c r="AG97" s="187"/>
      <c r="AH97" s="187"/>
      <c r="AI97" s="187"/>
      <c r="AJ97" s="187"/>
      <c r="AK97" s="187"/>
      <c r="AL97" s="187"/>
      <c r="AM97" s="187"/>
      <c r="AN97" s="187"/>
      <c r="AO97" s="187"/>
      <c r="AP97" s="187"/>
      <c r="AQ97" s="187"/>
      <c r="AR97" s="2057">
        <v>0</v>
      </c>
      <c r="AS97"/>
      <c r="AT97" s="187"/>
      <c r="AU97" s="187"/>
      <c r="AV97" s="187"/>
      <c r="AW97" s="187"/>
      <c r="AX97" s="187"/>
      <c r="AY97" s="187"/>
      <c r="AZ97" s="187"/>
      <c r="BA97" s="187"/>
      <c r="BB97" s="187"/>
      <c r="BC97" s="187"/>
      <c r="BD97" s="187"/>
      <c r="BE97" s="187"/>
      <c r="BF97" s="2057">
        <v>0</v>
      </c>
      <c r="BG97"/>
      <c r="BH97" s="187"/>
      <c r="BI97" s="187"/>
      <c r="BJ97" s="187"/>
      <c r="BK97" s="187"/>
      <c r="BL97" s="187"/>
      <c r="BM97" s="187"/>
      <c r="BN97" s="187"/>
      <c r="BO97" s="187"/>
      <c r="BP97" s="187"/>
      <c r="BQ97" s="187"/>
      <c r="BR97" s="187"/>
      <c r="BS97" s="187"/>
      <c r="BT97" s="2057">
        <v>0</v>
      </c>
      <c r="BU97"/>
      <c r="BV97" s="187"/>
      <c r="BW97" s="187"/>
      <c r="BX97" s="187"/>
      <c r="BY97" s="2057">
        <v>0</v>
      </c>
      <c r="BZ97" s="2057">
        <v>0</v>
      </c>
      <c r="CA97" s="2051"/>
      <c r="CB97" s="2054"/>
      <c r="CC97" s="2054"/>
      <c r="CD97" s="2054"/>
      <c r="CE97" s="2054"/>
      <c r="CF97" s="2054"/>
      <c r="CG97" s="2054"/>
      <c r="CH97" s="2054"/>
      <c r="CI97" s="2054"/>
    </row>
    <row r="98" spans="1:87" s="2052" customFormat="1" ht="34.25" customHeight="1" outlineLevel="2" collapsed="1">
      <c r="A98" s="1529"/>
      <c r="B98" s="1934" t="s">
        <v>509</v>
      </c>
      <c r="C98" s="1934"/>
      <c r="D98" s="2049" t="s">
        <v>25</v>
      </c>
      <c r="E98"/>
      <c r="F98" s="2049">
        <v>0</v>
      </c>
      <c r="G98" s="2049">
        <v>0</v>
      </c>
      <c r="H98" s="2049">
        <v>0</v>
      </c>
      <c r="I98" s="2049">
        <v>0</v>
      </c>
      <c r="J98" s="2049">
        <v>0</v>
      </c>
      <c r="K98" s="2049">
        <v>0</v>
      </c>
      <c r="L98" s="2049">
        <v>0</v>
      </c>
      <c r="M98" s="2049">
        <v>0</v>
      </c>
      <c r="N98" s="2049">
        <v>0</v>
      </c>
      <c r="O98" s="2049">
        <v>0</v>
      </c>
      <c r="P98" s="2049">
        <v>0</v>
      </c>
      <c r="Q98"/>
      <c r="R98" s="2049">
        <v>0</v>
      </c>
      <c r="S98" s="2049">
        <v>0</v>
      </c>
      <c r="T98" s="2049">
        <v>5000</v>
      </c>
      <c r="U98" s="2049">
        <v>5000</v>
      </c>
      <c r="V98" s="2049">
        <v>5000</v>
      </c>
      <c r="W98" s="2049">
        <v>5000</v>
      </c>
      <c r="X98" s="2049">
        <v>5000</v>
      </c>
      <c r="Y98" s="2049">
        <v>5000</v>
      </c>
      <c r="Z98" s="2049">
        <v>5000</v>
      </c>
      <c r="AA98" s="2049">
        <v>5000</v>
      </c>
      <c r="AB98" s="2049">
        <v>5000</v>
      </c>
      <c r="AC98" s="2049">
        <v>5000</v>
      </c>
      <c r="AD98" s="2049">
        <v>50000</v>
      </c>
      <c r="AE98"/>
      <c r="AF98" s="2049">
        <v>0</v>
      </c>
      <c r="AG98" s="2049">
        <v>0</v>
      </c>
      <c r="AH98" s="2049">
        <v>35750</v>
      </c>
      <c r="AI98" s="2049">
        <v>0</v>
      </c>
      <c r="AJ98" s="2049">
        <v>54200</v>
      </c>
      <c r="AK98" s="2049">
        <v>20000</v>
      </c>
      <c r="AL98" s="2049">
        <v>15749.999999999998</v>
      </c>
      <c r="AM98" s="2049">
        <v>0</v>
      </c>
      <c r="AN98" s="2049">
        <v>74200</v>
      </c>
      <c r="AO98" s="2049">
        <v>13500</v>
      </c>
      <c r="AP98" s="2049">
        <v>0</v>
      </c>
      <c r="AQ98" s="2049">
        <v>20000</v>
      </c>
      <c r="AR98" s="2049">
        <v>233400</v>
      </c>
      <c r="AS98"/>
      <c r="AT98" s="2049">
        <v>54200</v>
      </c>
      <c r="AU98" s="2049">
        <v>0</v>
      </c>
      <c r="AV98" s="2049">
        <v>0</v>
      </c>
      <c r="AW98" s="2049">
        <v>0</v>
      </c>
      <c r="AX98" s="2049">
        <v>54200</v>
      </c>
      <c r="AY98" s="2049">
        <v>0</v>
      </c>
      <c r="AZ98" s="2049">
        <v>0</v>
      </c>
      <c r="BA98" s="2049">
        <v>0</v>
      </c>
      <c r="BB98" s="2049">
        <v>54200</v>
      </c>
      <c r="BC98" s="2049">
        <v>0</v>
      </c>
      <c r="BD98" s="2049">
        <v>0</v>
      </c>
      <c r="BE98" s="2049">
        <v>0</v>
      </c>
      <c r="BF98" s="2049">
        <v>162600</v>
      </c>
      <c r="BG98"/>
      <c r="BH98" s="2049">
        <v>0</v>
      </c>
      <c r="BI98" s="2049">
        <v>0</v>
      </c>
      <c r="BJ98" s="2049">
        <v>0</v>
      </c>
      <c r="BK98" s="2049">
        <v>0</v>
      </c>
      <c r="BL98" s="2049">
        <v>0</v>
      </c>
      <c r="BM98" s="2049">
        <v>0</v>
      </c>
      <c r="BN98" s="2049">
        <v>0</v>
      </c>
      <c r="BO98" s="2049">
        <v>0</v>
      </c>
      <c r="BP98" s="2049">
        <v>0</v>
      </c>
      <c r="BQ98" s="2049">
        <v>0</v>
      </c>
      <c r="BR98" s="2049">
        <v>0</v>
      </c>
      <c r="BS98" s="2049">
        <v>0</v>
      </c>
      <c r="BT98" s="2049">
        <v>0</v>
      </c>
      <c r="BU98"/>
      <c r="BV98" s="2049">
        <v>0</v>
      </c>
      <c r="BW98" s="2049">
        <v>0</v>
      </c>
      <c r="BX98" s="2049">
        <v>0</v>
      </c>
      <c r="BY98" s="2049">
        <v>0</v>
      </c>
      <c r="BZ98" s="2049">
        <v>446000</v>
      </c>
      <c r="CA98" s="2050"/>
      <c r="CB98" s="2050"/>
      <c r="CC98" s="2050"/>
      <c r="CD98" s="2050"/>
      <c r="CE98" s="2050"/>
      <c r="CF98" s="2050"/>
      <c r="CG98" s="2050"/>
      <c r="CH98" s="2050"/>
      <c r="CI98" s="2051"/>
    </row>
    <row r="99" spans="1:87" s="2050" customFormat="1" ht="30.75" hidden="1" customHeight="1" outlineLevel="3">
      <c r="A99" s="2006"/>
      <c r="B99" s="2040" t="s">
        <v>2377</v>
      </c>
      <c r="C99" s="2040"/>
      <c r="D99" s="2005" t="s">
        <v>810</v>
      </c>
      <c r="E99"/>
      <c r="F99" s="2064">
        <v>0</v>
      </c>
      <c r="G99" s="2064">
        <v>0</v>
      </c>
      <c r="H99" s="2064">
        <v>0</v>
      </c>
      <c r="I99" s="2064">
        <v>0</v>
      </c>
      <c r="J99" s="2064">
        <v>0</v>
      </c>
      <c r="K99" s="2064">
        <v>0</v>
      </c>
      <c r="L99" s="2064">
        <v>0</v>
      </c>
      <c r="M99" s="2064">
        <v>0</v>
      </c>
      <c r="N99" s="2064">
        <v>0</v>
      </c>
      <c r="O99" s="2064">
        <v>0</v>
      </c>
      <c r="P99" s="2064">
        <v>0</v>
      </c>
      <c r="Q99"/>
      <c r="R99" s="2064">
        <v>0</v>
      </c>
      <c r="S99" s="2064">
        <v>0</v>
      </c>
      <c r="T99" s="2064">
        <v>5000</v>
      </c>
      <c r="U99" s="2064">
        <v>5000</v>
      </c>
      <c r="V99" s="2064">
        <v>5000</v>
      </c>
      <c r="W99" s="2064">
        <v>5000</v>
      </c>
      <c r="X99" s="2064">
        <v>5000</v>
      </c>
      <c r="Y99" s="2064">
        <v>5000</v>
      </c>
      <c r="Z99" s="2064">
        <v>5000</v>
      </c>
      <c r="AA99" s="2064">
        <v>5000</v>
      </c>
      <c r="AB99" s="2064">
        <v>5000</v>
      </c>
      <c r="AC99" s="2064">
        <v>5000</v>
      </c>
      <c r="AD99" s="2064">
        <v>50000</v>
      </c>
      <c r="AE99"/>
      <c r="AF99" s="2064">
        <v>0</v>
      </c>
      <c r="AG99" s="2064">
        <v>0</v>
      </c>
      <c r="AH99" s="2064">
        <v>0</v>
      </c>
      <c r="AI99" s="2064">
        <v>0</v>
      </c>
      <c r="AJ99" s="2064">
        <v>0</v>
      </c>
      <c r="AK99" s="2064">
        <v>0</v>
      </c>
      <c r="AL99" s="2064">
        <v>0</v>
      </c>
      <c r="AM99" s="2064">
        <v>0</v>
      </c>
      <c r="AN99" s="2064">
        <v>0</v>
      </c>
      <c r="AO99" s="2064">
        <v>0</v>
      </c>
      <c r="AP99" s="2064">
        <v>0</v>
      </c>
      <c r="AQ99" s="2064">
        <v>0</v>
      </c>
      <c r="AR99" s="2064">
        <v>0</v>
      </c>
      <c r="AS99"/>
      <c r="AT99" s="2064">
        <v>0</v>
      </c>
      <c r="AU99" s="2064">
        <v>0</v>
      </c>
      <c r="AV99" s="2064">
        <v>0</v>
      </c>
      <c r="AW99" s="2064">
        <v>0</v>
      </c>
      <c r="AX99" s="2064">
        <v>0</v>
      </c>
      <c r="AY99" s="2064">
        <v>0</v>
      </c>
      <c r="AZ99" s="2064">
        <v>0</v>
      </c>
      <c r="BA99" s="2064">
        <v>0</v>
      </c>
      <c r="BB99" s="2064">
        <v>0</v>
      </c>
      <c r="BC99" s="2064">
        <v>0</v>
      </c>
      <c r="BD99" s="2064">
        <v>0</v>
      </c>
      <c r="BE99" s="2064">
        <v>0</v>
      </c>
      <c r="BF99" s="2064">
        <v>0</v>
      </c>
      <c r="BG99"/>
      <c r="BH99" s="2064">
        <v>0</v>
      </c>
      <c r="BI99" s="2064">
        <v>0</v>
      </c>
      <c r="BJ99" s="2064">
        <v>0</v>
      </c>
      <c r="BK99" s="2064">
        <v>0</v>
      </c>
      <c r="BL99" s="2064">
        <v>0</v>
      </c>
      <c r="BM99" s="2064">
        <v>0</v>
      </c>
      <c r="BN99" s="2064">
        <v>0</v>
      </c>
      <c r="BO99" s="2064">
        <v>0</v>
      </c>
      <c r="BP99" s="2064">
        <v>0</v>
      </c>
      <c r="BQ99" s="2064">
        <v>0</v>
      </c>
      <c r="BR99" s="2064">
        <v>0</v>
      </c>
      <c r="BS99" s="2064">
        <v>0</v>
      </c>
      <c r="BT99" s="2064">
        <v>0</v>
      </c>
      <c r="BU99"/>
      <c r="BV99" s="2064">
        <v>0</v>
      </c>
      <c r="BW99" s="2064">
        <v>0</v>
      </c>
      <c r="BX99" s="2064">
        <v>0</v>
      </c>
      <c r="BY99" s="2064">
        <v>0</v>
      </c>
      <c r="BZ99" s="2064">
        <v>50000</v>
      </c>
    </row>
    <row r="100" spans="1:87" s="2058" customFormat="1" ht="41.5" hidden="1" customHeight="1" outlineLevel="4">
      <c r="A100" s="1835"/>
      <c r="B100" s="1849" t="s">
        <v>2378</v>
      </c>
      <c r="C100" s="1849" t="s">
        <v>1279</v>
      </c>
      <c r="D100" s="618" t="s">
        <v>812</v>
      </c>
      <c r="E100"/>
      <c r="F100" s="2066"/>
      <c r="G100" s="2066"/>
      <c r="H100" s="2066"/>
      <c r="I100" s="2066"/>
      <c r="J100" s="2066"/>
      <c r="K100" s="2066"/>
      <c r="L100" s="2066"/>
      <c r="M100" s="2066"/>
      <c r="N100" s="2066"/>
      <c r="O100" s="2066"/>
      <c r="P100" s="2067">
        <v>0</v>
      </c>
      <c r="Q100"/>
      <c r="R100" s="2066"/>
      <c r="S100" s="2066"/>
      <c r="T100" s="2066">
        <v>5000</v>
      </c>
      <c r="U100" s="2066">
        <v>5000</v>
      </c>
      <c r="V100" s="2066">
        <v>5000</v>
      </c>
      <c r="W100" s="2066">
        <v>5000</v>
      </c>
      <c r="X100" s="2066">
        <v>5000</v>
      </c>
      <c r="Y100" s="2066">
        <v>5000</v>
      </c>
      <c r="Z100" s="2066">
        <v>5000</v>
      </c>
      <c r="AA100" s="2066">
        <v>5000</v>
      </c>
      <c r="AB100" s="2066">
        <v>5000</v>
      </c>
      <c r="AC100" s="2066">
        <v>5000</v>
      </c>
      <c r="AD100" s="2068">
        <v>50000</v>
      </c>
      <c r="AE100"/>
      <c r="AF100" s="2066"/>
      <c r="AG100" s="2066"/>
      <c r="AH100" s="2066"/>
      <c r="AI100" s="2066"/>
      <c r="AJ100" s="2066"/>
      <c r="AK100" s="2066"/>
      <c r="AL100" s="2066"/>
      <c r="AM100" s="2066"/>
      <c r="AN100" s="2066"/>
      <c r="AO100" s="2066"/>
      <c r="AP100" s="2066"/>
      <c r="AQ100" s="2066"/>
      <c r="AR100" s="2068">
        <v>0</v>
      </c>
      <c r="AS100"/>
      <c r="AT100" s="2066"/>
      <c r="AU100" s="2066"/>
      <c r="AV100" s="2066"/>
      <c r="AW100" s="2066"/>
      <c r="AX100" s="2066"/>
      <c r="AY100" s="2066"/>
      <c r="AZ100" s="2066"/>
      <c r="BA100" s="2066"/>
      <c r="BB100" s="2066"/>
      <c r="BC100" s="2066"/>
      <c r="BD100" s="2066"/>
      <c r="BE100" s="2066"/>
      <c r="BF100" s="2068">
        <v>0</v>
      </c>
      <c r="BG100"/>
      <c r="BH100" s="2066"/>
      <c r="BI100" s="2066"/>
      <c r="BJ100" s="2066"/>
      <c r="BK100" s="2066"/>
      <c r="BL100" s="2066"/>
      <c r="BM100" s="2066"/>
      <c r="BN100" s="2066"/>
      <c r="BO100" s="2066"/>
      <c r="BP100" s="2066"/>
      <c r="BQ100" s="2066"/>
      <c r="BR100" s="2066"/>
      <c r="BS100" s="2066"/>
      <c r="BT100" s="2069">
        <v>0</v>
      </c>
      <c r="BU100"/>
      <c r="BV100" s="2066"/>
      <c r="BW100" s="2066"/>
      <c r="BX100" s="2066"/>
      <c r="BY100" s="2069">
        <v>0</v>
      </c>
      <c r="BZ100" s="2069">
        <v>50000</v>
      </c>
      <c r="CA100" s="2051"/>
      <c r="CB100" s="2051"/>
      <c r="CC100" s="2051"/>
      <c r="CD100" s="2051"/>
      <c r="CE100" s="2051"/>
      <c r="CF100" s="2051"/>
      <c r="CG100" s="2051"/>
      <c r="CH100" s="2051"/>
      <c r="CI100" s="2051"/>
    </row>
    <row r="101" spans="1:87" s="2050" customFormat="1" ht="30.75" hidden="1" customHeight="1" outlineLevel="3">
      <c r="A101" s="2006"/>
      <c r="B101" s="2040" t="s">
        <v>2275</v>
      </c>
      <c r="C101" s="2040"/>
      <c r="D101" s="2005" t="s">
        <v>814</v>
      </c>
      <c r="E101"/>
      <c r="F101" s="2064">
        <v>0</v>
      </c>
      <c r="G101" s="2064">
        <v>0</v>
      </c>
      <c r="H101" s="2064">
        <v>0</v>
      </c>
      <c r="I101" s="2064">
        <v>0</v>
      </c>
      <c r="J101" s="2064">
        <v>0</v>
      </c>
      <c r="K101" s="2064">
        <v>0</v>
      </c>
      <c r="L101" s="2064">
        <v>0</v>
      </c>
      <c r="M101" s="2064">
        <v>0</v>
      </c>
      <c r="N101" s="2064">
        <v>0</v>
      </c>
      <c r="O101" s="2064">
        <v>0</v>
      </c>
      <c r="P101" s="2064">
        <v>0</v>
      </c>
      <c r="Q101"/>
      <c r="R101" s="2064">
        <v>0</v>
      </c>
      <c r="S101" s="2064">
        <v>0</v>
      </c>
      <c r="T101" s="2064">
        <v>0</v>
      </c>
      <c r="U101" s="2064">
        <v>0</v>
      </c>
      <c r="V101" s="2064">
        <v>0</v>
      </c>
      <c r="W101" s="2064">
        <v>0</v>
      </c>
      <c r="X101" s="2064">
        <v>0</v>
      </c>
      <c r="Y101" s="2064">
        <v>0</v>
      </c>
      <c r="Z101" s="2064">
        <v>0</v>
      </c>
      <c r="AA101" s="2064">
        <v>0</v>
      </c>
      <c r="AB101" s="2064">
        <v>0</v>
      </c>
      <c r="AC101" s="2064">
        <v>0</v>
      </c>
      <c r="AD101" s="2064">
        <v>0</v>
      </c>
      <c r="AE101"/>
      <c r="AF101" s="2064">
        <v>0</v>
      </c>
      <c r="AG101" s="2064">
        <v>0</v>
      </c>
      <c r="AH101" s="2064">
        <v>20000</v>
      </c>
      <c r="AI101" s="2064">
        <v>0</v>
      </c>
      <c r="AJ101" s="2064">
        <v>0</v>
      </c>
      <c r="AK101" s="2064">
        <v>20000</v>
      </c>
      <c r="AL101" s="2064">
        <v>0</v>
      </c>
      <c r="AM101" s="2064">
        <v>0</v>
      </c>
      <c r="AN101" s="2064">
        <v>20000</v>
      </c>
      <c r="AO101" s="2064">
        <v>0</v>
      </c>
      <c r="AP101" s="2064">
        <v>0</v>
      </c>
      <c r="AQ101" s="2064">
        <v>20000</v>
      </c>
      <c r="AR101" s="2064">
        <v>80000</v>
      </c>
      <c r="AS101"/>
      <c r="AT101" s="2064">
        <v>0</v>
      </c>
      <c r="AU101" s="2064">
        <v>0</v>
      </c>
      <c r="AV101" s="2064">
        <v>0</v>
      </c>
      <c r="AW101" s="2064">
        <v>0</v>
      </c>
      <c r="AX101" s="2064">
        <v>0</v>
      </c>
      <c r="AY101" s="2064">
        <v>0</v>
      </c>
      <c r="AZ101" s="2064">
        <v>0</v>
      </c>
      <c r="BA101" s="2064">
        <v>0</v>
      </c>
      <c r="BB101" s="2064">
        <v>0</v>
      </c>
      <c r="BC101" s="2064">
        <v>0</v>
      </c>
      <c r="BD101" s="2064">
        <v>0</v>
      </c>
      <c r="BE101" s="2064">
        <v>0</v>
      </c>
      <c r="BF101" s="2064">
        <v>0</v>
      </c>
      <c r="BG101"/>
      <c r="BH101" s="2064">
        <v>0</v>
      </c>
      <c r="BI101" s="2064">
        <v>0</v>
      </c>
      <c r="BJ101" s="2064">
        <v>0</v>
      </c>
      <c r="BK101" s="2064">
        <v>0</v>
      </c>
      <c r="BL101" s="2064">
        <v>0</v>
      </c>
      <c r="BM101" s="2064">
        <v>0</v>
      </c>
      <c r="BN101" s="2064">
        <v>0</v>
      </c>
      <c r="BO101" s="2064">
        <v>0</v>
      </c>
      <c r="BP101" s="2064">
        <v>0</v>
      </c>
      <c r="BQ101" s="2064">
        <v>0</v>
      </c>
      <c r="BR101" s="2064">
        <v>0</v>
      </c>
      <c r="BS101" s="2064">
        <v>0</v>
      </c>
      <c r="BT101" s="2064">
        <v>0</v>
      </c>
      <c r="BU101"/>
      <c r="BV101" s="2064">
        <v>0</v>
      </c>
      <c r="BW101" s="2064">
        <v>0</v>
      </c>
      <c r="BX101" s="2064">
        <v>0</v>
      </c>
      <c r="BY101" s="2064">
        <v>0</v>
      </c>
      <c r="BZ101" s="2064">
        <v>80000</v>
      </c>
    </row>
    <row r="102" spans="1:87" s="2058" customFormat="1" ht="14.5" hidden="1" customHeight="1" outlineLevel="4">
      <c r="A102" s="1835"/>
      <c r="B102" s="1849" t="s">
        <v>2379</v>
      </c>
      <c r="C102" s="1849"/>
      <c r="D102" s="618" t="s">
        <v>816</v>
      </c>
      <c r="E102"/>
      <c r="F102" s="4174"/>
      <c r="G102" s="4174"/>
      <c r="H102" s="4174"/>
      <c r="I102" s="4174"/>
      <c r="J102" s="4174"/>
      <c r="K102" s="4174"/>
      <c r="L102" s="4174"/>
      <c r="M102" s="4174"/>
      <c r="N102" s="4174"/>
      <c r="O102" s="4174"/>
      <c r="P102" s="4174">
        <v>0</v>
      </c>
      <c r="Q102"/>
      <c r="R102" s="4174"/>
      <c r="S102" s="4174"/>
      <c r="T102" s="4174"/>
      <c r="U102" s="4174"/>
      <c r="V102" s="4174"/>
      <c r="W102" s="4174"/>
      <c r="X102" s="4174"/>
      <c r="Y102" s="4174"/>
      <c r="Z102" s="4174"/>
      <c r="AA102" s="4174"/>
      <c r="AB102" s="4174"/>
      <c r="AC102" s="4174"/>
      <c r="AD102" s="4174">
        <v>0</v>
      </c>
      <c r="AE102"/>
      <c r="AF102" s="4174"/>
      <c r="AG102" s="4174"/>
      <c r="AH102" s="4174">
        <v>20000</v>
      </c>
      <c r="AI102" s="4174"/>
      <c r="AJ102" s="4174"/>
      <c r="AK102" s="4174">
        <v>20000</v>
      </c>
      <c r="AL102" s="4174"/>
      <c r="AM102" s="4174"/>
      <c r="AN102" s="4174">
        <v>20000</v>
      </c>
      <c r="AO102" s="4174"/>
      <c r="AP102" s="4174"/>
      <c r="AQ102" s="4174">
        <v>20000</v>
      </c>
      <c r="AR102" s="4174">
        <v>80000</v>
      </c>
      <c r="AS102"/>
      <c r="AT102" s="4174"/>
      <c r="AU102" s="4174"/>
      <c r="AV102" s="4174"/>
      <c r="AW102" s="4174"/>
      <c r="AX102" s="4174"/>
      <c r="AY102" s="4174"/>
      <c r="AZ102" s="4174"/>
      <c r="BA102" s="4174"/>
      <c r="BB102" s="4174"/>
      <c r="BC102" s="4174"/>
      <c r="BD102" s="4174"/>
      <c r="BE102" s="4174"/>
      <c r="BF102" s="4174">
        <v>0</v>
      </c>
      <c r="BG102"/>
      <c r="BH102" s="4174"/>
      <c r="BI102" s="4174"/>
      <c r="BJ102" s="4174"/>
      <c r="BK102" s="4174"/>
      <c r="BL102" s="4174"/>
      <c r="BM102" s="4174"/>
      <c r="BN102" s="4174"/>
      <c r="BO102" s="4174"/>
      <c r="BP102" s="4174"/>
      <c r="BQ102" s="4174"/>
      <c r="BR102" s="4174"/>
      <c r="BS102" s="4174"/>
      <c r="BT102" s="4174">
        <v>0</v>
      </c>
      <c r="BU102"/>
      <c r="BV102" s="4174"/>
      <c r="BW102" s="4174"/>
      <c r="BX102" s="4174"/>
      <c r="BY102" s="4174">
        <v>0</v>
      </c>
      <c r="BZ102" s="4174">
        <v>80000</v>
      </c>
      <c r="CA102" s="4177"/>
      <c r="CB102" s="2051"/>
      <c r="CC102" s="2051"/>
      <c r="CD102" s="2051"/>
      <c r="CE102" s="2051"/>
      <c r="CF102" s="2051"/>
      <c r="CG102" s="2051"/>
      <c r="CH102" s="2051"/>
      <c r="CI102" s="2051"/>
    </row>
    <row r="103" spans="1:87" s="2058" customFormat="1" ht="27.5" hidden="1" customHeight="1" outlineLevel="4">
      <c r="A103" s="1835"/>
      <c r="B103" s="1849" t="s">
        <v>2380</v>
      </c>
      <c r="C103" s="1849"/>
      <c r="D103" s="618" t="s">
        <v>818</v>
      </c>
      <c r="E103"/>
      <c r="F103" s="4175"/>
      <c r="G103" s="4175"/>
      <c r="H103" s="4175"/>
      <c r="I103" s="4175"/>
      <c r="J103" s="4175"/>
      <c r="K103" s="4175"/>
      <c r="L103" s="4175"/>
      <c r="M103" s="4175"/>
      <c r="N103" s="4175"/>
      <c r="O103" s="4175"/>
      <c r="P103" s="4175">
        <f t="shared" ref="P103:P110" si="0">SUM(F103:O103)</f>
        <v>0</v>
      </c>
      <c r="Q103"/>
      <c r="R103" s="4175"/>
      <c r="S103" s="4175"/>
      <c r="T103" s="4175"/>
      <c r="U103" s="4175"/>
      <c r="V103" s="4175"/>
      <c r="W103" s="4175"/>
      <c r="X103" s="4175"/>
      <c r="Y103" s="4175"/>
      <c r="Z103" s="4175"/>
      <c r="AA103" s="4175"/>
      <c r="AB103" s="4175"/>
      <c r="AC103" s="4175"/>
      <c r="AD103" s="4175">
        <f t="shared" ref="AD103:AD110" si="1">SUM(R103:AC103)</f>
        <v>0</v>
      </c>
      <c r="AE103"/>
      <c r="AF103" s="4175"/>
      <c r="AG103" s="4175"/>
      <c r="AH103" s="4175"/>
      <c r="AI103" s="4175"/>
      <c r="AJ103" s="4175"/>
      <c r="AK103" s="4175"/>
      <c r="AL103" s="4175"/>
      <c r="AM103" s="4175"/>
      <c r="AN103" s="4175"/>
      <c r="AO103" s="4175"/>
      <c r="AP103" s="4175"/>
      <c r="AQ103" s="4175"/>
      <c r="AR103" s="4175">
        <f t="shared" ref="AR103:AR110" si="2">SUM(AF103:AQ103)</f>
        <v>0</v>
      </c>
      <c r="AS103"/>
      <c r="AT103" s="4175"/>
      <c r="AU103" s="4175"/>
      <c r="AV103" s="4175"/>
      <c r="AW103" s="4175"/>
      <c r="AX103" s="4175"/>
      <c r="AY103" s="4175"/>
      <c r="AZ103" s="4175"/>
      <c r="BA103" s="4175"/>
      <c r="BB103" s="4175"/>
      <c r="BC103" s="4175"/>
      <c r="BD103" s="4175"/>
      <c r="BE103" s="4175"/>
      <c r="BF103" s="4175">
        <f t="shared" ref="BF103:BF110" si="3">SUM(AT103:BE103)</f>
        <v>0</v>
      </c>
      <c r="BG103"/>
      <c r="BH103" s="4175"/>
      <c r="BI103" s="4175"/>
      <c r="BJ103" s="4175"/>
      <c r="BK103" s="4175"/>
      <c r="BL103" s="4175"/>
      <c r="BM103" s="4175"/>
      <c r="BN103" s="4175"/>
      <c r="BO103" s="4175"/>
      <c r="BP103" s="4175"/>
      <c r="BQ103" s="4175"/>
      <c r="BR103" s="4175"/>
      <c r="BS103" s="4175"/>
      <c r="BT103" s="4175">
        <f t="shared" ref="BT103:BT110" si="4">SUM(BH103:BS103)</f>
        <v>0</v>
      </c>
      <c r="BU103"/>
      <c r="BV103" s="4175"/>
      <c r="BW103" s="4175"/>
      <c r="BX103" s="4175"/>
      <c r="BY103" s="4175">
        <f t="shared" ref="BY103:BY110" si="5">SUM(BV103:BX103)</f>
        <v>0</v>
      </c>
      <c r="BZ103" s="4175">
        <f t="shared" ref="BZ103:BZ110" si="6">+P103+AD103+AR103+BF103+BT103+BY103</f>
        <v>0</v>
      </c>
      <c r="CA103" s="4177"/>
      <c r="CB103" s="2051"/>
      <c r="CC103" s="2051"/>
      <c r="CD103" s="2051"/>
      <c r="CE103" s="2051"/>
      <c r="CF103" s="2051"/>
      <c r="CG103" s="2051"/>
      <c r="CH103" s="2051"/>
      <c r="CI103" s="2051"/>
    </row>
    <row r="104" spans="1:87" s="2058" customFormat="1" ht="14.5" hidden="1" customHeight="1" outlineLevel="4">
      <c r="A104" s="1835"/>
      <c r="B104" s="1849" t="s">
        <v>2381</v>
      </c>
      <c r="C104" s="1849"/>
      <c r="D104" s="618" t="s">
        <v>820</v>
      </c>
      <c r="E104"/>
      <c r="F104" s="4175"/>
      <c r="G104" s="4175"/>
      <c r="H104" s="4175"/>
      <c r="I104" s="4175"/>
      <c r="J104" s="4175"/>
      <c r="K104" s="4175"/>
      <c r="L104" s="4175"/>
      <c r="M104" s="4175"/>
      <c r="N104" s="4175"/>
      <c r="O104" s="4175"/>
      <c r="P104" s="4175">
        <f t="shared" si="0"/>
        <v>0</v>
      </c>
      <c r="Q104"/>
      <c r="R104" s="4175"/>
      <c r="S104" s="4175"/>
      <c r="T104" s="4175"/>
      <c r="U104" s="4175"/>
      <c r="V104" s="4175"/>
      <c r="W104" s="4175"/>
      <c r="X104" s="4175"/>
      <c r="Y104" s="4175"/>
      <c r="Z104" s="4175"/>
      <c r="AA104" s="4175"/>
      <c r="AB104" s="4175"/>
      <c r="AC104" s="4175"/>
      <c r="AD104" s="4175">
        <f t="shared" si="1"/>
        <v>0</v>
      </c>
      <c r="AE104"/>
      <c r="AF104" s="4175"/>
      <c r="AG104" s="4175"/>
      <c r="AH104" s="4175"/>
      <c r="AI104" s="4175"/>
      <c r="AJ104" s="4175"/>
      <c r="AK104" s="4175"/>
      <c r="AL104" s="4175"/>
      <c r="AM104" s="4175"/>
      <c r="AN104" s="4175"/>
      <c r="AO104" s="4175"/>
      <c r="AP104" s="4175"/>
      <c r="AQ104" s="4175"/>
      <c r="AR104" s="4175">
        <f t="shared" si="2"/>
        <v>0</v>
      </c>
      <c r="AS104"/>
      <c r="AT104" s="4175"/>
      <c r="AU104" s="4175"/>
      <c r="AV104" s="4175"/>
      <c r="AW104" s="4175"/>
      <c r="AX104" s="4175"/>
      <c r="AY104" s="4175"/>
      <c r="AZ104" s="4175"/>
      <c r="BA104" s="4175"/>
      <c r="BB104" s="4175"/>
      <c r="BC104" s="4175"/>
      <c r="BD104" s="4175"/>
      <c r="BE104" s="4175"/>
      <c r="BF104" s="4175">
        <f t="shared" si="3"/>
        <v>0</v>
      </c>
      <c r="BG104"/>
      <c r="BH104" s="4175"/>
      <c r="BI104" s="4175"/>
      <c r="BJ104" s="4175"/>
      <c r="BK104" s="4175"/>
      <c r="BL104" s="4175"/>
      <c r="BM104" s="4175"/>
      <c r="BN104" s="4175"/>
      <c r="BO104" s="4175"/>
      <c r="BP104" s="4175"/>
      <c r="BQ104" s="4175"/>
      <c r="BR104" s="4175"/>
      <c r="BS104" s="4175"/>
      <c r="BT104" s="4175">
        <f t="shared" si="4"/>
        <v>0</v>
      </c>
      <c r="BU104"/>
      <c r="BV104" s="4175"/>
      <c r="BW104" s="4175"/>
      <c r="BX104" s="4175"/>
      <c r="BY104" s="4175">
        <f t="shared" si="5"/>
        <v>0</v>
      </c>
      <c r="BZ104" s="4175">
        <f t="shared" si="6"/>
        <v>0</v>
      </c>
      <c r="CA104" s="4177"/>
      <c r="CB104" s="2051"/>
      <c r="CC104" s="2051"/>
      <c r="CD104" s="2051"/>
      <c r="CE104" s="2051"/>
      <c r="CF104" s="2051"/>
      <c r="CG104" s="2051"/>
      <c r="CH104" s="2051"/>
      <c r="CI104" s="2051"/>
    </row>
    <row r="105" spans="1:87" s="2058" customFormat="1" ht="27.5" hidden="1" customHeight="1" outlineLevel="4">
      <c r="A105" s="1835"/>
      <c r="B105" s="1849" t="s">
        <v>2382</v>
      </c>
      <c r="C105" s="1849"/>
      <c r="D105" s="618" t="s">
        <v>822</v>
      </c>
      <c r="E105"/>
      <c r="F105" s="4176"/>
      <c r="G105" s="4176"/>
      <c r="H105" s="4176"/>
      <c r="I105" s="4176"/>
      <c r="J105" s="4176"/>
      <c r="K105" s="4176"/>
      <c r="L105" s="4176"/>
      <c r="M105" s="4176"/>
      <c r="N105" s="4176"/>
      <c r="O105" s="4176"/>
      <c r="P105" s="4176">
        <f t="shared" si="0"/>
        <v>0</v>
      </c>
      <c r="Q105"/>
      <c r="R105" s="4176"/>
      <c r="S105" s="4176"/>
      <c r="T105" s="4176"/>
      <c r="U105" s="4176"/>
      <c r="V105" s="4176"/>
      <c r="W105" s="4176"/>
      <c r="X105" s="4176"/>
      <c r="Y105" s="4176"/>
      <c r="Z105" s="4176"/>
      <c r="AA105" s="4176"/>
      <c r="AB105" s="4176"/>
      <c r="AC105" s="4176"/>
      <c r="AD105" s="4176">
        <f t="shared" si="1"/>
        <v>0</v>
      </c>
      <c r="AE105"/>
      <c r="AF105" s="4176"/>
      <c r="AG105" s="4176"/>
      <c r="AH105" s="4176"/>
      <c r="AI105" s="4176"/>
      <c r="AJ105" s="4176"/>
      <c r="AK105" s="4176"/>
      <c r="AL105" s="4176"/>
      <c r="AM105" s="4176"/>
      <c r="AN105" s="4176"/>
      <c r="AO105" s="4176"/>
      <c r="AP105" s="4176"/>
      <c r="AQ105" s="4176"/>
      <c r="AR105" s="4176">
        <f t="shared" si="2"/>
        <v>0</v>
      </c>
      <c r="AS105"/>
      <c r="AT105" s="4176"/>
      <c r="AU105" s="4176"/>
      <c r="AV105" s="4176"/>
      <c r="AW105" s="4176"/>
      <c r="AX105" s="4176"/>
      <c r="AY105" s="4176"/>
      <c r="AZ105" s="4176"/>
      <c r="BA105" s="4176"/>
      <c r="BB105" s="4176"/>
      <c r="BC105" s="4176"/>
      <c r="BD105" s="4176"/>
      <c r="BE105" s="4176"/>
      <c r="BF105" s="4176">
        <f t="shared" si="3"/>
        <v>0</v>
      </c>
      <c r="BG105"/>
      <c r="BH105" s="4176"/>
      <c r="BI105" s="4176"/>
      <c r="BJ105" s="4176"/>
      <c r="BK105" s="4176"/>
      <c r="BL105" s="4176"/>
      <c r="BM105" s="4176"/>
      <c r="BN105" s="4176"/>
      <c r="BO105" s="4176"/>
      <c r="BP105" s="4176"/>
      <c r="BQ105" s="4176"/>
      <c r="BR105" s="4176"/>
      <c r="BS105" s="4176"/>
      <c r="BT105" s="4176">
        <f t="shared" si="4"/>
        <v>0</v>
      </c>
      <c r="BU105"/>
      <c r="BV105" s="4176"/>
      <c r="BW105" s="4176"/>
      <c r="BX105" s="4176"/>
      <c r="BY105" s="4176">
        <f t="shared" si="5"/>
        <v>0</v>
      </c>
      <c r="BZ105" s="4176">
        <f t="shared" si="6"/>
        <v>0</v>
      </c>
      <c r="CA105" s="4177"/>
      <c r="CB105" s="2051"/>
      <c r="CC105" s="2051"/>
      <c r="CD105" s="2051"/>
      <c r="CE105" s="2051"/>
      <c r="CF105" s="2051"/>
      <c r="CG105" s="2051"/>
      <c r="CH105" s="2051"/>
      <c r="CI105" s="2051"/>
    </row>
    <row r="106" spans="1:87" s="2050" customFormat="1" ht="30.75" hidden="1" customHeight="1" outlineLevel="3">
      <c r="A106" s="2006"/>
      <c r="B106" s="2040" t="s">
        <v>2276</v>
      </c>
      <c r="C106" s="2040"/>
      <c r="D106" s="2005" t="s">
        <v>824</v>
      </c>
      <c r="E106"/>
      <c r="F106" s="2064">
        <v>0</v>
      </c>
      <c r="G106" s="2064">
        <v>0</v>
      </c>
      <c r="H106" s="2064">
        <v>0</v>
      </c>
      <c r="I106" s="2064">
        <v>0</v>
      </c>
      <c r="J106" s="2064">
        <v>0</v>
      </c>
      <c r="K106" s="2064">
        <v>0</v>
      </c>
      <c r="L106" s="2064">
        <v>0</v>
      </c>
      <c r="M106" s="2064">
        <v>0</v>
      </c>
      <c r="N106" s="2064">
        <v>0</v>
      </c>
      <c r="O106" s="2064">
        <v>0</v>
      </c>
      <c r="P106" s="2064">
        <v>0</v>
      </c>
      <c r="Q106"/>
      <c r="R106" s="2064">
        <v>0</v>
      </c>
      <c r="S106" s="2064">
        <v>0</v>
      </c>
      <c r="T106" s="2064">
        <v>0</v>
      </c>
      <c r="U106" s="2064">
        <v>0</v>
      </c>
      <c r="V106" s="2064">
        <v>0</v>
      </c>
      <c r="W106" s="2064">
        <v>0</v>
      </c>
      <c r="X106" s="2064">
        <v>0</v>
      </c>
      <c r="Y106" s="2064">
        <v>0</v>
      </c>
      <c r="Z106" s="2064">
        <v>0</v>
      </c>
      <c r="AA106" s="2064">
        <v>0</v>
      </c>
      <c r="AB106" s="2064">
        <v>0</v>
      </c>
      <c r="AC106" s="2064">
        <v>0</v>
      </c>
      <c r="AD106" s="2064">
        <v>0</v>
      </c>
      <c r="AE106"/>
      <c r="AF106" s="2064">
        <v>0</v>
      </c>
      <c r="AG106" s="2064">
        <v>0</v>
      </c>
      <c r="AH106" s="2064">
        <v>15749.999999999998</v>
      </c>
      <c r="AI106" s="2064">
        <v>0</v>
      </c>
      <c r="AJ106" s="2064">
        <v>0</v>
      </c>
      <c r="AK106" s="2064">
        <v>0</v>
      </c>
      <c r="AL106" s="2064">
        <v>15749.999999999998</v>
      </c>
      <c r="AM106" s="2064">
        <v>0</v>
      </c>
      <c r="AN106" s="2064">
        <v>0</v>
      </c>
      <c r="AO106" s="2064">
        <v>13500</v>
      </c>
      <c r="AP106" s="2064">
        <v>0</v>
      </c>
      <c r="AQ106" s="2064">
        <v>0</v>
      </c>
      <c r="AR106" s="2064">
        <v>45000</v>
      </c>
      <c r="AS106"/>
      <c r="AT106" s="2064">
        <v>0</v>
      </c>
      <c r="AU106" s="2064">
        <v>0</v>
      </c>
      <c r="AV106" s="2064">
        <v>0</v>
      </c>
      <c r="AW106" s="2064">
        <v>0</v>
      </c>
      <c r="AX106" s="2064">
        <v>0</v>
      </c>
      <c r="AY106" s="2064">
        <v>0</v>
      </c>
      <c r="AZ106" s="2064">
        <v>0</v>
      </c>
      <c r="BA106" s="2064">
        <v>0</v>
      </c>
      <c r="BB106" s="2064">
        <v>0</v>
      </c>
      <c r="BC106" s="2064">
        <v>0</v>
      </c>
      <c r="BD106" s="2064">
        <v>0</v>
      </c>
      <c r="BE106" s="2064">
        <v>0</v>
      </c>
      <c r="BF106" s="2064">
        <v>0</v>
      </c>
      <c r="BG106"/>
      <c r="BH106" s="2064">
        <v>0</v>
      </c>
      <c r="BI106" s="2064">
        <v>0</v>
      </c>
      <c r="BJ106" s="2064">
        <v>0</v>
      </c>
      <c r="BK106" s="2064">
        <v>0</v>
      </c>
      <c r="BL106" s="2064">
        <v>0</v>
      </c>
      <c r="BM106" s="2064">
        <v>0</v>
      </c>
      <c r="BN106" s="2064">
        <v>0</v>
      </c>
      <c r="BO106" s="2064">
        <v>0</v>
      </c>
      <c r="BP106" s="2064">
        <v>0</v>
      </c>
      <c r="BQ106" s="2064">
        <v>0</v>
      </c>
      <c r="BR106" s="2064">
        <v>0</v>
      </c>
      <c r="BS106" s="2064">
        <v>0</v>
      </c>
      <c r="BT106" s="2064">
        <v>0</v>
      </c>
      <c r="BU106"/>
      <c r="BV106" s="2064">
        <v>0</v>
      </c>
      <c r="BW106" s="2064">
        <v>0</v>
      </c>
      <c r="BX106" s="2064">
        <v>0</v>
      </c>
      <c r="BY106" s="2064">
        <v>0</v>
      </c>
      <c r="BZ106" s="2064">
        <v>45000</v>
      </c>
    </row>
    <row r="107" spans="1:87" s="2058" customFormat="1" ht="27.5" hidden="1" customHeight="1" outlineLevel="4">
      <c r="A107" s="1835"/>
      <c r="B107" s="1849" t="s">
        <v>2383</v>
      </c>
      <c r="C107" s="1849"/>
      <c r="D107" s="618" t="s">
        <v>826</v>
      </c>
      <c r="E107"/>
      <c r="F107" s="2066"/>
      <c r="G107" s="2066"/>
      <c r="H107" s="2066"/>
      <c r="I107" s="2066"/>
      <c r="J107" s="2066"/>
      <c r="K107" s="2066"/>
      <c r="L107" s="2066"/>
      <c r="M107" s="2066"/>
      <c r="N107" s="2066"/>
      <c r="O107" s="2066"/>
      <c r="P107" s="2067">
        <v>0</v>
      </c>
      <c r="Q107"/>
      <c r="R107" s="2066"/>
      <c r="S107" s="2066"/>
      <c r="T107" s="2066"/>
      <c r="U107" s="2066"/>
      <c r="V107" s="2066"/>
      <c r="W107" s="2066"/>
      <c r="X107" s="2066"/>
      <c r="Y107" s="2066"/>
      <c r="Z107" s="2066"/>
      <c r="AA107" s="2066"/>
      <c r="AB107" s="2066"/>
      <c r="AC107" s="2066"/>
      <c r="AD107" s="2068">
        <v>0</v>
      </c>
      <c r="AE107"/>
      <c r="AF107" s="2066"/>
      <c r="AG107" s="2066"/>
      <c r="AH107" s="2066">
        <v>15749.999999999998</v>
      </c>
      <c r="AI107" s="2066"/>
      <c r="AJ107" s="2066"/>
      <c r="AK107" s="2066"/>
      <c r="AL107" s="2066">
        <v>15749.999999999998</v>
      </c>
      <c r="AM107" s="2066"/>
      <c r="AN107" s="2066"/>
      <c r="AO107" s="2066">
        <v>13500</v>
      </c>
      <c r="AP107" s="2066"/>
      <c r="AQ107" s="2066"/>
      <c r="AR107" s="2068">
        <v>45000</v>
      </c>
      <c r="AS107"/>
      <c r="AT107" s="2066"/>
      <c r="AU107" s="2066"/>
      <c r="AV107" s="2066"/>
      <c r="AW107" s="2066"/>
      <c r="AX107" s="2066"/>
      <c r="AY107" s="2066"/>
      <c r="AZ107" s="2066"/>
      <c r="BA107" s="2066"/>
      <c r="BB107" s="2066"/>
      <c r="BC107" s="2066"/>
      <c r="BD107" s="2066"/>
      <c r="BE107" s="2066"/>
      <c r="BF107" s="2068">
        <v>0</v>
      </c>
      <c r="BG107"/>
      <c r="BH107" s="2066"/>
      <c r="BI107" s="2066"/>
      <c r="BJ107" s="2066"/>
      <c r="BK107" s="2066"/>
      <c r="BL107" s="2066"/>
      <c r="BM107" s="2066"/>
      <c r="BN107" s="2066"/>
      <c r="BO107" s="2066"/>
      <c r="BP107" s="2066"/>
      <c r="BQ107" s="2066"/>
      <c r="BR107" s="2066"/>
      <c r="BS107" s="2066"/>
      <c r="BT107" s="2069">
        <v>0</v>
      </c>
      <c r="BU107"/>
      <c r="BV107" s="2066"/>
      <c r="BW107" s="2066"/>
      <c r="BX107" s="2066"/>
      <c r="BY107" s="2069">
        <v>0</v>
      </c>
      <c r="BZ107" s="2069">
        <v>45000</v>
      </c>
      <c r="CA107" s="2051"/>
      <c r="CB107" s="2051"/>
      <c r="CC107" s="2051"/>
      <c r="CD107" s="2051"/>
      <c r="CE107" s="2051"/>
      <c r="CF107" s="2051"/>
      <c r="CG107" s="2051"/>
      <c r="CH107" s="2051"/>
      <c r="CI107" s="2051"/>
    </row>
    <row r="108" spans="1:87" s="2050" customFormat="1" ht="30.75" hidden="1" customHeight="1" outlineLevel="3">
      <c r="A108" s="2006"/>
      <c r="B108" s="2040" t="s">
        <v>2277</v>
      </c>
      <c r="C108" s="2040"/>
      <c r="D108" s="2005" t="s">
        <v>828</v>
      </c>
      <c r="E108"/>
      <c r="F108" s="2064">
        <v>0</v>
      </c>
      <c r="G108" s="2064">
        <v>0</v>
      </c>
      <c r="H108" s="2064">
        <v>0</v>
      </c>
      <c r="I108" s="2064">
        <v>0</v>
      </c>
      <c r="J108" s="2064">
        <v>0</v>
      </c>
      <c r="K108" s="2064">
        <v>0</v>
      </c>
      <c r="L108" s="2064">
        <v>0</v>
      </c>
      <c r="M108" s="2064">
        <v>0</v>
      </c>
      <c r="N108" s="2064">
        <v>0</v>
      </c>
      <c r="O108" s="2064">
        <v>0</v>
      </c>
      <c r="P108" s="2064">
        <v>0</v>
      </c>
      <c r="Q108"/>
      <c r="R108" s="2064">
        <v>0</v>
      </c>
      <c r="S108" s="2064">
        <v>0</v>
      </c>
      <c r="T108" s="2064">
        <v>0</v>
      </c>
      <c r="U108" s="2064">
        <v>0</v>
      </c>
      <c r="V108" s="2064">
        <v>0</v>
      </c>
      <c r="W108" s="2064">
        <v>0</v>
      </c>
      <c r="X108" s="2064">
        <v>0</v>
      </c>
      <c r="Y108" s="2064">
        <v>0</v>
      </c>
      <c r="Z108" s="2064">
        <v>0</v>
      </c>
      <c r="AA108" s="2064">
        <v>0</v>
      </c>
      <c r="AB108" s="2064">
        <v>0</v>
      </c>
      <c r="AC108" s="2064">
        <v>0</v>
      </c>
      <c r="AD108" s="2064">
        <v>0</v>
      </c>
      <c r="AE108"/>
      <c r="AF108" s="2064">
        <v>0</v>
      </c>
      <c r="AG108" s="2064">
        <v>0</v>
      </c>
      <c r="AH108" s="2064">
        <v>0</v>
      </c>
      <c r="AI108" s="2064">
        <v>0</v>
      </c>
      <c r="AJ108" s="2072">
        <v>40200</v>
      </c>
      <c r="AK108" s="2072">
        <v>0</v>
      </c>
      <c r="AL108" s="2072">
        <v>0</v>
      </c>
      <c r="AM108" s="2072">
        <v>0</v>
      </c>
      <c r="AN108" s="2072">
        <v>40200</v>
      </c>
      <c r="AO108" s="2072">
        <v>0</v>
      </c>
      <c r="AP108" s="2072">
        <v>0</v>
      </c>
      <c r="AQ108" s="2072">
        <v>0</v>
      </c>
      <c r="AR108" s="2072">
        <v>80400</v>
      </c>
      <c r="AS108"/>
      <c r="AT108" s="2072">
        <v>40200</v>
      </c>
      <c r="AU108" s="2072">
        <v>0</v>
      </c>
      <c r="AV108" s="2072">
        <v>0</v>
      </c>
      <c r="AW108" s="2072">
        <v>0</v>
      </c>
      <c r="AX108" s="2072">
        <v>40200</v>
      </c>
      <c r="AY108" s="2072">
        <v>0</v>
      </c>
      <c r="AZ108" s="2072">
        <v>0</v>
      </c>
      <c r="BA108" s="2072">
        <v>0</v>
      </c>
      <c r="BB108" s="2072">
        <v>40200</v>
      </c>
      <c r="BC108" s="2072">
        <v>0</v>
      </c>
      <c r="BD108" s="2072">
        <v>0</v>
      </c>
      <c r="BE108" s="2072">
        <v>0</v>
      </c>
      <c r="BF108" s="2072">
        <v>120600</v>
      </c>
      <c r="BG108"/>
      <c r="BH108" s="2064">
        <v>0</v>
      </c>
      <c r="BI108" s="2064">
        <v>0</v>
      </c>
      <c r="BJ108" s="2064">
        <v>0</v>
      </c>
      <c r="BK108" s="2064">
        <v>0</v>
      </c>
      <c r="BL108" s="2064">
        <v>0</v>
      </c>
      <c r="BM108" s="2064">
        <v>0</v>
      </c>
      <c r="BN108" s="2064">
        <v>0</v>
      </c>
      <c r="BO108" s="2064">
        <v>0</v>
      </c>
      <c r="BP108" s="2064">
        <v>0</v>
      </c>
      <c r="BQ108" s="2064">
        <v>0</v>
      </c>
      <c r="BR108" s="2064">
        <v>0</v>
      </c>
      <c r="BS108" s="2064">
        <v>0</v>
      </c>
      <c r="BT108" s="2064">
        <v>0</v>
      </c>
      <c r="BU108"/>
      <c r="BV108" s="2064">
        <v>0</v>
      </c>
      <c r="BW108" s="2064">
        <v>0</v>
      </c>
      <c r="BX108" s="2064">
        <v>0</v>
      </c>
      <c r="BY108" s="2064">
        <v>0</v>
      </c>
      <c r="BZ108" s="2064">
        <v>201000</v>
      </c>
    </row>
    <row r="109" spans="1:87" s="2058" customFormat="1" ht="41.5" hidden="1" customHeight="1" outlineLevel="4">
      <c r="A109" s="1835"/>
      <c r="B109" s="1849" t="s">
        <v>2384</v>
      </c>
      <c r="C109" s="1849"/>
      <c r="D109" s="618" t="s">
        <v>830</v>
      </c>
      <c r="E109"/>
      <c r="F109" s="4174"/>
      <c r="G109" s="4174"/>
      <c r="H109" s="4174"/>
      <c r="I109" s="4174"/>
      <c r="J109" s="4174"/>
      <c r="K109" s="4174"/>
      <c r="L109" s="4174"/>
      <c r="M109" s="4174"/>
      <c r="N109" s="4174"/>
      <c r="O109" s="4174"/>
      <c r="P109" s="4174">
        <v>0</v>
      </c>
      <c r="Q109"/>
      <c r="R109" s="4174"/>
      <c r="S109" s="4174"/>
      <c r="T109" s="4174"/>
      <c r="U109" s="4174"/>
      <c r="V109" s="4174"/>
      <c r="W109" s="4174"/>
      <c r="X109" s="4174"/>
      <c r="Y109" s="4174"/>
      <c r="Z109" s="4174"/>
      <c r="AA109" s="4174"/>
      <c r="AB109" s="4174"/>
      <c r="AC109" s="4174"/>
      <c r="AD109" s="4174">
        <v>0</v>
      </c>
      <c r="AE109"/>
      <c r="AF109" s="4174"/>
      <c r="AG109" s="4174"/>
      <c r="AH109" s="4174"/>
      <c r="AI109" s="4174"/>
      <c r="AJ109" s="4174">
        <v>40200</v>
      </c>
      <c r="AK109" s="4174"/>
      <c r="AL109" s="4174"/>
      <c r="AM109" s="4174"/>
      <c r="AN109" s="4174">
        <v>40200</v>
      </c>
      <c r="AO109" s="4174"/>
      <c r="AP109" s="4174"/>
      <c r="AQ109" s="4174"/>
      <c r="AR109" s="4178">
        <v>80400</v>
      </c>
      <c r="AS109"/>
      <c r="AT109" s="4174">
        <v>40200</v>
      </c>
      <c r="AU109" s="4174"/>
      <c r="AV109" s="4174"/>
      <c r="AW109" s="4174"/>
      <c r="AX109" s="4174">
        <v>40200</v>
      </c>
      <c r="AY109" s="4174"/>
      <c r="AZ109" s="4174"/>
      <c r="BA109" s="4174"/>
      <c r="BB109" s="4174">
        <v>40200</v>
      </c>
      <c r="BC109" s="4174"/>
      <c r="BD109" s="4174"/>
      <c r="BE109" s="4174"/>
      <c r="BF109" s="4178">
        <v>120600</v>
      </c>
      <c r="BG109"/>
      <c r="BH109" s="4174"/>
      <c r="BI109" s="4174"/>
      <c r="BJ109" s="4174"/>
      <c r="BK109" s="4174"/>
      <c r="BL109" s="4174"/>
      <c r="BM109" s="4174"/>
      <c r="BN109" s="4174"/>
      <c r="BO109" s="4174"/>
      <c r="BP109" s="4174"/>
      <c r="BQ109" s="4174"/>
      <c r="BR109" s="4174"/>
      <c r="BS109" s="4174"/>
      <c r="BT109" s="4174">
        <v>0</v>
      </c>
      <c r="BU109"/>
      <c r="BV109" s="4174"/>
      <c r="BW109" s="4174"/>
      <c r="BX109" s="4174"/>
      <c r="BY109" s="4174">
        <v>0</v>
      </c>
      <c r="BZ109" s="4174">
        <v>201000</v>
      </c>
      <c r="CA109" s="4177"/>
      <c r="CB109" s="2051"/>
      <c r="CC109" s="2051"/>
      <c r="CD109" s="2051"/>
      <c r="CE109" s="2051"/>
      <c r="CF109" s="2051"/>
      <c r="CG109" s="2051"/>
      <c r="CH109" s="2051"/>
      <c r="CI109" s="2051"/>
    </row>
    <row r="110" spans="1:87" s="2058" customFormat="1" ht="14.5" hidden="1" customHeight="1" outlineLevel="4">
      <c r="A110" s="1835"/>
      <c r="B110" s="1849" t="s">
        <v>2385</v>
      </c>
      <c r="C110" s="1849"/>
      <c r="D110" s="618" t="s">
        <v>2386</v>
      </c>
      <c r="E110"/>
      <c r="F110" s="4176"/>
      <c r="G110" s="4176"/>
      <c r="H110" s="4176"/>
      <c r="I110" s="4176"/>
      <c r="J110" s="4176"/>
      <c r="K110" s="4176"/>
      <c r="L110" s="4176"/>
      <c r="M110" s="4176"/>
      <c r="N110" s="4176"/>
      <c r="O110" s="4176"/>
      <c r="P110" s="4176">
        <f t="shared" si="0"/>
        <v>0</v>
      </c>
      <c r="Q110"/>
      <c r="R110" s="4176"/>
      <c r="S110" s="4176"/>
      <c r="T110" s="4176"/>
      <c r="U110" s="4176"/>
      <c r="V110" s="4176"/>
      <c r="W110" s="4176"/>
      <c r="X110" s="4176"/>
      <c r="Y110" s="4176"/>
      <c r="Z110" s="4176"/>
      <c r="AA110" s="4176"/>
      <c r="AB110" s="4176"/>
      <c r="AC110" s="4176"/>
      <c r="AD110" s="4176">
        <f t="shared" si="1"/>
        <v>0</v>
      </c>
      <c r="AE110"/>
      <c r="AF110" s="4176"/>
      <c r="AG110" s="4176"/>
      <c r="AH110" s="4176"/>
      <c r="AI110" s="4176"/>
      <c r="AJ110" s="4176"/>
      <c r="AK110" s="4176"/>
      <c r="AL110" s="4176"/>
      <c r="AM110" s="4176"/>
      <c r="AN110" s="4176"/>
      <c r="AO110" s="4176"/>
      <c r="AP110" s="4176"/>
      <c r="AQ110" s="4176"/>
      <c r="AR110" s="4179">
        <f t="shared" si="2"/>
        <v>0</v>
      </c>
      <c r="AS110"/>
      <c r="AT110" s="4176"/>
      <c r="AU110" s="4176"/>
      <c r="AV110" s="4176"/>
      <c r="AW110" s="4176"/>
      <c r="AX110" s="4176"/>
      <c r="AY110" s="4176"/>
      <c r="AZ110" s="4176"/>
      <c r="BA110" s="4176"/>
      <c r="BB110" s="4176"/>
      <c r="BC110" s="4176"/>
      <c r="BD110" s="4176"/>
      <c r="BE110" s="4176"/>
      <c r="BF110" s="4179">
        <f t="shared" si="3"/>
        <v>0</v>
      </c>
      <c r="BG110"/>
      <c r="BH110" s="4176"/>
      <c r="BI110" s="4176"/>
      <c r="BJ110" s="4176"/>
      <c r="BK110" s="4176"/>
      <c r="BL110" s="4176"/>
      <c r="BM110" s="4176"/>
      <c r="BN110" s="4176"/>
      <c r="BO110" s="4176"/>
      <c r="BP110" s="4176"/>
      <c r="BQ110" s="4176"/>
      <c r="BR110" s="4176"/>
      <c r="BS110" s="4176"/>
      <c r="BT110" s="4176">
        <f t="shared" si="4"/>
        <v>0</v>
      </c>
      <c r="BU110"/>
      <c r="BV110" s="4176"/>
      <c r="BW110" s="4176"/>
      <c r="BX110" s="4176"/>
      <c r="BY110" s="4176">
        <f t="shared" si="5"/>
        <v>0</v>
      </c>
      <c r="BZ110" s="4176">
        <f t="shared" si="6"/>
        <v>0</v>
      </c>
      <c r="CA110" s="4177"/>
      <c r="CB110" s="2051"/>
      <c r="CC110" s="2051"/>
      <c r="CD110" s="2051"/>
      <c r="CE110" s="2051"/>
      <c r="CF110" s="2051"/>
      <c r="CG110" s="2051"/>
      <c r="CH110" s="2051"/>
      <c r="CI110" s="2051"/>
    </row>
    <row r="111" spans="1:87" s="2050" customFormat="1" ht="30.75" hidden="1" customHeight="1" outlineLevel="3">
      <c r="A111" s="2004"/>
      <c r="B111" s="2059" t="s">
        <v>2278</v>
      </c>
      <c r="C111" s="2059"/>
      <c r="D111" s="1128" t="s">
        <v>833</v>
      </c>
      <c r="E111"/>
      <c r="F111" s="2129"/>
      <c r="G111" s="2129"/>
      <c r="H111" s="2129"/>
      <c r="I111" s="2129"/>
      <c r="J111" s="2129"/>
      <c r="K111" s="2129"/>
      <c r="L111" s="2129"/>
      <c r="M111" s="2129"/>
      <c r="N111" s="2129"/>
      <c r="O111" s="2129"/>
      <c r="P111" s="2129">
        <v>0</v>
      </c>
      <c r="Q111"/>
      <c r="R111" s="2129"/>
      <c r="S111" s="2129"/>
      <c r="T111" s="2129"/>
      <c r="U111" s="2129"/>
      <c r="V111" s="2129"/>
      <c r="W111" s="2129"/>
      <c r="X111" s="2129"/>
      <c r="Y111" s="2129"/>
      <c r="Z111" s="2129"/>
      <c r="AA111" s="2129"/>
      <c r="AB111" s="2129"/>
      <c r="AC111" s="2129"/>
      <c r="AD111" s="2129">
        <v>0</v>
      </c>
      <c r="AE111"/>
      <c r="AF111" s="2129"/>
      <c r="AG111" s="2129"/>
      <c r="AH111" s="2129"/>
      <c r="AI111" s="2129"/>
      <c r="AJ111" s="1047">
        <v>14000</v>
      </c>
      <c r="AK111" s="1047"/>
      <c r="AL111" s="1047"/>
      <c r="AM111" s="1047"/>
      <c r="AN111" s="1047">
        <v>14000</v>
      </c>
      <c r="AO111" s="1047"/>
      <c r="AP111" s="1047"/>
      <c r="AQ111" s="1047"/>
      <c r="AR111" s="1047">
        <v>28000</v>
      </c>
      <c r="AS111"/>
      <c r="AT111" s="1047">
        <v>14000</v>
      </c>
      <c r="AU111" s="1047"/>
      <c r="AV111" s="1047"/>
      <c r="AW111" s="1047"/>
      <c r="AX111" s="1047">
        <v>14000</v>
      </c>
      <c r="AY111" s="1047"/>
      <c r="AZ111" s="1047"/>
      <c r="BA111" s="1047"/>
      <c r="BB111" s="1047">
        <v>14000</v>
      </c>
      <c r="BC111" s="1047"/>
      <c r="BD111" s="1047"/>
      <c r="BE111" s="1047"/>
      <c r="BF111" s="1047">
        <v>42000</v>
      </c>
      <c r="BG111"/>
      <c r="BH111" s="2129"/>
      <c r="BI111" s="2129"/>
      <c r="BJ111" s="2129"/>
      <c r="BK111" s="2129"/>
      <c r="BL111" s="2129"/>
      <c r="BM111" s="2129"/>
      <c r="BN111" s="2129"/>
      <c r="BO111" s="2129"/>
      <c r="BP111" s="2129"/>
      <c r="BQ111" s="2129"/>
      <c r="BR111" s="2129"/>
      <c r="BS111" s="2129"/>
      <c r="BT111" s="2129">
        <v>0</v>
      </c>
      <c r="BU111"/>
      <c r="BV111" s="2129"/>
      <c r="BW111" s="2129"/>
      <c r="BX111" s="2129"/>
      <c r="BY111" s="2129">
        <v>0</v>
      </c>
      <c r="BZ111" s="2069">
        <v>70000</v>
      </c>
    </row>
    <row r="112" spans="1:87" s="2050" customFormat="1" ht="33" customHeight="1" outlineLevel="2" collapsed="1">
      <c r="A112" s="1529"/>
      <c r="B112" s="1934" t="s">
        <v>510</v>
      </c>
      <c r="C112" s="1934"/>
      <c r="D112" s="2049" t="s">
        <v>27</v>
      </c>
      <c r="E112"/>
      <c r="F112" s="1529">
        <v>0</v>
      </c>
      <c r="G112" s="1529">
        <v>0</v>
      </c>
      <c r="H112" s="1529">
        <v>0</v>
      </c>
      <c r="I112" s="1529">
        <v>0</v>
      </c>
      <c r="J112" s="1529">
        <v>0</v>
      </c>
      <c r="K112" s="1529">
        <v>0</v>
      </c>
      <c r="L112" s="1529">
        <v>0</v>
      </c>
      <c r="M112" s="1529">
        <v>0</v>
      </c>
      <c r="N112" s="1529">
        <v>0</v>
      </c>
      <c r="O112" s="1529">
        <v>0</v>
      </c>
      <c r="P112" s="1529">
        <v>0</v>
      </c>
      <c r="Q112"/>
      <c r="R112" s="1529">
        <v>0</v>
      </c>
      <c r="S112" s="1529">
        <v>0</v>
      </c>
      <c r="T112" s="1529">
        <v>0</v>
      </c>
      <c r="U112" s="1529">
        <v>0</v>
      </c>
      <c r="V112" s="1529">
        <v>0</v>
      </c>
      <c r="W112" s="1529">
        <v>42000</v>
      </c>
      <c r="X112" s="1529">
        <v>0</v>
      </c>
      <c r="Y112" s="1529">
        <v>0</v>
      </c>
      <c r="Z112" s="1529">
        <v>42000</v>
      </c>
      <c r="AA112" s="1529">
        <v>0</v>
      </c>
      <c r="AB112" s="1529">
        <v>0</v>
      </c>
      <c r="AC112" s="1529">
        <v>36000</v>
      </c>
      <c r="AD112" s="1529">
        <v>120000</v>
      </c>
      <c r="AE112"/>
      <c r="AF112" s="1529">
        <v>0</v>
      </c>
      <c r="AG112" s="1529">
        <v>0</v>
      </c>
      <c r="AH112" s="1529">
        <v>0</v>
      </c>
      <c r="AI112" s="1529">
        <v>133000</v>
      </c>
      <c r="AJ112" s="1529">
        <v>0</v>
      </c>
      <c r="AK112" s="1529">
        <v>0</v>
      </c>
      <c r="AL112" s="1529">
        <v>0</v>
      </c>
      <c r="AM112" s="1529">
        <v>133000</v>
      </c>
      <c r="AN112" s="1529">
        <v>0</v>
      </c>
      <c r="AO112" s="1529">
        <v>0</v>
      </c>
      <c r="AP112" s="1529">
        <v>0</v>
      </c>
      <c r="AQ112" s="1529">
        <v>114000</v>
      </c>
      <c r="AR112" s="1529">
        <v>380000</v>
      </c>
      <c r="AS112"/>
      <c r="AT112" s="1529">
        <v>0</v>
      </c>
      <c r="AU112" s="1529">
        <v>0</v>
      </c>
      <c r="AV112" s="1529">
        <v>0</v>
      </c>
      <c r="AW112" s="1529">
        <v>0</v>
      </c>
      <c r="AX112" s="1529">
        <v>0</v>
      </c>
      <c r="AY112" s="1529">
        <v>0</v>
      </c>
      <c r="AZ112" s="1529">
        <v>0</v>
      </c>
      <c r="BA112" s="1529">
        <v>0</v>
      </c>
      <c r="BB112" s="1529">
        <v>0</v>
      </c>
      <c r="BC112" s="1529">
        <v>0</v>
      </c>
      <c r="BD112" s="1529">
        <v>0</v>
      </c>
      <c r="BE112" s="1529">
        <v>0</v>
      </c>
      <c r="BF112" s="1529">
        <v>0</v>
      </c>
      <c r="BG112"/>
      <c r="BH112" s="1529">
        <v>0</v>
      </c>
      <c r="BI112" s="1529">
        <v>0</v>
      </c>
      <c r="BJ112" s="1529">
        <v>0</v>
      </c>
      <c r="BK112" s="1529">
        <v>0</v>
      </c>
      <c r="BL112" s="1529">
        <v>0</v>
      </c>
      <c r="BM112" s="1529">
        <v>0</v>
      </c>
      <c r="BN112" s="1529">
        <v>0</v>
      </c>
      <c r="BO112" s="1529">
        <v>0</v>
      </c>
      <c r="BP112" s="1529">
        <v>0</v>
      </c>
      <c r="BQ112" s="1529">
        <v>0</v>
      </c>
      <c r="BR112" s="1529">
        <v>0</v>
      </c>
      <c r="BS112" s="1529">
        <v>0</v>
      </c>
      <c r="BT112" s="1529">
        <v>0</v>
      </c>
      <c r="BU112"/>
      <c r="BV112" s="1529">
        <v>0</v>
      </c>
      <c r="BW112" s="1529">
        <v>0</v>
      </c>
      <c r="BX112" s="1529">
        <v>0</v>
      </c>
      <c r="BY112" s="1529">
        <v>0</v>
      </c>
      <c r="BZ112" s="1529">
        <v>500000</v>
      </c>
      <c r="CI112" s="2051"/>
    </row>
    <row r="113" spans="1:87" s="2052" customFormat="1" ht="27.5" hidden="1" customHeight="1" outlineLevel="3">
      <c r="A113" s="2006"/>
      <c r="B113" s="2040" t="s">
        <v>2387</v>
      </c>
      <c r="C113" s="2040"/>
      <c r="D113" s="2005" t="s">
        <v>835</v>
      </c>
      <c r="E113"/>
      <c r="F113" s="1847">
        <v>0</v>
      </c>
      <c r="G113" s="1847">
        <v>0</v>
      </c>
      <c r="H113" s="1847">
        <v>0</v>
      </c>
      <c r="I113" s="1847">
        <v>0</v>
      </c>
      <c r="J113" s="1847">
        <v>0</v>
      </c>
      <c r="K113" s="1847">
        <v>0</v>
      </c>
      <c r="L113" s="1847">
        <v>0</v>
      </c>
      <c r="M113" s="1847">
        <v>0</v>
      </c>
      <c r="N113" s="1847">
        <v>0</v>
      </c>
      <c r="O113" s="1847">
        <v>0</v>
      </c>
      <c r="P113" s="1847">
        <v>0</v>
      </c>
      <c r="Q113"/>
      <c r="R113" s="1847">
        <v>0</v>
      </c>
      <c r="S113" s="1847">
        <v>0</v>
      </c>
      <c r="T113" s="1847">
        <v>0</v>
      </c>
      <c r="U113" s="1847">
        <v>0</v>
      </c>
      <c r="V113" s="1847">
        <v>0</v>
      </c>
      <c r="W113" s="1847">
        <v>42000</v>
      </c>
      <c r="X113" s="1847">
        <v>0</v>
      </c>
      <c r="Y113" s="1847">
        <v>0</v>
      </c>
      <c r="Z113" s="1847">
        <v>42000</v>
      </c>
      <c r="AA113" s="1847">
        <v>0</v>
      </c>
      <c r="AB113" s="1847">
        <v>0</v>
      </c>
      <c r="AC113" s="1847">
        <v>36000</v>
      </c>
      <c r="AD113" s="1847">
        <v>120000</v>
      </c>
      <c r="AE113"/>
      <c r="AF113" s="1847">
        <v>0</v>
      </c>
      <c r="AG113" s="1847">
        <v>0</v>
      </c>
      <c r="AH113" s="1847">
        <v>0</v>
      </c>
      <c r="AI113" s="1847">
        <v>0</v>
      </c>
      <c r="AJ113" s="1847">
        <v>0</v>
      </c>
      <c r="AK113" s="1847">
        <v>0</v>
      </c>
      <c r="AL113" s="1847">
        <v>0</v>
      </c>
      <c r="AM113" s="1847">
        <v>0</v>
      </c>
      <c r="AN113" s="1847">
        <v>0</v>
      </c>
      <c r="AO113" s="1847">
        <v>0</v>
      </c>
      <c r="AP113" s="1847">
        <v>0</v>
      </c>
      <c r="AQ113" s="1847">
        <v>0</v>
      </c>
      <c r="AR113" s="1847">
        <v>0</v>
      </c>
      <c r="AS113"/>
      <c r="AT113" s="1847">
        <v>0</v>
      </c>
      <c r="AU113" s="1847">
        <v>0</v>
      </c>
      <c r="AV113" s="1847">
        <v>0</v>
      </c>
      <c r="AW113" s="1847">
        <v>0</v>
      </c>
      <c r="AX113" s="1847">
        <v>0</v>
      </c>
      <c r="AY113" s="1847">
        <v>0</v>
      </c>
      <c r="AZ113" s="1847">
        <v>0</v>
      </c>
      <c r="BA113" s="1847">
        <v>0</v>
      </c>
      <c r="BB113" s="1847">
        <v>0</v>
      </c>
      <c r="BC113" s="1847">
        <v>0</v>
      </c>
      <c r="BD113" s="1847">
        <v>0</v>
      </c>
      <c r="BE113" s="1847">
        <v>0</v>
      </c>
      <c r="BF113" s="1848">
        <v>0</v>
      </c>
      <c r="BG113"/>
      <c r="BH113" s="1847">
        <v>0</v>
      </c>
      <c r="BI113" s="1847">
        <v>0</v>
      </c>
      <c r="BJ113" s="1847">
        <v>0</v>
      </c>
      <c r="BK113" s="1847">
        <v>0</v>
      </c>
      <c r="BL113" s="1847">
        <v>0</v>
      </c>
      <c r="BM113" s="1847">
        <v>0</v>
      </c>
      <c r="BN113" s="1847">
        <v>0</v>
      </c>
      <c r="BO113" s="1847">
        <v>0</v>
      </c>
      <c r="BP113" s="1847">
        <v>0</v>
      </c>
      <c r="BQ113" s="1847">
        <v>0</v>
      </c>
      <c r="BR113" s="1847">
        <v>0</v>
      </c>
      <c r="BS113" s="1847">
        <v>0</v>
      </c>
      <c r="BT113" s="1458">
        <v>0</v>
      </c>
      <c r="BU113"/>
      <c r="BV113" s="1847">
        <v>0</v>
      </c>
      <c r="BW113" s="1847">
        <v>0</v>
      </c>
      <c r="BX113" s="1847">
        <v>0</v>
      </c>
      <c r="BY113" s="1458">
        <v>0</v>
      </c>
      <c r="BZ113" s="1458">
        <v>120000</v>
      </c>
      <c r="CA113" s="2050"/>
      <c r="CB113" s="2050"/>
      <c r="CC113" s="2050"/>
      <c r="CD113" s="2050"/>
      <c r="CE113" s="2050"/>
      <c r="CF113" s="2050"/>
      <c r="CG113" s="2050"/>
      <c r="CH113" s="2050"/>
      <c r="CI113" s="2050"/>
    </row>
    <row r="114" spans="1:87" s="2054" customFormat="1" ht="41.5" hidden="1" customHeight="1" outlineLevel="4">
      <c r="A114" s="1835"/>
      <c r="B114" s="1849" t="s">
        <v>2388</v>
      </c>
      <c r="C114" s="1849" t="s">
        <v>1279</v>
      </c>
      <c r="D114" s="618" t="s">
        <v>1359</v>
      </c>
      <c r="E114"/>
      <c r="F114" s="1047">
        <v>0</v>
      </c>
      <c r="G114" s="1047">
        <v>0</v>
      </c>
      <c r="H114" s="1047">
        <v>0</v>
      </c>
      <c r="I114" s="1047">
        <v>0</v>
      </c>
      <c r="J114" s="1047">
        <v>0</v>
      </c>
      <c r="K114" s="1047">
        <v>0</v>
      </c>
      <c r="L114" s="1047">
        <v>0</v>
      </c>
      <c r="M114" s="1047">
        <v>0</v>
      </c>
      <c r="N114" s="1047">
        <v>0</v>
      </c>
      <c r="O114" s="1047">
        <v>0</v>
      </c>
      <c r="P114" s="2044">
        <v>0</v>
      </c>
      <c r="Q114"/>
      <c r="R114" s="1047">
        <v>0</v>
      </c>
      <c r="S114" s="1047">
        <v>0</v>
      </c>
      <c r="T114" s="1047">
        <v>0</v>
      </c>
      <c r="U114" s="1047">
        <v>0</v>
      </c>
      <c r="V114" s="1047">
        <v>0</v>
      </c>
      <c r="W114" s="1047">
        <v>42000</v>
      </c>
      <c r="X114" s="1047">
        <v>0</v>
      </c>
      <c r="Y114" s="1047">
        <v>0</v>
      </c>
      <c r="Z114" s="1047">
        <v>42000</v>
      </c>
      <c r="AA114" s="1047">
        <v>0</v>
      </c>
      <c r="AB114" s="1047">
        <v>0</v>
      </c>
      <c r="AC114" s="1047">
        <v>36000</v>
      </c>
      <c r="AD114" s="2044">
        <v>120000</v>
      </c>
      <c r="AE114"/>
      <c r="AF114" s="1047">
        <v>0</v>
      </c>
      <c r="AG114" s="1047">
        <v>0</v>
      </c>
      <c r="AH114" s="1047">
        <v>0</v>
      </c>
      <c r="AI114" s="1047">
        <v>0</v>
      </c>
      <c r="AJ114" s="1047">
        <v>0</v>
      </c>
      <c r="AK114" s="1047">
        <v>0</v>
      </c>
      <c r="AL114" s="1047">
        <v>0</v>
      </c>
      <c r="AM114" s="1047">
        <v>0</v>
      </c>
      <c r="AN114" s="1047">
        <v>0</v>
      </c>
      <c r="AO114" s="1047">
        <v>0</v>
      </c>
      <c r="AP114" s="1047">
        <v>0</v>
      </c>
      <c r="AQ114" s="1047">
        <v>0</v>
      </c>
      <c r="AR114" s="2044">
        <v>0</v>
      </c>
      <c r="AS114"/>
      <c r="AT114" s="1047">
        <v>0</v>
      </c>
      <c r="AU114" s="1047">
        <v>0</v>
      </c>
      <c r="AV114" s="1047">
        <v>0</v>
      </c>
      <c r="AW114" s="1047">
        <v>0</v>
      </c>
      <c r="AX114" s="1047">
        <v>0</v>
      </c>
      <c r="AY114" s="1047">
        <v>0</v>
      </c>
      <c r="AZ114" s="1047">
        <v>0</v>
      </c>
      <c r="BA114" s="1047">
        <v>0</v>
      </c>
      <c r="BB114" s="1047">
        <v>0</v>
      </c>
      <c r="BC114" s="1047">
        <v>0</v>
      </c>
      <c r="BD114" s="1047">
        <v>0</v>
      </c>
      <c r="BE114" s="1047">
        <v>0</v>
      </c>
      <c r="BF114" s="2036">
        <v>0</v>
      </c>
      <c r="BG114"/>
      <c r="BH114" s="1047">
        <v>0</v>
      </c>
      <c r="BI114" s="1047">
        <v>0</v>
      </c>
      <c r="BJ114" s="1047">
        <v>0</v>
      </c>
      <c r="BK114" s="1047">
        <v>0</v>
      </c>
      <c r="BL114" s="1047">
        <v>0</v>
      </c>
      <c r="BM114" s="1047">
        <v>0</v>
      </c>
      <c r="BN114" s="1047">
        <v>0</v>
      </c>
      <c r="BO114" s="1047">
        <v>0</v>
      </c>
      <c r="BP114" s="1047">
        <v>0</v>
      </c>
      <c r="BQ114" s="1047">
        <v>0</v>
      </c>
      <c r="BR114" s="1047">
        <v>0</v>
      </c>
      <c r="BS114" s="1047">
        <v>0</v>
      </c>
      <c r="BT114" s="2015">
        <v>0</v>
      </c>
      <c r="BU114"/>
      <c r="BV114" s="1047">
        <v>0</v>
      </c>
      <c r="BW114" s="1047">
        <v>0</v>
      </c>
      <c r="BX114" s="1047">
        <v>0</v>
      </c>
      <c r="BY114" s="2015">
        <v>0</v>
      </c>
      <c r="BZ114" s="2015">
        <v>120000</v>
      </c>
      <c r="CA114" s="2051"/>
    </row>
    <row r="115" spans="1:87" s="2054" customFormat="1" ht="41.5" hidden="1" customHeight="1" outlineLevel="4">
      <c r="A115" s="1835"/>
      <c r="B115" s="1849" t="s">
        <v>2389</v>
      </c>
      <c r="C115" s="1849" t="s">
        <v>1279</v>
      </c>
      <c r="D115" s="618" t="s">
        <v>1362</v>
      </c>
      <c r="E115"/>
      <c r="F115" s="1835"/>
      <c r="G115" s="1835"/>
      <c r="H115" s="1835"/>
      <c r="I115" s="1835"/>
      <c r="J115" s="1835"/>
      <c r="K115" s="1835"/>
      <c r="L115" s="1835"/>
      <c r="M115" s="1835"/>
      <c r="N115" s="1835"/>
      <c r="O115" s="1835"/>
      <c r="P115" s="2044">
        <v>0</v>
      </c>
      <c r="Q115"/>
      <c r="R115" s="1835" t="s">
        <v>157</v>
      </c>
      <c r="S115" s="1835"/>
      <c r="T115" s="1835"/>
      <c r="U115" s="1835"/>
      <c r="V115" s="1835"/>
      <c r="W115" s="1835"/>
      <c r="X115" s="1835"/>
      <c r="Y115" s="1835"/>
      <c r="Z115" s="1835"/>
      <c r="AA115" s="1835"/>
      <c r="AB115" s="1835"/>
      <c r="AC115" s="1835"/>
      <c r="AD115" s="2044">
        <v>0</v>
      </c>
      <c r="AE115"/>
      <c r="AF115" s="1835"/>
      <c r="AG115" s="1835"/>
      <c r="AH115" s="1835"/>
      <c r="AI115" s="1835"/>
      <c r="AJ115" s="1835"/>
      <c r="AK115" s="1835"/>
      <c r="AL115" s="1835"/>
      <c r="AM115" s="1835"/>
      <c r="AN115" s="1835"/>
      <c r="AO115" s="1835"/>
      <c r="AP115" s="1835"/>
      <c r="AQ115" s="1835"/>
      <c r="AR115" s="2044">
        <v>0</v>
      </c>
      <c r="AS115"/>
      <c r="AT115" s="1835"/>
      <c r="AU115" s="1835"/>
      <c r="AV115" s="1835"/>
      <c r="AW115" s="1835"/>
      <c r="AX115" s="1835"/>
      <c r="AY115" s="1835"/>
      <c r="AZ115" s="1835"/>
      <c r="BA115" s="1835"/>
      <c r="BB115" s="1835"/>
      <c r="BC115" s="1835"/>
      <c r="BD115" s="1835"/>
      <c r="BE115" s="1835"/>
      <c r="BF115" s="2036">
        <v>0</v>
      </c>
      <c r="BG115"/>
      <c r="BH115" s="1835"/>
      <c r="BI115" s="1835"/>
      <c r="BJ115" s="1835"/>
      <c r="BK115" s="1835"/>
      <c r="BL115" s="1835"/>
      <c r="BM115" s="1835"/>
      <c r="BN115" s="1835"/>
      <c r="BO115" s="1835"/>
      <c r="BP115" s="1835"/>
      <c r="BQ115" s="1835"/>
      <c r="BR115" s="1835"/>
      <c r="BS115" s="1835"/>
      <c r="BT115" s="2015">
        <v>0</v>
      </c>
      <c r="BU115"/>
      <c r="BV115" s="1835"/>
      <c r="BW115" s="1835"/>
      <c r="BX115" s="1835"/>
      <c r="BY115" s="2015">
        <v>0</v>
      </c>
      <c r="BZ115" s="2015">
        <v>0</v>
      </c>
      <c r="CA115" s="2051"/>
    </row>
    <row r="116" spans="1:87" s="2054" customFormat="1" ht="55.25" hidden="1" customHeight="1" outlineLevel="4">
      <c r="A116" s="1835"/>
      <c r="B116" s="1849" t="s">
        <v>2390</v>
      </c>
      <c r="C116" s="1849" t="s">
        <v>1279</v>
      </c>
      <c r="D116" s="618" t="s">
        <v>837</v>
      </c>
      <c r="E116"/>
      <c r="F116" s="1835"/>
      <c r="G116" s="1835"/>
      <c r="H116" s="1835"/>
      <c r="I116" s="1835"/>
      <c r="J116" s="1835"/>
      <c r="K116" s="1835"/>
      <c r="L116" s="1835"/>
      <c r="M116" s="1835"/>
      <c r="N116" s="1835"/>
      <c r="O116" s="1835"/>
      <c r="P116" s="2044">
        <v>0</v>
      </c>
      <c r="Q116"/>
      <c r="R116" s="1835"/>
      <c r="S116" s="1835"/>
      <c r="T116" s="1835"/>
      <c r="U116" s="1835"/>
      <c r="V116" s="1835"/>
      <c r="W116" s="1835">
        <v>42000</v>
      </c>
      <c r="X116" s="1835"/>
      <c r="Y116" s="1835"/>
      <c r="Z116" s="1835">
        <v>42000</v>
      </c>
      <c r="AA116" s="1835"/>
      <c r="AB116" s="1835"/>
      <c r="AC116" s="1835">
        <v>36000</v>
      </c>
      <c r="AD116" s="2044">
        <v>120000</v>
      </c>
      <c r="AE116"/>
      <c r="AF116" s="1835"/>
      <c r="AG116" s="1835"/>
      <c r="AH116" s="1835"/>
      <c r="AI116" s="1835"/>
      <c r="AJ116" s="1835"/>
      <c r="AK116" s="1835"/>
      <c r="AL116" s="1835"/>
      <c r="AM116" s="1835"/>
      <c r="AN116" s="1835"/>
      <c r="AO116" s="1835"/>
      <c r="AP116" s="1835"/>
      <c r="AQ116" s="1835"/>
      <c r="AR116" s="2044">
        <v>0</v>
      </c>
      <c r="AS116"/>
      <c r="AT116" s="1835"/>
      <c r="AU116" s="1835"/>
      <c r="AV116" s="1835"/>
      <c r="AW116" s="1835"/>
      <c r="AX116" s="1835"/>
      <c r="AY116" s="1835"/>
      <c r="AZ116" s="1835"/>
      <c r="BA116" s="1835"/>
      <c r="BB116" s="1835"/>
      <c r="BC116" s="1835"/>
      <c r="BD116" s="1835"/>
      <c r="BE116" s="1835"/>
      <c r="BF116" s="2036">
        <v>0</v>
      </c>
      <c r="BG116"/>
      <c r="BH116" s="1835"/>
      <c r="BI116" s="1835"/>
      <c r="BJ116" s="1835"/>
      <c r="BK116" s="1835"/>
      <c r="BL116" s="1835"/>
      <c r="BM116" s="1835"/>
      <c r="BN116" s="1835"/>
      <c r="BO116" s="1835"/>
      <c r="BP116" s="1835"/>
      <c r="BQ116" s="1835"/>
      <c r="BR116" s="1835"/>
      <c r="BS116" s="1835"/>
      <c r="BT116" s="2015">
        <v>0</v>
      </c>
      <c r="BU116"/>
      <c r="BV116" s="1835"/>
      <c r="BW116" s="1835"/>
      <c r="BX116" s="1835"/>
      <c r="BY116" s="2015">
        <v>0</v>
      </c>
      <c r="BZ116" s="2015">
        <v>120000</v>
      </c>
      <c r="CA116" s="2051"/>
    </row>
    <row r="117" spans="1:87" s="2052" customFormat="1" ht="14" hidden="1" customHeight="1" outlineLevel="3">
      <c r="A117" s="2006"/>
      <c r="B117" s="2040" t="s">
        <v>2279</v>
      </c>
      <c r="C117" s="2040"/>
      <c r="D117" s="2005" t="s">
        <v>840</v>
      </c>
      <c r="E117"/>
      <c r="F117" s="1847">
        <v>0</v>
      </c>
      <c r="G117" s="1847">
        <v>0</v>
      </c>
      <c r="H117" s="1847">
        <v>0</v>
      </c>
      <c r="I117" s="1847">
        <v>0</v>
      </c>
      <c r="J117" s="1847">
        <v>0</v>
      </c>
      <c r="K117" s="1847">
        <v>0</v>
      </c>
      <c r="L117" s="1847">
        <v>0</v>
      </c>
      <c r="M117" s="1847">
        <v>0</v>
      </c>
      <c r="N117" s="1847">
        <v>0</v>
      </c>
      <c r="O117" s="1847">
        <v>0</v>
      </c>
      <c r="P117" s="1847">
        <v>0</v>
      </c>
      <c r="Q117"/>
      <c r="R117" s="1847">
        <v>0</v>
      </c>
      <c r="S117" s="1847">
        <v>0</v>
      </c>
      <c r="T117" s="1847">
        <v>0</v>
      </c>
      <c r="U117" s="1847">
        <v>0</v>
      </c>
      <c r="V117" s="1847">
        <v>0</v>
      </c>
      <c r="W117" s="1847">
        <v>0</v>
      </c>
      <c r="X117" s="1847">
        <v>0</v>
      </c>
      <c r="Y117" s="1847">
        <v>0</v>
      </c>
      <c r="Z117" s="1847">
        <v>0</v>
      </c>
      <c r="AA117" s="1847">
        <v>0</v>
      </c>
      <c r="AB117" s="1847">
        <v>0</v>
      </c>
      <c r="AC117" s="1847">
        <v>0</v>
      </c>
      <c r="AD117" s="1847">
        <v>0</v>
      </c>
      <c r="AE117"/>
      <c r="AF117" s="1847">
        <v>0</v>
      </c>
      <c r="AG117" s="1847">
        <v>0</v>
      </c>
      <c r="AH117" s="1847">
        <v>0</v>
      </c>
      <c r="AI117" s="1847">
        <v>133000</v>
      </c>
      <c r="AJ117" s="1847">
        <v>0</v>
      </c>
      <c r="AK117" s="1847">
        <v>0</v>
      </c>
      <c r="AL117" s="1847">
        <v>0</v>
      </c>
      <c r="AM117" s="1847">
        <v>133000</v>
      </c>
      <c r="AN117" s="1847">
        <v>0</v>
      </c>
      <c r="AO117" s="1847">
        <v>0</v>
      </c>
      <c r="AP117" s="1847">
        <v>0</v>
      </c>
      <c r="AQ117" s="1847">
        <v>114000</v>
      </c>
      <c r="AR117" s="1847">
        <v>380000</v>
      </c>
      <c r="AS117"/>
      <c r="AT117" s="1847">
        <v>0</v>
      </c>
      <c r="AU117" s="1847">
        <v>0</v>
      </c>
      <c r="AV117" s="1847">
        <v>0</v>
      </c>
      <c r="AW117" s="1847">
        <v>0</v>
      </c>
      <c r="AX117" s="1847">
        <v>0</v>
      </c>
      <c r="AY117" s="1847">
        <v>0</v>
      </c>
      <c r="AZ117" s="1847">
        <v>0</v>
      </c>
      <c r="BA117" s="1847">
        <v>0</v>
      </c>
      <c r="BB117" s="1847">
        <v>0</v>
      </c>
      <c r="BC117" s="1847">
        <v>0</v>
      </c>
      <c r="BD117" s="1847">
        <v>0</v>
      </c>
      <c r="BE117" s="1847">
        <v>0</v>
      </c>
      <c r="BF117" s="1847">
        <v>0</v>
      </c>
      <c r="BG117"/>
      <c r="BH117" s="1847">
        <v>0</v>
      </c>
      <c r="BI117" s="1847">
        <v>0</v>
      </c>
      <c r="BJ117" s="1847">
        <v>0</v>
      </c>
      <c r="BK117" s="1847">
        <v>0</v>
      </c>
      <c r="BL117" s="1847">
        <v>0</v>
      </c>
      <c r="BM117" s="1847">
        <v>0</v>
      </c>
      <c r="BN117" s="1847">
        <v>0</v>
      </c>
      <c r="BO117" s="1847">
        <v>0</v>
      </c>
      <c r="BP117" s="1847">
        <v>0</v>
      </c>
      <c r="BQ117" s="1847">
        <v>0</v>
      </c>
      <c r="BR117" s="1847">
        <v>0</v>
      </c>
      <c r="BS117" s="1847">
        <v>0</v>
      </c>
      <c r="BT117" s="1847">
        <v>0</v>
      </c>
      <c r="BU117"/>
      <c r="BV117" s="1847">
        <v>0</v>
      </c>
      <c r="BW117" s="1847">
        <v>0</v>
      </c>
      <c r="BX117" s="1847">
        <v>0</v>
      </c>
      <c r="BY117" s="1847">
        <v>0</v>
      </c>
      <c r="BZ117" s="1847">
        <v>380000</v>
      </c>
      <c r="CA117" s="2050"/>
      <c r="CB117" s="2050"/>
      <c r="CC117" s="2050"/>
      <c r="CD117" s="2050"/>
      <c r="CE117" s="2050"/>
      <c r="CF117" s="2050"/>
      <c r="CG117" s="2050"/>
      <c r="CH117" s="2050"/>
      <c r="CI117" s="2050"/>
    </row>
    <row r="118" spans="1:87" s="2054" customFormat="1" ht="47.5" hidden="1" customHeight="1" outlineLevel="4">
      <c r="A118" s="1835"/>
      <c r="B118" s="1849" t="s">
        <v>2391</v>
      </c>
      <c r="C118" s="1849"/>
      <c r="D118" s="618" t="s">
        <v>842</v>
      </c>
      <c r="E118"/>
      <c r="F118" s="1835"/>
      <c r="G118" s="1835"/>
      <c r="H118" s="1835"/>
      <c r="I118" s="1835"/>
      <c r="J118" s="1835"/>
      <c r="K118" s="1835"/>
      <c r="L118" s="1835"/>
      <c r="M118" s="1835"/>
      <c r="N118" s="1835"/>
      <c r="O118" s="1835"/>
      <c r="P118" s="2044">
        <v>0</v>
      </c>
      <c r="Q118"/>
      <c r="R118" s="1835"/>
      <c r="S118" s="1835"/>
      <c r="T118" s="1835"/>
      <c r="U118" s="1835"/>
      <c r="V118" s="1835"/>
      <c r="W118" s="1835"/>
      <c r="X118" s="1835"/>
      <c r="Y118" s="1835"/>
      <c r="Z118" s="1835"/>
      <c r="AA118" s="1835"/>
      <c r="AB118" s="1835"/>
      <c r="AC118" s="1835"/>
      <c r="AD118" s="2044">
        <v>0</v>
      </c>
      <c r="AE118"/>
      <c r="AF118" s="1835"/>
      <c r="AG118" s="1835"/>
      <c r="AH118" s="1835"/>
      <c r="AI118" s="1835">
        <v>133000</v>
      </c>
      <c r="AJ118" s="1835"/>
      <c r="AK118" s="1835"/>
      <c r="AL118" s="1835"/>
      <c r="AM118" s="1835">
        <v>133000</v>
      </c>
      <c r="AN118" s="1835"/>
      <c r="AO118" s="1835"/>
      <c r="AP118" s="1835"/>
      <c r="AQ118" s="1835">
        <v>114000</v>
      </c>
      <c r="AR118" s="2044">
        <v>380000</v>
      </c>
      <c r="AS118"/>
      <c r="AT118" s="1835"/>
      <c r="AU118" s="1835"/>
      <c r="AV118" s="1835"/>
      <c r="AW118" s="1835"/>
      <c r="AX118" s="1835"/>
      <c r="AY118" s="1835"/>
      <c r="AZ118" s="1835"/>
      <c r="BA118" s="1835"/>
      <c r="BB118" s="1835"/>
      <c r="BC118" s="1835"/>
      <c r="BD118" s="1835"/>
      <c r="BE118" s="1835"/>
      <c r="BF118" s="2036">
        <v>0</v>
      </c>
      <c r="BG118"/>
      <c r="BH118" s="1835"/>
      <c r="BI118" s="1835"/>
      <c r="BJ118" s="1835"/>
      <c r="BK118" s="1835"/>
      <c r="BL118" s="1835"/>
      <c r="BM118" s="1835"/>
      <c r="BN118" s="1835"/>
      <c r="BO118" s="1835"/>
      <c r="BP118" s="1835"/>
      <c r="BQ118" s="1835"/>
      <c r="BR118" s="1835"/>
      <c r="BS118" s="1835"/>
      <c r="BT118" s="2015">
        <v>0</v>
      </c>
      <c r="BU118"/>
      <c r="BV118" s="1835"/>
      <c r="BW118" s="1835"/>
      <c r="BX118" s="1835"/>
      <c r="BY118" s="2015">
        <v>0</v>
      </c>
      <c r="BZ118" s="2015">
        <v>380000</v>
      </c>
      <c r="CA118" s="2051"/>
    </row>
    <row r="119" spans="1:87" s="2054" customFormat="1" ht="17.5" hidden="1" customHeight="1" outlineLevel="3">
      <c r="A119" s="1835"/>
      <c r="B119" s="1849"/>
      <c r="C119" s="1849"/>
      <c r="D119" s="618"/>
      <c r="E119"/>
      <c r="F119" s="1835"/>
      <c r="G119" s="1835"/>
      <c r="H119" s="1835"/>
      <c r="I119" s="1835"/>
      <c r="J119" s="1835"/>
      <c r="K119" s="1835"/>
      <c r="L119" s="1835"/>
      <c r="M119" s="1835"/>
      <c r="N119" s="1835"/>
      <c r="O119" s="1835"/>
      <c r="P119" s="2044">
        <v>0</v>
      </c>
      <c r="Q119"/>
      <c r="R119" s="1835"/>
      <c r="S119" s="1835"/>
      <c r="T119" s="1835"/>
      <c r="U119" s="1835"/>
      <c r="V119" s="1835"/>
      <c r="W119" s="1835"/>
      <c r="X119" s="1835"/>
      <c r="Y119" s="1835"/>
      <c r="Z119" s="1835"/>
      <c r="AA119" s="1835"/>
      <c r="AB119" s="1835"/>
      <c r="AC119" s="1835"/>
      <c r="AD119" s="2044">
        <v>0</v>
      </c>
      <c r="AE119"/>
      <c r="AF119" s="1835"/>
      <c r="AG119" s="1835"/>
      <c r="AH119" s="1835"/>
      <c r="AI119" s="1835"/>
      <c r="AJ119" s="1835"/>
      <c r="AK119" s="1835"/>
      <c r="AL119" s="1835"/>
      <c r="AM119" s="1835"/>
      <c r="AN119" s="1835"/>
      <c r="AO119" s="1835"/>
      <c r="AP119" s="1835"/>
      <c r="AQ119" s="1835"/>
      <c r="AR119" s="2044">
        <v>0</v>
      </c>
      <c r="AS119"/>
      <c r="AT119" s="1835"/>
      <c r="AU119" s="1835"/>
      <c r="AV119" s="1835"/>
      <c r="AW119" s="1835"/>
      <c r="AX119" s="1835"/>
      <c r="AY119" s="1835"/>
      <c r="AZ119" s="1835"/>
      <c r="BA119" s="1835"/>
      <c r="BB119" s="1835"/>
      <c r="BC119" s="1835"/>
      <c r="BD119" s="1835"/>
      <c r="BE119" s="1835"/>
      <c r="BF119" s="2036">
        <v>0</v>
      </c>
      <c r="BG119"/>
      <c r="BH119" s="1835"/>
      <c r="BI119" s="1835"/>
      <c r="BJ119" s="1835"/>
      <c r="BK119" s="1835"/>
      <c r="BL119" s="1835"/>
      <c r="BM119" s="1835"/>
      <c r="BN119" s="1835"/>
      <c r="BO119" s="1835"/>
      <c r="BP119" s="1835"/>
      <c r="BQ119" s="1835"/>
      <c r="BR119" s="1835"/>
      <c r="BS119" s="1835"/>
      <c r="BT119" s="2015">
        <v>0</v>
      </c>
      <c r="BU119"/>
      <c r="BV119" s="1835"/>
      <c r="BW119" s="1835"/>
      <c r="BX119" s="1835"/>
      <c r="BY119" s="2015">
        <v>0</v>
      </c>
      <c r="BZ119" s="2015">
        <v>0</v>
      </c>
      <c r="CA119" s="2051"/>
    </row>
    <row r="120" spans="1:87" s="2051" customFormat="1" ht="14" customHeight="1" outlineLevel="2" collapsed="1">
      <c r="A120" s="1835"/>
      <c r="B120" s="1849"/>
      <c r="C120" s="1849"/>
      <c r="D120" s="618"/>
      <c r="E120"/>
      <c r="F120" s="1835"/>
      <c r="G120" s="1835"/>
      <c r="H120" s="1835"/>
      <c r="I120" s="1835"/>
      <c r="J120" s="1835"/>
      <c r="K120" s="1835"/>
      <c r="L120" s="1835"/>
      <c r="M120" s="1835"/>
      <c r="N120" s="1835"/>
      <c r="O120" s="1835"/>
      <c r="P120" s="2044">
        <v>0</v>
      </c>
      <c r="Q120"/>
      <c r="R120" s="1835"/>
      <c r="S120" s="1835"/>
      <c r="T120" s="1835"/>
      <c r="U120" s="1835"/>
      <c r="V120" s="1835"/>
      <c r="W120" s="1835"/>
      <c r="X120" s="1835"/>
      <c r="Y120" s="1835"/>
      <c r="Z120" s="1835"/>
      <c r="AA120" s="1835"/>
      <c r="AB120" s="1835"/>
      <c r="AC120" s="1835"/>
      <c r="AD120" s="2044">
        <v>0</v>
      </c>
      <c r="AE120"/>
      <c r="AF120" s="1835"/>
      <c r="AG120" s="1835"/>
      <c r="AH120" s="1835"/>
      <c r="AI120" s="1835"/>
      <c r="AJ120" s="1835"/>
      <c r="AK120" s="1835"/>
      <c r="AL120" s="1835"/>
      <c r="AM120" s="1835"/>
      <c r="AN120" s="1835"/>
      <c r="AO120" s="1835"/>
      <c r="AP120" s="1835"/>
      <c r="AQ120" s="1835"/>
      <c r="AR120" s="2044">
        <v>0</v>
      </c>
      <c r="AS120"/>
      <c r="AT120" s="1835"/>
      <c r="AU120" s="1835"/>
      <c r="AV120" s="1835"/>
      <c r="AW120" s="1835"/>
      <c r="AX120" s="1835"/>
      <c r="AY120" s="1835"/>
      <c r="AZ120" s="1835"/>
      <c r="BA120" s="1835"/>
      <c r="BB120" s="1835"/>
      <c r="BC120" s="1835"/>
      <c r="BD120" s="1835"/>
      <c r="BE120" s="1835"/>
      <c r="BF120" s="2036">
        <v>0</v>
      </c>
      <c r="BG120"/>
      <c r="BH120" s="1835"/>
      <c r="BI120" s="1835"/>
      <c r="BJ120" s="1835"/>
      <c r="BK120" s="1835"/>
      <c r="BL120" s="1835"/>
      <c r="BM120" s="1835"/>
      <c r="BN120" s="1835"/>
      <c r="BO120" s="1835"/>
      <c r="BP120" s="1835"/>
      <c r="BQ120" s="1835"/>
      <c r="BR120" s="1835"/>
      <c r="BS120" s="1835"/>
      <c r="BT120" s="2061">
        <v>0</v>
      </c>
      <c r="BU120"/>
      <c r="BV120" s="1835"/>
      <c r="BW120" s="1835"/>
      <c r="BX120" s="1835"/>
      <c r="BY120" s="2061">
        <v>0</v>
      </c>
      <c r="BZ120" s="2061">
        <v>0</v>
      </c>
    </row>
    <row r="121" spans="1:87" s="153" customFormat="1" ht="30" customHeight="1" outlineLevel="1">
      <c r="A121" s="578"/>
      <c r="B121" s="428" t="s">
        <v>511</v>
      </c>
      <c r="C121" s="428"/>
      <c r="D121" s="545" t="s">
        <v>29</v>
      </c>
      <c r="E121"/>
      <c r="F121" s="977">
        <v>0</v>
      </c>
      <c r="G121" s="977">
        <v>0</v>
      </c>
      <c r="H121" s="977">
        <v>0</v>
      </c>
      <c r="I121" s="977">
        <v>0</v>
      </c>
      <c r="J121" s="977">
        <v>0</v>
      </c>
      <c r="K121" s="977">
        <v>0</v>
      </c>
      <c r="L121" s="977">
        <v>0</v>
      </c>
      <c r="M121" s="977">
        <v>0</v>
      </c>
      <c r="N121" s="977">
        <v>0</v>
      </c>
      <c r="O121" s="977">
        <v>9994</v>
      </c>
      <c r="P121" s="977">
        <v>9994</v>
      </c>
      <c r="Q121"/>
      <c r="R121" s="977">
        <v>9994</v>
      </c>
      <c r="S121" s="977">
        <v>9994</v>
      </c>
      <c r="T121" s="977">
        <v>9994</v>
      </c>
      <c r="U121" s="977">
        <v>14994.000000000002</v>
      </c>
      <c r="V121" s="977">
        <v>14994.000000000002</v>
      </c>
      <c r="W121" s="977">
        <v>5000</v>
      </c>
      <c r="X121" s="977">
        <v>120000</v>
      </c>
      <c r="Y121" s="977">
        <v>0</v>
      </c>
      <c r="Z121" s="977">
        <v>0</v>
      </c>
      <c r="AA121" s="977">
        <v>0</v>
      </c>
      <c r="AB121" s="977">
        <v>0</v>
      </c>
      <c r="AC121" s="977">
        <v>80000</v>
      </c>
      <c r="AD121" s="977">
        <v>264970</v>
      </c>
      <c r="AE121"/>
      <c r="AF121" s="977">
        <v>0</v>
      </c>
      <c r="AG121" s="977">
        <v>0</v>
      </c>
      <c r="AH121" s="977">
        <v>1161897.05</v>
      </c>
      <c r="AI121" s="977">
        <v>60000</v>
      </c>
      <c r="AJ121" s="977">
        <v>0</v>
      </c>
      <c r="AK121" s="977">
        <v>0</v>
      </c>
      <c r="AL121" s="977">
        <v>677773.28333333333</v>
      </c>
      <c r="AM121" s="977">
        <v>60000</v>
      </c>
      <c r="AN121" s="977">
        <v>0</v>
      </c>
      <c r="AO121" s="977">
        <v>0</v>
      </c>
      <c r="AP121" s="977">
        <v>677773.28333333333</v>
      </c>
      <c r="AQ121" s="977">
        <v>80000</v>
      </c>
      <c r="AR121" s="977">
        <v>2717443.6166666667</v>
      </c>
      <c r="AS121"/>
      <c r="AT121" s="977">
        <v>0</v>
      </c>
      <c r="AU121" s="977">
        <v>0</v>
      </c>
      <c r="AV121" s="977">
        <v>677773.28333333333</v>
      </c>
      <c r="AW121" s="977">
        <v>60000</v>
      </c>
      <c r="AX121" s="977">
        <v>0</v>
      </c>
      <c r="AY121" s="977">
        <v>0</v>
      </c>
      <c r="AZ121" s="977">
        <v>677773.28333333333</v>
      </c>
      <c r="BA121" s="977">
        <v>60000</v>
      </c>
      <c r="BB121" s="977">
        <v>328887.75</v>
      </c>
      <c r="BC121" s="977">
        <v>0</v>
      </c>
      <c r="BD121" s="977">
        <v>1006661.0333333333</v>
      </c>
      <c r="BE121" s="977">
        <v>80000</v>
      </c>
      <c r="BF121" s="977">
        <v>2891095.35</v>
      </c>
      <c r="BG121"/>
      <c r="BH121" s="977">
        <v>0</v>
      </c>
      <c r="BI121" s="977">
        <v>0</v>
      </c>
      <c r="BJ121" s="977">
        <v>387298.93333333335</v>
      </c>
      <c r="BK121" s="977">
        <v>60000</v>
      </c>
      <c r="BL121" s="977">
        <v>0</v>
      </c>
      <c r="BM121" s="977">
        <v>328887.75</v>
      </c>
      <c r="BN121" s="977">
        <v>580948.4</v>
      </c>
      <c r="BO121" s="977">
        <v>388887.75</v>
      </c>
      <c r="BP121" s="977">
        <v>0</v>
      </c>
      <c r="BQ121" s="977">
        <v>0</v>
      </c>
      <c r="BR121" s="977">
        <v>290474.2</v>
      </c>
      <c r="BS121" s="977">
        <v>80000</v>
      </c>
      <c r="BT121" s="977">
        <v>2116497.0333333332</v>
      </c>
      <c r="BU121"/>
      <c r="BV121" s="977">
        <v>0</v>
      </c>
      <c r="BW121" s="977">
        <v>0</v>
      </c>
      <c r="BX121" s="977">
        <v>0</v>
      </c>
      <c r="BY121" s="977">
        <v>0</v>
      </c>
      <c r="BZ121" s="977">
        <v>8000000</v>
      </c>
    </row>
    <row r="122" spans="1:87" s="153" customFormat="1" ht="43.5" customHeight="1" outlineLevel="2" collapsed="1">
      <c r="A122" s="172"/>
      <c r="B122" s="171" t="s">
        <v>512</v>
      </c>
      <c r="C122" s="171"/>
      <c r="D122" s="538" t="s">
        <v>30</v>
      </c>
      <c r="E122"/>
      <c r="F122" s="176">
        <v>0</v>
      </c>
      <c r="G122" s="176">
        <v>0</v>
      </c>
      <c r="H122" s="176">
        <v>0</v>
      </c>
      <c r="I122" s="176">
        <v>0</v>
      </c>
      <c r="J122" s="176">
        <v>0</v>
      </c>
      <c r="K122" s="176">
        <v>0</v>
      </c>
      <c r="L122" s="176">
        <v>0</v>
      </c>
      <c r="M122" s="176">
        <v>0</v>
      </c>
      <c r="N122" s="176">
        <v>0</v>
      </c>
      <c r="O122" s="176">
        <v>3331.3333333333335</v>
      </c>
      <c r="P122" s="176">
        <v>3331.3333333333335</v>
      </c>
      <c r="Q122"/>
      <c r="R122" s="176">
        <v>3331.3333333333335</v>
      </c>
      <c r="S122" s="176">
        <v>3331.3333333333335</v>
      </c>
      <c r="T122" s="176">
        <v>3331.3333333333335</v>
      </c>
      <c r="U122" s="176">
        <v>3331.3333333333335</v>
      </c>
      <c r="V122" s="176">
        <v>3331.3333333333335</v>
      </c>
      <c r="W122" s="176">
        <v>0</v>
      </c>
      <c r="X122" s="176">
        <v>120000</v>
      </c>
      <c r="Y122" s="176">
        <v>0</v>
      </c>
      <c r="Z122" s="176">
        <v>0</v>
      </c>
      <c r="AA122" s="176">
        <v>0</v>
      </c>
      <c r="AB122" s="176">
        <v>0</v>
      </c>
      <c r="AC122" s="176">
        <v>80000</v>
      </c>
      <c r="AD122" s="176">
        <v>216656.66666666666</v>
      </c>
      <c r="AE122"/>
      <c r="AF122" s="176">
        <v>0</v>
      </c>
      <c r="AG122" s="176">
        <v>0</v>
      </c>
      <c r="AH122" s="176">
        <v>484123.91666666669</v>
      </c>
      <c r="AI122" s="176">
        <v>60000</v>
      </c>
      <c r="AJ122" s="176">
        <v>0</v>
      </c>
      <c r="AK122" s="176">
        <v>0</v>
      </c>
      <c r="AL122" s="176">
        <v>290474.34999999998</v>
      </c>
      <c r="AM122" s="176">
        <v>60000</v>
      </c>
      <c r="AN122" s="176">
        <v>0</v>
      </c>
      <c r="AO122" s="176">
        <v>0</v>
      </c>
      <c r="AP122" s="176">
        <v>290474.34999999998</v>
      </c>
      <c r="AQ122" s="176">
        <v>80000</v>
      </c>
      <c r="AR122" s="176">
        <v>1265072.6166666667</v>
      </c>
      <c r="AS122"/>
      <c r="AT122" s="176">
        <v>0</v>
      </c>
      <c r="AU122" s="176">
        <v>0</v>
      </c>
      <c r="AV122" s="176">
        <v>290474.34999999998</v>
      </c>
      <c r="AW122" s="176">
        <v>60000</v>
      </c>
      <c r="AX122" s="176">
        <v>0</v>
      </c>
      <c r="AY122" s="176">
        <v>0</v>
      </c>
      <c r="AZ122" s="176">
        <v>290474.34999999998</v>
      </c>
      <c r="BA122" s="176">
        <v>60000</v>
      </c>
      <c r="BB122" s="176">
        <v>0</v>
      </c>
      <c r="BC122" s="176">
        <v>0</v>
      </c>
      <c r="BD122" s="176">
        <v>290474.34999999998</v>
      </c>
      <c r="BE122" s="176">
        <v>80000</v>
      </c>
      <c r="BF122" s="176">
        <v>1071423.0499999998</v>
      </c>
      <c r="BG122"/>
      <c r="BH122" s="176">
        <v>0</v>
      </c>
      <c r="BI122" s="176">
        <v>0</v>
      </c>
      <c r="BJ122" s="176">
        <v>0</v>
      </c>
      <c r="BK122" s="176">
        <v>60000</v>
      </c>
      <c r="BL122" s="176">
        <v>0</v>
      </c>
      <c r="BM122" s="176">
        <v>0</v>
      </c>
      <c r="BN122" s="176">
        <v>0</v>
      </c>
      <c r="BO122" s="176">
        <v>60000</v>
      </c>
      <c r="BP122" s="176">
        <v>0</v>
      </c>
      <c r="BQ122" s="176">
        <v>0</v>
      </c>
      <c r="BR122" s="176">
        <v>0</v>
      </c>
      <c r="BS122" s="176">
        <v>80000</v>
      </c>
      <c r="BT122" s="176">
        <v>200000</v>
      </c>
      <c r="BU122"/>
      <c r="BV122" s="176">
        <v>0</v>
      </c>
      <c r="BW122" s="176">
        <v>0</v>
      </c>
      <c r="BX122" s="176">
        <v>0</v>
      </c>
      <c r="BY122" s="176">
        <v>0</v>
      </c>
      <c r="BZ122" s="176">
        <v>2756483.6666666665</v>
      </c>
    </row>
    <row r="123" spans="1:87" s="879" customFormat="1" ht="78" hidden="1" customHeight="1" outlineLevel="3">
      <c r="A123" s="579"/>
      <c r="B123" s="107" t="s">
        <v>843</v>
      </c>
      <c r="C123" s="107" t="s">
        <v>1279</v>
      </c>
      <c r="D123" s="2124" t="s">
        <v>844</v>
      </c>
      <c r="E123"/>
      <c r="F123" s="1343">
        <v>0</v>
      </c>
      <c r="G123" s="1343">
        <v>0</v>
      </c>
      <c r="H123" s="1343">
        <v>0</v>
      </c>
      <c r="I123" s="1343">
        <v>0</v>
      </c>
      <c r="J123" s="1343">
        <v>0</v>
      </c>
      <c r="K123" s="1343">
        <v>0</v>
      </c>
      <c r="L123" s="1343">
        <v>0</v>
      </c>
      <c r="M123" s="1343">
        <v>0</v>
      </c>
      <c r="N123" s="1343">
        <v>0</v>
      </c>
      <c r="O123" s="1343">
        <v>3331.3333333333335</v>
      </c>
      <c r="P123" s="1914">
        <v>3331.3333333333335</v>
      </c>
      <c r="Q123"/>
      <c r="R123" s="1343">
        <v>3331.3333333333335</v>
      </c>
      <c r="S123" s="1343">
        <v>3331.3333333333335</v>
      </c>
      <c r="T123" s="1343">
        <v>3331.3333333333335</v>
      </c>
      <c r="U123" s="1343">
        <v>3331.3333333333335</v>
      </c>
      <c r="V123" s="1343">
        <v>3331.3333333333335</v>
      </c>
      <c r="W123" s="1343">
        <v>0</v>
      </c>
      <c r="X123" s="1343">
        <v>0</v>
      </c>
      <c r="Y123" s="1343">
        <v>0</v>
      </c>
      <c r="Z123" s="1343">
        <v>0</v>
      </c>
      <c r="AA123" s="1343">
        <v>0</v>
      </c>
      <c r="AB123" s="1343">
        <v>0</v>
      </c>
      <c r="AC123" s="1343">
        <v>0</v>
      </c>
      <c r="AD123" s="1914">
        <v>16656.666666666668</v>
      </c>
      <c r="AE123"/>
      <c r="AF123" s="1343">
        <v>0</v>
      </c>
      <c r="AG123" s="1343">
        <v>0</v>
      </c>
      <c r="AH123" s="1343">
        <v>484123.91666666669</v>
      </c>
      <c r="AI123" s="1343">
        <v>0</v>
      </c>
      <c r="AJ123" s="1343">
        <v>0</v>
      </c>
      <c r="AK123" s="1343">
        <v>0</v>
      </c>
      <c r="AL123" s="1343">
        <v>290474.34999999998</v>
      </c>
      <c r="AM123" s="1343">
        <v>0</v>
      </c>
      <c r="AN123" s="1343">
        <v>0</v>
      </c>
      <c r="AO123" s="1343">
        <v>0</v>
      </c>
      <c r="AP123" s="1343">
        <v>290474.34999999998</v>
      </c>
      <c r="AQ123" s="1343">
        <v>0</v>
      </c>
      <c r="AR123" s="1914">
        <v>1065072.6166666667</v>
      </c>
      <c r="AS123"/>
      <c r="AT123" s="1343">
        <v>0</v>
      </c>
      <c r="AU123" s="1343">
        <v>0</v>
      </c>
      <c r="AV123" s="1343">
        <v>290474.34999999998</v>
      </c>
      <c r="AW123" s="1343">
        <v>0</v>
      </c>
      <c r="AX123" s="1343">
        <v>0</v>
      </c>
      <c r="AY123" s="1343">
        <v>0</v>
      </c>
      <c r="AZ123" s="1343">
        <v>290474.34999999998</v>
      </c>
      <c r="BA123" s="1343">
        <v>0</v>
      </c>
      <c r="BB123" s="1343">
        <v>0</v>
      </c>
      <c r="BC123" s="1343">
        <v>0</v>
      </c>
      <c r="BD123" s="1343">
        <v>290474.34999999998</v>
      </c>
      <c r="BE123" s="1343">
        <v>0</v>
      </c>
      <c r="BF123" s="1914">
        <v>871423.04999999993</v>
      </c>
      <c r="BG123"/>
      <c r="BH123" s="1343">
        <v>0</v>
      </c>
      <c r="BI123" s="1343">
        <v>0</v>
      </c>
      <c r="BJ123" s="1343">
        <v>0</v>
      </c>
      <c r="BK123" s="1343">
        <v>0</v>
      </c>
      <c r="BL123" s="1343">
        <v>0</v>
      </c>
      <c r="BM123" s="1343">
        <v>0</v>
      </c>
      <c r="BN123" s="1343">
        <v>0</v>
      </c>
      <c r="BO123" s="1343">
        <v>0</v>
      </c>
      <c r="BP123" s="1343">
        <v>0</v>
      </c>
      <c r="BQ123" s="1343">
        <v>0</v>
      </c>
      <c r="BR123" s="1343">
        <v>0</v>
      </c>
      <c r="BS123" s="1343">
        <v>0</v>
      </c>
      <c r="BT123" s="1914">
        <v>0</v>
      </c>
      <c r="BU123"/>
      <c r="BV123" s="1343">
        <v>0</v>
      </c>
      <c r="BW123" s="1343">
        <v>0</v>
      </c>
      <c r="BX123" s="1343">
        <v>0</v>
      </c>
      <c r="BY123" s="1914">
        <v>0</v>
      </c>
      <c r="BZ123" s="1914">
        <v>1956483.6666666665</v>
      </c>
    </row>
    <row r="124" spans="1:87" s="879" customFormat="1" ht="143.5" hidden="1" customHeight="1" outlineLevel="4">
      <c r="A124" s="579"/>
      <c r="B124" s="107" t="s">
        <v>845</v>
      </c>
      <c r="C124" s="107" t="s">
        <v>1279</v>
      </c>
      <c r="D124" s="2154" t="s">
        <v>2392</v>
      </c>
      <c r="E124"/>
      <c r="F124" s="988"/>
      <c r="G124" s="988"/>
      <c r="H124" s="988"/>
      <c r="I124" s="988"/>
      <c r="J124" s="988"/>
      <c r="K124" s="988"/>
      <c r="L124" s="988"/>
      <c r="M124" s="988"/>
      <c r="N124" s="988"/>
      <c r="O124" s="988">
        <v>1665.6666666666667</v>
      </c>
      <c r="P124" s="2043">
        <v>1665.6666666666667</v>
      </c>
      <c r="Q124"/>
      <c r="R124" s="988">
        <v>1665.6666666666667</v>
      </c>
      <c r="S124" s="988">
        <v>1665.6666666666667</v>
      </c>
      <c r="T124" s="988">
        <v>1665.6666666666667</v>
      </c>
      <c r="U124" s="988">
        <v>1665.6666666666667</v>
      </c>
      <c r="V124" s="988">
        <v>1665.6666666666667</v>
      </c>
      <c r="W124" s="988"/>
      <c r="X124" s="988"/>
      <c r="Y124" s="988"/>
      <c r="Z124" s="988"/>
      <c r="AA124" s="988"/>
      <c r="AB124" s="988"/>
      <c r="AC124" s="988"/>
      <c r="AD124" s="2043">
        <v>8328.3333333333339</v>
      </c>
      <c r="AE124"/>
      <c r="AF124" s="988"/>
      <c r="AG124" s="988"/>
      <c r="AH124" s="988"/>
      <c r="AI124" s="988"/>
      <c r="AJ124" s="988"/>
      <c r="AK124" s="988"/>
      <c r="AL124" s="988"/>
      <c r="AM124" s="988"/>
      <c r="AN124" s="988"/>
      <c r="AO124" s="988"/>
      <c r="AP124" s="988"/>
      <c r="AQ124" s="988"/>
      <c r="AR124" s="2043">
        <v>0</v>
      </c>
      <c r="AS124"/>
      <c r="AT124" s="988"/>
      <c r="AU124" s="988"/>
      <c r="AV124" s="988"/>
      <c r="AW124" s="988"/>
      <c r="AX124" s="988"/>
      <c r="AY124" s="988"/>
      <c r="AZ124" s="988"/>
      <c r="BA124" s="988"/>
      <c r="BB124" s="988"/>
      <c r="BC124" s="988"/>
      <c r="BD124" s="988"/>
      <c r="BE124" s="988"/>
      <c r="BF124" s="2032">
        <v>0</v>
      </c>
      <c r="BG124"/>
      <c r="BH124" s="988"/>
      <c r="BI124" s="988"/>
      <c r="BJ124" s="988"/>
      <c r="BK124" s="988"/>
      <c r="BL124" s="988"/>
      <c r="BM124" s="988"/>
      <c r="BN124" s="988"/>
      <c r="BO124" s="988"/>
      <c r="BP124" s="988"/>
      <c r="BQ124" s="988"/>
      <c r="BR124" s="988"/>
      <c r="BS124" s="988"/>
      <c r="BT124" s="1914">
        <v>0</v>
      </c>
      <c r="BU124"/>
      <c r="BV124" s="988"/>
      <c r="BW124" s="988"/>
      <c r="BX124" s="988"/>
      <c r="BY124" s="1914">
        <v>0</v>
      </c>
      <c r="BZ124" s="1914">
        <v>9994</v>
      </c>
    </row>
    <row r="125" spans="1:87" s="879" customFormat="1" ht="124.25" hidden="1" customHeight="1" outlineLevel="4">
      <c r="A125" s="579"/>
      <c r="B125" s="107" t="s">
        <v>848</v>
      </c>
      <c r="C125" s="107" t="s">
        <v>1279</v>
      </c>
      <c r="D125" s="2155" t="s">
        <v>2393</v>
      </c>
      <c r="E125"/>
      <c r="F125" s="988"/>
      <c r="G125" s="988"/>
      <c r="H125" s="988"/>
      <c r="I125" s="988"/>
      <c r="J125" s="988"/>
      <c r="K125" s="988"/>
      <c r="L125" s="988"/>
      <c r="M125" s="988"/>
      <c r="N125" s="988"/>
      <c r="O125" s="988">
        <v>1665.6666666666667</v>
      </c>
      <c r="P125" s="2043">
        <v>1665.6666666666667</v>
      </c>
      <c r="Q125"/>
      <c r="R125" s="988">
        <v>1665.6666666666667</v>
      </c>
      <c r="S125" s="988">
        <v>1665.6666666666667</v>
      </c>
      <c r="T125" s="988">
        <v>1665.6666666666667</v>
      </c>
      <c r="U125" s="988">
        <v>1665.6666666666667</v>
      </c>
      <c r="V125" s="988">
        <v>1665.6666666666667</v>
      </c>
      <c r="W125" s="988"/>
      <c r="X125" s="988"/>
      <c r="Y125" s="988"/>
      <c r="Z125" s="988"/>
      <c r="AA125" s="988"/>
      <c r="AB125" s="988"/>
      <c r="AC125" s="988"/>
      <c r="AD125" s="2043">
        <v>8328.3333333333339</v>
      </c>
      <c r="AE125"/>
      <c r="AF125" s="988"/>
      <c r="AG125" s="988"/>
      <c r="AH125" s="988"/>
      <c r="AI125" s="988"/>
      <c r="AJ125" s="988"/>
      <c r="AK125" s="988"/>
      <c r="AL125" s="988"/>
      <c r="AM125" s="988"/>
      <c r="AN125" s="988"/>
      <c r="AO125" s="988"/>
      <c r="AP125" s="988"/>
      <c r="AQ125" s="988"/>
      <c r="AR125" s="2043">
        <v>0</v>
      </c>
      <c r="AS125"/>
      <c r="AT125" s="988"/>
      <c r="AU125" s="988"/>
      <c r="AV125" s="988"/>
      <c r="AW125" s="988"/>
      <c r="AX125" s="988"/>
      <c r="AY125" s="988"/>
      <c r="AZ125" s="988"/>
      <c r="BA125" s="988"/>
      <c r="BB125" s="988"/>
      <c r="BC125" s="988"/>
      <c r="BD125" s="988"/>
      <c r="BE125" s="988"/>
      <c r="BF125" s="2032">
        <v>0</v>
      </c>
      <c r="BG125"/>
      <c r="BH125" s="988"/>
      <c r="BI125" s="988"/>
      <c r="BJ125" s="988"/>
      <c r="BK125" s="988"/>
      <c r="BL125" s="988"/>
      <c r="BM125" s="988"/>
      <c r="BN125" s="988"/>
      <c r="BO125" s="988"/>
      <c r="BP125" s="988"/>
      <c r="BQ125" s="988"/>
      <c r="BR125" s="988"/>
      <c r="BS125" s="988"/>
      <c r="BT125" s="1914">
        <v>0</v>
      </c>
      <c r="BU125"/>
      <c r="BV125" s="988"/>
      <c r="BW125" s="988"/>
      <c r="BX125" s="988"/>
      <c r="BY125" s="1914">
        <v>0</v>
      </c>
      <c r="BZ125" s="1914">
        <v>9994</v>
      </c>
    </row>
    <row r="126" spans="1:87" s="879" customFormat="1" ht="55.25" hidden="1" customHeight="1" outlineLevel="4">
      <c r="A126" s="579"/>
      <c r="B126" s="107" t="s">
        <v>851</v>
      </c>
      <c r="C126" s="107" t="s">
        <v>1279</v>
      </c>
      <c r="D126" s="2125" t="s">
        <v>852</v>
      </c>
      <c r="E126"/>
      <c r="F126" s="988"/>
      <c r="G126" s="988"/>
      <c r="H126" s="988"/>
      <c r="I126" s="988"/>
      <c r="J126" s="988"/>
      <c r="K126" s="988"/>
      <c r="L126" s="988"/>
      <c r="M126" s="988"/>
      <c r="N126" s="988"/>
      <c r="O126" s="988"/>
      <c r="P126" s="2043">
        <v>0</v>
      </c>
      <c r="Q126"/>
      <c r="R126" s="988"/>
      <c r="S126" s="988"/>
      <c r="T126" s="988"/>
      <c r="U126" s="988"/>
      <c r="V126" s="988"/>
      <c r="W126" s="988"/>
      <c r="X126" s="988"/>
      <c r="Y126" s="988"/>
      <c r="Z126" s="988"/>
      <c r="AA126" s="988"/>
      <c r="AB126" s="988"/>
      <c r="AC126" s="988"/>
      <c r="AD126" s="2043">
        <v>0</v>
      </c>
      <c r="AE126"/>
      <c r="AF126" s="988"/>
      <c r="AG126" s="988"/>
      <c r="AH126" s="988">
        <v>484123.91666666669</v>
      </c>
      <c r="AI126" s="988"/>
      <c r="AJ126" s="988"/>
      <c r="AK126" s="988"/>
      <c r="AL126" s="988">
        <v>290474.34999999998</v>
      </c>
      <c r="AM126" s="988"/>
      <c r="AN126" s="988"/>
      <c r="AO126" s="988"/>
      <c r="AP126" s="988">
        <v>290474.34999999998</v>
      </c>
      <c r="AQ126" s="988"/>
      <c r="AR126" s="2043">
        <v>1065072.6166666667</v>
      </c>
      <c r="AS126"/>
      <c r="AT126" s="988"/>
      <c r="AU126" s="988"/>
      <c r="AV126" s="988">
        <v>290474.34999999998</v>
      </c>
      <c r="AW126" s="988"/>
      <c r="AX126" s="988"/>
      <c r="AY126" s="988"/>
      <c r="AZ126" s="988">
        <v>290474.34999999998</v>
      </c>
      <c r="BA126" s="988"/>
      <c r="BB126" s="988"/>
      <c r="BC126" s="988"/>
      <c r="BD126" s="988">
        <v>290474.34999999998</v>
      </c>
      <c r="BE126" s="988"/>
      <c r="BF126" s="2043">
        <v>871423.04999999993</v>
      </c>
      <c r="BG126"/>
      <c r="BH126" s="988"/>
      <c r="BI126" s="988"/>
      <c r="BJ126" s="988"/>
      <c r="BK126" s="988"/>
      <c r="BL126" s="988"/>
      <c r="BM126" s="988"/>
      <c r="BN126" s="988"/>
      <c r="BO126" s="988"/>
      <c r="BP126" s="988"/>
      <c r="BQ126" s="988"/>
      <c r="BR126" s="988"/>
      <c r="BS126" s="988"/>
      <c r="BT126" s="2043">
        <v>0</v>
      </c>
      <c r="BU126"/>
      <c r="BV126" s="988"/>
      <c r="BW126" s="988"/>
      <c r="BX126" s="988"/>
      <c r="BY126" s="2043">
        <v>0</v>
      </c>
      <c r="BZ126" s="2043">
        <v>1936495.6666666665</v>
      </c>
    </row>
    <row r="127" spans="1:87" s="108" customFormat="1" ht="41.5" hidden="1" customHeight="1" outlineLevel="3">
      <c r="A127" s="580"/>
      <c r="B127" s="107" t="s">
        <v>1368</v>
      </c>
      <c r="C127" s="107"/>
      <c r="D127" s="703" t="s">
        <v>1369</v>
      </c>
      <c r="E127"/>
      <c r="F127" s="986"/>
      <c r="G127" s="986"/>
      <c r="H127" s="986"/>
      <c r="I127" s="986"/>
      <c r="J127" s="986"/>
      <c r="K127" s="986"/>
      <c r="L127" s="986"/>
      <c r="M127" s="986"/>
      <c r="N127" s="986"/>
      <c r="O127" s="986"/>
      <c r="P127" s="2011">
        <v>0</v>
      </c>
      <c r="Q127"/>
      <c r="R127" s="986"/>
      <c r="S127" s="986"/>
      <c r="T127" s="986"/>
      <c r="U127" s="986"/>
      <c r="V127" s="986"/>
      <c r="W127" s="986"/>
      <c r="X127" s="986"/>
      <c r="Y127" s="986"/>
      <c r="Z127" s="986"/>
      <c r="AA127" s="986"/>
      <c r="AB127" s="986"/>
      <c r="AC127" s="986"/>
      <c r="AD127" s="2011">
        <v>0</v>
      </c>
      <c r="AE127"/>
      <c r="AF127" s="986"/>
      <c r="AG127" s="986"/>
      <c r="AH127" s="986"/>
      <c r="AI127" s="986"/>
      <c r="AJ127" s="986"/>
      <c r="AK127" s="986"/>
      <c r="AL127" s="986"/>
      <c r="AM127" s="986"/>
      <c r="AN127" s="986"/>
      <c r="AO127" s="986"/>
      <c r="AP127" s="986"/>
      <c r="AQ127" s="986"/>
      <c r="AR127" s="2011">
        <v>0</v>
      </c>
      <c r="AS127"/>
      <c r="AT127" s="986"/>
      <c r="AU127" s="986"/>
      <c r="AV127" s="986"/>
      <c r="AW127" s="986"/>
      <c r="AX127" s="986"/>
      <c r="AY127" s="986"/>
      <c r="AZ127" s="986"/>
      <c r="BA127" s="986"/>
      <c r="BB127" s="986"/>
      <c r="BC127" s="986"/>
      <c r="BD127" s="986"/>
      <c r="BE127" s="986"/>
      <c r="BF127" s="2011">
        <v>0</v>
      </c>
      <c r="BG127"/>
      <c r="BH127" s="986"/>
      <c r="BI127" s="986"/>
      <c r="BJ127" s="986"/>
      <c r="BK127" s="986"/>
      <c r="BL127" s="986"/>
      <c r="BM127" s="986"/>
      <c r="BN127" s="986"/>
      <c r="BO127" s="986"/>
      <c r="BP127" s="986"/>
      <c r="BQ127" s="986"/>
      <c r="BR127" s="986"/>
      <c r="BS127" s="986"/>
      <c r="BT127" s="2008">
        <v>0</v>
      </c>
      <c r="BU127"/>
      <c r="BV127" s="986"/>
      <c r="BW127" s="986"/>
      <c r="BX127" s="986"/>
      <c r="BY127" s="2008">
        <v>0</v>
      </c>
      <c r="BZ127" s="2008">
        <v>0</v>
      </c>
    </row>
    <row r="128" spans="1:87" s="153" customFormat="1" ht="14" hidden="1" customHeight="1" outlineLevel="3">
      <c r="A128" s="581"/>
      <c r="B128" s="1347" t="s">
        <v>854</v>
      </c>
      <c r="C128" s="400" t="s">
        <v>1279</v>
      </c>
      <c r="D128" s="536" t="s">
        <v>855</v>
      </c>
      <c r="E128"/>
      <c r="F128" s="992">
        <v>0</v>
      </c>
      <c r="G128" s="992">
        <v>0</v>
      </c>
      <c r="H128" s="992">
        <v>0</v>
      </c>
      <c r="I128" s="992">
        <v>0</v>
      </c>
      <c r="J128" s="992">
        <v>0</v>
      </c>
      <c r="K128" s="992">
        <v>0</v>
      </c>
      <c r="L128" s="992">
        <v>0</v>
      </c>
      <c r="M128" s="992">
        <v>0</v>
      </c>
      <c r="N128" s="992">
        <v>0</v>
      </c>
      <c r="O128" s="992">
        <v>0</v>
      </c>
      <c r="P128" s="992">
        <v>0</v>
      </c>
      <c r="Q128"/>
      <c r="R128" s="992">
        <v>0</v>
      </c>
      <c r="S128" s="992">
        <v>0</v>
      </c>
      <c r="T128" s="992">
        <v>0</v>
      </c>
      <c r="U128" s="992">
        <v>0</v>
      </c>
      <c r="V128" s="992">
        <v>0</v>
      </c>
      <c r="W128" s="992">
        <v>0</v>
      </c>
      <c r="X128" s="992">
        <v>120000</v>
      </c>
      <c r="Y128" s="992">
        <v>0</v>
      </c>
      <c r="Z128" s="992">
        <v>0</v>
      </c>
      <c r="AA128" s="992">
        <v>0</v>
      </c>
      <c r="AB128" s="992">
        <v>0</v>
      </c>
      <c r="AC128" s="992">
        <v>80000</v>
      </c>
      <c r="AD128" s="992">
        <v>200000</v>
      </c>
      <c r="AE128"/>
      <c r="AF128" s="992">
        <v>0</v>
      </c>
      <c r="AG128" s="992">
        <v>0</v>
      </c>
      <c r="AH128" s="992">
        <v>0</v>
      </c>
      <c r="AI128" s="992">
        <v>60000</v>
      </c>
      <c r="AJ128" s="992">
        <v>0</v>
      </c>
      <c r="AK128" s="992">
        <v>0</v>
      </c>
      <c r="AL128" s="992">
        <v>0</v>
      </c>
      <c r="AM128" s="992">
        <v>60000</v>
      </c>
      <c r="AN128" s="992">
        <v>0</v>
      </c>
      <c r="AO128" s="992">
        <v>0</v>
      </c>
      <c r="AP128" s="992">
        <v>0</v>
      </c>
      <c r="AQ128" s="992">
        <v>80000</v>
      </c>
      <c r="AR128" s="992">
        <v>200000</v>
      </c>
      <c r="AS128"/>
      <c r="AT128" s="992">
        <v>0</v>
      </c>
      <c r="AU128" s="992">
        <v>0</v>
      </c>
      <c r="AV128" s="992">
        <v>0</v>
      </c>
      <c r="AW128" s="992">
        <v>60000</v>
      </c>
      <c r="AX128" s="992">
        <v>0</v>
      </c>
      <c r="AY128" s="992">
        <v>0</v>
      </c>
      <c r="AZ128" s="992">
        <v>0</v>
      </c>
      <c r="BA128" s="992">
        <v>60000</v>
      </c>
      <c r="BB128" s="992">
        <v>0</v>
      </c>
      <c r="BC128" s="992">
        <v>0</v>
      </c>
      <c r="BD128" s="992">
        <v>0</v>
      </c>
      <c r="BE128" s="992">
        <v>80000</v>
      </c>
      <c r="BF128" s="993">
        <v>200000</v>
      </c>
      <c r="BG128"/>
      <c r="BH128" s="992">
        <v>0</v>
      </c>
      <c r="BI128" s="992">
        <v>0</v>
      </c>
      <c r="BJ128" s="992">
        <v>0</v>
      </c>
      <c r="BK128" s="992">
        <v>60000</v>
      </c>
      <c r="BL128" s="992">
        <v>0</v>
      </c>
      <c r="BM128" s="992">
        <v>0</v>
      </c>
      <c r="BN128" s="992">
        <v>0</v>
      </c>
      <c r="BO128" s="992">
        <v>60000</v>
      </c>
      <c r="BP128" s="992">
        <v>0</v>
      </c>
      <c r="BQ128" s="992">
        <v>0</v>
      </c>
      <c r="BR128" s="992">
        <v>0</v>
      </c>
      <c r="BS128" s="992">
        <v>80000</v>
      </c>
      <c r="BT128" s="994">
        <v>200000</v>
      </c>
      <c r="BU128"/>
      <c r="BV128" s="992">
        <v>0</v>
      </c>
      <c r="BW128" s="992">
        <v>0</v>
      </c>
      <c r="BX128" s="992">
        <v>0</v>
      </c>
      <c r="BY128" s="994">
        <v>0</v>
      </c>
      <c r="BZ128" s="994">
        <v>800000</v>
      </c>
    </row>
    <row r="129" spans="1:87" s="108" customFormat="1" ht="14" hidden="1" customHeight="1" outlineLevel="4">
      <c r="A129" s="580"/>
      <c r="B129" s="107" t="s">
        <v>2394</v>
      </c>
      <c r="C129" s="107"/>
      <c r="D129" s="533" t="s">
        <v>858</v>
      </c>
      <c r="E129"/>
      <c r="F129" s="986"/>
      <c r="G129" s="986"/>
      <c r="H129" s="986"/>
      <c r="I129" s="986"/>
      <c r="J129" s="986"/>
      <c r="K129" s="986"/>
      <c r="L129" s="986"/>
      <c r="M129" s="986"/>
      <c r="N129" s="986"/>
      <c r="O129" s="986"/>
      <c r="P129" s="2011">
        <v>0</v>
      </c>
      <c r="Q129"/>
      <c r="R129" s="986"/>
      <c r="S129" s="986"/>
      <c r="T129" s="986"/>
      <c r="U129" s="986"/>
      <c r="V129" s="986"/>
      <c r="W129" s="986"/>
      <c r="X129" s="986"/>
      <c r="Y129" s="986"/>
      <c r="Z129" s="986"/>
      <c r="AA129" s="986"/>
      <c r="AB129" s="986"/>
      <c r="AC129" s="986"/>
      <c r="AD129" s="2011">
        <v>0</v>
      </c>
      <c r="AE129"/>
      <c r="AF129" s="986"/>
      <c r="AG129" s="986"/>
      <c r="AH129" s="986"/>
      <c r="AI129" s="986"/>
      <c r="AJ129" s="986"/>
      <c r="AK129" s="986"/>
      <c r="AL129" s="986"/>
      <c r="AM129" s="986"/>
      <c r="AN129" s="986"/>
      <c r="AO129" s="986"/>
      <c r="AP129" s="986"/>
      <c r="AQ129" s="986"/>
      <c r="AR129" s="2011">
        <v>0</v>
      </c>
      <c r="AS129"/>
      <c r="AT129" s="986"/>
      <c r="AU129" s="986"/>
      <c r="AV129" s="986"/>
      <c r="AW129" s="986"/>
      <c r="AX129" s="986"/>
      <c r="AY129" s="986"/>
      <c r="AZ129" s="986"/>
      <c r="BA129" s="986"/>
      <c r="BB129" s="986"/>
      <c r="BC129" s="986"/>
      <c r="BD129" s="986"/>
      <c r="BE129" s="986"/>
      <c r="BF129" s="2011">
        <v>0</v>
      </c>
      <c r="BG129"/>
      <c r="BH129" s="986"/>
      <c r="BI129" s="986"/>
      <c r="BJ129" s="986"/>
      <c r="BK129" s="986"/>
      <c r="BL129" s="986"/>
      <c r="BM129" s="986"/>
      <c r="BN129" s="986"/>
      <c r="BO129" s="986"/>
      <c r="BP129" s="986"/>
      <c r="BQ129" s="986"/>
      <c r="BR129" s="986"/>
      <c r="BS129" s="986"/>
      <c r="BT129" s="1498">
        <v>0</v>
      </c>
      <c r="BU129"/>
      <c r="BV129" s="986"/>
      <c r="BW129" s="986"/>
      <c r="BX129" s="986"/>
      <c r="BY129" s="1498">
        <v>0</v>
      </c>
      <c r="BZ129" s="1498">
        <v>0</v>
      </c>
    </row>
    <row r="130" spans="1:87" s="108" customFormat="1" ht="14.5" hidden="1" customHeight="1" outlineLevel="4">
      <c r="A130" s="580"/>
      <c r="B130" s="107" t="s">
        <v>2395</v>
      </c>
      <c r="C130" s="107"/>
      <c r="D130" s="533" t="s">
        <v>861</v>
      </c>
      <c r="E130"/>
      <c r="F130" s="986"/>
      <c r="G130" s="986"/>
      <c r="H130" s="986"/>
      <c r="I130" s="986"/>
      <c r="J130" s="986"/>
      <c r="K130" s="986"/>
      <c r="L130" s="986"/>
      <c r="M130" s="986"/>
      <c r="N130" s="986"/>
      <c r="O130" s="986"/>
      <c r="P130" s="2011">
        <v>0</v>
      </c>
      <c r="Q130"/>
      <c r="R130" s="986"/>
      <c r="S130" s="986"/>
      <c r="T130" s="986"/>
      <c r="U130" s="986"/>
      <c r="V130" s="986"/>
      <c r="W130" s="986"/>
      <c r="X130" s="986"/>
      <c r="Y130" s="986"/>
      <c r="Z130" s="986"/>
      <c r="AA130" s="986"/>
      <c r="AB130" s="986"/>
      <c r="AC130" s="986"/>
      <c r="AD130" s="2011">
        <v>0</v>
      </c>
      <c r="AE130"/>
      <c r="AF130" s="986"/>
      <c r="AG130" s="986"/>
      <c r="AH130" s="986"/>
      <c r="AI130" s="986"/>
      <c r="AJ130" s="986"/>
      <c r="AK130" s="986"/>
      <c r="AL130" s="986"/>
      <c r="AM130" s="986"/>
      <c r="AN130" s="986"/>
      <c r="AO130" s="986"/>
      <c r="AP130" s="986"/>
      <c r="AQ130" s="986"/>
      <c r="AR130" s="2011">
        <v>0</v>
      </c>
      <c r="AS130"/>
      <c r="AT130" s="986"/>
      <c r="AU130" s="986"/>
      <c r="AV130" s="986"/>
      <c r="AW130" s="986"/>
      <c r="AX130" s="986"/>
      <c r="AY130" s="986"/>
      <c r="AZ130" s="986"/>
      <c r="BA130" s="986"/>
      <c r="BB130" s="986"/>
      <c r="BC130" s="986"/>
      <c r="BD130" s="986"/>
      <c r="BE130" s="986"/>
      <c r="BF130" s="2011">
        <v>0</v>
      </c>
      <c r="BG130"/>
      <c r="BH130" s="986"/>
      <c r="BI130" s="986"/>
      <c r="BJ130" s="986"/>
      <c r="BK130" s="986"/>
      <c r="BL130" s="986"/>
      <c r="BM130" s="986"/>
      <c r="BN130" s="986"/>
      <c r="BO130" s="986"/>
      <c r="BP130" s="986"/>
      <c r="BQ130" s="986"/>
      <c r="BR130" s="986"/>
      <c r="BS130" s="986"/>
      <c r="BT130" s="1498">
        <v>0</v>
      </c>
      <c r="BU130"/>
      <c r="BV130" s="986"/>
      <c r="BW130" s="986"/>
      <c r="BX130" s="986"/>
      <c r="BY130" s="1498">
        <v>0</v>
      </c>
      <c r="BZ130" s="1498">
        <v>0</v>
      </c>
    </row>
    <row r="131" spans="1:87" s="108" customFormat="1" ht="14.5" hidden="1" customHeight="1" outlineLevel="4">
      <c r="A131" s="580"/>
      <c r="B131" s="107" t="s">
        <v>2396</v>
      </c>
      <c r="C131" s="107"/>
      <c r="D131" s="533" t="s">
        <v>863</v>
      </c>
      <c r="E131"/>
      <c r="F131" s="986"/>
      <c r="G131" s="986"/>
      <c r="H131" s="986"/>
      <c r="I131" s="986"/>
      <c r="J131" s="986"/>
      <c r="K131" s="986"/>
      <c r="L131" s="986"/>
      <c r="M131" s="986"/>
      <c r="N131" s="986"/>
      <c r="O131" s="986"/>
      <c r="P131" s="2011">
        <v>0</v>
      </c>
      <c r="Q131"/>
      <c r="R131" s="986"/>
      <c r="S131" s="986"/>
      <c r="T131" s="986"/>
      <c r="U131" s="986"/>
      <c r="V131" s="986"/>
      <c r="W131" s="986"/>
      <c r="X131" s="986"/>
      <c r="Y131" s="986"/>
      <c r="Z131" s="986"/>
      <c r="AA131" s="986"/>
      <c r="AB131" s="986"/>
      <c r="AC131" s="986"/>
      <c r="AD131" s="2011">
        <v>0</v>
      </c>
      <c r="AE131"/>
      <c r="AF131" s="986"/>
      <c r="AG131" s="986"/>
      <c r="AH131" s="986"/>
      <c r="AI131" s="986"/>
      <c r="AJ131" s="986"/>
      <c r="AK131" s="986"/>
      <c r="AL131" s="986"/>
      <c r="AM131" s="986"/>
      <c r="AN131" s="986"/>
      <c r="AO131" s="986"/>
      <c r="AP131" s="986"/>
      <c r="AQ131" s="986"/>
      <c r="AR131" s="2011">
        <v>0</v>
      </c>
      <c r="AS131"/>
      <c r="AT131" s="986"/>
      <c r="AU131" s="986"/>
      <c r="AV131" s="986"/>
      <c r="AW131" s="986"/>
      <c r="AX131" s="986"/>
      <c r="AY131" s="986"/>
      <c r="AZ131" s="986"/>
      <c r="BA131" s="986"/>
      <c r="BB131" s="986"/>
      <c r="BC131" s="986"/>
      <c r="BD131" s="986"/>
      <c r="BE131" s="986"/>
      <c r="BF131" s="2011">
        <v>0</v>
      </c>
      <c r="BG131"/>
      <c r="BH131" s="986"/>
      <c r="BI131" s="986"/>
      <c r="BJ131" s="986"/>
      <c r="BK131" s="986"/>
      <c r="BL131" s="986"/>
      <c r="BM131" s="986"/>
      <c r="BN131" s="986"/>
      <c r="BO131" s="986"/>
      <c r="BP131" s="986"/>
      <c r="BQ131" s="986"/>
      <c r="BR131" s="986"/>
      <c r="BS131" s="986"/>
      <c r="BT131" s="1498">
        <v>0</v>
      </c>
      <c r="BU131"/>
      <c r="BV131" s="986"/>
      <c r="BW131" s="986"/>
      <c r="BX131" s="986"/>
      <c r="BY131" s="1498">
        <v>0</v>
      </c>
      <c r="BZ131" s="1498">
        <v>0</v>
      </c>
    </row>
    <row r="132" spans="1:87" s="108" customFormat="1" ht="27.5" hidden="1" customHeight="1" outlineLevel="4">
      <c r="A132" s="580"/>
      <c r="B132" s="107" t="s">
        <v>2397</v>
      </c>
      <c r="C132" s="107"/>
      <c r="D132" s="533" t="s">
        <v>865</v>
      </c>
      <c r="E132"/>
      <c r="F132" s="986"/>
      <c r="G132" s="986"/>
      <c r="H132" s="986"/>
      <c r="I132" s="986"/>
      <c r="J132" s="986"/>
      <c r="K132" s="986"/>
      <c r="L132" s="986"/>
      <c r="M132" s="986"/>
      <c r="N132" s="986"/>
      <c r="O132" s="986"/>
      <c r="P132" s="2011">
        <v>0</v>
      </c>
      <c r="Q132"/>
      <c r="R132" s="986"/>
      <c r="S132" s="986"/>
      <c r="T132" s="986"/>
      <c r="U132" s="986"/>
      <c r="V132" s="986"/>
      <c r="W132" s="986"/>
      <c r="X132" s="986"/>
      <c r="Y132" s="986"/>
      <c r="Z132" s="986"/>
      <c r="AA132" s="986"/>
      <c r="AB132" s="986"/>
      <c r="AC132" s="986"/>
      <c r="AD132" s="2011">
        <v>0</v>
      </c>
      <c r="AE132"/>
      <c r="AF132" s="986"/>
      <c r="AG132" s="986"/>
      <c r="AH132" s="986"/>
      <c r="AI132" s="986"/>
      <c r="AJ132" s="986"/>
      <c r="AK132" s="986"/>
      <c r="AL132" s="986"/>
      <c r="AM132" s="986"/>
      <c r="AN132" s="986"/>
      <c r="AO132" s="986"/>
      <c r="AP132" s="986"/>
      <c r="AQ132" s="986"/>
      <c r="AR132" s="2011">
        <v>0</v>
      </c>
      <c r="AS132"/>
      <c r="AT132" s="986"/>
      <c r="AU132" s="986"/>
      <c r="AV132" s="986"/>
      <c r="AW132" s="986"/>
      <c r="AX132" s="986"/>
      <c r="AY132" s="986"/>
      <c r="AZ132" s="986"/>
      <c r="BA132" s="986"/>
      <c r="BB132" s="986"/>
      <c r="BC132" s="986"/>
      <c r="BD132" s="986"/>
      <c r="BE132" s="986"/>
      <c r="BF132" s="2011">
        <v>0</v>
      </c>
      <c r="BG132"/>
      <c r="BH132" s="986"/>
      <c r="BI132" s="986"/>
      <c r="BJ132" s="986"/>
      <c r="BK132" s="986"/>
      <c r="BL132" s="986"/>
      <c r="BM132" s="986"/>
      <c r="BN132" s="986"/>
      <c r="BO132" s="986"/>
      <c r="BP132" s="986"/>
      <c r="BQ132" s="986"/>
      <c r="BR132" s="986"/>
      <c r="BS132" s="986"/>
      <c r="BT132" s="1498">
        <v>0</v>
      </c>
      <c r="BU132"/>
      <c r="BV132" s="986"/>
      <c r="BW132" s="986"/>
      <c r="BX132" s="986"/>
      <c r="BY132" s="1498">
        <v>0</v>
      </c>
      <c r="BZ132" s="1498">
        <v>0</v>
      </c>
    </row>
    <row r="133" spans="1:87" s="108" customFormat="1" ht="27.5" hidden="1" customHeight="1" outlineLevel="4">
      <c r="A133" s="580"/>
      <c r="B133" s="107" t="s">
        <v>2398</v>
      </c>
      <c r="C133" s="107"/>
      <c r="D133" s="533" t="s">
        <v>867</v>
      </c>
      <c r="E133"/>
      <c r="F133" s="986"/>
      <c r="G133" s="986"/>
      <c r="H133" s="986"/>
      <c r="I133" s="986"/>
      <c r="J133" s="986"/>
      <c r="K133" s="986"/>
      <c r="L133" s="986"/>
      <c r="M133" s="986"/>
      <c r="N133" s="986"/>
      <c r="O133" s="986"/>
      <c r="P133" s="2011">
        <v>0</v>
      </c>
      <c r="Q133"/>
      <c r="R133" s="986"/>
      <c r="S133" s="986"/>
      <c r="T133" s="986"/>
      <c r="U133" s="986"/>
      <c r="V133" s="986"/>
      <c r="W133" s="986"/>
      <c r="X133" s="986"/>
      <c r="Y133" s="986"/>
      <c r="Z133" s="986"/>
      <c r="AA133" s="986"/>
      <c r="AB133" s="986"/>
      <c r="AC133" s="986"/>
      <c r="AD133" s="2011">
        <v>0</v>
      </c>
      <c r="AE133"/>
      <c r="AF133" s="986"/>
      <c r="AG133" s="986"/>
      <c r="AH133" s="986"/>
      <c r="AI133" s="986"/>
      <c r="AJ133" s="986"/>
      <c r="AK133" s="986"/>
      <c r="AL133" s="986"/>
      <c r="AM133" s="986"/>
      <c r="AN133" s="986"/>
      <c r="AO133" s="986"/>
      <c r="AP133" s="986"/>
      <c r="AQ133" s="986"/>
      <c r="AR133" s="2011">
        <v>0</v>
      </c>
      <c r="AS133"/>
      <c r="AT133" s="986"/>
      <c r="AU133" s="986"/>
      <c r="AV133" s="986"/>
      <c r="AW133" s="986"/>
      <c r="AX133" s="986"/>
      <c r="AY133" s="986"/>
      <c r="AZ133" s="986"/>
      <c r="BA133" s="986"/>
      <c r="BB133" s="986"/>
      <c r="BC133" s="986"/>
      <c r="BD133" s="986"/>
      <c r="BE133" s="986"/>
      <c r="BF133" s="2011">
        <v>0</v>
      </c>
      <c r="BG133"/>
      <c r="BH133" s="986"/>
      <c r="BI133" s="986"/>
      <c r="BJ133" s="986"/>
      <c r="BK133" s="986"/>
      <c r="BL133" s="986"/>
      <c r="BM133" s="986"/>
      <c r="BN133" s="986"/>
      <c r="BO133" s="986"/>
      <c r="BP133" s="986"/>
      <c r="BQ133" s="986"/>
      <c r="BR133" s="986"/>
      <c r="BS133" s="986"/>
      <c r="BT133" s="1498">
        <v>0</v>
      </c>
      <c r="BU133"/>
      <c r="BV133" s="986"/>
      <c r="BW133" s="986"/>
      <c r="BX133" s="986"/>
      <c r="BY133" s="1498">
        <v>0</v>
      </c>
      <c r="BZ133" s="1498">
        <v>0</v>
      </c>
    </row>
    <row r="134" spans="1:87" s="108" customFormat="1" ht="14.5" hidden="1" customHeight="1" outlineLevel="4">
      <c r="A134" s="580"/>
      <c r="B134" s="107" t="s">
        <v>2399</v>
      </c>
      <c r="C134" s="107"/>
      <c r="D134" s="533" t="s">
        <v>869</v>
      </c>
      <c r="E134"/>
      <c r="F134" s="986"/>
      <c r="G134" s="986"/>
      <c r="H134" s="986"/>
      <c r="I134" s="986"/>
      <c r="J134" s="986"/>
      <c r="K134" s="986"/>
      <c r="L134" s="986"/>
      <c r="M134" s="986"/>
      <c r="N134" s="986"/>
      <c r="O134" s="986"/>
      <c r="P134" s="2011">
        <v>0</v>
      </c>
      <c r="Q134"/>
      <c r="R134" s="986"/>
      <c r="S134" s="986"/>
      <c r="T134" s="986"/>
      <c r="U134" s="986"/>
      <c r="V134" s="986"/>
      <c r="W134" s="986"/>
      <c r="X134" s="986"/>
      <c r="Y134" s="986"/>
      <c r="Z134" s="986"/>
      <c r="AA134" s="986"/>
      <c r="AB134" s="986"/>
      <c r="AC134" s="986"/>
      <c r="AD134" s="2011">
        <v>0</v>
      </c>
      <c r="AE134"/>
      <c r="AF134" s="986"/>
      <c r="AG134" s="986"/>
      <c r="AH134" s="986"/>
      <c r="AI134" s="986"/>
      <c r="AJ134" s="986"/>
      <c r="AK134" s="986"/>
      <c r="AL134" s="986"/>
      <c r="AM134" s="986"/>
      <c r="AN134" s="986"/>
      <c r="AO134" s="986"/>
      <c r="AP134" s="986"/>
      <c r="AQ134" s="986"/>
      <c r="AR134" s="2011">
        <v>0</v>
      </c>
      <c r="AS134"/>
      <c r="AT134" s="986"/>
      <c r="AU134" s="986"/>
      <c r="AV134" s="986"/>
      <c r="AW134" s="986"/>
      <c r="AX134" s="986"/>
      <c r="AY134" s="986"/>
      <c r="AZ134" s="986"/>
      <c r="BA134" s="986"/>
      <c r="BB134" s="986"/>
      <c r="BC134" s="986"/>
      <c r="BD134" s="986"/>
      <c r="BE134" s="986"/>
      <c r="BF134" s="2011">
        <v>0</v>
      </c>
      <c r="BG134"/>
      <c r="BH134" s="986"/>
      <c r="BI134" s="986"/>
      <c r="BJ134" s="986"/>
      <c r="BK134" s="986"/>
      <c r="BL134" s="986"/>
      <c r="BM134" s="986"/>
      <c r="BN134" s="986"/>
      <c r="BO134" s="986"/>
      <c r="BP134" s="986"/>
      <c r="BQ134" s="986"/>
      <c r="BR134" s="986"/>
      <c r="BS134" s="986"/>
      <c r="BT134" s="1498">
        <v>0</v>
      </c>
      <c r="BU134"/>
      <c r="BV134" s="986"/>
      <c r="BW134" s="986"/>
      <c r="BX134" s="986"/>
      <c r="BY134" s="1498">
        <v>0</v>
      </c>
      <c r="BZ134" s="1498">
        <v>0</v>
      </c>
    </row>
    <row r="135" spans="1:87" s="108" customFormat="1" ht="14.5" hidden="1" customHeight="1" outlineLevel="4">
      <c r="A135" s="580"/>
      <c r="B135" s="107" t="s">
        <v>2400</v>
      </c>
      <c r="C135" s="107"/>
      <c r="D135" s="533" t="s">
        <v>871</v>
      </c>
      <c r="E135"/>
      <c r="F135" s="986"/>
      <c r="G135" s="986"/>
      <c r="H135" s="986"/>
      <c r="I135" s="986"/>
      <c r="J135" s="986"/>
      <c r="K135" s="986"/>
      <c r="L135" s="986"/>
      <c r="M135" s="986"/>
      <c r="N135" s="986"/>
      <c r="O135" s="986"/>
      <c r="P135" s="2011">
        <v>0</v>
      </c>
      <c r="Q135"/>
      <c r="R135" s="986"/>
      <c r="S135" s="986"/>
      <c r="T135" s="986"/>
      <c r="U135" s="986"/>
      <c r="V135" s="986"/>
      <c r="W135" s="986"/>
      <c r="X135" s="986"/>
      <c r="Y135" s="986"/>
      <c r="Z135" s="986"/>
      <c r="AA135" s="986"/>
      <c r="AB135" s="986"/>
      <c r="AC135" s="986"/>
      <c r="AD135" s="2011">
        <v>0</v>
      </c>
      <c r="AE135"/>
      <c r="AF135" s="986"/>
      <c r="AG135" s="986"/>
      <c r="AH135" s="986"/>
      <c r="AI135" s="986"/>
      <c r="AJ135" s="986"/>
      <c r="AK135" s="986"/>
      <c r="AL135" s="986"/>
      <c r="AM135" s="986"/>
      <c r="AN135" s="986"/>
      <c r="AO135" s="986"/>
      <c r="AP135" s="986"/>
      <c r="AQ135" s="986"/>
      <c r="AR135" s="2011">
        <v>0</v>
      </c>
      <c r="AS135"/>
      <c r="AT135" s="986"/>
      <c r="AU135" s="986"/>
      <c r="AV135" s="986"/>
      <c r="AW135" s="986"/>
      <c r="AX135" s="986"/>
      <c r="AY135" s="986"/>
      <c r="AZ135" s="986"/>
      <c r="BA135" s="986"/>
      <c r="BB135" s="986"/>
      <c r="BC135" s="986"/>
      <c r="BD135" s="986"/>
      <c r="BE135" s="986"/>
      <c r="BF135" s="2011">
        <v>0</v>
      </c>
      <c r="BG135"/>
      <c r="BH135" s="986"/>
      <c r="BI135" s="986"/>
      <c r="BJ135" s="986"/>
      <c r="BK135" s="986"/>
      <c r="BL135" s="986"/>
      <c r="BM135" s="986"/>
      <c r="BN135" s="986"/>
      <c r="BO135" s="986"/>
      <c r="BP135" s="986"/>
      <c r="BQ135" s="986"/>
      <c r="BR135" s="986"/>
      <c r="BS135" s="986"/>
      <c r="BT135" s="1498">
        <v>0</v>
      </c>
      <c r="BU135"/>
      <c r="BV135" s="986"/>
      <c r="BW135" s="986"/>
      <c r="BX135" s="986"/>
      <c r="BY135" s="1498">
        <v>0</v>
      </c>
      <c r="BZ135" s="1498">
        <v>0</v>
      </c>
    </row>
    <row r="136" spans="1:87" s="108" customFormat="1" ht="14" hidden="1" customHeight="1" outlineLevel="3">
      <c r="A136" s="580"/>
      <c r="B136" s="107"/>
      <c r="C136" s="107"/>
      <c r="D136" s="537"/>
      <c r="E136"/>
      <c r="F136" s="986"/>
      <c r="G136" s="986"/>
      <c r="H136" s="986"/>
      <c r="I136" s="986"/>
      <c r="J136" s="986"/>
      <c r="K136" s="986"/>
      <c r="L136" s="986"/>
      <c r="M136" s="986"/>
      <c r="N136" s="986"/>
      <c r="O136" s="986"/>
      <c r="P136" s="2011">
        <v>0</v>
      </c>
      <c r="Q136"/>
      <c r="R136" s="986"/>
      <c r="S136" s="986"/>
      <c r="T136" s="986"/>
      <c r="U136" s="986"/>
      <c r="V136" s="986"/>
      <c r="W136" s="986"/>
      <c r="X136" s="986"/>
      <c r="Y136" s="986"/>
      <c r="Z136" s="986"/>
      <c r="AA136" s="986"/>
      <c r="AB136" s="986"/>
      <c r="AC136" s="986"/>
      <c r="AD136" s="2011">
        <v>0</v>
      </c>
      <c r="AE136"/>
      <c r="AF136" s="986"/>
      <c r="AG136" s="986"/>
      <c r="AH136" s="986"/>
      <c r="AI136" s="986"/>
      <c r="AJ136" s="986"/>
      <c r="AK136" s="986"/>
      <c r="AL136" s="986"/>
      <c r="AM136" s="986"/>
      <c r="AN136" s="986"/>
      <c r="AO136" s="986"/>
      <c r="AP136" s="986"/>
      <c r="AQ136" s="986"/>
      <c r="AR136" s="2011">
        <v>0</v>
      </c>
      <c r="AS136"/>
      <c r="AT136" s="986"/>
      <c r="AU136" s="986"/>
      <c r="AV136" s="986"/>
      <c r="AW136" s="986"/>
      <c r="AX136" s="986"/>
      <c r="AY136" s="986"/>
      <c r="AZ136" s="986"/>
      <c r="BA136" s="986"/>
      <c r="BB136" s="986"/>
      <c r="BC136" s="986"/>
      <c r="BD136" s="986"/>
      <c r="BE136" s="986"/>
      <c r="BF136" s="2011">
        <v>0</v>
      </c>
      <c r="BG136"/>
      <c r="BH136" s="986"/>
      <c r="BI136" s="986"/>
      <c r="BJ136" s="986"/>
      <c r="BK136" s="986"/>
      <c r="BL136" s="986"/>
      <c r="BM136" s="986"/>
      <c r="BN136" s="986"/>
      <c r="BO136" s="986"/>
      <c r="BP136" s="986"/>
      <c r="BQ136" s="986"/>
      <c r="BR136" s="986"/>
      <c r="BS136" s="986"/>
      <c r="BT136" s="1498">
        <v>0</v>
      </c>
      <c r="BU136"/>
      <c r="BV136" s="986"/>
      <c r="BW136" s="986"/>
      <c r="BX136" s="986"/>
      <c r="BY136" s="1498">
        <v>0</v>
      </c>
      <c r="BZ136" s="1498">
        <v>0</v>
      </c>
    </row>
    <row r="137" spans="1:87" s="878" customFormat="1" ht="27.5" customHeight="1" outlineLevel="2" collapsed="1">
      <c r="A137" s="172"/>
      <c r="B137" s="171" t="s">
        <v>513</v>
      </c>
      <c r="C137" s="171"/>
      <c r="D137" s="538" t="s">
        <v>31</v>
      </c>
      <c r="E137"/>
      <c r="F137" s="176">
        <v>0</v>
      </c>
      <c r="G137" s="176">
        <v>0</v>
      </c>
      <c r="H137" s="176">
        <v>0</v>
      </c>
      <c r="I137" s="176">
        <v>0</v>
      </c>
      <c r="J137" s="176">
        <v>0</v>
      </c>
      <c r="K137" s="176">
        <v>0</v>
      </c>
      <c r="L137" s="176">
        <v>0</v>
      </c>
      <c r="M137" s="176">
        <v>0</v>
      </c>
      <c r="N137" s="176">
        <v>0</v>
      </c>
      <c r="O137" s="176">
        <v>3331.3333333333335</v>
      </c>
      <c r="P137" s="176">
        <v>3331.3333333333335</v>
      </c>
      <c r="Q137"/>
      <c r="R137" s="176">
        <v>3331.3333333333335</v>
      </c>
      <c r="S137" s="176">
        <v>3331.3333333333335</v>
      </c>
      <c r="T137" s="176">
        <v>3331.3333333333335</v>
      </c>
      <c r="U137" s="176">
        <v>8331.3333333333339</v>
      </c>
      <c r="V137" s="176">
        <v>8331.3333333333339</v>
      </c>
      <c r="W137" s="176">
        <v>5000</v>
      </c>
      <c r="X137" s="176">
        <v>0</v>
      </c>
      <c r="Y137" s="176">
        <v>0</v>
      </c>
      <c r="Z137" s="176">
        <v>0</v>
      </c>
      <c r="AA137" s="176">
        <v>0</v>
      </c>
      <c r="AB137" s="176">
        <v>0</v>
      </c>
      <c r="AC137" s="176">
        <v>0</v>
      </c>
      <c r="AD137" s="176">
        <v>31656.666666666672</v>
      </c>
      <c r="AE137"/>
      <c r="AF137" s="176">
        <v>0</v>
      </c>
      <c r="AG137" s="176">
        <v>0</v>
      </c>
      <c r="AH137" s="176">
        <v>290474.2</v>
      </c>
      <c r="AI137" s="176">
        <v>0</v>
      </c>
      <c r="AJ137" s="176">
        <v>0</v>
      </c>
      <c r="AK137" s="176">
        <v>0</v>
      </c>
      <c r="AL137" s="176">
        <v>193649.46666666667</v>
      </c>
      <c r="AM137" s="176">
        <v>0</v>
      </c>
      <c r="AN137" s="176">
        <v>0</v>
      </c>
      <c r="AO137" s="176">
        <v>0</v>
      </c>
      <c r="AP137" s="176">
        <v>193649.46666666667</v>
      </c>
      <c r="AQ137" s="176">
        <v>0</v>
      </c>
      <c r="AR137" s="176">
        <v>677773.1333333333</v>
      </c>
      <c r="AS137"/>
      <c r="AT137" s="176">
        <v>0</v>
      </c>
      <c r="AU137" s="176">
        <v>0</v>
      </c>
      <c r="AV137" s="176">
        <v>193649.46666666667</v>
      </c>
      <c r="AW137" s="176">
        <v>0</v>
      </c>
      <c r="AX137" s="176">
        <v>0</v>
      </c>
      <c r="AY137" s="176">
        <v>0</v>
      </c>
      <c r="AZ137" s="176">
        <v>193649.46666666667</v>
      </c>
      <c r="BA137" s="176">
        <v>0</v>
      </c>
      <c r="BB137" s="176">
        <v>0</v>
      </c>
      <c r="BC137" s="176">
        <v>0</v>
      </c>
      <c r="BD137" s="176">
        <v>193649.46666666667</v>
      </c>
      <c r="BE137" s="176">
        <v>0</v>
      </c>
      <c r="BF137" s="176">
        <v>580948.4</v>
      </c>
      <c r="BG137"/>
      <c r="BH137" s="176">
        <v>0</v>
      </c>
      <c r="BI137" s="176">
        <v>0</v>
      </c>
      <c r="BJ137" s="176">
        <v>193649.46666666667</v>
      </c>
      <c r="BK137" s="176">
        <v>0</v>
      </c>
      <c r="BL137" s="176">
        <v>0</v>
      </c>
      <c r="BM137" s="176">
        <v>0</v>
      </c>
      <c r="BN137" s="176">
        <v>193649.46666666667</v>
      </c>
      <c r="BO137" s="176">
        <v>0</v>
      </c>
      <c r="BP137" s="176">
        <v>0</v>
      </c>
      <c r="BQ137" s="176">
        <v>0</v>
      </c>
      <c r="BR137" s="176">
        <v>290474.2</v>
      </c>
      <c r="BS137" s="176">
        <v>0</v>
      </c>
      <c r="BT137" s="176">
        <v>677773.1333333333</v>
      </c>
      <c r="BU137"/>
      <c r="BV137" s="176">
        <v>0</v>
      </c>
      <c r="BW137" s="176">
        <v>0</v>
      </c>
      <c r="BX137" s="176">
        <v>0</v>
      </c>
      <c r="BY137" s="176">
        <v>0</v>
      </c>
      <c r="BZ137" s="176">
        <v>1971482.6666666665</v>
      </c>
      <c r="CA137" s="153"/>
      <c r="CB137" s="153"/>
      <c r="CC137" s="153"/>
      <c r="CD137" s="153"/>
      <c r="CE137" s="153"/>
      <c r="CF137" s="153"/>
      <c r="CG137" s="153"/>
      <c r="CH137" s="153"/>
      <c r="CI137" s="153"/>
    </row>
    <row r="138" spans="1:87" s="879" customFormat="1" ht="41.5" hidden="1" customHeight="1" outlineLevel="3">
      <c r="A138" s="579"/>
      <c r="B138" s="107" t="s">
        <v>2401</v>
      </c>
      <c r="C138" s="107"/>
      <c r="D138" s="533" t="s">
        <v>875</v>
      </c>
      <c r="E138"/>
      <c r="F138" s="983"/>
      <c r="G138" s="983"/>
      <c r="H138" s="983"/>
      <c r="I138" s="983"/>
      <c r="J138" s="983"/>
      <c r="K138" s="983"/>
      <c r="L138" s="983"/>
      <c r="M138" s="983"/>
      <c r="N138" s="983"/>
      <c r="O138" s="983"/>
      <c r="P138" s="2018">
        <v>0</v>
      </c>
      <c r="Q138"/>
      <c r="R138" s="983"/>
      <c r="S138" s="983"/>
      <c r="T138" s="983"/>
      <c r="U138" s="983"/>
      <c r="V138" s="983"/>
      <c r="W138" s="983"/>
      <c r="X138" s="983"/>
      <c r="Y138" s="983"/>
      <c r="Z138" s="983"/>
      <c r="AA138" s="983"/>
      <c r="AB138" s="983"/>
      <c r="AC138" s="983"/>
      <c r="AD138" s="2018">
        <v>0</v>
      </c>
      <c r="AE138"/>
      <c r="AF138" s="983"/>
      <c r="AG138" s="983"/>
      <c r="AH138" s="983"/>
      <c r="AI138" s="983"/>
      <c r="AJ138" s="983"/>
      <c r="AK138" s="983"/>
      <c r="AL138" s="983"/>
      <c r="AM138" s="983"/>
      <c r="AN138" s="983"/>
      <c r="AO138" s="983"/>
      <c r="AP138" s="983"/>
      <c r="AQ138" s="983"/>
      <c r="AR138" s="2018">
        <v>0</v>
      </c>
      <c r="AS138"/>
      <c r="AT138" s="983"/>
      <c r="AU138" s="983"/>
      <c r="AV138" s="983"/>
      <c r="AW138" s="983"/>
      <c r="AX138" s="983"/>
      <c r="AY138" s="983"/>
      <c r="AZ138" s="983"/>
      <c r="BA138" s="983"/>
      <c r="BB138" s="983"/>
      <c r="BC138" s="983"/>
      <c r="BD138" s="983"/>
      <c r="BE138" s="983"/>
      <c r="BF138" s="2034">
        <v>0</v>
      </c>
      <c r="BG138"/>
      <c r="BH138" s="983"/>
      <c r="BI138" s="983"/>
      <c r="BJ138" s="983"/>
      <c r="BK138" s="983"/>
      <c r="BL138" s="983"/>
      <c r="BM138" s="983"/>
      <c r="BN138" s="983"/>
      <c r="BO138" s="983"/>
      <c r="BP138" s="983"/>
      <c r="BQ138" s="983"/>
      <c r="BR138" s="983"/>
      <c r="BS138" s="983"/>
      <c r="BT138" s="2012">
        <v>0</v>
      </c>
      <c r="BU138"/>
      <c r="BV138" s="983"/>
      <c r="BW138" s="983"/>
      <c r="BX138" s="983"/>
      <c r="BY138" s="2012">
        <v>0</v>
      </c>
      <c r="BZ138" s="2012">
        <v>0</v>
      </c>
    </row>
    <row r="139" spans="1:87" s="879" customFormat="1" ht="14.5" hidden="1" customHeight="1" outlineLevel="3">
      <c r="A139" s="579"/>
      <c r="B139" s="107" t="s">
        <v>2402</v>
      </c>
      <c r="C139" s="107"/>
      <c r="D139" s="533" t="s">
        <v>878</v>
      </c>
      <c r="E139"/>
      <c r="F139" s="986">
        <v>0</v>
      </c>
      <c r="G139" s="986">
        <v>0</v>
      </c>
      <c r="H139" s="986">
        <v>0</v>
      </c>
      <c r="I139" s="986">
        <v>0</v>
      </c>
      <c r="J139" s="986">
        <v>0</v>
      </c>
      <c r="K139" s="986">
        <v>0</v>
      </c>
      <c r="L139" s="986">
        <v>0</v>
      </c>
      <c r="M139" s="986">
        <v>0</v>
      </c>
      <c r="N139" s="986">
        <v>0</v>
      </c>
      <c r="O139" s="986">
        <v>0</v>
      </c>
      <c r="P139" s="2011">
        <v>0</v>
      </c>
      <c r="Q139"/>
      <c r="R139" s="986">
        <v>0</v>
      </c>
      <c r="S139" s="986">
        <v>0</v>
      </c>
      <c r="T139" s="986">
        <v>0</v>
      </c>
      <c r="U139" s="986">
        <v>5000</v>
      </c>
      <c r="V139" s="986">
        <v>5000</v>
      </c>
      <c r="W139" s="986">
        <v>5000</v>
      </c>
      <c r="X139" s="986">
        <v>0</v>
      </c>
      <c r="Y139" s="986">
        <v>0</v>
      </c>
      <c r="Z139" s="986">
        <v>0</v>
      </c>
      <c r="AA139" s="986">
        <v>0</v>
      </c>
      <c r="AB139" s="986">
        <v>0</v>
      </c>
      <c r="AC139" s="986">
        <v>0</v>
      </c>
      <c r="AD139" s="2011">
        <v>15000</v>
      </c>
      <c r="AE139"/>
      <c r="AF139" s="986">
        <v>0</v>
      </c>
      <c r="AG139" s="986">
        <v>0</v>
      </c>
      <c r="AH139" s="986">
        <v>0</v>
      </c>
      <c r="AI139" s="986">
        <v>0</v>
      </c>
      <c r="AJ139" s="986">
        <v>0</v>
      </c>
      <c r="AK139" s="986">
        <v>0</v>
      </c>
      <c r="AL139" s="986">
        <v>0</v>
      </c>
      <c r="AM139" s="986">
        <v>0</v>
      </c>
      <c r="AN139" s="986">
        <v>0</v>
      </c>
      <c r="AO139" s="986">
        <v>0</v>
      </c>
      <c r="AP139" s="986">
        <v>0</v>
      </c>
      <c r="AQ139" s="986">
        <v>0</v>
      </c>
      <c r="AR139" s="2011">
        <v>0</v>
      </c>
      <c r="AS139"/>
      <c r="AT139" s="986">
        <v>0</v>
      </c>
      <c r="AU139" s="986">
        <v>0</v>
      </c>
      <c r="AV139" s="986">
        <v>0</v>
      </c>
      <c r="AW139" s="986">
        <v>0</v>
      </c>
      <c r="AX139" s="986">
        <v>0</v>
      </c>
      <c r="AY139" s="986">
        <v>0</v>
      </c>
      <c r="AZ139" s="986">
        <v>0</v>
      </c>
      <c r="BA139" s="986">
        <v>0</v>
      </c>
      <c r="BB139" s="986">
        <v>0</v>
      </c>
      <c r="BC139" s="986">
        <v>0</v>
      </c>
      <c r="BD139" s="986">
        <v>0</v>
      </c>
      <c r="BE139" s="986">
        <v>0</v>
      </c>
      <c r="BF139" s="2011">
        <v>0</v>
      </c>
      <c r="BG139"/>
      <c r="BH139" s="986">
        <v>0</v>
      </c>
      <c r="BI139" s="986">
        <v>0</v>
      </c>
      <c r="BJ139" s="986">
        <v>0</v>
      </c>
      <c r="BK139" s="986">
        <v>0</v>
      </c>
      <c r="BL139" s="986">
        <v>0</v>
      </c>
      <c r="BM139" s="986">
        <v>0</v>
      </c>
      <c r="BN139" s="986">
        <v>0</v>
      </c>
      <c r="BO139" s="986">
        <v>0</v>
      </c>
      <c r="BP139" s="986">
        <v>0</v>
      </c>
      <c r="BQ139" s="986">
        <v>0</v>
      </c>
      <c r="BR139" s="986">
        <v>0</v>
      </c>
      <c r="BS139" s="986">
        <v>0</v>
      </c>
      <c r="BT139" s="2011">
        <v>0</v>
      </c>
      <c r="BU139"/>
      <c r="BV139" s="986">
        <v>0</v>
      </c>
      <c r="BW139" s="986">
        <v>0</v>
      </c>
      <c r="BX139" s="986">
        <v>0</v>
      </c>
      <c r="BY139" s="2011">
        <v>0</v>
      </c>
      <c r="BZ139" s="2011">
        <v>15000</v>
      </c>
      <c r="CA139" s="108"/>
    </row>
    <row r="140" spans="1:87" s="879" customFormat="1" ht="140" hidden="1" customHeight="1" outlineLevel="4">
      <c r="A140" s="579"/>
      <c r="B140" s="107" t="s">
        <v>2403</v>
      </c>
      <c r="C140" s="107" t="s">
        <v>1279</v>
      </c>
      <c r="D140" s="1439" t="s">
        <v>880</v>
      </c>
      <c r="E140"/>
      <c r="F140" s="988"/>
      <c r="G140" s="988"/>
      <c r="H140" s="988"/>
      <c r="I140" s="988"/>
      <c r="J140" s="988"/>
      <c r="K140" s="988"/>
      <c r="L140" s="988"/>
      <c r="M140" s="988"/>
      <c r="N140" s="988"/>
      <c r="O140" s="988"/>
      <c r="P140" s="2043">
        <v>0</v>
      </c>
      <c r="Q140"/>
      <c r="R140" s="988"/>
      <c r="S140" s="988"/>
      <c r="T140" s="988"/>
      <c r="U140" s="988">
        <v>5000</v>
      </c>
      <c r="V140" s="988">
        <v>5000</v>
      </c>
      <c r="W140" s="988">
        <v>5000</v>
      </c>
      <c r="X140" s="988"/>
      <c r="Y140" s="988"/>
      <c r="Z140" s="988"/>
      <c r="AA140" s="988"/>
      <c r="AB140" s="988"/>
      <c r="AC140" s="988"/>
      <c r="AD140" s="2043">
        <v>15000</v>
      </c>
      <c r="AE140"/>
      <c r="AF140" s="988"/>
      <c r="AG140" s="988"/>
      <c r="AH140" s="988"/>
      <c r="AI140" s="988"/>
      <c r="AJ140" s="988"/>
      <c r="AK140" s="988"/>
      <c r="AL140" s="988"/>
      <c r="AM140" s="988"/>
      <c r="AN140" s="988"/>
      <c r="AO140" s="988"/>
      <c r="AP140" s="988"/>
      <c r="AQ140" s="988"/>
      <c r="AR140" s="2043">
        <v>0</v>
      </c>
      <c r="AS140"/>
      <c r="AT140" s="988"/>
      <c r="AU140" s="988"/>
      <c r="AV140" s="988"/>
      <c r="AW140" s="988"/>
      <c r="AX140" s="988"/>
      <c r="AY140" s="988"/>
      <c r="AZ140" s="988"/>
      <c r="BA140" s="988"/>
      <c r="BB140" s="988"/>
      <c r="BC140" s="988"/>
      <c r="BD140" s="988"/>
      <c r="BE140" s="988"/>
      <c r="BF140" s="2032">
        <v>0</v>
      </c>
      <c r="BG140"/>
      <c r="BH140" s="988"/>
      <c r="BI140" s="988"/>
      <c r="BJ140" s="988"/>
      <c r="BK140" s="988"/>
      <c r="BL140" s="988"/>
      <c r="BM140" s="988"/>
      <c r="BN140" s="988"/>
      <c r="BO140" s="988"/>
      <c r="BP140" s="988"/>
      <c r="BQ140" s="988"/>
      <c r="BR140" s="988"/>
      <c r="BS140" s="988"/>
      <c r="BT140" s="1914">
        <v>0</v>
      </c>
      <c r="BU140"/>
      <c r="BV140" s="988"/>
      <c r="BW140" s="988"/>
      <c r="BX140" s="988"/>
      <c r="BY140" s="1914">
        <v>0</v>
      </c>
      <c r="BZ140" s="1914">
        <v>15000</v>
      </c>
      <c r="CA140" s="108"/>
    </row>
    <row r="141" spans="1:87" s="879" customFormat="1" ht="84.5" hidden="1" customHeight="1" outlineLevel="3">
      <c r="A141" s="579"/>
      <c r="B141" s="107" t="s">
        <v>2404</v>
      </c>
      <c r="C141" s="107" t="s">
        <v>1279</v>
      </c>
      <c r="D141" s="2124" t="s">
        <v>844</v>
      </c>
      <c r="E141"/>
      <c r="F141" s="1343">
        <v>0</v>
      </c>
      <c r="G141" s="1343">
        <v>0</v>
      </c>
      <c r="H141" s="1343">
        <v>0</v>
      </c>
      <c r="I141" s="1343">
        <v>0</v>
      </c>
      <c r="J141" s="1343">
        <v>0</v>
      </c>
      <c r="K141" s="1343">
        <v>0</v>
      </c>
      <c r="L141" s="1343">
        <v>0</v>
      </c>
      <c r="M141" s="1343">
        <v>0</v>
      </c>
      <c r="N141" s="1343">
        <v>0</v>
      </c>
      <c r="O141" s="1343">
        <v>3331.3333333333335</v>
      </c>
      <c r="P141" s="2043">
        <v>3331.3333333333335</v>
      </c>
      <c r="Q141"/>
      <c r="R141" s="1343">
        <v>3331.3333333333335</v>
      </c>
      <c r="S141" s="1343">
        <v>3331.3333333333335</v>
      </c>
      <c r="T141" s="1343">
        <v>3331.3333333333335</v>
      </c>
      <c r="U141" s="1343">
        <v>3331.3333333333335</v>
      </c>
      <c r="V141" s="1343">
        <v>3331.3333333333335</v>
      </c>
      <c r="W141" s="1343">
        <v>0</v>
      </c>
      <c r="X141" s="1343">
        <v>0</v>
      </c>
      <c r="Y141" s="1343">
        <v>0</v>
      </c>
      <c r="Z141" s="1343">
        <v>0</v>
      </c>
      <c r="AA141" s="1343">
        <v>0</v>
      </c>
      <c r="AB141" s="1343">
        <v>0</v>
      </c>
      <c r="AC141" s="1343">
        <v>0</v>
      </c>
      <c r="AD141" s="2043">
        <v>16656.666666666668</v>
      </c>
      <c r="AE141"/>
      <c r="AF141" s="1343">
        <v>0</v>
      </c>
      <c r="AG141" s="1343">
        <v>0</v>
      </c>
      <c r="AH141" s="1343">
        <v>290474.2</v>
      </c>
      <c r="AI141" s="1343">
        <v>0</v>
      </c>
      <c r="AJ141" s="1343">
        <v>0</v>
      </c>
      <c r="AK141" s="1343">
        <v>0</v>
      </c>
      <c r="AL141" s="1343">
        <v>193649.46666666667</v>
      </c>
      <c r="AM141" s="1343">
        <v>0</v>
      </c>
      <c r="AN141" s="1343">
        <v>0</v>
      </c>
      <c r="AO141" s="1343">
        <v>0</v>
      </c>
      <c r="AP141" s="1343">
        <v>193649.46666666667</v>
      </c>
      <c r="AQ141" s="1343">
        <v>0</v>
      </c>
      <c r="AR141" s="2043">
        <v>677773.1333333333</v>
      </c>
      <c r="AS141"/>
      <c r="AT141" s="1343">
        <v>0</v>
      </c>
      <c r="AU141" s="1343">
        <v>0</v>
      </c>
      <c r="AV141" s="1343">
        <v>193649.46666666667</v>
      </c>
      <c r="AW141" s="1343">
        <v>0</v>
      </c>
      <c r="AX141" s="1343">
        <v>0</v>
      </c>
      <c r="AY141" s="1343">
        <v>0</v>
      </c>
      <c r="AZ141" s="1343">
        <v>193649.46666666667</v>
      </c>
      <c r="BA141" s="1343">
        <v>0</v>
      </c>
      <c r="BB141" s="1343">
        <v>0</v>
      </c>
      <c r="BC141" s="1343">
        <v>0</v>
      </c>
      <c r="BD141" s="1343">
        <v>193649.46666666667</v>
      </c>
      <c r="BE141" s="1343">
        <v>0</v>
      </c>
      <c r="BF141" s="2032">
        <v>580948.4</v>
      </c>
      <c r="BG141"/>
      <c r="BH141" s="1343">
        <v>0</v>
      </c>
      <c r="BI141" s="1343">
        <v>0</v>
      </c>
      <c r="BJ141" s="1343">
        <v>193649.46666666667</v>
      </c>
      <c r="BK141" s="1343">
        <v>0</v>
      </c>
      <c r="BL141" s="1343">
        <v>0</v>
      </c>
      <c r="BM141" s="1343">
        <v>0</v>
      </c>
      <c r="BN141" s="1343">
        <v>193649.46666666667</v>
      </c>
      <c r="BO141" s="1343">
        <v>0</v>
      </c>
      <c r="BP141" s="1343">
        <v>0</v>
      </c>
      <c r="BQ141" s="1343">
        <v>0</v>
      </c>
      <c r="BR141" s="1343">
        <v>290474.2</v>
      </c>
      <c r="BS141" s="1343">
        <v>0</v>
      </c>
      <c r="BT141" s="1914">
        <v>677773.1333333333</v>
      </c>
      <c r="BU141"/>
      <c r="BV141" s="1343">
        <v>0</v>
      </c>
      <c r="BW141" s="1343">
        <v>0</v>
      </c>
      <c r="BX141" s="1343">
        <v>0</v>
      </c>
      <c r="BY141" s="1914">
        <v>0</v>
      </c>
      <c r="BZ141" s="1914">
        <v>1956482.6666666665</v>
      </c>
    </row>
    <row r="142" spans="1:87" s="879" customFormat="1" ht="170" hidden="1" customHeight="1" outlineLevel="4">
      <c r="A142" s="579"/>
      <c r="B142" s="107" t="s">
        <v>2394</v>
      </c>
      <c r="C142" s="107" t="s">
        <v>1279</v>
      </c>
      <c r="D142" s="2154" t="s">
        <v>2405</v>
      </c>
      <c r="E142"/>
      <c r="F142" s="988"/>
      <c r="G142" s="988"/>
      <c r="H142" s="988"/>
      <c r="I142" s="988"/>
      <c r="J142" s="988"/>
      <c r="K142" s="988"/>
      <c r="L142" s="988"/>
      <c r="M142" s="988"/>
      <c r="N142" s="988"/>
      <c r="O142" s="988">
        <v>1665.6666666666667</v>
      </c>
      <c r="P142" s="2043">
        <v>1665.6666666666667</v>
      </c>
      <c r="Q142"/>
      <c r="R142" s="988">
        <v>1665.6666666666667</v>
      </c>
      <c r="S142" s="988">
        <v>1665.6666666666667</v>
      </c>
      <c r="T142" s="988">
        <v>1665.6666666666667</v>
      </c>
      <c r="U142" s="988">
        <v>1665.6666666666667</v>
      </c>
      <c r="V142" s="988">
        <v>1665.6666666666667</v>
      </c>
      <c r="W142" s="988"/>
      <c r="X142" s="988"/>
      <c r="Y142" s="988"/>
      <c r="Z142" s="988"/>
      <c r="AA142" s="988"/>
      <c r="AB142" s="988"/>
      <c r="AC142" s="988"/>
      <c r="AD142" s="2043">
        <v>8328.3333333333339</v>
      </c>
      <c r="AE142"/>
      <c r="AF142" s="988"/>
      <c r="AG142" s="988"/>
      <c r="AH142" s="988"/>
      <c r="AI142" s="988"/>
      <c r="AJ142" s="988"/>
      <c r="AK142" s="988"/>
      <c r="AL142" s="988"/>
      <c r="AM142" s="988"/>
      <c r="AN142" s="988"/>
      <c r="AO142" s="988"/>
      <c r="AP142" s="988"/>
      <c r="AQ142" s="988"/>
      <c r="AR142" s="2043">
        <v>0</v>
      </c>
      <c r="AS142"/>
      <c r="AT142" s="988"/>
      <c r="AU142" s="988"/>
      <c r="AV142" s="988"/>
      <c r="AW142" s="988"/>
      <c r="AX142" s="988"/>
      <c r="AY142" s="988"/>
      <c r="AZ142" s="988"/>
      <c r="BA142" s="988"/>
      <c r="BB142" s="988"/>
      <c r="BC142" s="988"/>
      <c r="BD142" s="988"/>
      <c r="BE142" s="988"/>
      <c r="BF142" s="2032">
        <v>0</v>
      </c>
      <c r="BG142"/>
      <c r="BH142" s="988"/>
      <c r="BI142" s="988"/>
      <c r="BJ142" s="988"/>
      <c r="BK142" s="988"/>
      <c r="BL142" s="988"/>
      <c r="BM142" s="988"/>
      <c r="BN142" s="988"/>
      <c r="BO142" s="988"/>
      <c r="BP142" s="988"/>
      <c r="BQ142" s="988"/>
      <c r="BR142" s="988"/>
      <c r="BS142" s="988"/>
      <c r="BT142" s="1914">
        <v>0</v>
      </c>
      <c r="BU142"/>
      <c r="BV142" s="988"/>
      <c r="BW142" s="988"/>
      <c r="BX142" s="988"/>
      <c r="BY142" s="1914">
        <v>0</v>
      </c>
      <c r="BZ142" s="1914">
        <v>9994</v>
      </c>
    </row>
    <row r="143" spans="1:87" s="879" customFormat="1" ht="170.5" hidden="1" customHeight="1" outlineLevel="4">
      <c r="A143" s="579"/>
      <c r="B143" s="107" t="s">
        <v>2395</v>
      </c>
      <c r="C143" s="107" t="s">
        <v>1279</v>
      </c>
      <c r="D143" s="2155" t="s">
        <v>2393</v>
      </c>
      <c r="E143"/>
      <c r="F143" s="988"/>
      <c r="G143" s="988"/>
      <c r="H143" s="988"/>
      <c r="I143" s="988"/>
      <c r="J143" s="988"/>
      <c r="K143" s="988"/>
      <c r="L143" s="988"/>
      <c r="M143" s="988"/>
      <c r="N143" s="988"/>
      <c r="O143" s="988">
        <v>1665.6666666666667</v>
      </c>
      <c r="P143" s="2043">
        <v>1665.6666666666667</v>
      </c>
      <c r="Q143"/>
      <c r="R143" s="988">
        <v>1665.6666666666667</v>
      </c>
      <c r="S143" s="988">
        <v>1665.6666666666667</v>
      </c>
      <c r="T143" s="988">
        <v>1665.6666666666667</v>
      </c>
      <c r="U143" s="988">
        <v>1665.6666666666667</v>
      </c>
      <c r="V143" s="988">
        <v>1665.6666666666667</v>
      </c>
      <c r="W143" s="988"/>
      <c r="X143" s="988"/>
      <c r="Y143" s="988"/>
      <c r="Z143" s="988"/>
      <c r="AA143" s="988"/>
      <c r="AB143" s="988"/>
      <c r="AC143" s="988"/>
      <c r="AD143" s="2043">
        <v>8328.3333333333339</v>
      </c>
      <c r="AE143"/>
      <c r="AF143" s="988"/>
      <c r="AG143" s="988"/>
      <c r="AH143" s="988"/>
      <c r="AI143" s="988"/>
      <c r="AJ143" s="988"/>
      <c r="AK143" s="988"/>
      <c r="AL143" s="988"/>
      <c r="AM143" s="988"/>
      <c r="AN143" s="988"/>
      <c r="AO143" s="988"/>
      <c r="AP143" s="988"/>
      <c r="AQ143" s="988"/>
      <c r="AR143" s="2043">
        <v>0</v>
      </c>
      <c r="AS143"/>
      <c r="AT143" s="988"/>
      <c r="AU143" s="988"/>
      <c r="AV143" s="988"/>
      <c r="AW143" s="988"/>
      <c r="AX143" s="988"/>
      <c r="AY143" s="988"/>
      <c r="AZ143" s="988"/>
      <c r="BA143" s="988"/>
      <c r="BB143" s="988"/>
      <c r="BC143" s="988"/>
      <c r="BD143" s="988"/>
      <c r="BE143" s="988"/>
      <c r="BF143" s="2032">
        <v>0</v>
      </c>
      <c r="BG143"/>
      <c r="BH143" s="988"/>
      <c r="BI143" s="988"/>
      <c r="BJ143" s="988"/>
      <c r="BK143" s="988"/>
      <c r="BL143" s="988"/>
      <c r="BM143" s="988"/>
      <c r="BN143" s="988"/>
      <c r="BO143" s="988"/>
      <c r="BP143" s="988"/>
      <c r="BQ143" s="988"/>
      <c r="BR143" s="988"/>
      <c r="BS143" s="988"/>
      <c r="BT143" s="1914">
        <v>0</v>
      </c>
      <c r="BU143"/>
      <c r="BV143" s="988"/>
      <c r="BW143" s="988"/>
      <c r="BX143" s="988"/>
      <c r="BY143" s="1914">
        <v>0</v>
      </c>
      <c r="BZ143" s="1914">
        <v>9994</v>
      </c>
    </row>
    <row r="144" spans="1:87" s="879" customFormat="1" ht="86.5" hidden="1" customHeight="1" outlineLevel="4">
      <c r="A144" s="579"/>
      <c r="B144" s="107" t="s">
        <v>2396</v>
      </c>
      <c r="C144" s="107" t="s">
        <v>1279</v>
      </c>
      <c r="D144" s="2125" t="s">
        <v>852</v>
      </c>
      <c r="E144"/>
      <c r="F144" s="1436"/>
      <c r="G144" s="1436"/>
      <c r="H144" s="1436"/>
      <c r="I144" s="1436"/>
      <c r="J144" s="1436"/>
      <c r="K144" s="1436"/>
      <c r="L144" s="1436"/>
      <c r="M144" s="1436"/>
      <c r="N144" s="1436"/>
      <c r="O144" s="1436"/>
      <c r="P144" s="1571">
        <v>0</v>
      </c>
      <c r="Q144"/>
      <c r="R144" s="1436"/>
      <c r="S144" s="1436"/>
      <c r="T144" s="1436"/>
      <c r="U144" s="1436"/>
      <c r="V144" s="1436"/>
      <c r="W144" s="1436"/>
      <c r="X144" s="1436"/>
      <c r="Y144" s="1436"/>
      <c r="Z144" s="1436"/>
      <c r="AA144" s="1436"/>
      <c r="AB144" s="1436"/>
      <c r="AC144" s="1436"/>
      <c r="AD144" s="1571">
        <v>0</v>
      </c>
      <c r="AE144"/>
      <c r="AF144" s="988"/>
      <c r="AG144" s="988"/>
      <c r="AH144" s="988">
        <v>290474.2</v>
      </c>
      <c r="AI144" s="988"/>
      <c r="AJ144" s="988"/>
      <c r="AK144" s="988"/>
      <c r="AL144" s="988">
        <v>193649.46666666667</v>
      </c>
      <c r="AM144" s="988"/>
      <c r="AN144" s="988"/>
      <c r="AO144" s="988"/>
      <c r="AP144" s="988">
        <v>193649.46666666667</v>
      </c>
      <c r="AQ144" s="988"/>
      <c r="AR144" s="2043">
        <v>677773.1333333333</v>
      </c>
      <c r="AS144"/>
      <c r="AT144" s="988"/>
      <c r="AU144" s="988"/>
      <c r="AV144" s="988">
        <v>193649.46666666667</v>
      </c>
      <c r="AW144" s="988"/>
      <c r="AX144" s="988"/>
      <c r="AY144" s="988"/>
      <c r="AZ144" s="988">
        <v>193649.46666666667</v>
      </c>
      <c r="BA144" s="988"/>
      <c r="BB144" s="988"/>
      <c r="BC144" s="988"/>
      <c r="BD144" s="988">
        <v>193649.46666666667</v>
      </c>
      <c r="BE144" s="988"/>
      <c r="BF144" s="2043">
        <v>580948.4</v>
      </c>
      <c r="BG144"/>
      <c r="BH144" s="988"/>
      <c r="BI144" s="988"/>
      <c r="BJ144" s="988">
        <v>193649.46666666667</v>
      </c>
      <c r="BK144" s="988"/>
      <c r="BL144" s="988"/>
      <c r="BM144" s="988"/>
      <c r="BN144" s="988">
        <v>193649.46666666667</v>
      </c>
      <c r="BO144" s="988"/>
      <c r="BP144" s="988"/>
      <c r="BQ144" s="988"/>
      <c r="BR144" s="988">
        <v>290474.2</v>
      </c>
      <c r="BS144" s="988"/>
      <c r="BT144" s="2043">
        <v>677773.1333333333</v>
      </c>
      <c r="BU144"/>
      <c r="BV144" s="988"/>
      <c r="BW144" s="988"/>
      <c r="BX144" s="988"/>
      <c r="BY144" s="2043">
        <v>0</v>
      </c>
      <c r="BZ144" s="2043">
        <v>1936494.6666666665</v>
      </c>
    </row>
    <row r="145" spans="1:87" s="879" customFormat="1" ht="14.5" hidden="1" customHeight="1" outlineLevel="3">
      <c r="A145" s="579"/>
      <c r="B145" s="107"/>
      <c r="C145" s="107"/>
      <c r="D145" s="703"/>
      <c r="E145"/>
      <c r="F145" s="1436"/>
      <c r="G145" s="1436"/>
      <c r="H145" s="1436"/>
      <c r="I145" s="1436"/>
      <c r="J145" s="1436"/>
      <c r="K145" s="1436"/>
      <c r="L145" s="1436"/>
      <c r="M145" s="1436"/>
      <c r="N145" s="1436"/>
      <c r="O145" s="1436"/>
      <c r="P145" s="1571">
        <v>0</v>
      </c>
      <c r="Q145"/>
      <c r="R145" s="1436"/>
      <c r="S145" s="1436"/>
      <c r="T145" s="1436"/>
      <c r="U145" s="1436"/>
      <c r="V145" s="1436"/>
      <c r="W145" s="1436"/>
      <c r="X145" s="1436"/>
      <c r="Y145" s="1436"/>
      <c r="Z145" s="1436"/>
      <c r="AA145" s="1436"/>
      <c r="AB145" s="1436"/>
      <c r="AC145" s="1436"/>
      <c r="AD145" s="1571">
        <v>0</v>
      </c>
      <c r="AE145"/>
      <c r="AF145" s="1436"/>
      <c r="AG145" s="1436"/>
      <c r="AH145" s="1436"/>
      <c r="AI145" s="1436"/>
      <c r="AJ145" s="1436"/>
      <c r="AK145" s="1436"/>
      <c r="AL145" s="1436"/>
      <c r="AM145" s="1436"/>
      <c r="AN145" s="1436"/>
      <c r="AO145" s="1436"/>
      <c r="AP145" s="1436"/>
      <c r="AQ145" s="1436"/>
      <c r="AR145" s="1571">
        <v>0</v>
      </c>
      <c r="AS145"/>
      <c r="AT145" s="1436"/>
      <c r="AU145" s="1436"/>
      <c r="AV145" s="1436"/>
      <c r="AW145" s="1436"/>
      <c r="AX145" s="1436"/>
      <c r="AY145" s="1436"/>
      <c r="AZ145" s="1436"/>
      <c r="BA145" s="1436"/>
      <c r="BB145" s="1436"/>
      <c r="BC145" s="1436"/>
      <c r="BD145" s="1436"/>
      <c r="BE145" s="1436"/>
      <c r="BF145" s="1571">
        <v>0</v>
      </c>
      <c r="BG145"/>
      <c r="BH145" s="1436"/>
      <c r="BI145" s="1436"/>
      <c r="BJ145" s="1436"/>
      <c r="BK145" s="1436"/>
      <c r="BL145" s="1436"/>
      <c r="BM145" s="1436"/>
      <c r="BN145" s="1436"/>
      <c r="BO145" s="1436"/>
      <c r="BP145" s="1436"/>
      <c r="BQ145" s="1436"/>
      <c r="BR145" s="1436"/>
      <c r="BS145" s="1436"/>
      <c r="BT145" s="1571">
        <v>0</v>
      </c>
      <c r="BU145"/>
      <c r="BV145" s="1436"/>
      <c r="BW145" s="1436"/>
      <c r="BX145" s="1436"/>
      <c r="BY145" s="1571">
        <v>0</v>
      </c>
      <c r="BZ145" s="1571">
        <v>0</v>
      </c>
    </row>
    <row r="146" spans="1:87" s="878" customFormat="1" ht="81" customHeight="1" outlineLevel="2" collapsed="1">
      <c r="A146" s="172"/>
      <c r="B146" s="171" t="s">
        <v>514</v>
      </c>
      <c r="C146" s="171"/>
      <c r="D146" s="538" t="s">
        <v>32</v>
      </c>
      <c r="E146"/>
      <c r="F146" s="1934">
        <v>0</v>
      </c>
      <c r="G146" s="1934">
        <v>0</v>
      </c>
      <c r="H146" s="1934">
        <v>0</v>
      </c>
      <c r="I146" s="1934">
        <v>0</v>
      </c>
      <c r="J146" s="1934">
        <v>0</v>
      </c>
      <c r="K146" s="1934">
        <v>0</v>
      </c>
      <c r="L146" s="1934">
        <v>0</v>
      </c>
      <c r="M146" s="1934">
        <v>0</v>
      </c>
      <c r="N146" s="1934">
        <v>0</v>
      </c>
      <c r="O146" s="1934">
        <v>3331.3333333333335</v>
      </c>
      <c r="P146" s="1934">
        <v>3331.3333333333335</v>
      </c>
      <c r="Q146"/>
      <c r="R146" s="1934">
        <v>3331.3333333333335</v>
      </c>
      <c r="S146" s="1934">
        <v>3331.3333333333335</v>
      </c>
      <c r="T146" s="1934">
        <v>3331.3333333333335</v>
      </c>
      <c r="U146" s="1934">
        <v>3331.3333333333335</v>
      </c>
      <c r="V146" s="1934">
        <v>3331.3333333333335</v>
      </c>
      <c r="W146" s="1934">
        <v>0</v>
      </c>
      <c r="X146" s="1934">
        <v>0</v>
      </c>
      <c r="Y146" s="1934">
        <v>0</v>
      </c>
      <c r="Z146" s="1934">
        <v>0</v>
      </c>
      <c r="AA146" s="1934">
        <v>0</v>
      </c>
      <c r="AB146" s="1934">
        <v>0</v>
      </c>
      <c r="AC146" s="1934">
        <v>0</v>
      </c>
      <c r="AD146" s="1934">
        <v>16656.666666666668</v>
      </c>
      <c r="AE146"/>
      <c r="AF146" s="1934">
        <v>0</v>
      </c>
      <c r="AG146" s="1934">
        <v>0</v>
      </c>
      <c r="AH146" s="1934">
        <v>387298.93333333335</v>
      </c>
      <c r="AI146" s="1934">
        <v>0</v>
      </c>
      <c r="AJ146" s="1934">
        <v>0</v>
      </c>
      <c r="AK146" s="1934">
        <v>0</v>
      </c>
      <c r="AL146" s="1934">
        <v>193649.46666666667</v>
      </c>
      <c r="AM146" s="1934">
        <v>0</v>
      </c>
      <c r="AN146" s="1934">
        <v>0</v>
      </c>
      <c r="AO146" s="1934">
        <v>0</v>
      </c>
      <c r="AP146" s="1934">
        <v>193649.46666666667</v>
      </c>
      <c r="AQ146" s="1934">
        <v>0</v>
      </c>
      <c r="AR146" s="1934">
        <v>774597.8666666667</v>
      </c>
      <c r="AS146"/>
      <c r="AT146" s="1934">
        <v>0</v>
      </c>
      <c r="AU146" s="1934">
        <v>0</v>
      </c>
      <c r="AV146" s="1934">
        <v>193649.46666666667</v>
      </c>
      <c r="AW146" s="1934">
        <v>0</v>
      </c>
      <c r="AX146" s="1934">
        <v>0</v>
      </c>
      <c r="AY146" s="1934">
        <v>0</v>
      </c>
      <c r="AZ146" s="1934">
        <v>193649.46666666667</v>
      </c>
      <c r="BA146" s="1934">
        <v>0</v>
      </c>
      <c r="BB146" s="1934">
        <v>328887.75</v>
      </c>
      <c r="BC146" s="1934">
        <v>0</v>
      </c>
      <c r="BD146" s="1934">
        <v>522537.21666666667</v>
      </c>
      <c r="BE146" s="1934">
        <v>0</v>
      </c>
      <c r="BF146" s="1934">
        <v>1238723.8999999999</v>
      </c>
      <c r="BG146"/>
      <c r="BH146" s="1934">
        <v>0</v>
      </c>
      <c r="BI146" s="1934">
        <v>0</v>
      </c>
      <c r="BJ146" s="1934">
        <v>193649.46666666667</v>
      </c>
      <c r="BK146" s="1934">
        <v>0</v>
      </c>
      <c r="BL146" s="1934">
        <v>0</v>
      </c>
      <c r="BM146" s="1934">
        <v>328887.75</v>
      </c>
      <c r="BN146" s="1934">
        <v>387298.93333333335</v>
      </c>
      <c r="BO146" s="1934">
        <v>328887.75</v>
      </c>
      <c r="BP146" s="1934">
        <v>0</v>
      </c>
      <c r="BQ146" s="1934">
        <v>0</v>
      </c>
      <c r="BR146" s="1934">
        <v>0</v>
      </c>
      <c r="BS146" s="1934">
        <v>0</v>
      </c>
      <c r="BT146" s="1934">
        <v>1238723.8999999999</v>
      </c>
      <c r="BU146"/>
      <c r="BV146" s="1934">
        <v>0</v>
      </c>
      <c r="BW146" s="1934">
        <v>0</v>
      </c>
      <c r="BX146" s="1934">
        <v>0</v>
      </c>
      <c r="BY146" s="1934">
        <v>0</v>
      </c>
      <c r="BZ146" s="1934">
        <v>3272033.6666666665</v>
      </c>
      <c r="CA146" s="153"/>
      <c r="CB146" s="153"/>
      <c r="CC146" s="153"/>
      <c r="CD146" s="153"/>
      <c r="CE146" s="153"/>
      <c r="CF146" s="153"/>
      <c r="CG146" s="153"/>
      <c r="CH146" s="153"/>
      <c r="CI146" s="153"/>
    </row>
    <row r="147" spans="1:87" s="879" customFormat="1" ht="79.5" hidden="1" customHeight="1" outlineLevel="3">
      <c r="A147" s="579"/>
      <c r="B147" s="107" t="s">
        <v>2406</v>
      </c>
      <c r="C147" s="107" t="s">
        <v>1279</v>
      </c>
      <c r="D147" s="2124" t="s">
        <v>844</v>
      </c>
      <c r="E147"/>
      <c r="F147" s="988">
        <v>0</v>
      </c>
      <c r="G147" s="988">
        <v>0</v>
      </c>
      <c r="H147" s="988">
        <v>0</v>
      </c>
      <c r="I147" s="988">
        <v>0</v>
      </c>
      <c r="J147" s="988">
        <v>0</v>
      </c>
      <c r="K147" s="988">
        <v>0</v>
      </c>
      <c r="L147" s="988">
        <v>0</v>
      </c>
      <c r="M147" s="988">
        <v>0</v>
      </c>
      <c r="N147" s="988">
        <v>0</v>
      </c>
      <c r="O147" s="988">
        <v>3331.3333333333335</v>
      </c>
      <c r="P147" s="2043">
        <v>3331.3333333333335</v>
      </c>
      <c r="Q147"/>
      <c r="R147" s="988">
        <v>3331.3333333333335</v>
      </c>
      <c r="S147" s="988">
        <v>3331.3333333333335</v>
      </c>
      <c r="T147" s="988">
        <v>3331.3333333333335</v>
      </c>
      <c r="U147" s="988">
        <v>3331.3333333333335</v>
      </c>
      <c r="V147" s="988">
        <v>3331.3333333333335</v>
      </c>
      <c r="W147" s="988">
        <v>0</v>
      </c>
      <c r="X147" s="988">
        <v>0</v>
      </c>
      <c r="Y147" s="988">
        <v>0</v>
      </c>
      <c r="Z147" s="988">
        <v>0</v>
      </c>
      <c r="AA147" s="988">
        <v>0</v>
      </c>
      <c r="AB147" s="988">
        <v>0</v>
      </c>
      <c r="AC147" s="988">
        <v>0</v>
      </c>
      <c r="AD147" s="2043">
        <v>16656.666666666668</v>
      </c>
      <c r="AE147"/>
      <c r="AF147" s="988">
        <v>0</v>
      </c>
      <c r="AG147" s="988">
        <v>0</v>
      </c>
      <c r="AH147" s="988">
        <v>387298.93333333335</v>
      </c>
      <c r="AI147" s="988">
        <v>0</v>
      </c>
      <c r="AJ147" s="988">
        <v>0</v>
      </c>
      <c r="AK147" s="988">
        <v>0</v>
      </c>
      <c r="AL147" s="988">
        <v>193649.46666666667</v>
      </c>
      <c r="AM147" s="988">
        <v>0</v>
      </c>
      <c r="AN147" s="988">
        <v>0</v>
      </c>
      <c r="AO147" s="988">
        <v>0</v>
      </c>
      <c r="AP147" s="988">
        <v>193649.46666666667</v>
      </c>
      <c r="AQ147" s="988">
        <v>0</v>
      </c>
      <c r="AR147" s="2043">
        <v>774597.8666666667</v>
      </c>
      <c r="AS147"/>
      <c r="AT147" s="988">
        <v>0</v>
      </c>
      <c r="AU147" s="988">
        <v>0</v>
      </c>
      <c r="AV147" s="988">
        <v>193649.46666666667</v>
      </c>
      <c r="AW147" s="988">
        <v>0</v>
      </c>
      <c r="AX147" s="988">
        <v>0</v>
      </c>
      <c r="AY147" s="988">
        <v>0</v>
      </c>
      <c r="AZ147" s="988">
        <v>193649.46666666667</v>
      </c>
      <c r="BA147" s="988">
        <v>0</v>
      </c>
      <c r="BB147" s="988">
        <v>0</v>
      </c>
      <c r="BC147" s="988">
        <v>0</v>
      </c>
      <c r="BD147" s="988">
        <v>193649.46666666667</v>
      </c>
      <c r="BE147" s="988">
        <v>0</v>
      </c>
      <c r="BF147" s="2043">
        <v>580948.4</v>
      </c>
      <c r="BG147"/>
      <c r="BH147" s="988">
        <v>0</v>
      </c>
      <c r="BI147" s="988">
        <v>0</v>
      </c>
      <c r="BJ147" s="988">
        <v>193649.46666666667</v>
      </c>
      <c r="BK147" s="988">
        <v>0</v>
      </c>
      <c r="BL147" s="988">
        <v>0</v>
      </c>
      <c r="BM147" s="988">
        <v>0</v>
      </c>
      <c r="BN147" s="988">
        <v>387298.93333333335</v>
      </c>
      <c r="BO147" s="988">
        <v>0</v>
      </c>
      <c r="BP147" s="988">
        <v>0</v>
      </c>
      <c r="BQ147" s="988">
        <v>0</v>
      </c>
      <c r="BR147" s="988">
        <v>0</v>
      </c>
      <c r="BS147" s="988">
        <v>0</v>
      </c>
      <c r="BT147" s="2043">
        <v>580948.4</v>
      </c>
      <c r="BU147"/>
      <c r="BV147" s="988">
        <v>0</v>
      </c>
      <c r="BW147" s="988">
        <v>0</v>
      </c>
      <c r="BX147" s="988">
        <v>0</v>
      </c>
      <c r="BY147" s="2043">
        <v>0</v>
      </c>
      <c r="BZ147" s="2043">
        <v>1956482.6666666665</v>
      </c>
    </row>
    <row r="148" spans="1:87" s="879" customFormat="1" ht="132" hidden="1" customHeight="1" outlineLevel="4">
      <c r="A148" s="579"/>
      <c r="B148" s="107" t="s">
        <v>2407</v>
      </c>
      <c r="C148" s="107" t="s">
        <v>1279</v>
      </c>
      <c r="D148" s="2154" t="s">
        <v>2392</v>
      </c>
      <c r="E148"/>
      <c r="F148" s="988"/>
      <c r="G148" s="988"/>
      <c r="H148" s="988"/>
      <c r="I148" s="988"/>
      <c r="J148" s="988"/>
      <c r="K148" s="988"/>
      <c r="L148" s="988"/>
      <c r="M148" s="988"/>
      <c r="N148" s="988"/>
      <c r="O148" s="988">
        <v>1665.6666666666667</v>
      </c>
      <c r="P148" s="2043">
        <v>1665.6666666666667</v>
      </c>
      <c r="Q148"/>
      <c r="R148" s="988">
        <v>1665.6666666666667</v>
      </c>
      <c r="S148" s="988">
        <v>1665.6666666666667</v>
      </c>
      <c r="T148" s="988">
        <v>1665.6666666666667</v>
      </c>
      <c r="U148" s="988">
        <v>1665.6666666666667</v>
      </c>
      <c r="V148" s="988">
        <v>1665.6666666666667</v>
      </c>
      <c r="W148" s="988"/>
      <c r="X148" s="988"/>
      <c r="Y148" s="988"/>
      <c r="Z148" s="988"/>
      <c r="AA148" s="988"/>
      <c r="AB148" s="988"/>
      <c r="AC148" s="988"/>
      <c r="AD148" s="2043">
        <v>8328.3333333333339</v>
      </c>
      <c r="AE148"/>
      <c r="AF148" s="988"/>
      <c r="AG148" s="988"/>
      <c r="AH148" s="988"/>
      <c r="AI148" s="988"/>
      <c r="AJ148" s="988"/>
      <c r="AK148" s="988"/>
      <c r="AL148" s="988"/>
      <c r="AM148" s="988"/>
      <c r="AN148" s="988"/>
      <c r="AO148" s="988"/>
      <c r="AP148" s="988"/>
      <c r="AQ148" s="988"/>
      <c r="AR148" s="2043">
        <v>0</v>
      </c>
      <c r="AS148"/>
      <c r="AT148" s="988"/>
      <c r="AU148" s="988"/>
      <c r="AV148" s="988"/>
      <c r="AW148" s="988"/>
      <c r="AX148" s="988"/>
      <c r="AY148" s="988"/>
      <c r="AZ148" s="988"/>
      <c r="BA148" s="988"/>
      <c r="BB148" s="988"/>
      <c r="BC148" s="988"/>
      <c r="BD148" s="988"/>
      <c r="BE148" s="988"/>
      <c r="BF148" s="2032">
        <v>0</v>
      </c>
      <c r="BG148"/>
      <c r="BH148" s="988"/>
      <c r="BI148" s="988"/>
      <c r="BJ148" s="988"/>
      <c r="BK148" s="988"/>
      <c r="BL148" s="988"/>
      <c r="BM148" s="988"/>
      <c r="BN148" s="988"/>
      <c r="BO148" s="988"/>
      <c r="BP148" s="988"/>
      <c r="BQ148" s="988"/>
      <c r="BR148" s="988"/>
      <c r="BS148" s="988"/>
      <c r="BT148" s="1914">
        <v>0</v>
      </c>
      <c r="BU148"/>
      <c r="BV148" s="988"/>
      <c r="BW148" s="988"/>
      <c r="BX148" s="988"/>
      <c r="BY148" s="1914">
        <v>0</v>
      </c>
      <c r="BZ148" s="1914">
        <v>9994</v>
      </c>
    </row>
    <row r="149" spans="1:87" s="879" customFormat="1" ht="138" hidden="1" customHeight="1" outlineLevel="4">
      <c r="A149" s="579"/>
      <c r="B149" s="107" t="s">
        <v>2408</v>
      </c>
      <c r="C149" s="107" t="s">
        <v>1279</v>
      </c>
      <c r="D149" s="2155" t="s">
        <v>2393</v>
      </c>
      <c r="E149"/>
      <c r="F149" s="988"/>
      <c r="G149" s="988"/>
      <c r="H149" s="988"/>
      <c r="I149" s="988"/>
      <c r="J149" s="988"/>
      <c r="K149" s="988"/>
      <c r="L149" s="988"/>
      <c r="M149" s="988"/>
      <c r="N149" s="988"/>
      <c r="O149" s="988">
        <v>1665.6666666666667</v>
      </c>
      <c r="P149" s="2043">
        <v>1665.6666666666667</v>
      </c>
      <c r="Q149"/>
      <c r="R149" s="988">
        <v>1665.6666666666667</v>
      </c>
      <c r="S149" s="988">
        <v>1665.6666666666667</v>
      </c>
      <c r="T149" s="988">
        <v>1665.6666666666667</v>
      </c>
      <c r="U149" s="988">
        <v>1665.6666666666667</v>
      </c>
      <c r="V149" s="988">
        <v>1665.6666666666667</v>
      </c>
      <c r="W149" s="988"/>
      <c r="X149" s="988"/>
      <c r="Y149" s="988"/>
      <c r="Z149" s="988"/>
      <c r="AA149" s="988"/>
      <c r="AB149" s="988"/>
      <c r="AC149" s="988"/>
      <c r="AD149" s="2043">
        <v>8328.3333333333339</v>
      </c>
      <c r="AE149"/>
      <c r="AF149" s="988"/>
      <c r="AG149" s="988"/>
      <c r="AH149" s="988"/>
      <c r="AI149" s="988"/>
      <c r="AJ149" s="988"/>
      <c r="AK149" s="988"/>
      <c r="AL149" s="988"/>
      <c r="AM149" s="988"/>
      <c r="AN149" s="988"/>
      <c r="AO149" s="988"/>
      <c r="AP149" s="988"/>
      <c r="AQ149" s="988"/>
      <c r="AR149" s="2043">
        <v>0</v>
      </c>
      <c r="AS149"/>
      <c r="AT149" s="988"/>
      <c r="AU149" s="988"/>
      <c r="AV149" s="988"/>
      <c r="AW149" s="988"/>
      <c r="AX149" s="988"/>
      <c r="AY149" s="988"/>
      <c r="AZ149" s="988"/>
      <c r="BA149" s="988"/>
      <c r="BB149" s="988"/>
      <c r="BC149" s="988"/>
      <c r="BD149" s="988"/>
      <c r="BE149" s="988"/>
      <c r="BF149" s="2032">
        <v>0</v>
      </c>
      <c r="BG149"/>
      <c r="BH149" s="988"/>
      <c r="BI149" s="988"/>
      <c r="BJ149" s="988"/>
      <c r="BK149" s="988"/>
      <c r="BL149" s="988"/>
      <c r="BM149" s="988"/>
      <c r="BN149" s="988"/>
      <c r="BO149" s="988"/>
      <c r="BP149" s="988"/>
      <c r="BQ149" s="988"/>
      <c r="BR149" s="988"/>
      <c r="BS149" s="988"/>
      <c r="BT149" s="1914">
        <v>0</v>
      </c>
      <c r="BU149"/>
      <c r="BV149" s="988"/>
      <c r="BW149" s="988"/>
      <c r="BX149" s="988"/>
      <c r="BY149" s="1914">
        <v>0</v>
      </c>
      <c r="BZ149" s="1914">
        <v>9994</v>
      </c>
    </row>
    <row r="150" spans="1:87" s="879" customFormat="1" ht="69" hidden="1" customHeight="1" outlineLevel="4">
      <c r="A150" s="579"/>
      <c r="B150" s="107" t="s">
        <v>2409</v>
      </c>
      <c r="C150" s="107" t="s">
        <v>1279</v>
      </c>
      <c r="D150" s="2125" t="s">
        <v>852</v>
      </c>
      <c r="E150"/>
      <c r="F150" s="1436"/>
      <c r="G150" s="1436"/>
      <c r="H150" s="1436"/>
      <c r="I150" s="1436"/>
      <c r="J150" s="1436"/>
      <c r="K150" s="1436"/>
      <c r="L150" s="1436"/>
      <c r="M150" s="1436"/>
      <c r="N150" s="1436"/>
      <c r="O150" s="1436"/>
      <c r="P150" s="1571">
        <v>0</v>
      </c>
      <c r="Q150"/>
      <c r="R150" s="1436"/>
      <c r="S150" s="1436"/>
      <c r="T150" s="1436"/>
      <c r="U150" s="1436"/>
      <c r="V150" s="1436"/>
      <c r="W150" s="1436"/>
      <c r="X150" s="1436"/>
      <c r="Y150" s="1436"/>
      <c r="Z150" s="1436"/>
      <c r="AA150" s="1436"/>
      <c r="AB150" s="1436"/>
      <c r="AC150" s="1436"/>
      <c r="AD150" s="1571">
        <v>0</v>
      </c>
      <c r="AE150"/>
      <c r="AF150" s="1436"/>
      <c r="AG150" s="1436"/>
      <c r="AH150" s="988">
        <v>387298.93333333335</v>
      </c>
      <c r="AI150" s="988"/>
      <c r="AJ150" s="988"/>
      <c r="AK150" s="988"/>
      <c r="AL150" s="988">
        <v>193649.46666666667</v>
      </c>
      <c r="AM150" s="988"/>
      <c r="AN150" s="988"/>
      <c r="AO150" s="988"/>
      <c r="AP150" s="988">
        <v>193649.46666666667</v>
      </c>
      <c r="AQ150" s="988"/>
      <c r="AR150" s="2043">
        <v>774597.8666666667</v>
      </c>
      <c r="AS150"/>
      <c r="AT150" s="988"/>
      <c r="AU150" s="988"/>
      <c r="AV150" s="988">
        <v>193649.46666666667</v>
      </c>
      <c r="AW150" s="988"/>
      <c r="AX150" s="988"/>
      <c r="AY150" s="988"/>
      <c r="AZ150" s="988">
        <v>193649.46666666667</v>
      </c>
      <c r="BA150" s="988"/>
      <c r="BB150" s="988"/>
      <c r="BC150" s="988"/>
      <c r="BD150" s="988">
        <v>193649.46666666667</v>
      </c>
      <c r="BE150" s="988"/>
      <c r="BF150" s="2043">
        <v>580948.4</v>
      </c>
      <c r="BG150"/>
      <c r="BH150" s="988"/>
      <c r="BI150" s="988"/>
      <c r="BJ150" s="988">
        <v>193649.46666666667</v>
      </c>
      <c r="BK150" s="988"/>
      <c r="BL150" s="988"/>
      <c r="BM150" s="988"/>
      <c r="BN150" s="988">
        <v>387298.93333333335</v>
      </c>
      <c r="BO150" s="988"/>
      <c r="BP150" s="988"/>
      <c r="BQ150" s="988"/>
      <c r="BR150" s="988"/>
      <c r="BS150" s="988"/>
      <c r="BT150" s="2043">
        <v>580948.4</v>
      </c>
      <c r="BU150"/>
      <c r="BV150" s="1436"/>
      <c r="BW150" s="1436"/>
      <c r="BX150" s="1436"/>
      <c r="BY150" s="2043">
        <v>0</v>
      </c>
      <c r="BZ150" s="2043">
        <v>1936494.6666666665</v>
      </c>
    </row>
    <row r="151" spans="1:87" s="879" customFormat="1" ht="55.25" hidden="1" customHeight="1" outlineLevel="3">
      <c r="A151" s="579"/>
      <c r="B151" s="107" t="s">
        <v>2280</v>
      </c>
      <c r="C151" s="107"/>
      <c r="D151" s="2124" t="s">
        <v>888</v>
      </c>
      <c r="E151"/>
      <c r="F151" s="988"/>
      <c r="G151" s="988"/>
      <c r="H151" s="988"/>
      <c r="I151" s="988"/>
      <c r="J151" s="988"/>
      <c r="K151" s="988"/>
      <c r="L151" s="988"/>
      <c r="M151" s="988"/>
      <c r="N151" s="988"/>
      <c r="O151" s="988"/>
      <c r="P151" s="2043">
        <v>0</v>
      </c>
      <c r="Q151"/>
      <c r="R151" s="988"/>
      <c r="S151" s="988"/>
      <c r="T151" s="988"/>
      <c r="U151" s="988"/>
      <c r="V151" s="988"/>
      <c r="W151" s="988"/>
      <c r="X151" s="988"/>
      <c r="Y151" s="988"/>
      <c r="Z151" s="988"/>
      <c r="AA151" s="988"/>
      <c r="AB151" s="988"/>
      <c r="AC151" s="988"/>
      <c r="AD151" s="2043">
        <v>0</v>
      </c>
      <c r="AE151"/>
      <c r="AF151" s="988"/>
      <c r="AG151" s="988"/>
      <c r="AH151" s="988"/>
      <c r="AI151" s="988"/>
      <c r="AJ151" s="988"/>
      <c r="AK151" s="988"/>
      <c r="AL151" s="988"/>
      <c r="AM151" s="988"/>
      <c r="AN151" s="988"/>
      <c r="AO151" s="988"/>
      <c r="AP151" s="988"/>
      <c r="AQ151" s="988"/>
      <c r="AR151" s="2043">
        <v>0</v>
      </c>
      <c r="AS151"/>
      <c r="AT151" s="988"/>
      <c r="AU151" s="988"/>
      <c r="AV151" s="988"/>
      <c r="AW151" s="988"/>
      <c r="AX151" s="988"/>
      <c r="AY151" s="988"/>
      <c r="AZ151" s="988"/>
      <c r="BA151" s="988"/>
      <c r="BB151" s="988">
        <v>328887.75</v>
      </c>
      <c r="BC151" s="988"/>
      <c r="BD151" s="988">
        <v>328887.75</v>
      </c>
      <c r="BE151" s="988"/>
      <c r="BF151" s="2032">
        <v>657775.5</v>
      </c>
      <c r="BG151"/>
      <c r="BH151" s="988"/>
      <c r="BI151" s="988"/>
      <c r="BJ151" s="988"/>
      <c r="BK151" s="988"/>
      <c r="BL151" s="988"/>
      <c r="BM151" s="988">
        <v>328887.75</v>
      </c>
      <c r="BN151" s="988"/>
      <c r="BO151" s="988">
        <v>328887.75</v>
      </c>
      <c r="BP151" s="988"/>
      <c r="BQ151" s="988"/>
      <c r="BR151" s="988"/>
      <c r="BS151" s="988"/>
      <c r="BT151" s="2032">
        <v>657775.5</v>
      </c>
      <c r="BU151"/>
      <c r="BV151" s="1436"/>
      <c r="BW151" s="1436"/>
      <c r="BX151" s="1436"/>
      <c r="BY151" s="2032">
        <v>0</v>
      </c>
      <c r="BZ151" s="2032">
        <v>1315551</v>
      </c>
    </row>
    <row r="152" spans="1:87" s="108" customFormat="1" ht="14" customHeight="1" outlineLevel="2" collapsed="1">
      <c r="A152" s="580"/>
      <c r="B152" s="107"/>
      <c r="C152" s="107"/>
      <c r="D152" s="533"/>
      <c r="E152"/>
      <c r="F152" s="986"/>
      <c r="G152" s="986"/>
      <c r="H152" s="986"/>
      <c r="I152" s="986"/>
      <c r="J152" s="986"/>
      <c r="K152" s="986"/>
      <c r="L152" s="986"/>
      <c r="M152" s="986"/>
      <c r="N152" s="986"/>
      <c r="O152" s="986"/>
      <c r="P152" s="2011"/>
      <c r="Q152"/>
      <c r="R152" s="986"/>
      <c r="S152" s="986"/>
      <c r="T152" s="986"/>
      <c r="U152" s="986"/>
      <c r="V152" s="986"/>
      <c r="W152" s="986"/>
      <c r="X152" s="986"/>
      <c r="Y152" s="986"/>
      <c r="Z152" s="986"/>
      <c r="AA152" s="986"/>
      <c r="AB152" s="986"/>
      <c r="AC152" s="986"/>
      <c r="AD152" s="2011"/>
      <c r="AE152"/>
      <c r="AF152" s="986"/>
      <c r="AG152" s="986"/>
      <c r="AH152" s="986"/>
      <c r="AI152" s="986"/>
      <c r="AJ152" s="986"/>
      <c r="AK152" s="986"/>
      <c r="AL152" s="986"/>
      <c r="AM152" s="986"/>
      <c r="AN152" s="986"/>
      <c r="AO152" s="986"/>
      <c r="AP152" s="986"/>
      <c r="AQ152" s="986"/>
      <c r="AR152" s="2011"/>
      <c r="AS152"/>
      <c r="AT152" s="986"/>
      <c r="AU152" s="986"/>
      <c r="AV152" s="986"/>
      <c r="AW152" s="986"/>
      <c r="AX152" s="986"/>
      <c r="AY152" s="986"/>
      <c r="AZ152" s="986"/>
      <c r="BA152" s="986"/>
      <c r="BB152" s="986"/>
      <c r="BC152" s="986"/>
      <c r="BD152" s="986"/>
      <c r="BE152" s="986"/>
      <c r="BF152" s="2014"/>
      <c r="BG152"/>
      <c r="BH152" s="986"/>
      <c r="BI152" s="986"/>
      <c r="BJ152" s="986"/>
      <c r="BK152" s="986"/>
      <c r="BL152" s="986"/>
      <c r="BM152" s="986"/>
      <c r="BN152" s="986"/>
      <c r="BO152" s="986"/>
      <c r="BP152" s="986"/>
      <c r="BQ152" s="986"/>
      <c r="BR152" s="986"/>
      <c r="BS152" s="986"/>
      <c r="BT152" s="2008"/>
      <c r="BU152"/>
      <c r="BV152" s="986"/>
      <c r="BW152" s="986"/>
      <c r="BX152" s="986"/>
      <c r="BY152" s="1498"/>
      <c r="BZ152" s="1498"/>
    </row>
    <row r="153" spans="1:87" s="153" customFormat="1" ht="30" customHeight="1" outlineLevel="1">
      <c r="A153" s="578"/>
      <c r="B153" s="428" t="s">
        <v>515</v>
      </c>
      <c r="C153" s="428"/>
      <c r="D153" s="545" t="s">
        <v>34</v>
      </c>
      <c r="E153"/>
      <c r="F153" s="977">
        <v>0</v>
      </c>
      <c r="G153" s="977">
        <v>0</v>
      </c>
      <c r="H153" s="977">
        <v>0</v>
      </c>
      <c r="I153" s="977">
        <v>0</v>
      </c>
      <c r="J153" s="977">
        <v>0</v>
      </c>
      <c r="K153" s="977">
        <v>0</v>
      </c>
      <c r="L153" s="977">
        <v>0</v>
      </c>
      <c r="M153" s="977">
        <v>0</v>
      </c>
      <c r="N153" s="977">
        <v>0</v>
      </c>
      <c r="O153" s="977">
        <v>5000</v>
      </c>
      <c r="P153" s="977">
        <v>5000</v>
      </c>
      <c r="Q153"/>
      <c r="R153" s="977">
        <v>5000</v>
      </c>
      <c r="S153" s="977">
        <v>5000</v>
      </c>
      <c r="T153" s="977">
        <v>10000</v>
      </c>
      <c r="U153" s="977">
        <v>10000</v>
      </c>
      <c r="V153" s="977">
        <v>10000</v>
      </c>
      <c r="W153" s="977">
        <v>10000</v>
      </c>
      <c r="X153" s="977">
        <v>5000</v>
      </c>
      <c r="Y153" s="977">
        <v>5000</v>
      </c>
      <c r="Z153" s="977">
        <v>10000</v>
      </c>
      <c r="AA153" s="977">
        <v>5000</v>
      </c>
      <c r="AB153" s="977">
        <v>10000</v>
      </c>
      <c r="AC153" s="977">
        <v>10000</v>
      </c>
      <c r="AD153" s="977">
        <v>95000</v>
      </c>
      <c r="AE153"/>
      <c r="AF153" s="977">
        <v>10000</v>
      </c>
      <c r="AG153" s="977">
        <v>10000</v>
      </c>
      <c r="AH153" s="977">
        <v>0</v>
      </c>
      <c r="AI153" s="977">
        <v>50000</v>
      </c>
      <c r="AJ153" s="977">
        <v>0</v>
      </c>
      <c r="AK153" s="977">
        <v>0</v>
      </c>
      <c r="AL153" s="977">
        <v>0</v>
      </c>
      <c r="AM153" s="977">
        <v>30000</v>
      </c>
      <c r="AN153" s="977">
        <v>0</v>
      </c>
      <c r="AO153" s="977">
        <v>0</v>
      </c>
      <c r="AP153" s="977">
        <v>0</v>
      </c>
      <c r="AQ153" s="977">
        <v>1352000</v>
      </c>
      <c r="AR153" s="977">
        <v>1452000</v>
      </c>
      <c r="AS153"/>
      <c r="AT153" s="977">
        <v>0</v>
      </c>
      <c r="AU153" s="977">
        <v>0</v>
      </c>
      <c r="AV153" s="977">
        <v>0</v>
      </c>
      <c r="AW153" s="977">
        <v>873000</v>
      </c>
      <c r="AX153" s="977">
        <v>0</v>
      </c>
      <c r="AY153" s="977">
        <v>0</v>
      </c>
      <c r="AZ153" s="977">
        <v>0</v>
      </c>
      <c r="BA153" s="977">
        <v>873000</v>
      </c>
      <c r="BB153" s="977">
        <v>0</v>
      </c>
      <c r="BC153" s="977">
        <v>0</v>
      </c>
      <c r="BD153" s="977">
        <v>0</v>
      </c>
      <c r="BE153" s="977">
        <v>873000</v>
      </c>
      <c r="BF153" s="978">
        <v>2619000</v>
      </c>
      <c r="BG153"/>
      <c r="BH153" s="977">
        <v>0</v>
      </c>
      <c r="BI153" s="977">
        <v>0</v>
      </c>
      <c r="BJ153" s="977">
        <v>0</v>
      </c>
      <c r="BK153" s="977">
        <v>748000</v>
      </c>
      <c r="BL153" s="977">
        <v>0</v>
      </c>
      <c r="BM153" s="977">
        <v>0</v>
      </c>
      <c r="BN153" s="977">
        <v>0</v>
      </c>
      <c r="BO153" s="977">
        <v>748000</v>
      </c>
      <c r="BP153" s="977">
        <v>40000</v>
      </c>
      <c r="BQ153" s="977">
        <v>0</v>
      </c>
      <c r="BR153" s="977">
        <v>290000</v>
      </c>
      <c r="BS153" s="977">
        <v>123000</v>
      </c>
      <c r="BT153" s="976">
        <v>1949000</v>
      </c>
      <c r="BU153"/>
      <c r="BV153" s="977">
        <v>0</v>
      </c>
      <c r="BW153" s="977">
        <v>0</v>
      </c>
      <c r="BX153" s="977">
        <v>0</v>
      </c>
      <c r="BY153" s="976">
        <v>0</v>
      </c>
      <c r="BZ153" s="976">
        <v>6120000</v>
      </c>
    </row>
    <row r="154" spans="1:87" s="878" customFormat="1" ht="27.5" customHeight="1" outlineLevel="2">
      <c r="A154" s="172"/>
      <c r="B154" s="171" t="s">
        <v>516</v>
      </c>
      <c r="C154" s="171"/>
      <c r="D154" s="538" t="s">
        <v>35</v>
      </c>
      <c r="E154"/>
      <c r="F154" s="176">
        <v>0</v>
      </c>
      <c r="G154" s="176">
        <v>0</v>
      </c>
      <c r="H154" s="176">
        <v>0</v>
      </c>
      <c r="I154" s="176">
        <v>0</v>
      </c>
      <c r="J154" s="176">
        <v>0</v>
      </c>
      <c r="K154" s="176">
        <v>0</v>
      </c>
      <c r="L154" s="176">
        <v>0</v>
      </c>
      <c r="M154" s="176">
        <v>0</v>
      </c>
      <c r="N154" s="176">
        <v>0</v>
      </c>
      <c r="O154" s="176">
        <v>5000</v>
      </c>
      <c r="P154" s="980">
        <v>5000</v>
      </c>
      <c r="Q154"/>
      <c r="R154" s="176">
        <v>5000</v>
      </c>
      <c r="S154" s="176">
        <v>5000</v>
      </c>
      <c r="T154" s="176">
        <v>5000</v>
      </c>
      <c r="U154" s="176">
        <v>5000</v>
      </c>
      <c r="V154" s="176">
        <v>5000</v>
      </c>
      <c r="W154" s="176">
        <v>5000</v>
      </c>
      <c r="X154" s="176">
        <v>5000</v>
      </c>
      <c r="Y154" s="176">
        <v>5000</v>
      </c>
      <c r="Z154" s="176">
        <v>10000</v>
      </c>
      <c r="AA154" s="176">
        <v>5000</v>
      </c>
      <c r="AB154" s="176">
        <v>10000</v>
      </c>
      <c r="AC154" s="176">
        <v>10000</v>
      </c>
      <c r="AD154" s="980">
        <v>75000</v>
      </c>
      <c r="AE154"/>
      <c r="AF154" s="176">
        <v>10000</v>
      </c>
      <c r="AG154" s="176">
        <v>10000</v>
      </c>
      <c r="AH154" s="176">
        <v>0</v>
      </c>
      <c r="AI154" s="176">
        <v>0</v>
      </c>
      <c r="AJ154" s="176">
        <v>0</v>
      </c>
      <c r="AK154" s="176">
        <v>0</v>
      </c>
      <c r="AL154" s="176">
        <v>0</v>
      </c>
      <c r="AM154" s="176">
        <v>0</v>
      </c>
      <c r="AN154" s="176">
        <v>0</v>
      </c>
      <c r="AO154" s="176">
        <v>0</v>
      </c>
      <c r="AP154" s="176">
        <v>0</v>
      </c>
      <c r="AQ154" s="176">
        <v>1250000</v>
      </c>
      <c r="AR154" s="980">
        <v>1270000</v>
      </c>
      <c r="AS154"/>
      <c r="AT154" s="176">
        <v>0</v>
      </c>
      <c r="AU154" s="176">
        <v>0</v>
      </c>
      <c r="AV154" s="176">
        <v>0</v>
      </c>
      <c r="AW154" s="176">
        <v>750000</v>
      </c>
      <c r="AX154" s="176">
        <v>0</v>
      </c>
      <c r="AY154" s="176">
        <v>0</v>
      </c>
      <c r="AZ154" s="176">
        <v>0</v>
      </c>
      <c r="BA154" s="176">
        <v>750000</v>
      </c>
      <c r="BB154" s="176">
        <v>0</v>
      </c>
      <c r="BC154" s="176">
        <v>0</v>
      </c>
      <c r="BD154" s="176">
        <v>0</v>
      </c>
      <c r="BE154" s="176">
        <v>750000</v>
      </c>
      <c r="BF154" s="981">
        <v>2250000</v>
      </c>
      <c r="BG154"/>
      <c r="BH154" s="176">
        <v>0</v>
      </c>
      <c r="BI154" s="176">
        <v>0</v>
      </c>
      <c r="BJ154" s="176">
        <v>0</v>
      </c>
      <c r="BK154" s="176">
        <v>625000</v>
      </c>
      <c r="BL154" s="176">
        <v>0</v>
      </c>
      <c r="BM154" s="176">
        <v>0</v>
      </c>
      <c r="BN154" s="176">
        <v>0</v>
      </c>
      <c r="BO154" s="176">
        <v>625000</v>
      </c>
      <c r="BP154" s="176">
        <v>40000</v>
      </c>
      <c r="BQ154" s="176">
        <v>0</v>
      </c>
      <c r="BR154" s="176">
        <v>290000</v>
      </c>
      <c r="BS154" s="176">
        <v>0</v>
      </c>
      <c r="BT154" s="979">
        <v>1580000</v>
      </c>
      <c r="BU154"/>
      <c r="BV154" s="176">
        <v>0</v>
      </c>
      <c r="BW154" s="176">
        <v>0</v>
      </c>
      <c r="BX154" s="176">
        <v>0</v>
      </c>
      <c r="BY154" s="979">
        <v>0</v>
      </c>
      <c r="BZ154" s="979">
        <v>5180000</v>
      </c>
      <c r="CA154" s="153"/>
      <c r="CB154" s="153"/>
      <c r="CC154" s="153"/>
      <c r="CD154" s="153"/>
      <c r="CE154" s="153"/>
      <c r="CF154" s="153"/>
      <c r="CG154" s="153"/>
      <c r="CH154" s="153"/>
      <c r="CI154" s="153"/>
    </row>
    <row r="155" spans="1:87" s="153" customFormat="1" ht="41" hidden="1" customHeight="1" outlineLevel="3">
      <c r="A155" s="397"/>
      <c r="B155" s="395" t="s">
        <v>890</v>
      </c>
      <c r="C155" s="395"/>
      <c r="D155" s="1249" t="s">
        <v>891</v>
      </c>
      <c r="E155"/>
      <c r="F155" s="992"/>
      <c r="G155" s="992"/>
      <c r="H155" s="992"/>
      <c r="I155" s="992"/>
      <c r="J155" s="992"/>
      <c r="K155" s="992"/>
      <c r="L155" s="992"/>
      <c r="M155" s="992"/>
      <c r="N155" s="992"/>
      <c r="O155" s="992"/>
      <c r="P155" s="992">
        <v>0</v>
      </c>
      <c r="Q155"/>
      <c r="R155" s="992"/>
      <c r="S155" s="992"/>
      <c r="T155" s="992"/>
      <c r="U155" s="992"/>
      <c r="V155" s="992"/>
      <c r="W155" s="992"/>
      <c r="X155" s="992"/>
      <c r="Y155" s="992"/>
      <c r="Z155" s="992"/>
      <c r="AA155" s="992"/>
      <c r="AB155" s="992"/>
      <c r="AC155" s="992"/>
      <c r="AD155" s="992">
        <v>0</v>
      </c>
      <c r="AE155"/>
      <c r="AF155" s="992"/>
      <c r="AG155" s="992"/>
      <c r="AH155" s="992"/>
      <c r="AI155" s="992"/>
      <c r="AJ155" s="992"/>
      <c r="AK155" s="992"/>
      <c r="AL155" s="992"/>
      <c r="AM155" s="992"/>
      <c r="AN155" s="992"/>
      <c r="AO155" s="992"/>
      <c r="AP155" s="992"/>
      <c r="AQ155" s="992"/>
      <c r="AR155" s="992">
        <v>0</v>
      </c>
      <c r="AS155"/>
      <c r="AT155" s="992"/>
      <c r="AU155" s="992"/>
      <c r="AV155" s="992"/>
      <c r="AW155" s="992"/>
      <c r="AX155" s="992"/>
      <c r="AY155" s="992"/>
      <c r="AZ155" s="992"/>
      <c r="BA155" s="992"/>
      <c r="BB155" s="992"/>
      <c r="BC155" s="992"/>
      <c r="BD155" s="992"/>
      <c r="BE155" s="992"/>
      <c r="BF155" s="993">
        <v>0</v>
      </c>
      <c r="BG155"/>
      <c r="BH155" s="992"/>
      <c r="BI155" s="992"/>
      <c r="BJ155" s="992"/>
      <c r="BK155" s="992"/>
      <c r="BL155" s="992"/>
      <c r="BM155" s="992"/>
      <c r="BN155" s="992"/>
      <c r="BO155" s="992"/>
      <c r="BP155" s="992"/>
      <c r="BQ155" s="992"/>
      <c r="BR155" s="992"/>
      <c r="BS155" s="992"/>
      <c r="BT155" s="994">
        <v>0</v>
      </c>
      <c r="BU155"/>
      <c r="BV155" s="992"/>
      <c r="BW155" s="992"/>
      <c r="BX155" s="992"/>
      <c r="BY155" s="994">
        <v>0</v>
      </c>
      <c r="BZ155" s="994">
        <v>0</v>
      </c>
    </row>
    <row r="156" spans="1:87" s="879" customFormat="1" ht="27.5" hidden="1" customHeight="1" outlineLevel="4">
      <c r="A156" s="579"/>
      <c r="B156" s="490" t="s">
        <v>892</v>
      </c>
      <c r="C156" s="490" t="s">
        <v>1279</v>
      </c>
      <c r="D156" s="537" t="s">
        <v>893</v>
      </c>
      <c r="E156"/>
      <c r="F156" s="983"/>
      <c r="G156" s="983"/>
      <c r="H156" s="983"/>
      <c r="I156" s="983"/>
      <c r="J156" s="983"/>
      <c r="K156" s="983"/>
      <c r="L156" s="983"/>
      <c r="M156" s="983"/>
      <c r="N156" s="983"/>
      <c r="O156" s="983"/>
      <c r="P156" s="2018">
        <v>0</v>
      </c>
      <c r="Q156"/>
      <c r="R156" s="983"/>
      <c r="S156" s="983"/>
      <c r="T156" s="983"/>
      <c r="U156" s="983"/>
      <c r="V156" s="983"/>
      <c r="W156" s="983"/>
      <c r="X156" s="983"/>
      <c r="Y156" s="983"/>
      <c r="Z156" s="983"/>
      <c r="AA156" s="983"/>
      <c r="AB156" s="983"/>
      <c r="AC156" s="983"/>
      <c r="AD156" s="2018">
        <v>0</v>
      </c>
      <c r="AE156"/>
      <c r="AF156" s="983"/>
      <c r="AG156" s="983"/>
      <c r="AH156" s="983"/>
      <c r="AI156" s="983"/>
      <c r="AJ156" s="983"/>
      <c r="AK156" s="983"/>
      <c r="AL156" s="983"/>
      <c r="AM156" s="983"/>
      <c r="AN156" s="983"/>
      <c r="AO156" s="983"/>
      <c r="AP156" s="983"/>
      <c r="AQ156" s="983"/>
      <c r="AR156" s="2018">
        <v>0</v>
      </c>
      <c r="AS156"/>
      <c r="AT156" s="983"/>
      <c r="AU156" s="983"/>
      <c r="AV156" s="983"/>
      <c r="AW156" s="983"/>
      <c r="AX156" s="983"/>
      <c r="AY156" s="983"/>
      <c r="AZ156" s="983"/>
      <c r="BA156" s="983"/>
      <c r="BB156" s="983"/>
      <c r="BC156" s="983"/>
      <c r="BD156" s="983"/>
      <c r="BE156" s="983"/>
      <c r="BF156" s="2034">
        <v>0</v>
      </c>
      <c r="BG156"/>
      <c r="BH156" s="983"/>
      <c r="BI156" s="983"/>
      <c r="BJ156" s="983"/>
      <c r="BK156" s="983"/>
      <c r="BL156" s="983"/>
      <c r="BM156" s="983"/>
      <c r="BN156" s="983"/>
      <c r="BO156" s="983"/>
      <c r="BP156" s="983"/>
      <c r="BQ156" s="983"/>
      <c r="BR156" s="983"/>
      <c r="BS156" s="983"/>
      <c r="BT156" s="2012">
        <v>0</v>
      </c>
      <c r="BU156"/>
      <c r="BV156" s="983"/>
      <c r="BW156" s="983"/>
      <c r="BX156" s="983"/>
      <c r="BY156" s="2012">
        <v>0</v>
      </c>
      <c r="BZ156" s="2012">
        <v>0</v>
      </c>
    </row>
    <row r="157" spans="1:87" s="879" customFormat="1" ht="41.5" hidden="1" customHeight="1" outlineLevel="4">
      <c r="A157" s="579"/>
      <c r="B157" s="490" t="s">
        <v>894</v>
      </c>
      <c r="C157" s="490" t="s">
        <v>1279</v>
      </c>
      <c r="D157" s="537" t="s">
        <v>895</v>
      </c>
      <c r="E157"/>
      <c r="F157" s="983"/>
      <c r="G157" s="983"/>
      <c r="H157" s="983"/>
      <c r="I157" s="983"/>
      <c r="J157" s="983"/>
      <c r="K157" s="983"/>
      <c r="L157" s="983"/>
      <c r="M157" s="983"/>
      <c r="N157" s="983"/>
      <c r="O157" s="983"/>
      <c r="P157" s="2018">
        <v>0</v>
      </c>
      <c r="Q157"/>
      <c r="R157" s="983"/>
      <c r="S157" s="983"/>
      <c r="T157" s="983"/>
      <c r="U157" s="983"/>
      <c r="V157" s="983"/>
      <c r="W157" s="983"/>
      <c r="X157" s="983"/>
      <c r="Y157" s="983"/>
      <c r="Z157" s="983"/>
      <c r="AA157" s="983"/>
      <c r="AB157" s="983"/>
      <c r="AC157" s="983"/>
      <c r="AD157" s="2018">
        <v>0</v>
      </c>
      <c r="AE157"/>
      <c r="AF157" s="983"/>
      <c r="AG157" s="983"/>
      <c r="AH157" s="983"/>
      <c r="AI157" s="983"/>
      <c r="AJ157" s="983"/>
      <c r="AK157" s="983"/>
      <c r="AL157" s="983"/>
      <c r="AM157" s="983"/>
      <c r="AN157" s="983"/>
      <c r="AO157" s="983"/>
      <c r="AP157" s="983"/>
      <c r="AQ157" s="983"/>
      <c r="AR157" s="2018">
        <v>0</v>
      </c>
      <c r="AS157"/>
      <c r="AT157" s="983"/>
      <c r="AU157" s="983"/>
      <c r="AV157" s="983"/>
      <c r="AW157" s="983"/>
      <c r="AX157" s="983"/>
      <c r="AY157" s="983"/>
      <c r="AZ157" s="983"/>
      <c r="BA157" s="983"/>
      <c r="BB157" s="983"/>
      <c r="BC157" s="983"/>
      <c r="BD157" s="983"/>
      <c r="BE157" s="983"/>
      <c r="BF157" s="2034">
        <v>0</v>
      </c>
      <c r="BG157"/>
      <c r="BH157" s="983"/>
      <c r="BI157" s="983"/>
      <c r="BJ157" s="983"/>
      <c r="BK157" s="983"/>
      <c r="BL157" s="983"/>
      <c r="BM157" s="983"/>
      <c r="BN157" s="983"/>
      <c r="BO157" s="983"/>
      <c r="BP157" s="983"/>
      <c r="BQ157" s="983"/>
      <c r="BR157" s="983"/>
      <c r="BS157" s="983"/>
      <c r="BT157" s="2012">
        <v>0</v>
      </c>
      <c r="BU157"/>
      <c r="BV157" s="983"/>
      <c r="BW157" s="983"/>
      <c r="BX157" s="983"/>
      <c r="BY157" s="2012">
        <v>0</v>
      </c>
      <c r="BZ157" s="2012">
        <v>0</v>
      </c>
    </row>
    <row r="158" spans="1:87" s="153" customFormat="1" ht="27.5" hidden="1" customHeight="1" outlineLevel="3">
      <c r="A158" s="397"/>
      <c r="B158" s="395" t="s">
        <v>896</v>
      </c>
      <c r="C158" s="395"/>
      <c r="D158" s="1249" t="s">
        <v>897</v>
      </c>
      <c r="E158"/>
      <c r="F158" s="398">
        <v>0</v>
      </c>
      <c r="G158" s="398">
        <v>0</v>
      </c>
      <c r="H158" s="398">
        <v>0</v>
      </c>
      <c r="I158" s="398">
        <v>0</v>
      </c>
      <c r="J158" s="398">
        <v>0</v>
      </c>
      <c r="K158" s="398">
        <v>0</v>
      </c>
      <c r="L158" s="398">
        <v>0</v>
      </c>
      <c r="M158" s="398">
        <v>0</v>
      </c>
      <c r="N158" s="398">
        <v>0</v>
      </c>
      <c r="O158" s="398">
        <v>5000</v>
      </c>
      <c r="P158" s="992">
        <v>5000</v>
      </c>
      <c r="Q158"/>
      <c r="R158" s="398">
        <v>5000</v>
      </c>
      <c r="S158" s="398">
        <v>5000</v>
      </c>
      <c r="T158" s="398">
        <v>5000</v>
      </c>
      <c r="U158" s="398">
        <v>5000</v>
      </c>
      <c r="V158" s="398">
        <v>5000</v>
      </c>
      <c r="W158" s="398">
        <v>5000</v>
      </c>
      <c r="X158" s="398">
        <v>5000</v>
      </c>
      <c r="Y158" s="398">
        <v>5000</v>
      </c>
      <c r="Z158" s="398">
        <v>10000</v>
      </c>
      <c r="AA158" s="398">
        <v>5000</v>
      </c>
      <c r="AB158" s="398">
        <v>5000</v>
      </c>
      <c r="AC158" s="398">
        <v>5000</v>
      </c>
      <c r="AD158" s="992">
        <v>65000</v>
      </c>
      <c r="AE158"/>
      <c r="AF158" s="398">
        <v>5000</v>
      </c>
      <c r="AG158" s="398">
        <v>5000</v>
      </c>
      <c r="AH158" s="398">
        <v>0</v>
      </c>
      <c r="AI158" s="398">
        <v>0</v>
      </c>
      <c r="AJ158" s="398">
        <v>0</v>
      </c>
      <c r="AK158" s="398">
        <v>0</v>
      </c>
      <c r="AL158" s="398">
        <v>0</v>
      </c>
      <c r="AM158" s="398">
        <v>0</v>
      </c>
      <c r="AN158" s="398">
        <v>0</v>
      </c>
      <c r="AO158" s="398">
        <v>0</v>
      </c>
      <c r="AP158" s="398">
        <v>0</v>
      </c>
      <c r="AQ158" s="398">
        <v>0</v>
      </c>
      <c r="AR158" s="992">
        <v>10000</v>
      </c>
      <c r="AS158"/>
      <c r="AT158" s="398">
        <v>0</v>
      </c>
      <c r="AU158" s="398">
        <v>0</v>
      </c>
      <c r="AV158" s="398">
        <v>0</v>
      </c>
      <c r="AW158" s="398">
        <v>0</v>
      </c>
      <c r="AX158" s="398">
        <v>0</v>
      </c>
      <c r="AY158" s="398">
        <v>0</v>
      </c>
      <c r="AZ158" s="398">
        <v>0</v>
      </c>
      <c r="BA158" s="398">
        <v>0</v>
      </c>
      <c r="BB158" s="398">
        <v>0</v>
      </c>
      <c r="BC158" s="398">
        <v>0</v>
      </c>
      <c r="BD158" s="398">
        <v>0</v>
      </c>
      <c r="BE158" s="398">
        <v>0</v>
      </c>
      <c r="BF158" s="993">
        <v>0</v>
      </c>
      <c r="BG158"/>
      <c r="BH158" s="398">
        <v>0</v>
      </c>
      <c r="BI158" s="398">
        <v>0</v>
      </c>
      <c r="BJ158" s="398">
        <v>0</v>
      </c>
      <c r="BK158" s="398">
        <v>0</v>
      </c>
      <c r="BL158" s="398">
        <v>0</v>
      </c>
      <c r="BM158" s="398">
        <v>0</v>
      </c>
      <c r="BN158" s="398">
        <v>0</v>
      </c>
      <c r="BO158" s="398">
        <v>0</v>
      </c>
      <c r="BP158" s="398">
        <v>0</v>
      </c>
      <c r="BQ158" s="398">
        <v>0</v>
      </c>
      <c r="BR158" s="398">
        <v>0</v>
      </c>
      <c r="BS158" s="398">
        <v>0</v>
      </c>
      <c r="BT158" s="994">
        <v>0</v>
      </c>
      <c r="BU158"/>
      <c r="BV158" s="398">
        <v>0</v>
      </c>
      <c r="BW158" s="398">
        <v>0</v>
      </c>
      <c r="BX158" s="398">
        <v>0</v>
      </c>
      <c r="BY158" s="994">
        <v>0</v>
      </c>
      <c r="BZ158" s="994">
        <v>80000</v>
      </c>
    </row>
    <row r="159" spans="1:87" ht="27.5" hidden="1" customHeight="1" outlineLevel="4">
      <c r="A159" s="159"/>
      <c r="B159" s="107" t="s">
        <v>1411</v>
      </c>
      <c r="C159" s="354" t="s">
        <v>1279</v>
      </c>
      <c r="D159" s="533" t="s">
        <v>1412</v>
      </c>
      <c r="F159" s="1443"/>
      <c r="G159" s="1443"/>
      <c r="H159" s="1443"/>
      <c r="I159" s="1443"/>
      <c r="J159" s="1443"/>
      <c r="K159" s="1443"/>
      <c r="L159" s="1443"/>
      <c r="M159" s="1443"/>
      <c r="N159" s="1443"/>
      <c r="O159" s="1443"/>
      <c r="P159" s="1443">
        <v>0</v>
      </c>
      <c r="R159" s="1443"/>
      <c r="S159" s="1443"/>
      <c r="T159" s="1443"/>
      <c r="U159" s="1443"/>
      <c r="V159" s="1443"/>
      <c r="W159" s="1443"/>
      <c r="X159" s="1443"/>
      <c r="Y159" s="1443"/>
      <c r="Z159" s="1443"/>
      <c r="AA159" s="1443"/>
      <c r="AB159" s="1443"/>
      <c r="AC159" s="1443"/>
      <c r="AD159" s="1443">
        <v>0</v>
      </c>
      <c r="AF159" s="1443"/>
      <c r="AG159" s="1443"/>
      <c r="AH159" s="1443"/>
      <c r="AI159" s="1443"/>
      <c r="AJ159" s="1443"/>
      <c r="AK159" s="1443"/>
      <c r="AL159" s="1443"/>
      <c r="AM159" s="1443"/>
      <c r="AN159" s="1443"/>
      <c r="AO159" s="1443"/>
      <c r="AP159" s="1443"/>
      <c r="AQ159" s="1443"/>
      <c r="AR159" s="1443">
        <v>0</v>
      </c>
      <c r="AT159" s="1443"/>
      <c r="AU159" s="1443"/>
      <c r="AV159" s="1443"/>
      <c r="AW159" s="1443"/>
      <c r="AX159" s="1443"/>
      <c r="AY159" s="1443"/>
      <c r="AZ159" s="1443"/>
      <c r="BA159" s="1443"/>
      <c r="BB159" s="1443"/>
      <c r="BC159" s="1443"/>
      <c r="BD159" s="1443"/>
      <c r="BE159" s="1443"/>
      <c r="BF159" s="1443">
        <v>0</v>
      </c>
      <c r="BH159" s="1443"/>
      <c r="BI159" s="1443"/>
      <c r="BJ159" s="1443"/>
      <c r="BK159" s="1443"/>
      <c r="BL159" s="1443"/>
      <c r="BM159" s="1443"/>
      <c r="BN159" s="1443"/>
      <c r="BO159" s="1443"/>
      <c r="BP159" s="1443"/>
      <c r="BQ159" s="1443"/>
      <c r="BR159" s="1443"/>
      <c r="BS159" s="1443"/>
      <c r="BT159" s="1443">
        <v>0</v>
      </c>
      <c r="BV159" s="1443"/>
      <c r="BW159" s="1443"/>
      <c r="BX159" s="1443"/>
      <c r="BY159" s="1443">
        <v>0</v>
      </c>
      <c r="BZ159" s="1443">
        <v>0</v>
      </c>
      <c r="CA159" s="108"/>
      <c r="CB159" s="108"/>
      <c r="CC159" s="108"/>
      <c r="CD159" s="108"/>
      <c r="CE159" s="108"/>
      <c r="CF159" s="108"/>
      <c r="CG159" s="108"/>
      <c r="CH159" s="108"/>
      <c r="CI159" s="108"/>
    </row>
    <row r="160" spans="1:87" s="153" customFormat="1" ht="41.5" hidden="1" customHeight="1" outlineLevel="4">
      <c r="A160" s="704"/>
      <c r="B160" s="354" t="s">
        <v>898</v>
      </c>
      <c r="C160" s="354" t="s">
        <v>1279</v>
      </c>
      <c r="D160" s="544" t="s">
        <v>899</v>
      </c>
      <c r="E160"/>
      <c r="F160" s="3787"/>
      <c r="G160" s="3787"/>
      <c r="H160" s="3787"/>
      <c r="I160" s="3787"/>
      <c r="J160" s="3787"/>
      <c r="K160" s="3787"/>
      <c r="L160" s="3787"/>
      <c r="M160" s="3787"/>
      <c r="N160" s="3787"/>
      <c r="O160" s="3787">
        <v>5000</v>
      </c>
      <c r="P160" s="3787">
        <v>5000</v>
      </c>
      <c r="Q160"/>
      <c r="R160" s="3787">
        <v>5000</v>
      </c>
      <c r="S160" s="3787">
        <v>5000</v>
      </c>
      <c r="T160" s="3787">
        <v>5000</v>
      </c>
      <c r="U160" s="3787">
        <v>5000</v>
      </c>
      <c r="V160" s="3787">
        <v>5000</v>
      </c>
      <c r="W160" s="3787">
        <v>5000</v>
      </c>
      <c r="X160" s="3787">
        <v>5000</v>
      </c>
      <c r="Y160" s="3787">
        <v>5000</v>
      </c>
      <c r="Z160" s="3787">
        <v>5000</v>
      </c>
      <c r="AA160" s="3787"/>
      <c r="AB160" s="3787"/>
      <c r="AC160" s="3787"/>
      <c r="AD160" s="3787">
        <v>45000</v>
      </c>
      <c r="AE160"/>
      <c r="AF160" s="3787"/>
      <c r="AG160" s="3787"/>
      <c r="AH160" s="3787"/>
      <c r="AI160" s="3787"/>
      <c r="AJ160" s="3787"/>
      <c r="AK160" s="3787"/>
      <c r="AL160" s="3787"/>
      <c r="AM160" s="3787"/>
      <c r="AN160" s="3787"/>
      <c r="AO160" s="3787"/>
      <c r="AP160" s="3787"/>
      <c r="AQ160" s="3787"/>
      <c r="AR160" s="3787">
        <v>0</v>
      </c>
      <c r="AS160"/>
      <c r="AT160" s="3787"/>
      <c r="AU160" s="3787"/>
      <c r="AV160" s="3787"/>
      <c r="AW160" s="3787"/>
      <c r="AX160" s="3787"/>
      <c r="AY160" s="3787"/>
      <c r="AZ160" s="3787"/>
      <c r="BA160" s="3787"/>
      <c r="BB160" s="3787"/>
      <c r="BC160" s="3787"/>
      <c r="BD160" s="3787"/>
      <c r="BE160" s="3787"/>
      <c r="BF160" s="3787">
        <v>0</v>
      </c>
      <c r="BG160"/>
      <c r="BH160" s="3787"/>
      <c r="BI160" s="3787"/>
      <c r="BJ160" s="3787"/>
      <c r="BK160" s="3787"/>
      <c r="BL160" s="3787"/>
      <c r="BM160" s="3787"/>
      <c r="BN160" s="3787"/>
      <c r="BO160" s="3787"/>
      <c r="BP160" s="3787"/>
      <c r="BQ160" s="3787"/>
      <c r="BR160" s="3787"/>
      <c r="BS160" s="3787"/>
      <c r="BT160" s="3787">
        <v>0</v>
      </c>
      <c r="BU160"/>
      <c r="BV160" s="3787"/>
      <c r="BW160" s="3787"/>
      <c r="BX160" s="3787"/>
      <c r="BY160" s="3787">
        <v>0</v>
      </c>
      <c r="BZ160" s="3787">
        <v>50000</v>
      </c>
    </row>
    <row r="161" spans="1:87" ht="27.5" hidden="1" customHeight="1" outlineLevel="4">
      <c r="A161" s="159"/>
      <c r="B161" s="702" t="s">
        <v>900</v>
      </c>
      <c r="C161" s="354" t="s">
        <v>1279</v>
      </c>
      <c r="D161" s="533" t="s">
        <v>901</v>
      </c>
      <c r="F161" s="3788"/>
      <c r="G161" s="3788"/>
      <c r="H161" s="3788"/>
      <c r="I161" s="3788"/>
      <c r="J161" s="3788"/>
      <c r="K161" s="3788"/>
      <c r="L161" s="3788"/>
      <c r="M161" s="3788"/>
      <c r="N161" s="3788"/>
      <c r="O161" s="3788"/>
      <c r="P161" s="3788">
        <f t="shared" ref="P161:P177" si="7">SUM(F161:O161)</f>
        <v>0</v>
      </c>
      <c r="R161" s="3788"/>
      <c r="S161" s="3788"/>
      <c r="T161" s="3788"/>
      <c r="U161" s="3788"/>
      <c r="V161" s="3788"/>
      <c r="W161" s="3788"/>
      <c r="X161" s="3788"/>
      <c r="Y161" s="3788"/>
      <c r="Z161" s="3788"/>
      <c r="AA161" s="3788"/>
      <c r="AB161" s="3788"/>
      <c r="AC161" s="3788"/>
      <c r="AD161" s="3788">
        <f t="shared" ref="AD161:AD177" si="8">SUM(R161:AC161)</f>
        <v>0</v>
      </c>
      <c r="AF161" s="3788"/>
      <c r="AG161" s="3788"/>
      <c r="AH161" s="3788"/>
      <c r="AI161" s="3788"/>
      <c r="AJ161" s="3788"/>
      <c r="AK161" s="3788"/>
      <c r="AL161" s="3788"/>
      <c r="AM161" s="3788"/>
      <c r="AN161" s="3788"/>
      <c r="AO161" s="3788"/>
      <c r="AP161" s="3788"/>
      <c r="AQ161" s="3788"/>
      <c r="AR161" s="3788">
        <f>SUM(AF161:AQ161)</f>
        <v>0</v>
      </c>
      <c r="AT161" s="3788"/>
      <c r="AU161" s="3788"/>
      <c r="AV161" s="3788"/>
      <c r="AW161" s="3788"/>
      <c r="AX161" s="3788"/>
      <c r="AY161" s="3788"/>
      <c r="AZ161" s="3788"/>
      <c r="BA161" s="3788"/>
      <c r="BB161" s="3788"/>
      <c r="BC161" s="3788"/>
      <c r="BD161" s="3788"/>
      <c r="BE161" s="3788"/>
      <c r="BF161" s="3788">
        <f>SUM(AT161:BE161)</f>
        <v>0</v>
      </c>
      <c r="BH161" s="3788"/>
      <c r="BI161" s="3788"/>
      <c r="BJ161" s="3788"/>
      <c r="BK161" s="3788"/>
      <c r="BL161" s="3788"/>
      <c r="BM161" s="3788"/>
      <c r="BN161" s="3788"/>
      <c r="BO161" s="3788"/>
      <c r="BP161" s="3788"/>
      <c r="BQ161" s="3788"/>
      <c r="BR161" s="3788"/>
      <c r="BS161" s="3788"/>
      <c r="BT161" s="3788">
        <f>SUM(BH161:BS161)</f>
        <v>0</v>
      </c>
      <c r="BV161" s="3788"/>
      <c r="BW161" s="3788"/>
      <c r="BX161" s="3788"/>
      <c r="BY161" s="3788">
        <f t="shared" ref="BY161:BY168" si="9">SUM(BV161:BX161)</f>
        <v>0</v>
      </c>
      <c r="BZ161" s="3788">
        <f>+P161+AD161+AR161+BF161+BT161+BY161</f>
        <v>0</v>
      </c>
      <c r="CA161" s="108"/>
      <c r="CB161" s="108"/>
      <c r="CC161" s="108"/>
      <c r="CD161" s="108"/>
      <c r="CE161" s="108"/>
      <c r="CF161" s="108"/>
      <c r="CG161" s="108"/>
      <c r="CH161" s="108"/>
      <c r="CI161" s="108"/>
    </row>
    <row r="162" spans="1:87" ht="41.5" hidden="1" customHeight="1" outlineLevel="4">
      <c r="A162" s="159"/>
      <c r="B162" s="702" t="s">
        <v>902</v>
      </c>
      <c r="C162" s="354" t="s">
        <v>1279</v>
      </c>
      <c r="D162" s="533" t="s">
        <v>903</v>
      </c>
      <c r="F162" s="3788"/>
      <c r="G162" s="3788"/>
      <c r="H162" s="3788"/>
      <c r="I162" s="3788"/>
      <c r="J162" s="3788"/>
      <c r="K162" s="3788"/>
      <c r="L162" s="3788"/>
      <c r="M162" s="3788"/>
      <c r="N162" s="3788"/>
      <c r="O162" s="3788"/>
      <c r="P162" s="3788">
        <f t="shared" si="7"/>
        <v>0</v>
      </c>
      <c r="R162" s="3788"/>
      <c r="S162" s="3788"/>
      <c r="T162" s="3788"/>
      <c r="U162" s="3788"/>
      <c r="V162" s="3788"/>
      <c r="W162" s="3788"/>
      <c r="X162" s="3788"/>
      <c r="Y162" s="3788"/>
      <c r="Z162" s="3788"/>
      <c r="AA162" s="3788"/>
      <c r="AB162" s="3788"/>
      <c r="AC162" s="3788"/>
      <c r="AD162" s="3788">
        <f t="shared" si="8"/>
        <v>0</v>
      </c>
      <c r="AF162" s="3788"/>
      <c r="AG162" s="3788"/>
      <c r="AH162" s="3788"/>
      <c r="AI162" s="3788"/>
      <c r="AJ162" s="3788"/>
      <c r="AK162" s="3788"/>
      <c r="AL162" s="3788"/>
      <c r="AM162" s="3788"/>
      <c r="AN162" s="3788"/>
      <c r="AO162" s="3788"/>
      <c r="AP162" s="3788"/>
      <c r="AQ162" s="3788"/>
      <c r="AR162" s="3788">
        <f>SUM(AF162:AQ162)</f>
        <v>0</v>
      </c>
      <c r="AT162" s="3788"/>
      <c r="AU162" s="3788"/>
      <c r="AV162" s="3788"/>
      <c r="AW162" s="3788"/>
      <c r="AX162" s="3788"/>
      <c r="AY162" s="3788"/>
      <c r="AZ162" s="3788"/>
      <c r="BA162" s="3788"/>
      <c r="BB162" s="3788"/>
      <c r="BC162" s="3788"/>
      <c r="BD162" s="3788"/>
      <c r="BE162" s="3788"/>
      <c r="BF162" s="3788">
        <f>SUM(AT162:BE162)</f>
        <v>0</v>
      </c>
      <c r="BH162" s="3788"/>
      <c r="BI162" s="3788"/>
      <c r="BJ162" s="3788"/>
      <c r="BK162" s="3788"/>
      <c r="BL162" s="3788"/>
      <c r="BM162" s="3788"/>
      <c r="BN162" s="3788"/>
      <c r="BO162" s="3788"/>
      <c r="BP162" s="3788"/>
      <c r="BQ162" s="3788"/>
      <c r="BR162" s="3788"/>
      <c r="BS162" s="3788"/>
      <c r="BT162" s="3788">
        <f>SUM(BH162:BS162)</f>
        <v>0</v>
      </c>
      <c r="BV162" s="3788"/>
      <c r="BW162" s="3788"/>
      <c r="BX162" s="3788"/>
      <c r="BY162" s="3788">
        <f t="shared" si="9"/>
        <v>0</v>
      </c>
      <c r="BZ162" s="3788">
        <f>+P162+AD162+AR162+BF162+BT162+BY162</f>
        <v>0</v>
      </c>
      <c r="CA162" s="108"/>
      <c r="CB162" s="108"/>
      <c r="CC162" s="108"/>
      <c r="CD162" s="108"/>
      <c r="CE162" s="108"/>
      <c r="CF162" s="108"/>
      <c r="CG162" s="108"/>
      <c r="CH162" s="108"/>
      <c r="CI162" s="108"/>
    </row>
    <row r="163" spans="1:87" ht="27.5" hidden="1" customHeight="1" outlineLevel="4">
      <c r="A163" s="159"/>
      <c r="B163" s="702" t="s">
        <v>904</v>
      </c>
      <c r="C163" s="354" t="s">
        <v>1279</v>
      </c>
      <c r="D163" s="533" t="s">
        <v>905</v>
      </c>
      <c r="F163" s="3788"/>
      <c r="G163" s="3788"/>
      <c r="H163" s="3788"/>
      <c r="I163" s="3788"/>
      <c r="J163" s="3788"/>
      <c r="K163" s="3788"/>
      <c r="L163" s="3788"/>
      <c r="M163" s="3788"/>
      <c r="N163" s="3788"/>
      <c r="O163" s="3788"/>
      <c r="P163" s="3788">
        <f t="shared" si="7"/>
        <v>0</v>
      </c>
      <c r="R163" s="3788"/>
      <c r="S163" s="3788"/>
      <c r="T163" s="3788"/>
      <c r="U163" s="3788"/>
      <c r="V163" s="3788"/>
      <c r="W163" s="3788"/>
      <c r="X163" s="3788"/>
      <c r="Y163" s="3788"/>
      <c r="Z163" s="3788"/>
      <c r="AA163" s="3788"/>
      <c r="AB163" s="3788"/>
      <c r="AC163" s="3788"/>
      <c r="AD163" s="3788">
        <f t="shared" si="8"/>
        <v>0</v>
      </c>
      <c r="AF163" s="3788"/>
      <c r="AG163" s="3788"/>
      <c r="AH163" s="3788"/>
      <c r="AI163" s="3788"/>
      <c r="AJ163" s="3788"/>
      <c r="AK163" s="3788"/>
      <c r="AL163" s="3788"/>
      <c r="AM163" s="3788"/>
      <c r="AN163" s="3788"/>
      <c r="AO163" s="3788"/>
      <c r="AP163" s="3788"/>
      <c r="AQ163" s="3788"/>
      <c r="AR163" s="3788">
        <f>SUM(AF163:AQ163)</f>
        <v>0</v>
      </c>
      <c r="AT163" s="3788"/>
      <c r="AU163" s="3788"/>
      <c r="AV163" s="3788"/>
      <c r="AW163" s="3788"/>
      <c r="AX163" s="3788"/>
      <c r="AY163" s="3788"/>
      <c r="AZ163" s="3788"/>
      <c r="BA163" s="3788"/>
      <c r="BB163" s="3788"/>
      <c r="BC163" s="3788"/>
      <c r="BD163" s="3788"/>
      <c r="BE163" s="3788"/>
      <c r="BF163" s="3788">
        <f>SUM(AT163:BE163)</f>
        <v>0</v>
      </c>
      <c r="BH163" s="3788"/>
      <c r="BI163" s="3788"/>
      <c r="BJ163" s="3788"/>
      <c r="BK163" s="3788"/>
      <c r="BL163" s="3788"/>
      <c r="BM163" s="3788"/>
      <c r="BN163" s="3788"/>
      <c r="BO163" s="3788"/>
      <c r="BP163" s="3788"/>
      <c r="BQ163" s="3788"/>
      <c r="BR163" s="3788"/>
      <c r="BS163" s="3788"/>
      <c r="BT163" s="3788">
        <f>SUM(BH163:BS163)</f>
        <v>0</v>
      </c>
      <c r="BV163" s="3788"/>
      <c r="BW163" s="3788"/>
      <c r="BX163" s="3788"/>
      <c r="BY163" s="3788">
        <f t="shared" si="9"/>
        <v>0</v>
      </c>
      <c r="BZ163" s="3788">
        <f>+P163+AD163+AR163+BF163+BT163+BY163</f>
        <v>0</v>
      </c>
      <c r="CA163" s="108"/>
      <c r="CB163" s="108"/>
      <c r="CC163" s="108"/>
      <c r="CD163" s="108"/>
      <c r="CE163" s="108"/>
      <c r="CF163" s="108"/>
      <c r="CG163" s="108"/>
      <c r="CH163" s="108"/>
      <c r="CI163" s="108"/>
    </row>
    <row r="164" spans="1:87" ht="41.5" hidden="1" customHeight="1" outlineLevel="4">
      <c r="A164" s="159"/>
      <c r="B164" s="702" t="s">
        <v>906</v>
      </c>
      <c r="C164" s="354" t="s">
        <v>1279</v>
      </c>
      <c r="D164" s="533" t="s">
        <v>907</v>
      </c>
      <c r="F164" s="3789"/>
      <c r="G164" s="3789"/>
      <c r="H164" s="3789"/>
      <c r="I164" s="3789"/>
      <c r="J164" s="3789"/>
      <c r="K164" s="3789"/>
      <c r="L164" s="3789"/>
      <c r="M164" s="3789"/>
      <c r="N164" s="3789"/>
      <c r="O164" s="3789"/>
      <c r="P164" s="3789">
        <f t="shared" si="7"/>
        <v>0</v>
      </c>
      <c r="R164" s="3789"/>
      <c r="S164" s="3789"/>
      <c r="T164" s="3789"/>
      <c r="U164" s="3789"/>
      <c r="V164" s="3789"/>
      <c r="W164" s="3789"/>
      <c r="X164" s="3789"/>
      <c r="Y164" s="3789"/>
      <c r="Z164" s="3789"/>
      <c r="AA164" s="3789"/>
      <c r="AB164" s="3789"/>
      <c r="AC164" s="3789"/>
      <c r="AD164" s="3789">
        <f t="shared" si="8"/>
        <v>0</v>
      </c>
      <c r="AF164" s="3789"/>
      <c r="AG164" s="3789"/>
      <c r="AH164" s="3789"/>
      <c r="AI164" s="3789"/>
      <c r="AJ164" s="3789"/>
      <c r="AK164" s="3789"/>
      <c r="AL164" s="3789"/>
      <c r="AM164" s="3789"/>
      <c r="AN164" s="3789"/>
      <c r="AO164" s="3789"/>
      <c r="AP164" s="3789"/>
      <c r="AQ164" s="3789"/>
      <c r="AR164" s="3789">
        <f>SUM(AF164:AQ164)</f>
        <v>0</v>
      </c>
      <c r="AT164" s="3789"/>
      <c r="AU164" s="3789"/>
      <c r="AV164" s="3789"/>
      <c r="AW164" s="3789"/>
      <c r="AX164" s="3789"/>
      <c r="AY164" s="3789"/>
      <c r="AZ164" s="3789"/>
      <c r="BA164" s="3789"/>
      <c r="BB164" s="3789"/>
      <c r="BC164" s="3789"/>
      <c r="BD164" s="3789"/>
      <c r="BE164" s="3789"/>
      <c r="BF164" s="3789">
        <f>SUM(AT164:BE164)</f>
        <v>0</v>
      </c>
      <c r="BH164" s="3789"/>
      <c r="BI164" s="3789"/>
      <c r="BJ164" s="3789"/>
      <c r="BK164" s="3789"/>
      <c r="BL164" s="3789"/>
      <c r="BM164" s="3789"/>
      <c r="BN164" s="3789"/>
      <c r="BO164" s="3789"/>
      <c r="BP164" s="3789"/>
      <c r="BQ164" s="3789"/>
      <c r="BR164" s="3789"/>
      <c r="BS164" s="3789"/>
      <c r="BT164" s="3789">
        <f>SUM(BH164:BS164)</f>
        <v>0</v>
      </c>
      <c r="BV164" s="3789"/>
      <c r="BW164" s="3789"/>
      <c r="BX164" s="3789"/>
      <c r="BY164" s="3789">
        <f t="shared" si="9"/>
        <v>0</v>
      </c>
      <c r="BZ164" s="3789">
        <f>+P164+AD164+AR164+BF164+BT164+BY164</f>
        <v>0</v>
      </c>
      <c r="CA164" s="108"/>
      <c r="CB164" s="108"/>
      <c r="CC164" s="108"/>
      <c r="CD164" s="108"/>
      <c r="CE164" s="108"/>
      <c r="CF164" s="108"/>
      <c r="CG164" s="108"/>
      <c r="CH164" s="108"/>
      <c r="CI164" s="108"/>
    </row>
    <row r="165" spans="1:87" s="153" customFormat="1" ht="27.5" hidden="1" customHeight="1" outlineLevel="4">
      <c r="A165" s="704"/>
      <c r="B165" s="354" t="s">
        <v>908</v>
      </c>
      <c r="C165" s="354" t="s">
        <v>1279</v>
      </c>
      <c r="D165" s="544" t="s">
        <v>909</v>
      </c>
      <c r="E165"/>
      <c r="F165" s="3796"/>
      <c r="G165" s="3796"/>
      <c r="H165" s="3796"/>
      <c r="I165" s="3796"/>
      <c r="J165" s="3796"/>
      <c r="K165" s="3796"/>
      <c r="L165" s="3796"/>
      <c r="M165" s="3796"/>
      <c r="N165" s="3796"/>
      <c r="O165" s="3796"/>
      <c r="P165" s="3796">
        <v>0</v>
      </c>
      <c r="Q165"/>
      <c r="R165" s="3796"/>
      <c r="S165" s="3808"/>
      <c r="T165" s="3808"/>
      <c r="U165" s="3808"/>
      <c r="V165" s="3808"/>
      <c r="W165" s="3808"/>
      <c r="X165" s="3808"/>
      <c r="Y165" s="3808"/>
      <c r="Z165" s="3808">
        <v>5000</v>
      </c>
      <c r="AA165" s="3808">
        <v>5000</v>
      </c>
      <c r="AB165" s="3808">
        <v>5000</v>
      </c>
      <c r="AC165" s="3808">
        <v>5000</v>
      </c>
      <c r="AD165" s="3796">
        <v>20000</v>
      </c>
      <c r="AE165"/>
      <c r="AF165" s="3808">
        <v>5000</v>
      </c>
      <c r="AG165" s="3808">
        <v>5000</v>
      </c>
      <c r="AH165" s="3796"/>
      <c r="AI165" s="3796"/>
      <c r="AJ165" s="3796"/>
      <c r="AK165" s="3796"/>
      <c r="AL165" s="3796"/>
      <c r="AM165" s="3796"/>
      <c r="AN165" s="3796"/>
      <c r="AO165" s="3796"/>
      <c r="AP165" s="3796"/>
      <c r="AQ165" s="3796"/>
      <c r="AR165" s="3796">
        <v>10000</v>
      </c>
      <c r="AS165"/>
      <c r="AT165" s="3796"/>
      <c r="AU165" s="3796"/>
      <c r="AV165" s="3796"/>
      <c r="AW165" s="3796"/>
      <c r="AX165" s="3796"/>
      <c r="AY165" s="3796"/>
      <c r="AZ165" s="3796"/>
      <c r="BA165" s="3796"/>
      <c r="BB165" s="3796"/>
      <c r="BC165" s="3796"/>
      <c r="BD165" s="3796"/>
      <c r="BE165" s="3796"/>
      <c r="BF165" s="3796">
        <v>0</v>
      </c>
      <c r="BG165"/>
      <c r="BH165" s="3796"/>
      <c r="BI165" s="3796"/>
      <c r="BJ165" s="3796"/>
      <c r="BK165" s="3796"/>
      <c r="BL165" s="3796"/>
      <c r="BM165" s="3796"/>
      <c r="BN165" s="3796"/>
      <c r="BO165" s="3796"/>
      <c r="BP165" s="3796"/>
      <c r="BQ165" s="3796"/>
      <c r="BR165" s="3796"/>
      <c r="BS165" s="3796"/>
      <c r="BT165" s="3796">
        <v>0</v>
      </c>
      <c r="BU165"/>
      <c r="BV165" s="3796"/>
      <c r="BW165" s="3796"/>
      <c r="BX165" s="3796"/>
      <c r="BY165" s="3796">
        <v>0</v>
      </c>
      <c r="BZ165" s="3796">
        <v>30000</v>
      </c>
    </row>
    <row r="166" spans="1:87" ht="27.5" hidden="1" customHeight="1" outlineLevel="4">
      <c r="A166" s="159"/>
      <c r="B166" s="702" t="s">
        <v>910</v>
      </c>
      <c r="C166" s="354" t="s">
        <v>1279</v>
      </c>
      <c r="D166" s="533" t="s">
        <v>911</v>
      </c>
      <c r="F166" s="3797"/>
      <c r="G166" s="3797"/>
      <c r="H166" s="3797"/>
      <c r="I166" s="3797"/>
      <c r="J166" s="3797"/>
      <c r="K166" s="3797"/>
      <c r="L166" s="3797"/>
      <c r="M166" s="3797"/>
      <c r="N166" s="3797"/>
      <c r="O166" s="3797"/>
      <c r="P166" s="3797">
        <f t="shared" si="7"/>
        <v>0</v>
      </c>
      <c r="R166" s="3797"/>
      <c r="S166" s="3809"/>
      <c r="T166" s="3809"/>
      <c r="U166" s="3809"/>
      <c r="V166" s="3809"/>
      <c r="W166" s="3809"/>
      <c r="X166" s="3809"/>
      <c r="Y166" s="3809"/>
      <c r="Z166" s="3809"/>
      <c r="AA166" s="3809"/>
      <c r="AB166" s="3809"/>
      <c r="AC166" s="3809"/>
      <c r="AD166" s="3797">
        <f t="shared" si="8"/>
        <v>0</v>
      </c>
      <c r="AF166" s="3809"/>
      <c r="AG166" s="3809"/>
      <c r="AH166" s="3797"/>
      <c r="AI166" s="3797"/>
      <c r="AJ166" s="3797"/>
      <c r="AK166" s="3797"/>
      <c r="AL166" s="3797"/>
      <c r="AM166" s="3797"/>
      <c r="AN166" s="3797"/>
      <c r="AO166" s="3797"/>
      <c r="AP166" s="3797"/>
      <c r="AQ166" s="3797"/>
      <c r="AR166" s="3797">
        <f>SUM(AF166:AQ166)</f>
        <v>0</v>
      </c>
      <c r="AT166" s="3797"/>
      <c r="AU166" s="3797"/>
      <c r="AV166" s="3797"/>
      <c r="AW166" s="3797"/>
      <c r="AX166" s="3797"/>
      <c r="AY166" s="3797"/>
      <c r="AZ166" s="3797"/>
      <c r="BA166" s="3797"/>
      <c r="BB166" s="3797"/>
      <c r="BC166" s="3797"/>
      <c r="BD166" s="3797"/>
      <c r="BE166" s="3797"/>
      <c r="BF166" s="3797">
        <f>SUM(AT166:BE166)</f>
        <v>0</v>
      </c>
      <c r="BH166" s="3797"/>
      <c r="BI166" s="3797"/>
      <c r="BJ166" s="3797"/>
      <c r="BK166" s="3797"/>
      <c r="BL166" s="3797"/>
      <c r="BM166" s="3797"/>
      <c r="BN166" s="3797"/>
      <c r="BO166" s="3797"/>
      <c r="BP166" s="3797"/>
      <c r="BQ166" s="3797"/>
      <c r="BR166" s="3797"/>
      <c r="BS166" s="3797"/>
      <c r="BT166" s="3797">
        <f>SUM(BH166:BS166)</f>
        <v>0</v>
      </c>
      <c r="BV166" s="3797"/>
      <c r="BW166" s="3797"/>
      <c r="BX166" s="3797"/>
      <c r="BY166" s="3797">
        <f t="shared" si="9"/>
        <v>0</v>
      </c>
      <c r="BZ166" s="3797">
        <f>+P166+AD166+AR166+BF166+BT166+BY166</f>
        <v>0</v>
      </c>
      <c r="CA166" s="108"/>
      <c r="CB166" s="108"/>
      <c r="CC166" s="108"/>
      <c r="CD166" s="108"/>
      <c r="CE166" s="108"/>
      <c r="CF166" s="108"/>
      <c r="CG166" s="108"/>
      <c r="CH166" s="108"/>
      <c r="CI166" s="108"/>
    </row>
    <row r="167" spans="1:87" ht="27.5" hidden="1" customHeight="1" outlineLevel="4">
      <c r="A167" s="159"/>
      <c r="B167" s="702" t="s">
        <v>912</v>
      </c>
      <c r="C167" s="354" t="s">
        <v>1279</v>
      </c>
      <c r="D167" s="533" t="s">
        <v>913</v>
      </c>
      <c r="F167" s="3797"/>
      <c r="G167" s="3797"/>
      <c r="H167" s="3797"/>
      <c r="I167" s="3797"/>
      <c r="J167" s="3797"/>
      <c r="K167" s="3797"/>
      <c r="L167" s="3797"/>
      <c r="M167" s="3797"/>
      <c r="N167" s="3797"/>
      <c r="O167" s="3797"/>
      <c r="P167" s="3797">
        <f t="shared" si="7"/>
        <v>0</v>
      </c>
      <c r="R167" s="3797"/>
      <c r="S167" s="3809"/>
      <c r="T167" s="3809"/>
      <c r="U167" s="3809"/>
      <c r="V167" s="3809"/>
      <c r="W167" s="3809"/>
      <c r="X167" s="3809"/>
      <c r="Y167" s="3809"/>
      <c r="Z167" s="3809"/>
      <c r="AA167" s="3809"/>
      <c r="AB167" s="3809"/>
      <c r="AC167" s="3809"/>
      <c r="AD167" s="3797">
        <f t="shared" si="8"/>
        <v>0</v>
      </c>
      <c r="AF167" s="3809"/>
      <c r="AG167" s="3809"/>
      <c r="AH167" s="3797"/>
      <c r="AI167" s="3797"/>
      <c r="AJ167" s="3797"/>
      <c r="AK167" s="3797"/>
      <c r="AL167" s="3797"/>
      <c r="AM167" s="3797"/>
      <c r="AN167" s="3797"/>
      <c r="AO167" s="3797"/>
      <c r="AP167" s="3797"/>
      <c r="AQ167" s="3797"/>
      <c r="AR167" s="3797">
        <f>SUM(AF167:AQ167)</f>
        <v>0</v>
      </c>
      <c r="AT167" s="3797"/>
      <c r="AU167" s="3797"/>
      <c r="AV167" s="3797"/>
      <c r="AW167" s="3797"/>
      <c r="AX167" s="3797"/>
      <c r="AY167" s="3797"/>
      <c r="AZ167" s="3797"/>
      <c r="BA167" s="3797"/>
      <c r="BB167" s="3797"/>
      <c r="BC167" s="3797"/>
      <c r="BD167" s="3797"/>
      <c r="BE167" s="3797"/>
      <c r="BF167" s="3797">
        <f>SUM(AT167:BE167)</f>
        <v>0</v>
      </c>
      <c r="BH167" s="3797"/>
      <c r="BI167" s="3797"/>
      <c r="BJ167" s="3797"/>
      <c r="BK167" s="3797"/>
      <c r="BL167" s="3797"/>
      <c r="BM167" s="3797"/>
      <c r="BN167" s="3797"/>
      <c r="BO167" s="3797"/>
      <c r="BP167" s="3797"/>
      <c r="BQ167" s="3797"/>
      <c r="BR167" s="3797"/>
      <c r="BS167" s="3797"/>
      <c r="BT167" s="3797">
        <f>SUM(BH167:BS167)</f>
        <v>0</v>
      </c>
      <c r="BV167" s="3797"/>
      <c r="BW167" s="3797"/>
      <c r="BX167" s="3797"/>
      <c r="BY167" s="3797">
        <f t="shared" si="9"/>
        <v>0</v>
      </c>
      <c r="BZ167" s="3797">
        <f>+P167+AD167+AR167+BF167+BT167+BY167</f>
        <v>0</v>
      </c>
      <c r="CA167" s="108"/>
      <c r="CB167" s="108"/>
      <c r="CC167" s="108"/>
      <c r="CD167" s="108"/>
      <c r="CE167" s="108"/>
      <c r="CF167" s="108"/>
      <c r="CG167" s="108"/>
      <c r="CH167" s="108"/>
      <c r="CI167" s="108"/>
    </row>
    <row r="168" spans="1:87" ht="27.5" hidden="1" customHeight="1" outlineLevel="4">
      <c r="A168" s="1318"/>
      <c r="B168" s="702" t="s">
        <v>914</v>
      </c>
      <c r="C168" s="354" t="s">
        <v>1279</v>
      </c>
      <c r="D168" s="1492" t="s">
        <v>915</v>
      </c>
      <c r="F168" s="3798"/>
      <c r="G168" s="3798"/>
      <c r="H168" s="3798"/>
      <c r="I168" s="3798"/>
      <c r="J168" s="3798"/>
      <c r="K168" s="3798"/>
      <c r="L168" s="3798"/>
      <c r="M168" s="3798"/>
      <c r="N168" s="3798"/>
      <c r="O168" s="3798"/>
      <c r="P168" s="3798">
        <f t="shared" si="7"/>
        <v>0</v>
      </c>
      <c r="R168" s="3798"/>
      <c r="S168" s="3810"/>
      <c r="T168" s="3810"/>
      <c r="U168" s="3810"/>
      <c r="V168" s="3810"/>
      <c r="W168" s="3810"/>
      <c r="X168" s="3810"/>
      <c r="Y168" s="3810"/>
      <c r="Z168" s="3810"/>
      <c r="AA168" s="3810"/>
      <c r="AB168" s="3810"/>
      <c r="AC168" s="3810"/>
      <c r="AD168" s="3798">
        <f t="shared" si="8"/>
        <v>0</v>
      </c>
      <c r="AF168" s="3810"/>
      <c r="AG168" s="3810"/>
      <c r="AH168" s="3798"/>
      <c r="AI168" s="3798"/>
      <c r="AJ168" s="3798"/>
      <c r="AK168" s="3798"/>
      <c r="AL168" s="3798"/>
      <c r="AM168" s="3798"/>
      <c r="AN168" s="3798"/>
      <c r="AO168" s="3798"/>
      <c r="AP168" s="3798"/>
      <c r="AQ168" s="3798"/>
      <c r="AR168" s="3798">
        <f>SUM(AF168:AQ168)</f>
        <v>0</v>
      </c>
      <c r="AT168" s="3798"/>
      <c r="AU168" s="3798"/>
      <c r="AV168" s="3798"/>
      <c r="AW168" s="3798"/>
      <c r="AX168" s="3798"/>
      <c r="AY168" s="3798"/>
      <c r="AZ168" s="3798"/>
      <c r="BA168" s="3798"/>
      <c r="BB168" s="3798"/>
      <c r="BC168" s="3798"/>
      <c r="BD168" s="3798"/>
      <c r="BE168" s="3798"/>
      <c r="BF168" s="3798">
        <f>SUM(AT168:BE168)</f>
        <v>0</v>
      </c>
      <c r="BH168" s="3798"/>
      <c r="BI168" s="3798"/>
      <c r="BJ168" s="3798"/>
      <c r="BK168" s="3798"/>
      <c r="BL168" s="3798"/>
      <c r="BM168" s="3798"/>
      <c r="BN168" s="3798"/>
      <c r="BO168" s="3798"/>
      <c r="BP168" s="3798"/>
      <c r="BQ168" s="3798"/>
      <c r="BR168" s="3798"/>
      <c r="BS168" s="3798"/>
      <c r="BT168" s="3798">
        <f>SUM(BH168:BS168)</f>
        <v>0</v>
      </c>
      <c r="BV168" s="3798"/>
      <c r="BW168" s="3798"/>
      <c r="BX168" s="3798"/>
      <c r="BY168" s="3798">
        <f t="shared" si="9"/>
        <v>0</v>
      </c>
      <c r="BZ168" s="3798">
        <f>+P168+AD168+AR168+BF168+BT168+BY168</f>
        <v>0</v>
      </c>
      <c r="CA168" s="108"/>
      <c r="CB168" s="108"/>
      <c r="CC168" s="108"/>
      <c r="CD168" s="108"/>
      <c r="CE168" s="108"/>
      <c r="CF168" s="108"/>
      <c r="CG168" s="108"/>
      <c r="CH168" s="108"/>
      <c r="CI168" s="108"/>
    </row>
    <row r="169" spans="1:87" s="108" customFormat="1" ht="55.25" hidden="1" customHeight="1" outlineLevel="4">
      <c r="A169" s="159"/>
      <c r="B169" s="107" t="s">
        <v>916</v>
      </c>
      <c r="C169" s="702" t="s">
        <v>1279</v>
      </c>
      <c r="D169" s="703" t="s">
        <v>917</v>
      </c>
      <c r="E169"/>
      <c r="F169" s="455"/>
      <c r="G169" s="455"/>
      <c r="H169" s="455"/>
      <c r="I169" s="455"/>
      <c r="J169" s="455"/>
      <c r="K169" s="455"/>
      <c r="L169" s="455"/>
      <c r="M169" s="455"/>
      <c r="N169" s="455"/>
      <c r="O169" s="455"/>
      <c r="P169" s="455">
        <v>0</v>
      </c>
      <c r="Q169"/>
      <c r="R169" s="455"/>
      <c r="S169" s="455"/>
      <c r="T169" s="455"/>
      <c r="U169" s="455"/>
      <c r="V169" s="455"/>
      <c r="W169" s="455"/>
      <c r="X169" s="455"/>
      <c r="Y169" s="455"/>
      <c r="Z169" s="455"/>
      <c r="AA169" s="455"/>
      <c r="AB169" s="455"/>
      <c r="AC169" s="455"/>
      <c r="AD169" s="455">
        <v>0</v>
      </c>
      <c r="AE169"/>
      <c r="AF169" s="455"/>
      <c r="AG169" s="455"/>
      <c r="AH169" s="455"/>
      <c r="AI169" s="455"/>
      <c r="AJ169" s="455"/>
      <c r="AK169" s="455"/>
      <c r="AL169" s="455"/>
      <c r="AM169" s="455"/>
      <c r="AN169" s="455"/>
      <c r="AO169" s="455"/>
      <c r="AP169" s="455"/>
      <c r="AQ169" s="455"/>
      <c r="AR169" s="455">
        <v>0</v>
      </c>
      <c r="AS169"/>
      <c r="AT169" s="455"/>
      <c r="AU169" s="455"/>
      <c r="AV169" s="455"/>
      <c r="AW169" s="455"/>
      <c r="AX169" s="455"/>
      <c r="AY169" s="455"/>
      <c r="AZ169" s="455"/>
      <c r="BA169" s="455"/>
      <c r="BB169" s="455"/>
      <c r="BC169" s="455"/>
      <c r="BD169" s="455"/>
      <c r="BE169" s="455"/>
      <c r="BF169" s="455">
        <v>0</v>
      </c>
      <c r="BG169"/>
      <c r="BH169" s="455"/>
      <c r="BI169" s="455"/>
      <c r="BJ169" s="455"/>
      <c r="BK169" s="455"/>
      <c r="BL169" s="455"/>
      <c r="BM169" s="455"/>
      <c r="BN169" s="455"/>
      <c r="BO169" s="455"/>
      <c r="BP169" s="455"/>
      <c r="BQ169" s="455"/>
      <c r="BR169" s="455"/>
      <c r="BS169" s="455"/>
      <c r="BT169" s="455">
        <v>0</v>
      </c>
      <c r="BU169"/>
      <c r="BV169" s="455"/>
      <c r="BW169" s="455"/>
      <c r="BX169" s="455"/>
      <c r="BY169" s="455">
        <v>0</v>
      </c>
      <c r="BZ169" s="455">
        <v>0</v>
      </c>
    </row>
    <row r="170" spans="1:87" s="153" customFormat="1" ht="33" hidden="1" customHeight="1" outlineLevel="3">
      <c r="A170" s="397"/>
      <c r="B170" s="395" t="s">
        <v>918</v>
      </c>
      <c r="C170" s="395"/>
      <c r="D170" s="1249" t="s">
        <v>919</v>
      </c>
      <c r="E170"/>
      <c r="F170" s="398">
        <v>0</v>
      </c>
      <c r="G170" s="398">
        <v>0</v>
      </c>
      <c r="H170" s="398">
        <v>0</v>
      </c>
      <c r="I170" s="398">
        <v>0</v>
      </c>
      <c r="J170" s="398">
        <v>0</v>
      </c>
      <c r="K170" s="398">
        <v>0</v>
      </c>
      <c r="L170" s="398">
        <v>0</v>
      </c>
      <c r="M170" s="398">
        <v>0</v>
      </c>
      <c r="N170" s="398">
        <v>0</v>
      </c>
      <c r="O170" s="398">
        <v>0</v>
      </c>
      <c r="P170" s="992">
        <v>0</v>
      </c>
      <c r="Q170"/>
      <c r="R170" s="398">
        <v>0</v>
      </c>
      <c r="S170" s="398">
        <v>0</v>
      </c>
      <c r="T170" s="398">
        <v>0</v>
      </c>
      <c r="U170" s="398">
        <v>0</v>
      </c>
      <c r="V170" s="398">
        <v>0</v>
      </c>
      <c r="W170" s="398">
        <v>0</v>
      </c>
      <c r="X170" s="398">
        <v>0</v>
      </c>
      <c r="Y170" s="398">
        <v>0</v>
      </c>
      <c r="Z170" s="398">
        <v>0</v>
      </c>
      <c r="AA170" s="398">
        <v>0</v>
      </c>
      <c r="AB170" s="398">
        <v>5000</v>
      </c>
      <c r="AC170" s="398">
        <v>5000</v>
      </c>
      <c r="AD170" s="992">
        <v>10000</v>
      </c>
      <c r="AE170"/>
      <c r="AF170" s="398">
        <v>5000</v>
      </c>
      <c r="AG170" s="398">
        <v>5000</v>
      </c>
      <c r="AH170" s="398">
        <v>0</v>
      </c>
      <c r="AI170" s="398">
        <v>0</v>
      </c>
      <c r="AJ170" s="398">
        <v>0</v>
      </c>
      <c r="AK170" s="398">
        <v>0</v>
      </c>
      <c r="AL170" s="398">
        <v>0</v>
      </c>
      <c r="AM170" s="398">
        <v>0</v>
      </c>
      <c r="AN170" s="398">
        <v>0</v>
      </c>
      <c r="AO170" s="398">
        <v>0</v>
      </c>
      <c r="AP170" s="398">
        <v>0</v>
      </c>
      <c r="AQ170" s="398">
        <v>1250000</v>
      </c>
      <c r="AR170" s="992">
        <v>1260000</v>
      </c>
      <c r="AS170"/>
      <c r="AT170" s="398">
        <v>0</v>
      </c>
      <c r="AU170" s="398">
        <v>0</v>
      </c>
      <c r="AV170" s="398">
        <v>0</v>
      </c>
      <c r="AW170" s="398">
        <v>750000</v>
      </c>
      <c r="AX170" s="398">
        <v>0</v>
      </c>
      <c r="AY170" s="398">
        <v>0</v>
      </c>
      <c r="AZ170" s="398">
        <v>0</v>
      </c>
      <c r="BA170" s="398">
        <v>750000</v>
      </c>
      <c r="BB170" s="398">
        <v>0</v>
      </c>
      <c r="BC170" s="398">
        <v>0</v>
      </c>
      <c r="BD170" s="398">
        <v>0</v>
      </c>
      <c r="BE170" s="398">
        <v>750000</v>
      </c>
      <c r="BF170" s="993">
        <v>2250000</v>
      </c>
      <c r="BG170"/>
      <c r="BH170" s="398">
        <v>0</v>
      </c>
      <c r="BI170" s="398">
        <v>0</v>
      </c>
      <c r="BJ170" s="398">
        <v>0</v>
      </c>
      <c r="BK170" s="398">
        <v>625000</v>
      </c>
      <c r="BL170" s="398">
        <v>0</v>
      </c>
      <c r="BM170" s="398">
        <v>0</v>
      </c>
      <c r="BN170" s="398">
        <v>0</v>
      </c>
      <c r="BO170" s="398">
        <v>625000</v>
      </c>
      <c r="BP170" s="398">
        <v>0</v>
      </c>
      <c r="BQ170" s="398">
        <v>0</v>
      </c>
      <c r="BR170" s="398">
        <v>250000</v>
      </c>
      <c r="BS170" s="398">
        <v>0</v>
      </c>
      <c r="BT170" s="994">
        <v>1500000</v>
      </c>
      <c r="BU170"/>
      <c r="BV170" s="398">
        <v>0</v>
      </c>
      <c r="BW170" s="398">
        <v>0</v>
      </c>
      <c r="BX170" s="398">
        <v>0</v>
      </c>
      <c r="BY170" s="994">
        <v>0</v>
      </c>
      <c r="BZ170" s="994">
        <v>5020000</v>
      </c>
    </row>
    <row r="171" spans="1:87" s="108" customFormat="1" ht="45.5" hidden="1" customHeight="1" outlineLevel="4">
      <c r="A171" s="159"/>
      <c r="B171" s="107" t="s">
        <v>920</v>
      </c>
      <c r="C171" s="702"/>
      <c r="D171" s="703" t="s">
        <v>921</v>
      </c>
      <c r="E171"/>
      <c r="F171" s="1001"/>
      <c r="G171" s="1001"/>
      <c r="H171" s="1001"/>
      <c r="I171" s="1001"/>
      <c r="J171" s="1001"/>
      <c r="K171" s="1001"/>
      <c r="L171" s="1001"/>
      <c r="M171" s="1001"/>
      <c r="N171" s="1001"/>
      <c r="O171" s="1001"/>
      <c r="P171" s="996">
        <v>0</v>
      </c>
      <c r="Q171"/>
      <c r="R171" s="1001"/>
      <c r="S171" s="1001"/>
      <c r="T171" s="1001"/>
      <c r="U171" s="1001"/>
      <c r="V171" s="1001"/>
      <c r="W171" s="1001"/>
      <c r="X171" s="1001"/>
      <c r="Y171" s="1001"/>
      <c r="Z171" s="1001"/>
      <c r="AA171" s="1001"/>
      <c r="AB171" s="1001">
        <v>5000</v>
      </c>
      <c r="AC171" s="1001">
        <v>5000</v>
      </c>
      <c r="AD171" s="996">
        <v>10000</v>
      </c>
      <c r="AE171"/>
      <c r="AF171" s="1001">
        <v>5000</v>
      </c>
      <c r="AG171" s="1001">
        <v>5000</v>
      </c>
      <c r="AH171" s="1001"/>
      <c r="AI171" s="1001"/>
      <c r="AJ171" s="1001"/>
      <c r="AK171" s="1001"/>
      <c r="AL171" s="1001"/>
      <c r="AM171" s="1001"/>
      <c r="AN171" s="1001"/>
      <c r="AO171" s="1001"/>
      <c r="AP171" s="1001"/>
      <c r="AQ171" s="1001"/>
      <c r="AR171" s="996">
        <v>10000</v>
      </c>
      <c r="AS171"/>
      <c r="AT171" s="1001"/>
      <c r="AU171" s="1001"/>
      <c r="AV171" s="1001"/>
      <c r="AW171" s="1001"/>
      <c r="AX171" s="1001"/>
      <c r="AY171" s="1001"/>
      <c r="AZ171" s="1001"/>
      <c r="BA171" s="1001"/>
      <c r="BB171" s="1001"/>
      <c r="BC171" s="1001"/>
      <c r="BD171" s="1001"/>
      <c r="BE171" s="1001"/>
      <c r="BF171" s="997">
        <v>0</v>
      </c>
      <c r="BG171"/>
      <c r="BH171" s="1001"/>
      <c r="BI171" s="1001"/>
      <c r="BJ171" s="1001"/>
      <c r="BK171" s="1001"/>
      <c r="BL171" s="1001"/>
      <c r="BM171" s="1001"/>
      <c r="BN171" s="1001"/>
      <c r="BO171" s="1001"/>
      <c r="BP171" s="1001"/>
      <c r="BQ171" s="1001"/>
      <c r="BR171" s="1001"/>
      <c r="BS171" s="1001"/>
      <c r="BT171" s="995">
        <v>0</v>
      </c>
      <c r="BU171"/>
      <c r="BV171" s="1001"/>
      <c r="BW171" s="1001"/>
      <c r="BX171" s="1001"/>
      <c r="BY171" s="995">
        <v>0</v>
      </c>
      <c r="BZ171" s="995">
        <v>20000</v>
      </c>
    </row>
    <row r="172" spans="1:87" s="108" customFormat="1" ht="27.5" hidden="1" customHeight="1" outlineLevel="4">
      <c r="A172" s="580"/>
      <c r="B172" s="107" t="s">
        <v>923</v>
      </c>
      <c r="C172" s="107"/>
      <c r="D172" s="533" t="s">
        <v>924</v>
      </c>
      <c r="E172"/>
      <c r="F172" s="1038"/>
      <c r="G172" s="1038"/>
      <c r="H172" s="1038"/>
      <c r="I172" s="1038"/>
      <c r="J172" s="1038"/>
      <c r="K172" s="1038"/>
      <c r="L172" s="1038"/>
      <c r="M172" s="1038"/>
      <c r="N172" s="1038"/>
      <c r="O172" s="1038"/>
      <c r="P172" s="1498">
        <v>0</v>
      </c>
      <c r="Q172"/>
      <c r="R172" s="1038"/>
      <c r="S172" s="1038"/>
      <c r="T172" s="1038"/>
      <c r="U172" s="1038"/>
      <c r="V172" s="1038"/>
      <c r="W172" s="1038"/>
      <c r="X172" s="1038"/>
      <c r="Y172" s="1038"/>
      <c r="Z172" s="1038"/>
      <c r="AA172" s="1038"/>
      <c r="AB172" s="1038"/>
      <c r="AC172" s="1038"/>
      <c r="AD172" s="1498">
        <v>0</v>
      </c>
      <c r="AE172"/>
      <c r="AF172" s="1038"/>
      <c r="AG172" s="1038"/>
      <c r="AH172" s="1038"/>
      <c r="AI172" s="1038"/>
      <c r="AJ172" s="1038"/>
      <c r="AK172" s="1038"/>
      <c r="AL172" s="1038"/>
      <c r="AM172" s="1038"/>
      <c r="AN172" s="1038"/>
      <c r="AO172" s="1038"/>
      <c r="AP172" s="1038"/>
      <c r="AQ172" s="1038">
        <v>625000</v>
      </c>
      <c r="AR172" s="1498">
        <v>625000</v>
      </c>
      <c r="AS172"/>
      <c r="AT172" s="1038"/>
      <c r="AU172" s="1038"/>
      <c r="AV172" s="1038"/>
      <c r="AW172" s="1038">
        <v>375000</v>
      </c>
      <c r="AX172" s="1038"/>
      <c r="AY172" s="1038"/>
      <c r="AZ172" s="1038"/>
      <c r="BA172" s="1038">
        <v>375000</v>
      </c>
      <c r="BB172" s="1038"/>
      <c r="BC172" s="1038"/>
      <c r="BD172" s="1038"/>
      <c r="BE172" s="1038">
        <v>375000</v>
      </c>
      <c r="BF172" s="1498">
        <v>1125000</v>
      </c>
      <c r="BG172"/>
      <c r="BH172" s="1038"/>
      <c r="BI172" s="1038"/>
      <c r="BJ172" s="1038"/>
      <c r="BK172" s="2074">
        <v>312500</v>
      </c>
      <c r="BL172" s="1038"/>
      <c r="BM172" s="1038"/>
      <c r="BN172" s="1038"/>
      <c r="BO172" s="2074">
        <v>312500</v>
      </c>
      <c r="BP172" s="1038"/>
      <c r="BQ172" s="1038"/>
      <c r="BR172" s="1038">
        <v>125000</v>
      </c>
      <c r="BS172" s="1038"/>
      <c r="BT172" s="1498">
        <v>750000</v>
      </c>
      <c r="BU172"/>
      <c r="BV172" s="1038"/>
      <c r="BW172" s="1038"/>
      <c r="BX172" s="1038"/>
      <c r="BY172" s="1498">
        <v>0</v>
      </c>
      <c r="BZ172" s="1498">
        <v>2500000</v>
      </c>
    </row>
    <row r="173" spans="1:87" s="108" customFormat="1" ht="46.25" hidden="1" customHeight="1" outlineLevel="4">
      <c r="A173" s="580"/>
      <c r="B173" s="107" t="s">
        <v>926</v>
      </c>
      <c r="C173" s="107"/>
      <c r="D173" s="533" t="s">
        <v>927</v>
      </c>
      <c r="E173"/>
      <c r="F173" s="1038"/>
      <c r="G173" s="1038"/>
      <c r="H173" s="1038"/>
      <c r="I173" s="1038"/>
      <c r="J173" s="1038"/>
      <c r="K173" s="1038"/>
      <c r="L173" s="1038"/>
      <c r="M173" s="1038"/>
      <c r="N173" s="1038"/>
      <c r="O173" s="1038"/>
      <c r="P173" s="1498">
        <v>0</v>
      </c>
      <c r="Q173"/>
      <c r="R173" s="1038"/>
      <c r="S173" s="1038"/>
      <c r="T173" s="1038"/>
      <c r="U173" s="1038"/>
      <c r="V173" s="1038"/>
      <c r="W173" s="1038"/>
      <c r="X173" s="1038"/>
      <c r="Y173" s="1038"/>
      <c r="Z173" s="1038"/>
      <c r="AA173" s="1038"/>
      <c r="AB173" s="1038"/>
      <c r="AC173" s="1038"/>
      <c r="AD173" s="1498">
        <v>0</v>
      </c>
      <c r="AE173"/>
      <c r="AF173" s="1038"/>
      <c r="AG173" s="1038"/>
      <c r="AH173" s="1038"/>
      <c r="AI173" s="1038"/>
      <c r="AJ173" s="1038"/>
      <c r="AK173" s="1038"/>
      <c r="AL173" s="1038"/>
      <c r="AM173" s="1038"/>
      <c r="AN173" s="1038"/>
      <c r="AO173" s="1038"/>
      <c r="AP173" s="1038"/>
      <c r="AQ173" s="1038">
        <v>312500</v>
      </c>
      <c r="AR173" s="1498">
        <v>312500</v>
      </c>
      <c r="AS173"/>
      <c r="AT173" s="1038"/>
      <c r="AU173" s="1038"/>
      <c r="AV173" s="1038"/>
      <c r="AW173" s="1038">
        <v>187500</v>
      </c>
      <c r="AX173" s="1038"/>
      <c r="AY173" s="1038"/>
      <c r="AZ173" s="1038"/>
      <c r="BA173" s="1038">
        <v>187500</v>
      </c>
      <c r="BB173" s="1038"/>
      <c r="BC173" s="1038"/>
      <c r="BD173" s="1038"/>
      <c r="BE173" s="1038">
        <v>187500</v>
      </c>
      <c r="BF173" s="1498">
        <v>562500</v>
      </c>
      <c r="BG173"/>
      <c r="BH173" s="1038"/>
      <c r="BI173" s="1038"/>
      <c r="BJ173" s="1038"/>
      <c r="BK173" s="2074">
        <v>156250</v>
      </c>
      <c r="BL173" s="1038"/>
      <c r="BM173" s="1038"/>
      <c r="BN173" s="1038"/>
      <c r="BO173" s="2074">
        <v>156250</v>
      </c>
      <c r="BP173" s="1038"/>
      <c r="BQ173" s="1038"/>
      <c r="BR173" s="1038">
        <v>62500</v>
      </c>
      <c r="BS173" s="1038"/>
      <c r="BT173" s="1498">
        <v>375000</v>
      </c>
      <c r="BU173"/>
      <c r="BV173" s="1038"/>
      <c r="BW173" s="1038"/>
      <c r="BX173" s="1038"/>
      <c r="BY173" s="1498">
        <v>0</v>
      </c>
      <c r="BZ173" s="1498">
        <v>1250000</v>
      </c>
    </row>
    <row r="174" spans="1:87" s="153" customFormat="1" ht="14" hidden="1" customHeight="1" outlineLevel="4">
      <c r="A174" s="582"/>
      <c r="B174" s="434" t="s">
        <v>928</v>
      </c>
      <c r="C174" s="434"/>
      <c r="D174" s="544" t="s">
        <v>929</v>
      </c>
      <c r="E174"/>
      <c r="F174" s="1105">
        <v>0</v>
      </c>
      <c r="G174" s="1105">
        <v>0</v>
      </c>
      <c r="H174" s="1105">
        <v>0</v>
      </c>
      <c r="I174" s="1105">
        <v>0</v>
      </c>
      <c r="J174" s="1105">
        <v>0</v>
      </c>
      <c r="K174" s="1105">
        <v>0</v>
      </c>
      <c r="L174" s="1105">
        <v>0</v>
      </c>
      <c r="M174" s="1105">
        <v>0</v>
      </c>
      <c r="N174" s="1105">
        <v>0</v>
      </c>
      <c r="O174" s="1105">
        <v>0</v>
      </c>
      <c r="P174" s="1498">
        <v>0</v>
      </c>
      <c r="Q174"/>
      <c r="R174" s="1105">
        <v>0</v>
      </c>
      <c r="S174" s="1105">
        <v>0</v>
      </c>
      <c r="T174" s="1105">
        <v>0</v>
      </c>
      <c r="U174" s="1105">
        <v>0</v>
      </c>
      <c r="V174" s="1105">
        <v>0</v>
      </c>
      <c r="W174" s="1105">
        <v>0</v>
      </c>
      <c r="X174" s="1105">
        <v>0</v>
      </c>
      <c r="Y174" s="1105">
        <v>0</v>
      </c>
      <c r="Z174" s="1105">
        <v>0</v>
      </c>
      <c r="AA174" s="1105">
        <v>0</v>
      </c>
      <c r="AB174" s="1105">
        <v>0</v>
      </c>
      <c r="AC174" s="1105">
        <v>0</v>
      </c>
      <c r="AD174" s="1498">
        <v>0</v>
      </c>
      <c r="AE174"/>
      <c r="AF174" s="1105">
        <v>0</v>
      </c>
      <c r="AG174" s="1105">
        <v>0</v>
      </c>
      <c r="AH174" s="1105">
        <v>0</v>
      </c>
      <c r="AI174" s="1105">
        <v>0</v>
      </c>
      <c r="AJ174" s="1105">
        <v>0</v>
      </c>
      <c r="AK174" s="1105">
        <v>0</v>
      </c>
      <c r="AL174" s="1105">
        <v>0</v>
      </c>
      <c r="AM174" s="1105">
        <v>0</v>
      </c>
      <c r="AN174" s="1105">
        <v>0</v>
      </c>
      <c r="AO174" s="1105">
        <v>0</v>
      </c>
      <c r="AP174" s="1105">
        <v>0</v>
      </c>
      <c r="AQ174" s="1105">
        <v>312500</v>
      </c>
      <c r="AR174" s="1498">
        <v>312500</v>
      </c>
      <c r="AS174"/>
      <c r="AT174" s="1105">
        <v>0</v>
      </c>
      <c r="AU174" s="1105">
        <v>0</v>
      </c>
      <c r="AV174" s="1105">
        <v>0</v>
      </c>
      <c r="AW174" s="1105">
        <v>187500</v>
      </c>
      <c r="AX174" s="1105">
        <v>0</v>
      </c>
      <c r="AY174" s="1105">
        <v>0</v>
      </c>
      <c r="AZ174" s="1105">
        <v>0</v>
      </c>
      <c r="BA174" s="1105">
        <v>187500</v>
      </c>
      <c r="BB174" s="1105">
        <v>0</v>
      </c>
      <c r="BC174" s="1105">
        <v>0</v>
      </c>
      <c r="BD174" s="1105">
        <v>0</v>
      </c>
      <c r="BE174" s="1105">
        <v>187500</v>
      </c>
      <c r="BF174" s="1498">
        <v>562500</v>
      </c>
      <c r="BG174"/>
      <c r="BH174" s="1105">
        <v>0</v>
      </c>
      <c r="BI174" s="1105">
        <v>0</v>
      </c>
      <c r="BJ174" s="1105">
        <v>0</v>
      </c>
      <c r="BK174" s="1105">
        <v>156250</v>
      </c>
      <c r="BL174" s="1105">
        <v>0</v>
      </c>
      <c r="BM174" s="1105">
        <v>0</v>
      </c>
      <c r="BN174" s="1105">
        <v>0</v>
      </c>
      <c r="BO174" s="1105">
        <v>156250</v>
      </c>
      <c r="BP174" s="1105">
        <v>0</v>
      </c>
      <c r="BQ174" s="1105">
        <v>0</v>
      </c>
      <c r="BR174" s="1105">
        <v>62500</v>
      </c>
      <c r="BS174" s="1105">
        <v>0</v>
      </c>
      <c r="BT174" s="1498">
        <v>375000</v>
      </c>
      <c r="BU174"/>
      <c r="BV174" s="1105">
        <v>0</v>
      </c>
      <c r="BW174" s="1105">
        <v>0</v>
      </c>
      <c r="BX174" s="1105">
        <v>0</v>
      </c>
      <c r="BY174" s="1498">
        <v>0</v>
      </c>
      <c r="BZ174" s="1498">
        <v>1250000</v>
      </c>
    </row>
    <row r="175" spans="1:87" s="108" customFormat="1" ht="41.5" hidden="1" customHeight="1" outlineLevel="4">
      <c r="A175" s="580"/>
      <c r="B175" s="107" t="s">
        <v>930</v>
      </c>
      <c r="C175" s="107"/>
      <c r="D175" s="533" t="s">
        <v>931</v>
      </c>
      <c r="E175"/>
      <c r="F175" s="3787"/>
      <c r="G175" s="3787"/>
      <c r="H175" s="3787"/>
      <c r="I175" s="3787"/>
      <c r="J175" s="3787"/>
      <c r="K175" s="3787"/>
      <c r="L175" s="3787"/>
      <c r="M175" s="3787"/>
      <c r="N175" s="3787"/>
      <c r="O175" s="3787"/>
      <c r="P175" s="3787">
        <v>0</v>
      </c>
      <c r="Q175"/>
      <c r="R175" s="3787"/>
      <c r="S175" s="3787"/>
      <c r="T175" s="3787"/>
      <c r="U175" s="3787"/>
      <c r="V175" s="3787"/>
      <c r="W175" s="3787"/>
      <c r="X175" s="3787"/>
      <c r="Y175" s="3787"/>
      <c r="Z175" s="3787"/>
      <c r="AA175" s="3787"/>
      <c r="AB175" s="3787"/>
      <c r="AC175" s="3787"/>
      <c r="AD175" s="3787">
        <v>0</v>
      </c>
      <c r="AE175"/>
      <c r="AF175" s="3787"/>
      <c r="AG175" s="3787"/>
      <c r="AH175" s="3787"/>
      <c r="AI175" s="3787"/>
      <c r="AJ175" s="3787"/>
      <c r="AK175" s="3787"/>
      <c r="AL175" s="3787"/>
      <c r="AM175" s="3787"/>
      <c r="AN175" s="3787"/>
      <c r="AO175" s="3787"/>
      <c r="AP175" s="3787"/>
      <c r="AQ175" s="3787">
        <v>312500</v>
      </c>
      <c r="AR175" s="3787">
        <v>312500</v>
      </c>
      <c r="AS175"/>
      <c r="AT175" s="3787"/>
      <c r="AU175" s="3787"/>
      <c r="AV175" s="3787"/>
      <c r="AW175" s="3787">
        <v>187500</v>
      </c>
      <c r="AX175" s="2074"/>
      <c r="AY175" s="2074"/>
      <c r="AZ175" s="2074"/>
      <c r="BA175" s="3787">
        <v>187500</v>
      </c>
      <c r="BB175" s="3787"/>
      <c r="BC175" s="3787"/>
      <c r="BD175" s="3787"/>
      <c r="BE175" s="3787">
        <v>187500</v>
      </c>
      <c r="BF175" s="3787">
        <v>562500</v>
      </c>
      <c r="BG175"/>
      <c r="BH175" s="2074"/>
      <c r="BI175" s="2074"/>
      <c r="BJ175" s="2074"/>
      <c r="BK175" s="3787">
        <v>156250</v>
      </c>
      <c r="BL175" s="2074"/>
      <c r="BM175" s="2074"/>
      <c r="BN175" s="2074"/>
      <c r="BO175" s="3787">
        <v>156250</v>
      </c>
      <c r="BP175" s="2074"/>
      <c r="BQ175" s="2074"/>
      <c r="BR175" s="3787">
        <v>62500</v>
      </c>
      <c r="BS175" s="3787"/>
      <c r="BT175" s="3787">
        <v>375000</v>
      </c>
      <c r="BU175"/>
      <c r="BV175" s="3787"/>
      <c r="BW175" s="3787"/>
      <c r="BX175" s="3787"/>
      <c r="BY175" s="3787">
        <v>0</v>
      </c>
      <c r="BZ175" s="3787">
        <v>1250000</v>
      </c>
    </row>
    <row r="176" spans="1:87" s="108" customFormat="1" ht="27.5" hidden="1" customHeight="1" outlineLevel="4">
      <c r="A176" s="580"/>
      <c r="B176" s="107" t="s">
        <v>932</v>
      </c>
      <c r="C176" s="107"/>
      <c r="D176" s="533" t="s">
        <v>933</v>
      </c>
      <c r="E176"/>
      <c r="F176" s="3788"/>
      <c r="G176" s="3788"/>
      <c r="H176" s="3788"/>
      <c r="I176" s="3788"/>
      <c r="J176" s="3788"/>
      <c r="K176" s="3788"/>
      <c r="L176" s="3788"/>
      <c r="M176" s="3788"/>
      <c r="N176" s="3788"/>
      <c r="O176" s="3788"/>
      <c r="P176" s="3788">
        <f t="shared" si="7"/>
        <v>0</v>
      </c>
      <c r="Q176"/>
      <c r="R176" s="3788"/>
      <c r="S176" s="3788"/>
      <c r="T176" s="3788"/>
      <c r="U176" s="3788"/>
      <c r="V176" s="3788"/>
      <c r="W176" s="3788"/>
      <c r="X176" s="3788"/>
      <c r="Y176" s="3788"/>
      <c r="Z176" s="3788"/>
      <c r="AA176" s="3788"/>
      <c r="AB176" s="3788"/>
      <c r="AC176" s="3788"/>
      <c r="AD176" s="3788">
        <f t="shared" si="8"/>
        <v>0</v>
      </c>
      <c r="AE176"/>
      <c r="AF176" s="3788"/>
      <c r="AG176" s="3788"/>
      <c r="AH176" s="3788"/>
      <c r="AI176" s="3788"/>
      <c r="AJ176" s="3788"/>
      <c r="AK176" s="3788"/>
      <c r="AL176" s="3788"/>
      <c r="AM176" s="3788"/>
      <c r="AN176" s="3788"/>
      <c r="AO176" s="3788"/>
      <c r="AP176" s="3788"/>
      <c r="AQ176" s="3788" t="e">
        <f>+#REF!*15%</f>
        <v>#REF!</v>
      </c>
      <c r="AR176" s="3788" t="e">
        <f>SUM(AF176:AQ176)</f>
        <v>#REF!</v>
      </c>
      <c r="AS176"/>
      <c r="AT176" s="3788"/>
      <c r="AU176" s="3788"/>
      <c r="AV176" s="3788"/>
      <c r="AW176" s="3788"/>
      <c r="AX176" s="2075"/>
      <c r="AY176" s="2075"/>
      <c r="AZ176" s="2075"/>
      <c r="BA176" s="3788" t="e">
        <f>+#REF!*15%</f>
        <v>#REF!</v>
      </c>
      <c r="BB176" s="3788"/>
      <c r="BC176" s="3788"/>
      <c r="BD176" s="3788"/>
      <c r="BE176" s="3788" t="e">
        <f>+#REF!*15%</f>
        <v>#REF!</v>
      </c>
      <c r="BF176" s="3788" t="e">
        <f>SUM(AT176:BE176)</f>
        <v>#REF!</v>
      </c>
      <c r="BG176"/>
      <c r="BH176" s="2075"/>
      <c r="BI176" s="2075"/>
      <c r="BJ176" s="2075"/>
      <c r="BK176" s="3788"/>
      <c r="BL176" s="2075"/>
      <c r="BM176" s="2075"/>
      <c r="BN176" s="2075"/>
      <c r="BO176" s="3788"/>
      <c r="BP176" s="2075"/>
      <c r="BQ176" s="2075"/>
      <c r="BR176" s="3788" t="e">
        <f>+#REF!*5%</f>
        <v>#REF!</v>
      </c>
      <c r="BS176" s="3788"/>
      <c r="BT176" s="3788" t="e">
        <f>SUM(BH176:BS176)</f>
        <v>#REF!</v>
      </c>
      <c r="BU176"/>
      <c r="BV176" s="3788"/>
      <c r="BW176" s="3788"/>
      <c r="BX176" s="3788"/>
      <c r="BY176" s="3788">
        <f>SUM(BV176:BX176)</f>
        <v>0</v>
      </c>
      <c r="BZ176" s="3788" t="e">
        <f>+P176+AD176+AR176+BF176+BT176+BY176</f>
        <v>#REF!</v>
      </c>
    </row>
    <row r="177" spans="1:87" s="108" customFormat="1" ht="27.5" hidden="1" customHeight="1" outlineLevel="4">
      <c r="A177" s="580"/>
      <c r="B177" s="107" t="s">
        <v>934</v>
      </c>
      <c r="C177" s="107"/>
      <c r="D177" s="533" t="s">
        <v>935</v>
      </c>
      <c r="E177"/>
      <c r="F177" s="3789"/>
      <c r="G177" s="3789"/>
      <c r="H177" s="3789"/>
      <c r="I177" s="3789"/>
      <c r="J177" s="3789"/>
      <c r="K177" s="3789"/>
      <c r="L177" s="3789"/>
      <c r="M177" s="3789"/>
      <c r="N177" s="3789"/>
      <c r="O177" s="3789"/>
      <c r="P177" s="3789">
        <f t="shared" si="7"/>
        <v>0</v>
      </c>
      <c r="Q177"/>
      <c r="R177" s="3789"/>
      <c r="S177" s="3789"/>
      <c r="T177" s="3789"/>
      <c r="U177" s="3789"/>
      <c r="V177" s="3789"/>
      <c r="W177" s="3789"/>
      <c r="X177" s="3789"/>
      <c r="Y177" s="3789"/>
      <c r="Z177" s="3789"/>
      <c r="AA177" s="3789"/>
      <c r="AB177" s="3789"/>
      <c r="AC177" s="3789"/>
      <c r="AD177" s="3789">
        <f t="shared" si="8"/>
        <v>0</v>
      </c>
      <c r="AE177"/>
      <c r="AF177" s="3789"/>
      <c r="AG177" s="3789"/>
      <c r="AH177" s="3789"/>
      <c r="AI177" s="3789"/>
      <c r="AJ177" s="3789"/>
      <c r="AK177" s="3789"/>
      <c r="AL177" s="3789"/>
      <c r="AM177" s="3789"/>
      <c r="AN177" s="3789"/>
      <c r="AO177" s="3789"/>
      <c r="AP177" s="3789"/>
      <c r="AQ177" s="3789" t="e">
        <f>+#REF!*15%</f>
        <v>#REF!</v>
      </c>
      <c r="AR177" s="3789" t="e">
        <f>SUM(AF177:AQ177)</f>
        <v>#REF!</v>
      </c>
      <c r="AS177"/>
      <c r="AT177" s="3789"/>
      <c r="AU177" s="3789"/>
      <c r="AV177" s="3789"/>
      <c r="AW177" s="3789"/>
      <c r="AX177" s="1407"/>
      <c r="AY177" s="1407"/>
      <c r="AZ177" s="1407"/>
      <c r="BA177" s="3789" t="e">
        <f>+#REF!*15%</f>
        <v>#REF!</v>
      </c>
      <c r="BB177" s="3789"/>
      <c r="BC177" s="3789"/>
      <c r="BD177" s="3789"/>
      <c r="BE177" s="3789" t="e">
        <f>+#REF!*15%</f>
        <v>#REF!</v>
      </c>
      <c r="BF177" s="3789" t="e">
        <f>SUM(AT177:BE177)</f>
        <v>#REF!</v>
      </c>
      <c r="BG177"/>
      <c r="BH177" s="1407"/>
      <c r="BI177" s="1407"/>
      <c r="BJ177" s="1407"/>
      <c r="BK177" s="3789"/>
      <c r="BL177" s="1407"/>
      <c r="BM177" s="1407"/>
      <c r="BN177" s="1407"/>
      <c r="BO177" s="3789"/>
      <c r="BP177" s="1407"/>
      <c r="BQ177" s="1407"/>
      <c r="BR177" s="3789" t="e">
        <f>+#REF!*5%</f>
        <v>#REF!</v>
      </c>
      <c r="BS177" s="3789"/>
      <c r="BT177" s="3789" t="e">
        <f>SUM(BH177:BS177)</f>
        <v>#REF!</v>
      </c>
      <c r="BU177"/>
      <c r="BV177" s="3789"/>
      <c r="BW177" s="3789"/>
      <c r="BX177" s="3789"/>
      <c r="BY177" s="3789">
        <f>SUM(BV177:BX177)</f>
        <v>0</v>
      </c>
      <c r="BZ177" s="3789" t="e">
        <f>+P177+AD177+AR177+BF177+BT177+BY177</f>
        <v>#REF!</v>
      </c>
    </row>
    <row r="178" spans="1:87" s="153" customFormat="1" ht="33" hidden="1" customHeight="1" outlineLevel="3">
      <c r="A178" s="397"/>
      <c r="B178" s="395" t="s">
        <v>936</v>
      </c>
      <c r="C178" s="395"/>
      <c r="D178" s="1249" t="s">
        <v>937</v>
      </c>
      <c r="E178"/>
      <c r="F178" s="398">
        <v>0</v>
      </c>
      <c r="G178" s="398">
        <v>0</v>
      </c>
      <c r="H178" s="398">
        <v>0</v>
      </c>
      <c r="I178" s="398">
        <v>0</v>
      </c>
      <c r="J178" s="398">
        <v>0</v>
      </c>
      <c r="K178" s="398">
        <v>0</v>
      </c>
      <c r="L178" s="398">
        <v>0</v>
      </c>
      <c r="M178" s="398">
        <v>0</v>
      </c>
      <c r="N178" s="398">
        <v>0</v>
      </c>
      <c r="O178" s="398">
        <v>0</v>
      </c>
      <c r="P178" s="992">
        <v>0</v>
      </c>
      <c r="Q178"/>
      <c r="R178" s="398">
        <v>0</v>
      </c>
      <c r="S178" s="398">
        <v>0</v>
      </c>
      <c r="T178" s="398">
        <v>0</v>
      </c>
      <c r="U178" s="398">
        <v>0</v>
      </c>
      <c r="V178" s="398">
        <v>0</v>
      </c>
      <c r="W178" s="398">
        <v>0</v>
      </c>
      <c r="X178" s="398">
        <v>0</v>
      </c>
      <c r="Y178" s="398">
        <v>0</v>
      </c>
      <c r="Z178" s="398">
        <v>0</v>
      </c>
      <c r="AA178" s="398">
        <v>0</v>
      </c>
      <c r="AB178" s="398">
        <v>0</v>
      </c>
      <c r="AC178" s="398">
        <v>0</v>
      </c>
      <c r="AD178" s="992">
        <v>0</v>
      </c>
      <c r="AE178"/>
      <c r="AF178" s="398">
        <v>0</v>
      </c>
      <c r="AG178" s="398">
        <v>0</v>
      </c>
      <c r="AH178" s="398">
        <v>0</v>
      </c>
      <c r="AI178" s="398">
        <v>0</v>
      </c>
      <c r="AJ178" s="398">
        <v>0</v>
      </c>
      <c r="AK178" s="398">
        <v>0</v>
      </c>
      <c r="AL178" s="398">
        <v>0</v>
      </c>
      <c r="AM178" s="398">
        <v>0</v>
      </c>
      <c r="AN178" s="398">
        <v>0</v>
      </c>
      <c r="AO178" s="398">
        <v>0</v>
      </c>
      <c r="AP178" s="398">
        <v>0</v>
      </c>
      <c r="AQ178" s="398">
        <v>0</v>
      </c>
      <c r="AR178" s="992">
        <v>0</v>
      </c>
      <c r="AS178"/>
      <c r="AT178" s="398">
        <v>0</v>
      </c>
      <c r="AU178" s="398">
        <v>0</v>
      </c>
      <c r="AV178" s="398">
        <v>0</v>
      </c>
      <c r="AW178" s="398">
        <v>0</v>
      </c>
      <c r="AX178" s="398">
        <v>0</v>
      </c>
      <c r="AY178" s="398">
        <v>0</v>
      </c>
      <c r="AZ178" s="398">
        <v>0</v>
      </c>
      <c r="BA178" s="398">
        <v>0</v>
      </c>
      <c r="BB178" s="398">
        <v>0</v>
      </c>
      <c r="BC178" s="398">
        <v>0</v>
      </c>
      <c r="BD178" s="398">
        <v>0</v>
      </c>
      <c r="BE178" s="398">
        <v>0</v>
      </c>
      <c r="BF178" s="993">
        <v>0</v>
      </c>
      <c r="BG178"/>
      <c r="BH178" s="398">
        <v>0</v>
      </c>
      <c r="BI178" s="398">
        <v>0</v>
      </c>
      <c r="BJ178" s="398">
        <v>0</v>
      </c>
      <c r="BK178" s="398">
        <v>0</v>
      </c>
      <c r="BL178" s="398">
        <v>0</v>
      </c>
      <c r="BM178" s="398">
        <v>0</v>
      </c>
      <c r="BN178" s="398">
        <v>0</v>
      </c>
      <c r="BO178" s="398">
        <v>0</v>
      </c>
      <c r="BP178" s="398">
        <v>40000</v>
      </c>
      <c r="BQ178" s="398">
        <v>0</v>
      </c>
      <c r="BR178" s="398">
        <v>40000</v>
      </c>
      <c r="BS178" s="398">
        <v>0</v>
      </c>
      <c r="BT178" s="994">
        <v>80000</v>
      </c>
      <c r="BU178"/>
      <c r="BV178" s="992"/>
      <c r="BW178" s="992"/>
      <c r="BX178" s="992"/>
      <c r="BY178" s="994">
        <v>0</v>
      </c>
      <c r="BZ178" s="994">
        <v>80000</v>
      </c>
    </row>
    <row r="179" spans="1:87" s="108" customFormat="1" ht="41" hidden="1" customHeight="1" outlineLevel="4">
      <c r="A179" s="580"/>
      <c r="B179" s="107" t="s">
        <v>938</v>
      </c>
      <c r="C179" s="107"/>
      <c r="D179" s="533" t="s">
        <v>939</v>
      </c>
      <c r="E179"/>
      <c r="F179" s="1038"/>
      <c r="G179" s="1038"/>
      <c r="H179" s="1038"/>
      <c r="I179" s="1038"/>
      <c r="J179" s="1038"/>
      <c r="K179" s="1038"/>
      <c r="L179" s="1038"/>
      <c r="M179" s="1038"/>
      <c r="N179" s="1038"/>
      <c r="O179" s="1038"/>
      <c r="P179" s="1498">
        <v>0</v>
      </c>
      <c r="Q179"/>
      <c r="R179" s="1038"/>
      <c r="S179" s="1038"/>
      <c r="T179" s="1038"/>
      <c r="U179" s="1038"/>
      <c r="V179" s="1038"/>
      <c r="W179" s="1038"/>
      <c r="X179" s="1038"/>
      <c r="Y179" s="1038"/>
      <c r="Z179" s="1038"/>
      <c r="AA179" s="1038"/>
      <c r="AB179" s="1038"/>
      <c r="AC179" s="1038"/>
      <c r="AD179" s="1498">
        <v>0</v>
      </c>
      <c r="AE179"/>
      <c r="AF179" s="1038"/>
      <c r="AG179" s="1038"/>
      <c r="AH179" s="1038"/>
      <c r="AI179" s="1038"/>
      <c r="AJ179" s="1038"/>
      <c r="AK179" s="1038"/>
      <c r="AL179" s="1038"/>
      <c r="AM179" s="1038"/>
      <c r="AN179" s="1038"/>
      <c r="AO179" s="1038"/>
      <c r="AP179" s="1038"/>
      <c r="AQ179" s="1038"/>
      <c r="AR179" s="1498">
        <v>0</v>
      </c>
      <c r="AS179"/>
      <c r="AT179" s="1038"/>
      <c r="AU179" s="1038"/>
      <c r="AV179" s="1038"/>
      <c r="AW179" s="1038"/>
      <c r="AX179" s="1038"/>
      <c r="AY179" s="1038"/>
      <c r="AZ179" s="1038"/>
      <c r="BA179" s="1038"/>
      <c r="BB179" s="1038"/>
      <c r="BC179" s="1038"/>
      <c r="BD179" s="1038"/>
      <c r="BE179" s="1038"/>
      <c r="BF179" s="1498">
        <v>0</v>
      </c>
      <c r="BG179"/>
      <c r="BH179" s="1038"/>
      <c r="BI179" s="1038"/>
      <c r="BJ179" s="1038"/>
      <c r="BK179" s="1038"/>
      <c r="BL179" s="1038"/>
      <c r="BM179" s="1038"/>
      <c r="BN179" s="1038"/>
      <c r="BO179" s="1038"/>
      <c r="BP179" s="1038">
        <v>40000</v>
      </c>
      <c r="BQ179" s="1038"/>
      <c r="BR179" s="1038">
        <v>40000</v>
      </c>
      <c r="BS179" s="1038"/>
      <c r="BT179" s="1498">
        <v>80000</v>
      </c>
      <c r="BU179"/>
      <c r="BV179" s="1038"/>
      <c r="BW179" s="1038"/>
      <c r="BX179" s="1038"/>
      <c r="BY179" s="1498">
        <v>0</v>
      </c>
      <c r="BZ179" s="1498">
        <v>80000</v>
      </c>
    </row>
    <row r="180" spans="1:87" s="108" customFormat="1" ht="14" hidden="1" customHeight="1" outlineLevel="3">
      <c r="A180" s="580"/>
      <c r="B180" s="107"/>
      <c r="C180" s="107"/>
      <c r="D180" s="533"/>
      <c r="E180"/>
      <c r="F180" s="1038"/>
      <c r="G180" s="1038"/>
      <c r="H180" s="1038"/>
      <c r="I180" s="1038"/>
      <c r="J180" s="1038"/>
      <c r="K180" s="1038"/>
      <c r="L180" s="1038"/>
      <c r="M180" s="1038"/>
      <c r="N180" s="1038"/>
      <c r="O180" s="1038"/>
      <c r="P180" s="1498">
        <v>0</v>
      </c>
      <c r="Q180"/>
      <c r="R180" s="1038"/>
      <c r="S180" s="1038"/>
      <c r="T180" s="1038"/>
      <c r="U180" s="1038"/>
      <c r="V180" s="1038"/>
      <c r="W180" s="1038"/>
      <c r="X180" s="1038"/>
      <c r="Y180" s="1038"/>
      <c r="Z180" s="1038"/>
      <c r="AA180" s="1038"/>
      <c r="AB180" s="1038"/>
      <c r="AC180" s="1038"/>
      <c r="AD180" s="1498">
        <v>0</v>
      </c>
      <c r="AE180"/>
      <c r="AF180" s="1038"/>
      <c r="AG180" s="1038"/>
      <c r="AH180" s="1038"/>
      <c r="AI180" s="1038"/>
      <c r="AJ180" s="1038"/>
      <c r="AK180" s="1038"/>
      <c r="AL180" s="1038"/>
      <c r="AM180" s="1038"/>
      <c r="AN180" s="1038"/>
      <c r="AO180" s="1038"/>
      <c r="AP180" s="1038"/>
      <c r="AQ180" s="1038"/>
      <c r="AR180" s="1498">
        <v>0</v>
      </c>
      <c r="AS180"/>
      <c r="AT180" s="1038"/>
      <c r="AU180" s="1038"/>
      <c r="AV180" s="1038"/>
      <c r="AW180" s="1038"/>
      <c r="AX180" s="1038"/>
      <c r="AY180" s="1038"/>
      <c r="AZ180" s="1038"/>
      <c r="BA180" s="1038"/>
      <c r="BB180" s="1038"/>
      <c r="BC180" s="1038"/>
      <c r="BD180" s="1038"/>
      <c r="BE180" s="1038"/>
      <c r="BF180" s="1498">
        <v>0</v>
      </c>
      <c r="BG180"/>
      <c r="BH180" s="1038"/>
      <c r="BI180" s="1038"/>
      <c r="BJ180" s="1038"/>
      <c r="BK180" s="1038"/>
      <c r="BL180" s="1038"/>
      <c r="BM180" s="1038"/>
      <c r="BN180" s="1038"/>
      <c r="BO180" s="1038"/>
      <c r="BP180" s="1038"/>
      <c r="BQ180" s="1038"/>
      <c r="BR180" s="1038"/>
      <c r="BS180" s="1038"/>
      <c r="BT180" s="1498">
        <v>0</v>
      </c>
      <c r="BU180"/>
      <c r="BV180" s="1038"/>
      <c r="BW180" s="1038"/>
      <c r="BX180" s="1038"/>
      <c r="BY180" s="1498">
        <v>0</v>
      </c>
      <c r="BZ180" s="1498">
        <v>0</v>
      </c>
    </row>
    <row r="181" spans="1:87" s="878" customFormat="1" ht="51.5" customHeight="1" outlineLevel="2" collapsed="1">
      <c r="A181" s="172"/>
      <c r="B181" s="171" t="s">
        <v>517</v>
      </c>
      <c r="C181" s="171"/>
      <c r="D181" s="538" t="s">
        <v>36</v>
      </c>
      <c r="E181"/>
      <c r="F181" s="176">
        <v>0</v>
      </c>
      <c r="G181" s="176">
        <v>0</v>
      </c>
      <c r="H181" s="176">
        <v>0</v>
      </c>
      <c r="I181" s="176">
        <v>0</v>
      </c>
      <c r="J181" s="176">
        <v>0</v>
      </c>
      <c r="K181" s="176">
        <v>0</v>
      </c>
      <c r="L181" s="176">
        <v>0</v>
      </c>
      <c r="M181" s="176">
        <v>0</v>
      </c>
      <c r="N181" s="176">
        <v>0</v>
      </c>
      <c r="O181" s="176">
        <v>0</v>
      </c>
      <c r="P181" s="980">
        <v>0</v>
      </c>
      <c r="Q181"/>
      <c r="R181" s="176">
        <v>0</v>
      </c>
      <c r="S181" s="176">
        <v>0</v>
      </c>
      <c r="T181" s="176">
        <v>5000</v>
      </c>
      <c r="U181" s="176">
        <v>5000</v>
      </c>
      <c r="V181" s="176">
        <v>5000</v>
      </c>
      <c r="W181" s="176">
        <v>5000</v>
      </c>
      <c r="X181" s="176">
        <v>0</v>
      </c>
      <c r="Y181" s="176">
        <v>0</v>
      </c>
      <c r="Z181" s="176">
        <v>0</v>
      </c>
      <c r="AA181" s="176">
        <v>0</v>
      </c>
      <c r="AB181" s="176">
        <v>0</v>
      </c>
      <c r="AC181" s="176">
        <v>0</v>
      </c>
      <c r="AD181" s="980">
        <v>20000</v>
      </c>
      <c r="AE181"/>
      <c r="AF181" s="176">
        <v>0</v>
      </c>
      <c r="AG181" s="176">
        <v>0</v>
      </c>
      <c r="AH181" s="176">
        <v>0</v>
      </c>
      <c r="AI181" s="176">
        <v>50000</v>
      </c>
      <c r="AJ181" s="176">
        <v>0</v>
      </c>
      <c r="AK181" s="176">
        <v>0</v>
      </c>
      <c r="AL181" s="176">
        <v>0</v>
      </c>
      <c r="AM181" s="176">
        <v>30000</v>
      </c>
      <c r="AN181" s="176">
        <v>0</v>
      </c>
      <c r="AO181" s="176">
        <v>0</v>
      </c>
      <c r="AP181" s="176">
        <v>0</v>
      </c>
      <c r="AQ181" s="176">
        <v>102000</v>
      </c>
      <c r="AR181" s="980">
        <v>182000</v>
      </c>
      <c r="AS181"/>
      <c r="AT181" s="176">
        <v>0</v>
      </c>
      <c r="AU181" s="176">
        <v>0</v>
      </c>
      <c r="AV181" s="176">
        <v>0</v>
      </c>
      <c r="AW181" s="176">
        <v>123000</v>
      </c>
      <c r="AX181" s="176">
        <v>0</v>
      </c>
      <c r="AY181" s="176">
        <v>0</v>
      </c>
      <c r="AZ181" s="176">
        <v>0</v>
      </c>
      <c r="BA181" s="176">
        <v>123000</v>
      </c>
      <c r="BB181" s="176">
        <v>0</v>
      </c>
      <c r="BC181" s="176">
        <v>0</v>
      </c>
      <c r="BD181" s="176">
        <v>0</v>
      </c>
      <c r="BE181" s="176">
        <v>123000</v>
      </c>
      <c r="BF181" s="981">
        <v>369000</v>
      </c>
      <c r="BG181"/>
      <c r="BH181" s="176">
        <v>0</v>
      </c>
      <c r="BI181" s="176">
        <v>0</v>
      </c>
      <c r="BJ181" s="176">
        <v>0</v>
      </c>
      <c r="BK181" s="176">
        <v>123000</v>
      </c>
      <c r="BL181" s="176">
        <v>0</v>
      </c>
      <c r="BM181" s="176">
        <v>0</v>
      </c>
      <c r="BN181" s="176">
        <v>0</v>
      </c>
      <c r="BO181" s="176">
        <v>123000</v>
      </c>
      <c r="BP181" s="176">
        <v>0</v>
      </c>
      <c r="BQ181" s="176">
        <v>0</v>
      </c>
      <c r="BR181" s="176">
        <v>0</v>
      </c>
      <c r="BS181" s="176">
        <v>123000</v>
      </c>
      <c r="BT181" s="979">
        <v>369000</v>
      </c>
      <c r="BU181"/>
      <c r="BV181" s="176">
        <v>0</v>
      </c>
      <c r="BW181" s="176">
        <v>0</v>
      </c>
      <c r="BX181" s="176">
        <v>0</v>
      </c>
      <c r="BY181" s="979">
        <v>0</v>
      </c>
      <c r="BZ181" s="979">
        <v>940000</v>
      </c>
      <c r="CA181" s="153"/>
      <c r="CB181" s="153"/>
      <c r="CC181" s="153"/>
      <c r="CD181" s="153"/>
      <c r="CE181" s="153"/>
      <c r="CF181" s="153"/>
      <c r="CG181" s="153"/>
      <c r="CH181" s="153"/>
      <c r="CI181" s="153"/>
    </row>
    <row r="182" spans="1:87" s="108" customFormat="1" ht="41.5" hidden="1" customHeight="1" outlineLevel="3">
      <c r="A182" s="159"/>
      <c r="B182" s="107" t="s">
        <v>2410</v>
      </c>
      <c r="C182" s="702" t="s">
        <v>1279</v>
      </c>
      <c r="D182" s="703" t="s">
        <v>943</v>
      </c>
      <c r="E182"/>
      <c r="F182" s="1001"/>
      <c r="G182" s="1001"/>
      <c r="H182" s="1001"/>
      <c r="I182" s="1001"/>
      <c r="J182" s="1001"/>
      <c r="K182" s="1001"/>
      <c r="L182" s="1001"/>
      <c r="M182" s="1001"/>
      <c r="N182" s="1001"/>
      <c r="O182" s="1001"/>
      <c r="P182" s="996">
        <v>0</v>
      </c>
      <c r="Q182"/>
      <c r="R182" s="1001"/>
      <c r="S182" s="1001"/>
      <c r="T182" s="1001">
        <v>5000</v>
      </c>
      <c r="U182" s="1001">
        <v>5000</v>
      </c>
      <c r="V182" s="1001">
        <v>5000</v>
      </c>
      <c r="W182" s="1001">
        <v>5000</v>
      </c>
      <c r="X182" s="1001"/>
      <c r="Y182" s="1001"/>
      <c r="Z182" s="1001"/>
      <c r="AA182" s="1001"/>
      <c r="AB182" s="1001"/>
      <c r="AC182" s="1001"/>
      <c r="AD182" s="996">
        <v>20000</v>
      </c>
      <c r="AE182"/>
      <c r="AF182" s="1001"/>
      <c r="AG182" s="1001"/>
      <c r="AH182" s="1001"/>
      <c r="AI182" s="1001"/>
      <c r="AJ182" s="1001"/>
      <c r="AK182" s="1001"/>
      <c r="AL182" s="1001"/>
      <c r="AM182" s="1001"/>
      <c r="AN182" s="1001"/>
      <c r="AO182" s="1001"/>
      <c r="AP182" s="1001"/>
      <c r="AQ182" s="1001"/>
      <c r="AR182" s="996">
        <v>0</v>
      </c>
      <c r="AS182"/>
      <c r="AT182" s="1001"/>
      <c r="AU182" s="1001"/>
      <c r="AV182" s="1001"/>
      <c r="AW182" s="1001"/>
      <c r="AX182" s="1001"/>
      <c r="AY182" s="1001"/>
      <c r="AZ182" s="1001"/>
      <c r="BA182" s="1001"/>
      <c r="BB182" s="1001"/>
      <c r="BC182" s="1001"/>
      <c r="BD182" s="1001"/>
      <c r="BE182" s="1001"/>
      <c r="BF182" s="997">
        <v>0</v>
      </c>
      <c r="BG182"/>
      <c r="BH182" s="1001"/>
      <c r="BI182" s="1001"/>
      <c r="BJ182" s="1001"/>
      <c r="BK182" s="1001"/>
      <c r="BL182" s="1001"/>
      <c r="BM182" s="1001"/>
      <c r="BN182" s="1001"/>
      <c r="BO182" s="1001"/>
      <c r="BP182" s="1001"/>
      <c r="BQ182" s="1001"/>
      <c r="BR182" s="1001"/>
      <c r="BS182" s="1001"/>
      <c r="BT182" s="995">
        <v>0</v>
      </c>
      <c r="BU182"/>
      <c r="BV182" s="1001"/>
      <c r="BW182" s="1001"/>
      <c r="BX182" s="1001"/>
      <c r="BY182" s="995">
        <v>0</v>
      </c>
      <c r="BZ182" s="995">
        <v>20000</v>
      </c>
    </row>
    <row r="183" spans="1:87" s="108" customFormat="1" ht="33.5" hidden="1" customHeight="1" outlineLevel="3">
      <c r="A183" s="580"/>
      <c r="B183" s="107" t="s">
        <v>2411</v>
      </c>
      <c r="C183" s="107" t="s">
        <v>1279</v>
      </c>
      <c r="D183" s="533" t="s">
        <v>945</v>
      </c>
      <c r="E183"/>
      <c r="F183" s="986"/>
      <c r="G183" s="986"/>
      <c r="H183" s="986"/>
      <c r="I183" s="986"/>
      <c r="J183" s="986"/>
      <c r="K183" s="986"/>
      <c r="L183" s="986"/>
      <c r="M183" s="986"/>
      <c r="N183" s="986"/>
      <c r="O183" s="986"/>
      <c r="P183" s="2011">
        <v>0</v>
      </c>
      <c r="Q183"/>
      <c r="R183" s="986"/>
      <c r="S183" s="986"/>
      <c r="T183" s="986"/>
      <c r="U183" s="986"/>
      <c r="V183" s="986"/>
      <c r="W183" s="986"/>
      <c r="X183" s="986"/>
      <c r="Y183" s="986"/>
      <c r="Z183" s="986"/>
      <c r="AA183" s="986"/>
      <c r="AB183" s="986"/>
      <c r="AC183" s="986"/>
      <c r="AD183" s="2011">
        <v>0</v>
      </c>
      <c r="AE183"/>
      <c r="AF183" s="986"/>
      <c r="AG183" s="986"/>
      <c r="AH183" s="986"/>
      <c r="AI183" s="986">
        <v>50000</v>
      </c>
      <c r="AJ183" s="986"/>
      <c r="AK183" s="986"/>
      <c r="AL183" s="986"/>
      <c r="AM183" s="986">
        <v>30000</v>
      </c>
      <c r="AN183" s="986"/>
      <c r="AO183" s="986"/>
      <c r="AP183" s="986"/>
      <c r="AQ183" s="986">
        <v>20000</v>
      </c>
      <c r="AR183" s="2011">
        <v>100000</v>
      </c>
      <c r="AS183"/>
      <c r="AT183" s="986"/>
      <c r="AU183" s="986"/>
      <c r="AV183" s="986"/>
      <c r="AW183" s="986"/>
      <c r="AX183" s="986"/>
      <c r="AY183" s="986"/>
      <c r="AZ183" s="986"/>
      <c r="BA183" s="986"/>
      <c r="BB183" s="986"/>
      <c r="BC183" s="986"/>
      <c r="BD183" s="986"/>
      <c r="BE183" s="986"/>
      <c r="BF183" s="2014">
        <v>0</v>
      </c>
      <c r="BG183"/>
      <c r="BH183" s="986"/>
      <c r="BI183" s="986"/>
      <c r="BJ183" s="986"/>
      <c r="BK183" s="986"/>
      <c r="BL183" s="986"/>
      <c r="BM183" s="986"/>
      <c r="BN183" s="986"/>
      <c r="BO183" s="986"/>
      <c r="BP183" s="986"/>
      <c r="BQ183" s="986"/>
      <c r="BR183" s="986"/>
      <c r="BS183" s="986"/>
      <c r="BT183" s="1498">
        <v>0</v>
      </c>
      <c r="BU183"/>
      <c r="BV183" s="986"/>
      <c r="BW183" s="986"/>
      <c r="BX183" s="986"/>
      <c r="BY183" s="1498">
        <v>0</v>
      </c>
      <c r="BZ183" s="1498">
        <v>100000</v>
      </c>
    </row>
    <row r="184" spans="1:87" s="153" customFormat="1" ht="14" hidden="1" customHeight="1" outlineLevel="3">
      <c r="A184" s="581"/>
      <c r="B184" s="1767" t="s">
        <v>2412</v>
      </c>
      <c r="C184" s="400" t="s">
        <v>1279</v>
      </c>
      <c r="D184" s="536" t="s">
        <v>947</v>
      </c>
      <c r="E184"/>
      <c r="F184" s="992">
        <v>0</v>
      </c>
      <c r="G184" s="992">
        <v>0</v>
      </c>
      <c r="H184" s="992">
        <v>0</v>
      </c>
      <c r="I184" s="992">
        <v>0</v>
      </c>
      <c r="J184" s="992">
        <v>0</v>
      </c>
      <c r="K184" s="992">
        <v>0</v>
      </c>
      <c r="L184" s="992">
        <v>0</v>
      </c>
      <c r="M184" s="992">
        <v>0</v>
      </c>
      <c r="N184" s="992">
        <v>0</v>
      </c>
      <c r="O184" s="992">
        <v>0</v>
      </c>
      <c r="P184" s="992">
        <v>0</v>
      </c>
      <c r="Q184"/>
      <c r="R184" s="992">
        <v>0</v>
      </c>
      <c r="S184" s="992">
        <v>0</v>
      </c>
      <c r="T184" s="992">
        <v>0</v>
      </c>
      <c r="U184" s="992">
        <v>0</v>
      </c>
      <c r="V184" s="992">
        <v>0</v>
      </c>
      <c r="W184" s="992">
        <v>0</v>
      </c>
      <c r="X184" s="992">
        <v>0</v>
      </c>
      <c r="Y184" s="992">
        <v>0</v>
      </c>
      <c r="Z184" s="992">
        <v>0</v>
      </c>
      <c r="AA184" s="992">
        <v>0</v>
      </c>
      <c r="AB184" s="992">
        <v>0</v>
      </c>
      <c r="AC184" s="992">
        <v>0</v>
      </c>
      <c r="AD184" s="992">
        <v>0</v>
      </c>
      <c r="AE184"/>
      <c r="AF184" s="992">
        <v>0</v>
      </c>
      <c r="AG184" s="992">
        <v>0</v>
      </c>
      <c r="AH184" s="992">
        <v>0</v>
      </c>
      <c r="AI184" s="992">
        <v>0</v>
      </c>
      <c r="AJ184" s="992">
        <v>0</v>
      </c>
      <c r="AK184" s="992">
        <v>0</v>
      </c>
      <c r="AL184" s="992">
        <v>0</v>
      </c>
      <c r="AM184" s="992">
        <v>0</v>
      </c>
      <c r="AN184" s="992">
        <v>0</v>
      </c>
      <c r="AO184" s="992">
        <v>0</v>
      </c>
      <c r="AP184" s="992">
        <v>0</v>
      </c>
      <c r="AQ184" s="992">
        <v>82000</v>
      </c>
      <c r="AR184" s="992">
        <v>82000</v>
      </c>
      <c r="AS184"/>
      <c r="AT184" s="992">
        <v>0</v>
      </c>
      <c r="AU184" s="992">
        <v>0</v>
      </c>
      <c r="AV184" s="992">
        <v>0</v>
      </c>
      <c r="AW184" s="992">
        <v>123000</v>
      </c>
      <c r="AX184" s="992">
        <v>0</v>
      </c>
      <c r="AY184" s="992">
        <v>0</v>
      </c>
      <c r="AZ184" s="992">
        <v>0</v>
      </c>
      <c r="BA184" s="992">
        <v>123000</v>
      </c>
      <c r="BB184" s="992">
        <v>0</v>
      </c>
      <c r="BC184" s="992">
        <v>0</v>
      </c>
      <c r="BD184" s="992">
        <v>0</v>
      </c>
      <c r="BE184" s="992">
        <v>123000</v>
      </c>
      <c r="BF184" s="993">
        <v>369000</v>
      </c>
      <c r="BG184"/>
      <c r="BH184" s="992">
        <v>0</v>
      </c>
      <c r="BI184" s="992">
        <v>0</v>
      </c>
      <c r="BJ184" s="992">
        <v>0</v>
      </c>
      <c r="BK184" s="992">
        <v>123000</v>
      </c>
      <c r="BL184" s="992">
        <v>0</v>
      </c>
      <c r="BM184" s="992">
        <v>0</v>
      </c>
      <c r="BN184" s="992">
        <v>0</v>
      </c>
      <c r="BO184" s="992">
        <v>123000</v>
      </c>
      <c r="BP184" s="992">
        <v>0</v>
      </c>
      <c r="BQ184" s="992">
        <v>0</v>
      </c>
      <c r="BR184" s="992">
        <v>0</v>
      </c>
      <c r="BS184" s="992">
        <v>123000</v>
      </c>
      <c r="BT184" s="994">
        <v>369000</v>
      </c>
      <c r="BU184"/>
      <c r="BV184" s="992">
        <v>0</v>
      </c>
      <c r="BW184" s="992">
        <v>0</v>
      </c>
      <c r="BX184" s="992">
        <v>0</v>
      </c>
      <c r="BY184" s="994">
        <v>0</v>
      </c>
      <c r="BZ184" s="994">
        <v>820000</v>
      </c>
    </row>
    <row r="185" spans="1:87" s="108" customFormat="1" ht="46.25" hidden="1" customHeight="1" outlineLevel="3">
      <c r="A185" s="580"/>
      <c r="B185" s="107" t="s">
        <v>2413</v>
      </c>
      <c r="C185" s="107" t="s">
        <v>1279</v>
      </c>
      <c r="D185" s="533" t="s">
        <v>949</v>
      </c>
      <c r="E185"/>
      <c r="F185" s="986"/>
      <c r="G185" s="986"/>
      <c r="H185" s="986"/>
      <c r="I185" s="986"/>
      <c r="J185" s="986"/>
      <c r="K185" s="986"/>
      <c r="L185" s="986"/>
      <c r="M185" s="986"/>
      <c r="N185" s="986"/>
      <c r="O185" s="986"/>
      <c r="P185" s="2011">
        <v>0</v>
      </c>
      <c r="Q185"/>
      <c r="R185" s="986"/>
      <c r="S185" s="986"/>
      <c r="T185" s="986"/>
      <c r="U185" s="986"/>
      <c r="V185" s="986"/>
      <c r="W185" s="986"/>
      <c r="X185" s="986"/>
      <c r="Y185" s="986"/>
      <c r="Z185" s="986"/>
      <c r="AA185" s="986"/>
      <c r="AB185" s="986"/>
      <c r="AC185" s="986"/>
      <c r="AD185" s="2011">
        <v>0</v>
      </c>
      <c r="AE185"/>
      <c r="AF185" s="986"/>
      <c r="AG185" s="986"/>
      <c r="AH185" s="986"/>
      <c r="AI185" s="986"/>
      <c r="AJ185" s="986"/>
      <c r="AK185" s="986"/>
      <c r="AL185" s="986"/>
      <c r="AM185" s="986"/>
      <c r="AN185" s="986"/>
      <c r="AO185" s="986"/>
      <c r="AP185" s="986"/>
      <c r="AQ185" s="986">
        <v>42000</v>
      </c>
      <c r="AR185" s="2011">
        <v>42000</v>
      </c>
      <c r="AS185"/>
      <c r="AT185" s="986"/>
      <c r="AU185" s="986"/>
      <c r="AV185" s="986"/>
      <c r="AW185" s="986">
        <v>63000</v>
      </c>
      <c r="AX185" s="986"/>
      <c r="AY185" s="986"/>
      <c r="AZ185" s="986"/>
      <c r="BA185" s="986">
        <v>63000</v>
      </c>
      <c r="BB185" s="986"/>
      <c r="BC185" s="986"/>
      <c r="BD185" s="986"/>
      <c r="BE185" s="986">
        <v>63000</v>
      </c>
      <c r="BF185" s="2011">
        <v>189000</v>
      </c>
      <c r="BG185"/>
      <c r="BH185" s="986"/>
      <c r="BI185" s="986"/>
      <c r="BJ185" s="986"/>
      <c r="BK185" s="986">
        <v>63000</v>
      </c>
      <c r="BL185" s="986"/>
      <c r="BM185" s="986"/>
      <c r="BN185" s="986"/>
      <c r="BO185" s="986">
        <v>63000</v>
      </c>
      <c r="BP185" s="986"/>
      <c r="BQ185" s="986"/>
      <c r="BR185" s="986"/>
      <c r="BS185" s="986">
        <v>63000</v>
      </c>
      <c r="BT185" s="1498">
        <v>189000</v>
      </c>
      <c r="BU185"/>
      <c r="BV185" s="986"/>
      <c r="BW185" s="986"/>
      <c r="BX185" s="986"/>
      <c r="BY185" s="1498">
        <v>0</v>
      </c>
      <c r="BZ185" s="1498">
        <v>420000</v>
      </c>
    </row>
    <row r="186" spans="1:87" s="108" customFormat="1" ht="46.25" hidden="1" customHeight="1" outlineLevel="3">
      <c r="A186" s="580"/>
      <c r="B186" s="107" t="s">
        <v>2414</v>
      </c>
      <c r="C186" s="107" t="s">
        <v>1279</v>
      </c>
      <c r="D186" s="533" t="s">
        <v>951</v>
      </c>
      <c r="E186"/>
      <c r="F186" s="986"/>
      <c r="G186" s="986"/>
      <c r="H186" s="986"/>
      <c r="I186" s="986"/>
      <c r="J186" s="986"/>
      <c r="K186" s="986"/>
      <c r="L186" s="986"/>
      <c r="M186" s="986"/>
      <c r="N186" s="986"/>
      <c r="O186" s="986"/>
      <c r="P186" s="2011">
        <v>0</v>
      </c>
      <c r="Q186"/>
      <c r="R186" s="986"/>
      <c r="S186" s="986"/>
      <c r="T186" s="986"/>
      <c r="U186" s="986"/>
      <c r="V186" s="986"/>
      <c r="W186" s="986"/>
      <c r="X186" s="986"/>
      <c r="Y186" s="986"/>
      <c r="Z186" s="986"/>
      <c r="AA186" s="986"/>
      <c r="AB186" s="986"/>
      <c r="AC186" s="986"/>
      <c r="AD186" s="2011">
        <v>0</v>
      </c>
      <c r="AE186"/>
      <c r="AF186" s="986"/>
      <c r="AG186" s="986"/>
      <c r="AH186" s="986"/>
      <c r="AI186" s="986"/>
      <c r="AJ186" s="986"/>
      <c r="AK186" s="986"/>
      <c r="AL186" s="986"/>
      <c r="AM186" s="986"/>
      <c r="AN186" s="986"/>
      <c r="AO186" s="986"/>
      <c r="AP186" s="986"/>
      <c r="AQ186" s="986">
        <v>40000</v>
      </c>
      <c r="AR186" s="2011">
        <v>40000</v>
      </c>
      <c r="AS186"/>
      <c r="AT186" s="986"/>
      <c r="AU186" s="986"/>
      <c r="AV186" s="986"/>
      <c r="AW186" s="986">
        <v>60000</v>
      </c>
      <c r="AX186" s="986"/>
      <c r="AY186" s="986"/>
      <c r="AZ186" s="986"/>
      <c r="BA186" s="986">
        <v>60000</v>
      </c>
      <c r="BB186" s="986"/>
      <c r="BC186" s="986"/>
      <c r="BD186" s="986"/>
      <c r="BE186" s="986">
        <v>60000</v>
      </c>
      <c r="BF186" s="2011">
        <v>180000</v>
      </c>
      <c r="BG186"/>
      <c r="BH186" s="986"/>
      <c r="BI186" s="986"/>
      <c r="BJ186" s="986"/>
      <c r="BK186" s="986">
        <v>60000</v>
      </c>
      <c r="BL186" s="986"/>
      <c r="BM186" s="986"/>
      <c r="BN186" s="986"/>
      <c r="BO186" s="986">
        <v>60000</v>
      </c>
      <c r="BP186" s="986"/>
      <c r="BQ186" s="986"/>
      <c r="BR186" s="986"/>
      <c r="BS186" s="986">
        <v>60000</v>
      </c>
      <c r="BT186" s="1498">
        <v>180000</v>
      </c>
      <c r="BU186"/>
      <c r="BV186" s="986"/>
      <c r="BW186" s="986"/>
      <c r="BX186" s="986"/>
      <c r="BY186" s="1498">
        <v>0</v>
      </c>
      <c r="BZ186" s="1498">
        <v>400000</v>
      </c>
    </row>
    <row r="187" spans="1:87" s="108" customFormat="1" ht="14" customHeight="1" outlineLevel="2" collapsed="1">
      <c r="A187" s="580"/>
      <c r="B187" s="107"/>
      <c r="C187" s="107"/>
      <c r="D187" s="533"/>
      <c r="E187"/>
      <c r="F187" s="986"/>
      <c r="G187" s="986"/>
      <c r="H187" s="986"/>
      <c r="I187" s="986"/>
      <c r="J187" s="986"/>
      <c r="K187" s="986"/>
      <c r="L187" s="986"/>
      <c r="M187" s="986"/>
      <c r="N187" s="986"/>
      <c r="O187" s="986"/>
      <c r="P187" s="2011">
        <v>0</v>
      </c>
      <c r="Q187"/>
      <c r="R187" s="986"/>
      <c r="S187" s="986"/>
      <c r="T187" s="986"/>
      <c r="U187" s="986"/>
      <c r="V187" s="986"/>
      <c r="W187" s="986"/>
      <c r="X187" s="986"/>
      <c r="Y187" s="986"/>
      <c r="Z187" s="986"/>
      <c r="AA187" s="986"/>
      <c r="AB187" s="986"/>
      <c r="AC187" s="986"/>
      <c r="AD187" s="2011">
        <v>0</v>
      </c>
      <c r="AE187"/>
      <c r="AF187" s="986"/>
      <c r="AG187" s="986"/>
      <c r="AH187" s="986"/>
      <c r="AI187" s="986"/>
      <c r="AJ187" s="986"/>
      <c r="AK187" s="986"/>
      <c r="AL187" s="986"/>
      <c r="AM187" s="986"/>
      <c r="AN187" s="986"/>
      <c r="AO187" s="986"/>
      <c r="AP187" s="986"/>
      <c r="AQ187" s="986"/>
      <c r="AR187" s="2011">
        <v>0</v>
      </c>
      <c r="AS187"/>
      <c r="AT187" s="986"/>
      <c r="AU187" s="986"/>
      <c r="AV187" s="986"/>
      <c r="AW187" s="986"/>
      <c r="AX187" s="986"/>
      <c r="AY187" s="986"/>
      <c r="AZ187" s="986"/>
      <c r="BA187" s="986"/>
      <c r="BB187" s="986"/>
      <c r="BC187" s="986"/>
      <c r="BD187" s="986"/>
      <c r="BE187" s="986"/>
      <c r="BF187" s="2014">
        <v>0</v>
      </c>
      <c r="BG187"/>
      <c r="BH187" s="986"/>
      <c r="BI187" s="986"/>
      <c r="BJ187" s="986"/>
      <c r="BK187" s="986"/>
      <c r="BL187" s="986"/>
      <c r="BM187" s="986"/>
      <c r="BN187" s="986"/>
      <c r="BO187" s="986"/>
      <c r="BP187" s="986"/>
      <c r="BQ187" s="986"/>
      <c r="BR187" s="986"/>
      <c r="BS187" s="986"/>
      <c r="BT187" s="1498">
        <v>0</v>
      </c>
      <c r="BU187"/>
      <c r="BV187" s="986"/>
      <c r="BW187" s="986"/>
      <c r="BX187" s="986"/>
      <c r="BY187" s="1498">
        <v>0</v>
      </c>
      <c r="BZ187" s="1498">
        <v>0</v>
      </c>
    </row>
    <row r="188" spans="1:87" s="878" customFormat="1" outlineLevel="1">
      <c r="A188" s="159"/>
      <c r="B188" s="702"/>
      <c r="C188" s="702"/>
      <c r="D188" s="533"/>
      <c r="E188"/>
      <c r="F188" s="996"/>
      <c r="G188" s="996"/>
      <c r="H188" s="996"/>
      <c r="I188" s="996"/>
      <c r="J188" s="996"/>
      <c r="K188" s="996"/>
      <c r="L188" s="996"/>
      <c r="M188" s="996"/>
      <c r="N188" s="996"/>
      <c r="O188" s="996"/>
      <c r="P188" s="996">
        <v>0</v>
      </c>
      <c r="Q188"/>
      <c r="R188" s="996"/>
      <c r="S188" s="996"/>
      <c r="T188" s="996"/>
      <c r="U188" s="996"/>
      <c r="V188" s="996"/>
      <c r="W188" s="996"/>
      <c r="X188" s="996"/>
      <c r="Y188" s="996"/>
      <c r="Z188" s="996"/>
      <c r="AA188" s="996"/>
      <c r="AB188" s="996"/>
      <c r="AC188" s="996"/>
      <c r="AD188" s="996">
        <v>0</v>
      </c>
      <c r="AE188"/>
      <c r="AF188" s="996"/>
      <c r="AG188" s="996"/>
      <c r="AH188" s="996"/>
      <c r="AI188" s="996"/>
      <c r="AJ188" s="996"/>
      <c r="AK188" s="996"/>
      <c r="AL188" s="996"/>
      <c r="AM188" s="996"/>
      <c r="AN188" s="996"/>
      <c r="AO188" s="996"/>
      <c r="AP188" s="996"/>
      <c r="AQ188" s="996"/>
      <c r="AR188" s="996">
        <v>0</v>
      </c>
      <c r="AS188"/>
      <c r="AT188" s="996"/>
      <c r="AU188" s="996"/>
      <c r="AV188" s="996"/>
      <c r="AW188" s="996"/>
      <c r="AX188" s="996"/>
      <c r="AY188" s="996"/>
      <c r="AZ188" s="996"/>
      <c r="BA188" s="996"/>
      <c r="BB188" s="996"/>
      <c r="BC188" s="996"/>
      <c r="BD188" s="996"/>
      <c r="BE188" s="996"/>
      <c r="BF188" s="997">
        <v>0</v>
      </c>
      <c r="BG188"/>
      <c r="BH188" s="996"/>
      <c r="BI188" s="996"/>
      <c r="BJ188" s="996"/>
      <c r="BK188" s="996"/>
      <c r="BL188" s="996"/>
      <c r="BM188" s="996"/>
      <c r="BN188" s="996"/>
      <c r="BO188" s="996"/>
      <c r="BP188" s="996"/>
      <c r="BQ188" s="996"/>
      <c r="BR188" s="996"/>
      <c r="BS188" s="996"/>
      <c r="BT188" s="995">
        <v>0</v>
      </c>
      <c r="BU188"/>
      <c r="BV188" s="996"/>
      <c r="BW188" s="996"/>
      <c r="BX188" s="996"/>
      <c r="BY188" s="995">
        <v>0</v>
      </c>
      <c r="BZ188" s="995">
        <v>0</v>
      </c>
      <c r="CA188" s="153"/>
      <c r="CB188" s="153"/>
      <c r="CC188" s="153"/>
      <c r="CD188" s="153"/>
      <c r="CE188" s="153"/>
      <c r="CF188" s="153"/>
      <c r="CG188" s="153"/>
      <c r="CH188" s="153"/>
      <c r="CI188" s="153"/>
    </row>
    <row r="189" spans="1:87" s="878" customFormat="1" ht="28.25" customHeight="1">
      <c r="A189" s="577"/>
      <c r="B189" s="67" t="s">
        <v>518</v>
      </c>
      <c r="C189" s="67"/>
      <c r="D189" s="543" t="s">
        <v>258</v>
      </c>
      <c r="E189"/>
      <c r="F189" s="69">
        <v>0</v>
      </c>
      <c r="G189" s="69">
        <v>0</v>
      </c>
      <c r="H189" s="69">
        <v>0</v>
      </c>
      <c r="I189" s="69">
        <v>0</v>
      </c>
      <c r="J189" s="69">
        <v>0</v>
      </c>
      <c r="K189" s="69">
        <v>0</v>
      </c>
      <c r="L189" s="69">
        <v>0</v>
      </c>
      <c r="M189" s="69">
        <v>0</v>
      </c>
      <c r="N189" s="69">
        <v>0</v>
      </c>
      <c r="O189" s="69">
        <v>4000</v>
      </c>
      <c r="P189" s="69">
        <v>4000</v>
      </c>
      <c r="Q189"/>
      <c r="R189" s="69">
        <v>24000</v>
      </c>
      <c r="S189" s="69">
        <v>33000</v>
      </c>
      <c r="T189" s="69">
        <v>205800</v>
      </c>
      <c r="U189" s="69">
        <v>106800</v>
      </c>
      <c r="V189" s="69">
        <v>65800</v>
      </c>
      <c r="W189" s="69">
        <v>170800</v>
      </c>
      <c r="X189" s="69">
        <v>152550</v>
      </c>
      <c r="Y189" s="69">
        <v>61800</v>
      </c>
      <c r="Z189" s="69">
        <v>71800</v>
      </c>
      <c r="AA189" s="69">
        <v>159800</v>
      </c>
      <c r="AB189" s="69">
        <v>133050</v>
      </c>
      <c r="AC189" s="69">
        <v>119800</v>
      </c>
      <c r="AD189" s="69">
        <v>1305000</v>
      </c>
      <c r="AE189"/>
      <c r="AF189" s="69">
        <v>59000</v>
      </c>
      <c r="AG189" s="69">
        <v>165900</v>
      </c>
      <c r="AH189" s="69">
        <v>403750</v>
      </c>
      <c r="AI189" s="69">
        <v>24000</v>
      </c>
      <c r="AJ189" s="69">
        <v>21500</v>
      </c>
      <c r="AK189" s="69">
        <v>203150</v>
      </c>
      <c r="AL189" s="69">
        <v>308650</v>
      </c>
      <c r="AM189" s="69">
        <v>9500</v>
      </c>
      <c r="AN189" s="69">
        <v>69500</v>
      </c>
      <c r="AO189" s="69">
        <v>365525</v>
      </c>
      <c r="AP189" s="69">
        <v>437400</v>
      </c>
      <c r="AQ189" s="69">
        <v>339625</v>
      </c>
      <c r="AR189" s="69">
        <v>2407500</v>
      </c>
      <c r="AS189"/>
      <c r="AT189" s="69">
        <v>76500</v>
      </c>
      <c r="AU189" s="69">
        <v>817650</v>
      </c>
      <c r="AV189" s="69">
        <v>431900</v>
      </c>
      <c r="AW189" s="69">
        <v>16500</v>
      </c>
      <c r="AX189" s="69">
        <v>76500</v>
      </c>
      <c r="AY189" s="69">
        <v>740325</v>
      </c>
      <c r="AZ189" s="69">
        <v>434300</v>
      </c>
      <c r="BA189" s="69">
        <v>12500</v>
      </c>
      <c r="BB189" s="69">
        <v>72500</v>
      </c>
      <c r="BC189" s="69">
        <v>543525</v>
      </c>
      <c r="BD189" s="69">
        <v>456800</v>
      </c>
      <c r="BE189" s="69">
        <v>342625</v>
      </c>
      <c r="BF189" s="69">
        <v>4021625</v>
      </c>
      <c r="BG189"/>
      <c r="BH189" s="69">
        <v>72500</v>
      </c>
      <c r="BI189" s="69">
        <v>483525</v>
      </c>
      <c r="BJ189" s="69">
        <v>524300</v>
      </c>
      <c r="BK189" s="69">
        <v>12500</v>
      </c>
      <c r="BL189" s="69">
        <v>10000</v>
      </c>
      <c r="BM189" s="69">
        <v>225900</v>
      </c>
      <c r="BN189" s="69">
        <v>533050</v>
      </c>
      <c r="BO189" s="69">
        <v>10000</v>
      </c>
      <c r="BP189" s="69">
        <v>10000</v>
      </c>
      <c r="BQ189" s="69">
        <v>190900</v>
      </c>
      <c r="BR189" s="69">
        <v>401800</v>
      </c>
      <c r="BS189" s="69">
        <v>85000</v>
      </c>
      <c r="BT189" s="69">
        <v>2559475</v>
      </c>
      <c r="BU189"/>
      <c r="BV189" s="69">
        <v>4000</v>
      </c>
      <c r="BW189" s="69">
        <v>142400</v>
      </c>
      <c r="BX189" s="69">
        <v>36000</v>
      </c>
      <c r="BY189" s="69">
        <v>182400</v>
      </c>
      <c r="BZ189" s="69">
        <v>10480000</v>
      </c>
      <c r="CA189" s="153"/>
      <c r="CB189" s="153"/>
      <c r="CC189" s="153"/>
      <c r="CD189" s="153"/>
      <c r="CE189" s="153"/>
      <c r="CF189" s="153"/>
      <c r="CG189" s="153"/>
      <c r="CH189" s="153"/>
      <c r="CI189" s="153"/>
    </row>
    <row r="190" spans="1:87" s="153" customFormat="1" ht="38.5" customHeight="1" outlineLevel="1">
      <c r="A190" s="578"/>
      <c r="B190" s="428" t="s">
        <v>519</v>
      </c>
      <c r="C190" s="428"/>
      <c r="D190" s="539" t="s">
        <v>259</v>
      </c>
      <c r="E190"/>
      <c r="F190" s="977">
        <v>0</v>
      </c>
      <c r="G190" s="977">
        <v>0</v>
      </c>
      <c r="H190" s="977">
        <v>0</v>
      </c>
      <c r="I190" s="977">
        <v>0</v>
      </c>
      <c r="J190" s="977">
        <v>0</v>
      </c>
      <c r="K190" s="977">
        <v>0</v>
      </c>
      <c r="L190" s="977">
        <v>0</v>
      </c>
      <c r="M190" s="977">
        <v>0</v>
      </c>
      <c r="N190" s="977">
        <v>0</v>
      </c>
      <c r="O190" s="977">
        <v>4000</v>
      </c>
      <c r="P190" s="977">
        <v>4000</v>
      </c>
      <c r="Q190"/>
      <c r="R190" s="977">
        <v>24000</v>
      </c>
      <c r="S190" s="977">
        <v>29000</v>
      </c>
      <c r="T190" s="977">
        <v>34000</v>
      </c>
      <c r="U190" s="977">
        <v>95000</v>
      </c>
      <c r="V190" s="977">
        <v>49000</v>
      </c>
      <c r="W190" s="977">
        <v>54000</v>
      </c>
      <c r="X190" s="977">
        <v>76000</v>
      </c>
      <c r="Y190" s="977">
        <v>41000</v>
      </c>
      <c r="Z190" s="977">
        <v>51000</v>
      </c>
      <c r="AA190" s="977">
        <v>68000</v>
      </c>
      <c r="AB190" s="977">
        <v>33000</v>
      </c>
      <c r="AC190" s="977">
        <v>33000</v>
      </c>
      <c r="AD190" s="977">
        <v>587000</v>
      </c>
      <c r="AE190"/>
      <c r="AF190" s="977">
        <v>55000</v>
      </c>
      <c r="AG190" s="977">
        <v>70400</v>
      </c>
      <c r="AH190" s="977">
        <v>27000</v>
      </c>
      <c r="AI190" s="977">
        <v>16000</v>
      </c>
      <c r="AJ190" s="977">
        <v>13500</v>
      </c>
      <c r="AK190" s="977">
        <v>51900</v>
      </c>
      <c r="AL190" s="977">
        <v>59500</v>
      </c>
      <c r="AM190" s="977">
        <v>9500</v>
      </c>
      <c r="AN190" s="977">
        <v>9500</v>
      </c>
      <c r="AO190" s="977">
        <v>228025</v>
      </c>
      <c r="AP190" s="977">
        <v>9500</v>
      </c>
      <c r="AQ190" s="977">
        <v>9500</v>
      </c>
      <c r="AR190" s="977">
        <v>559325</v>
      </c>
      <c r="AS190"/>
      <c r="AT190" s="977">
        <v>16500</v>
      </c>
      <c r="AU190" s="977">
        <v>235025</v>
      </c>
      <c r="AV190" s="977">
        <v>16500</v>
      </c>
      <c r="AW190" s="977">
        <v>16500</v>
      </c>
      <c r="AX190" s="977">
        <v>16500</v>
      </c>
      <c r="AY190" s="977">
        <v>235025</v>
      </c>
      <c r="AZ190" s="977">
        <v>12500</v>
      </c>
      <c r="BA190" s="977">
        <v>12500</v>
      </c>
      <c r="BB190" s="977">
        <v>12500</v>
      </c>
      <c r="BC190" s="977">
        <v>231025</v>
      </c>
      <c r="BD190" s="977">
        <v>12500</v>
      </c>
      <c r="BE190" s="977">
        <v>12500</v>
      </c>
      <c r="BF190" s="978">
        <v>829575</v>
      </c>
      <c r="BG190"/>
      <c r="BH190" s="977">
        <v>12500</v>
      </c>
      <c r="BI190" s="977">
        <v>50900</v>
      </c>
      <c r="BJ190" s="977">
        <v>12500</v>
      </c>
      <c r="BK190" s="977">
        <v>12500</v>
      </c>
      <c r="BL190" s="977">
        <v>10000</v>
      </c>
      <c r="BM190" s="977">
        <v>48400</v>
      </c>
      <c r="BN190" s="977">
        <v>10000</v>
      </c>
      <c r="BO190" s="977">
        <v>10000</v>
      </c>
      <c r="BP190" s="977">
        <v>10000</v>
      </c>
      <c r="BQ190" s="977">
        <v>48400</v>
      </c>
      <c r="BR190" s="977">
        <v>10000</v>
      </c>
      <c r="BS190" s="977">
        <v>10000</v>
      </c>
      <c r="BT190" s="976">
        <v>245200</v>
      </c>
      <c r="BU190"/>
      <c r="BV190" s="977">
        <v>4000</v>
      </c>
      <c r="BW190" s="977">
        <v>42400</v>
      </c>
      <c r="BX190" s="977">
        <v>36000</v>
      </c>
      <c r="BY190" s="976">
        <v>82400</v>
      </c>
      <c r="BZ190" s="976">
        <v>2307500</v>
      </c>
    </row>
    <row r="191" spans="1:87" s="153" customFormat="1" ht="24.5" customHeight="1" outlineLevel="2">
      <c r="A191" s="172"/>
      <c r="B191" s="171" t="s">
        <v>520</v>
      </c>
      <c r="C191" s="171"/>
      <c r="D191" s="538" t="s">
        <v>260</v>
      </c>
      <c r="E191"/>
      <c r="F191" s="980">
        <v>0</v>
      </c>
      <c r="G191" s="980">
        <v>0</v>
      </c>
      <c r="H191" s="980">
        <v>0</v>
      </c>
      <c r="I191" s="980">
        <v>0</v>
      </c>
      <c r="J191" s="980">
        <v>0</v>
      </c>
      <c r="K191" s="980">
        <v>0</v>
      </c>
      <c r="L191" s="980">
        <v>0</v>
      </c>
      <c r="M191" s="980">
        <v>0</v>
      </c>
      <c r="N191" s="980">
        <v>0</v>
      </c>
      <c r="O191" s="980">
        <v>4000</v>
      </c>
      <c r="P191" s="980">
        <v>4000</v>
      </c>
      <c r="Q191" s="247"/>
      <c r="R191" s="980">
        <v>20000</v>
      </c>
      <c r="S191" s="980">
        <v>20000</v>
      </c>
      <c r="T191" s="980">
        <v>25000</v>
      </c>
      <c r="U191" s="980">
        <v>20000</v>
      </c>
      <c r="V191" s="980">
        <v>20000</v>
      </c>
      <c r="W191" s="980">
        <v>25000</v>
      </c>
      <c r="X191" s="980">
        <v>12000</v>
      </c>
      <c r="Y191" s="980">
        <v>12000</v>
      </c>
      <c r="Z191" s="980">
        <v>17000</v>
      </c>
      <c r="AA191" s="980">
        <v>12000</v>
      </c>
      <c r="AB191" s="980">
        <v>12000</v>
      </c>
      <c r="AC191" s="980">
        <v>17000</v>
      </c>
      <c r="AD191" s="980">
        <v>212000</v>
      </c>
      <c r="AE191" s="247"/>
      <c r="AF191" s="980">
        <v>8000</v>
      </c>
      <c r="AG191" s="980">
        <v>13000</v>
      </c>
      <c r="AH191" s="980">
        <v>8000</v>
      </c>
      <c r="AI191" s="980">
        <v>13000</v>
      </c>
      <c r="AJ191" s="980">
        <v>8000</v>
      </c>
      <c r="AK191" s="980">
        <v>8000</v>
      </c>
      <c r="AL191" s="980">
        <v>4000</v>
      </c>
      <c r="AM191" s="980">
        <v>4000</v>
      </c>
      <c r="AN191" s="980">
        <v>4000</v>
      </c>
      <c r="AO191" s="980">
        <v>4000</v>
      </c>
      <c r="AP191" s="980">
        <v>4000</v>
      </c>
      <c r="AQ191" s="980">
        <v>4000</v>
      </c>
      <c r="AR191" s="980">
        <v>82000</v>
      </c>
      <c r="AS191" s="247"/>
      <c r="AT191" s="980">
        <v>4000</v>
      </c>
      <c r="AU191" s="980">
        <v>4000</v>
      </c>
      <c r="AV191" s="980">
        <v>4000</v>
      </c>
      <c r="AW191" s="980">
        <v>4000</v>
      </c>
      <c r="AX191" s="980">
        <v>4000</v>
      </c>
      <c r="AY191" s="980">
        <v>4000</v>
      </c>
      <c r="AZ191" s="980">
        <v>4000</v>
      </c>
      <c r="BA191" s="980">
        <v>4000</v>
      </c>
      <c r="BB191" s="980">
        <v>4000</v>
      </c>
      <c r="BC191" s="980">
        <v>4000</v>
      </c>
      <c r="BD191" s="980">
        <v>4000</v>
      </c>
      <c r="BE191" s="980">
        <v>4000</v>
      </c>
      <c r="BF191" s="981">
        <v>48000</v>
      </c>
      <c r="BG191" s="247"/>
      <c r="BH191" s="980">
        <v>4000</v>
      </c>
      <c r="BI191" s="980">
        <v>4000</v>
      </c>
      <c r="BJ191" s="980">
        <v>4000</v>
      </c>
      <c r="BK191" s="980">
        <v>4000</v>
      </c>
      <c r="BL191" s="980">
        <v>4000</v>
      </c>
      <c r="BM191" s="980">
        <v>4000</v>
      </c>
      <c r="BN191" s="980">
        <v>4000</v>
      </c>
      <c r="BO191" s="980">
        <v>4000</v>
      </c>
      <c r="BP191" s="980">
        <v>4000</v>
      </c>
      <c r="BQ191" s="980">
        <v>4000</v>
      </c>
      <c r="BR191" s="980">
        <v>4000</v>
      </c>
      <c r="BS191" s="980">
        <v>4000</v>
      </c>
      <c r="BT191" s="979">
        <v>48000</v>
      </c>
      <c r="BU191" s="247"/>
      <c r="BV191" s="980">
        <v>4000</v>
      </c>
      <c r="BW191" s="980">
        <v>4000</v>
      </c>
      <c r="BX191" s="980">
        <v>36000</v>
      </c>
      <c r="BY191" s="979">
        <v>44000</v>
      </c>
      <c r="BZ191" s="979">
        <v>438000</v>
      </c>
    </row>
    <row r="192" spans="1:87" s="108" customFormat="1" ht="69" hidden="1" customHeight="1" outlineLevel="3">
      <c r="A192" s="159"/>
      <c r="B192" s="550" t="s">
        <v>2415</v>
      </c>
      <c r="C192" s="702" t="s">
        <v>1279</v>
      </c>
      <c r="D192" s="703" t="s">
        <v>2416</v>
      </c>
      <c r="E192"/>
      <c r="F192" s="1001"/>
      <c r="G192" s="1001"/>
      <c r="H192" s="1001"/>
      <c r="I192" s="1001"/>
      <c r="J192" s="1001"/>
      <c r="K192" s="1001"/>
      <c r="L192" s="1001"/>
      <c r="M192" s="1001"/>
      <c r="N192" s="1001"/>
      <c r="O192" s="1001"/>
      <c r="P192" s="996">
        <v>0</v>
      </c>
      <c r="Q192" s="247"/>
      <c r="R192" s="1001"/>
      <c r="S192" s="1001"/>
      <c r="T192" s="1001"/>
      <c r="U192" s="1001"/>
      <c r="V192" s="1001"/>
      <c r="W192" s="1001"/>
      <c r="X192" s="1001"/>
      <c r="Y192" s="1001"/>
      <c r="Z192" s="1001"/>
      <c r="AA192" s="1001"/>
      <c r="AB192" s="1001"/>
      <c r="AC192" s="1001"/>
      <c r="AD192" s="996">
        <v>0</v>
      </c>
      <c r="AE192" s="247"/>
      <c r="AF192" s="1001"/>
      <c r="AG192" s="1001"/>
      <c r="AH192" s="1001"/>
      <c r="AI192" s="1001"/>
      <c r="AJ192" s="1001"/>
      <c r="AK192" s="1001"/>
      <c r="AL192" s="1001"/>
      <c r="AM192" s="1001"/>
      <c r="AN192" s="1001"/>
      <c r="AO192" s="1001"/>
      <c r="AP192" s="1001"/>
      <c r="AQ192" s="1001"/>
      <c r="AR192" s="996">
        <v>0</v>
      </c>
      <c r="AS192" s="247"/>
      <c r="AT192" s="1001"/>
      <c r="AU192" s="1001"/>
      <c r="AV192" s="1001"/>
      <c r="AW192" s="1001"/>
      <c r="AX192" s="1001"/>
      <c r="AY192" s="1001"/>
      <c r="AZ192" s="1001"/>
      <c r="BA192" s="1001"/>
      <c r="BB192" s="1001"/>
      <c r="BC192" s="1001"/>
      <c r="BD192" s="1001"/>
      <c r="BE192" s="1001"/>
      <c r="BF192" s="997">
        <v>0</v>
      </c>
      <c r="BG192" s="247"/>
      <c r="BH192" s="1001"/>
      <c r="BI192" s="1001"/>
      <c r="BJ192" s="1001"/>
      <c r="BK192" s="1001"/>
      <c r="BL192" s="1001"/>
      <c r="BM192" s="1001"/>
      <c r="BN192" s="1001"/>
      <c r="BO192" s="1001"/>
      <c r="BP192" s="1001"/>
      <c r="BQ192" s="1001"/>
      <c r="BR192" s="1001"/>
      <c r="BS192" s="1001"/>
      <c r="BT192" s="995">
        <v>0</v>
      </c>
      <c r="BU192" s="247"/>
      <c r="BV192" s="1001"/>
      <c r="BW192" s="1001"/>
      <c r="BX192" s="1001"/>
      <c r="BY192" s="995">
        <v>0</v>
      </c>
      <c r="BZ192" s="995">
        <v>0</v>
      </c>
    </row>
    <row r="193" spans="1:79" s="153" customFormat="1" ht="14" hidden="1" customHeight="1" outlineLevel="3">
      <c r="A193" s="581"/>
      <c r="B193" s="1767" t="s">
        <v>2417</v>
      </c>
      <c r="C193" s="400" t="s">
        <v>1279</v>
      </c>
      <c r="D193" s="536" t="s">
        <v>2418</v>
      </c>
      <c r="E193"/>
      <c r="F193" s="398">
        <v>0</v>
      </c>
      <c r="G193" s="398">
        <v>0</v>
      </c>
      <c r="H193" s="398">
        <v>0</v>
      </c>
      <c r="I193" s="398">
        <v>0</v>
      </c>
      <c r="J193" s="398">
        <v>0</v>
      </c>
      <c r="K193" s="398">
        <v>0</v>
      </c>
      <c r="L193" s="398">
        <v>0</v>
      </c>
      <c r="M193" s="398">
        <v>0</v>
      </c>
      <c r="N193" s="398">
        <v>0</v>
      </c>
      <c r="O193" s="398">
        <v>0</v>
      </c>
      <c r="P193" s="992">
        <v>0</v>
      </c>
      <c r="Q193" s="247"/>
      <c r="R193" s="398">
        <v>16000</v>
      </c>
      <c r="S193" s="398">
        <v>16000</v>
      </c>
      <c r="T193" s="398">
        <v>16000</v>
      </c>
      <c r="U193" s="398">
        <v>16000</v>
      </c>
      <c r="V193" s="398">
        <v>16000</v>
      </c>
      <c r="W193" s="398">
        <v>16000</v>
      </c>
      <c r="X193" s="398">
        <v>4000</v>
      </c>
      <c r="Y193" s="398">
        <v>4000</v>
      </c>
      <c r="Z193" s="398">
        <v>4000</v>
      </c>
      <c r="AA193" s="398">
        <v>4000</v>
      </c>
      <c r="AB193" s="398">
        <v>4000</v>
      </c>
      <c r="AC193" s="398">
        <v>4000</v>
      </c>
      <c r="AD193" s="992">
        <v>120000</v>
      </c>
      <c r="AE193" s="247"/>
      <c r="AF193" s="398">
        <v>0</v>
      </c>
      <c r="AG193" s="398">
        <v>0</v>
      </c>
      <c r="AH193" s="398">
        <v>0</v>
      </c>
      <c r="AI193" s="398">
        <v>0</v>
      </c>
      <c r="AJ193" s="398">
        <v>0</v>
      </c>
      <c r="AK193" s="398">
        <v>0</v>
      </c>
      <c r="AL193" s="398">
        <v>0</v>
      </c>
      <c r="AM193" s="398">
        <v>0</v>
      </c>
      <c r="AN193" s="398">
        <v>0</v>
      </c>
      <c r="AO193" s="398">
        <v>0</v>
      </c>
      <c r="AP193" s="398">
        <v>0</v>
      </c>
      <c r="AQ193" s="398">
        <v>0</v>
      </c>
      <c r="AR193" s="992">
        <v>0</v>
      </c>
      <c r="AS193" s="247"/>
      <c r="AT193" s="398">
        <v>0</v>
      </c>
      <c r="AU193" s="398">
        <v>0</v>
      </c>
      <c r="AV193" s="398">
        <v>0</v>
      </c>
      <c r="AW193" s="398">
        <v>0</v>
      </c>
      <c r="AX193" s="398">
        <v>0</v>
      </c>
      <c r="AY193" s="398">
        <v>0</v>
      </c>
      <c r="AZ193" s="398">
        <v>0</v>
      </c>
      <c r="BA193" s="398">
        <v>0</v>
      </c>
      <c r="BB193" s="398">
        <v>0</v>
      </c>
      <c r="BC193" s="398">
        <v>0</v>
      </c>
      <c r="BD193" s="398">
        <v>0</v>
      </c>
      <c r="BE193" s="398">
        <v>0</v>
      </c>
      <c r="BF193" s="993">
        <v>0</v>
      </c>
      <c r="BG193" s="247"/>
      <c r="BH193" s="398">
        <v>0</v>
      </c>
      <c r="BI193" s="398">
        <v>0</v>
      </c>
      <c r="BJ193" s="398">
        <v>0</v>
      </c>
      <c r="BK193" s="398">
        <v>0</v>
      </c>
      <c r="BL193" s="398">
        <v>0</v>
      </c>
      <c r="BM193" s="398">
        <v>0</v>
      </c>
      <c r="BN193" s="398">
        <v>0</v>
      </c>
      <c r="BO193" s="398">
        <v>0</v>
      </c>
      <c r="BP193" s="398">
        <v>0</v>
      </c>
      <c r="BQ193" s="398">
        <v>0</v>
      </c>
      <c r="BR193" s="398">
        <v>0</v>
      </c>
      <c r="BS193" s="398">
        <v>0</v>
      </c>
      <c r="BT193" s="994">
        <v>0</v>
      </c>
      <c r="BU193" s="247"/>
      <c r="BV193" s="398">
        <v>0</v>
      </c>
      <c r="BW193" s="398">
        <v>0</v>
      </c>
      <c r="BX193" s="398">
        <v>0</v>
      </c>
      <c r="BY193" s="994">
        <v>0</v>
      </c>
      <c r="BZ193" s="994">
        <v>120000</v>
      </c>
    </row>
    <row r="194" spans="1:79" s="879" customFormat="1" ht="27.5" hidden="1" customHeight="1" outlineLevel="4">
      <c r="A194" s="583"/>
      <c r="B194" s="550" t="s">
        <v>2419</v>
      </c>
      <c r="C194" s="550" t="s">
        <v>1279</v>
      </c>
      <c r="D194" s="703" t="s">
        <v>2420</v>
      </c>
      <c r="E194"/>
      <c r="F194" s="988"/>
      <c r="G194" s="988"/>
      <c r="H194" s="988"/>
      <c r="I194" s="988"/>
      <c r="J194" s="988"/>
      <c r="K194" s="988"/>
      <c r="L194" s="988"/>
      <c r="M194" s="988"/>
      <c r="N194" s="988"/>
      <c r="O194" s="988"/>
      <c r="P194" s="2043">
        <v>0</v>
      </c>
      <c r="Q194" s="247"/>
      <c r="R194" s="988">
        <v>4000</v>
      </c>
      <c r="S194" s="988">
        <v>4000</v>
      </c>
      <c r="T194" s="988">
        <v>4000</v>
      </c>
      <c r="U194" s="988">
        <v>4000</v>
      </c>
      <c r="V194" s="988">
        <v>4000</v>
      </c>
      <c r="W194" s="988">
        <v>4000</v>
      </c>
      <c r="X194" s="988"/>
      <c r="Y194" s="988"/>
      <c r="Z194" s="988"/>
      <c r="AA194" s="988"/>
      <c r="AB194" s="988"/>
      <c r="AC194" s="988"/>
      <c r="AD194" s="2043">
        <v>24000</v>
      </c>
      <c r="AE194" s="247"/>
      <c r="AF194" s="988"/>
      <c r="AG194" s="988"/>
      <c r="AH194" s="988"/>
      <c r="AI194" s="988"/>
      <c r="AJ194" s="988"/>
      <c r="AK194" s="988"/>
      <c r="AL194" s="988"/>
      <c r="AM194" s="988"/>
      <c r="AN194" s="988"/>
      <c r="AO194" s="988"/>
      <c r="AP194" s="988"/>
      <c r="AQ194" s="988"/>
      <c r="AR194" s="2043">
        <v>0</v>
      </c>
      <c r="AS194" s="247"/>
      <c r="AT194" s="988"/>
      <c r="AU194" s="988"/>
      <c r="AV194" s="988"/>
      <c r="AW194" s="988"/>
      <c r="AX194" s="988"/>
      <c r="AY194" s="988"/>
      <c r="AZ194" s="988"/>
      <c r="BA194" s="988"/>
      <c r="BB194" s="988"/>
      <c r="BC194" s="988"/>
      <c r="BD194" s="988"/>
      <c r="BE194" s="988"/>
      <c r="BF194" s="2032">
        <v>0</v>
      </c>
      <c r="BG194" s="247"/>
      <c r="BH194" s="988"/>
      <c r="BI194" s="988"/>
      <c r="BJ194" s="988"/>
      <c r="BK194" s="988"/>
      <c r="BL194" s="988"/>
      <c r="BM194" s="988"/>
      <c r="BN194" s="988"/>
      <c r="BO194" s="988"/>
      <c r="BP194" s="988"/>
      <c r="BQ194" s="988"/>
      <c r="BR194" s="988"/>
      <c r="BS194" s="988"/>
      <c r="BT194" s="1914">
        <v>0</v>
      </c>
      <c r="BU194" s="247"/>
      <c r="BV194" s="988"/>
      <c r="BW194" s="988"/>
      <c r="BX194" s="988"/>
      <c r="BY194" s="1914">
        <v>0</v>
      </c>
      <c r="BZ194" s="1914">
        <v>24000</v>
      </c>
      <c r="CA194" s="153"/>
    </row>
    <row r="195" spans="1:79" s="879" customFormat="1" ht="27.5" hidden="1" customHeight="1" outlineLevel="4">
      <c r="A195" s="583"/>
      <c r="B195" s="550" t="s">
        <v>2421</v>
      </c>
      <c r="C195" s="550" t="s">
        <v>1279</v>
      </c>
      <c r="D195" s="703" t="s">
        <v>2422</v>
      </c>
      <c r="E195"/>
      <c r="F195" s="988"/>
      <c r="G195" s="988"/>
      <c r="H195" s="988"/>
      <c r="I195" s="988"/>
      <c r="J195" s="988"/>
      <c r="K195" s="988"/>
      <c r="L195" s="988"/>
      <c r="M195" s="988"/>
      <c r="N195" s="988"/>
      <c r="O195" s="988"/>
      <c r="P195" s="2043">
        <v>0</v>
      </c>
      <c r="Q195" s="247"/>
      <c r="R195" s="988">
        <v>4000</v>
      </c>
      <c r="S195" s="988">
        <v>4000</v>
      </c>
      <c r="T195" s="988">
        <v>4000</v>
      </c>
      <c r="U195" s="988">
        <v>4000</v>
      </c>
      <c r="V195" s="988">
        <v>4000</v>
      </c>
      <c r="W195" s="988">
        <v>4000</v>
      </c>
      <c r="X195" s="988"/>
      <c r="Y195" s="988"/>
      <c r="Z195" s="988"/>
      <c r="AA195" s="988"/>
      <c r="AB195" s="988"/>
      <c r="AC195" s="988"/>
      <c r="AD195" s="2043">
        <v>24000</v>
      </c>
      <c r="AE195" s="247"/>
      <c r="AF195" s="988"/>
      <c r="AG195" s="988"/>
      <c r="AH195" s="988"/>
      <c r="AI195" s="988"/>
      <c r="AJ195" s="988"/>
      <c r="AK195" s="988"/>
      <c r="AL195" s="988"/>
      <c r="AM195" s="988"/>
      <c r="AN195" s="988"/>
      <c r="AO195" s="988"/>
      <c r="AP195" s="988"/>
      <c r="AQ195" s="988"/>
      <c r="AR195" s="2043">
        <v>0</v>
      </c>
      <c r="AS195" s="247"/>
      <c r="AT195" s="988"/>
      <c r="AU195" s="988"/>
      <c r="AV195" s="988"/>
      <c r="AW195" s="988"/>
      <c r="AX195" s="988"/>
      <c r="AY195" s="988"/>
      <c r="AZ195" s="988"/>
      <c r="BA195" s="988"/>
      <c r="BB195" s="988"/>
      <c r="BC195" s="988"/>
      <c r="BD195" s="988"/>
      <c r="BE195" s="988"/>
      <c r="BF195" s="2032">
        <v>0</v>
      </c>
      <c r="BG195" s="247"/>
      <c r="BH195" s="988"/>
      <c r="BI195" s="988"/>
      <c r="BJ195" s="988"/>
      <c r="BK195" s="988"/>
      <c r="BL195" s="988"/>
      <c r="BM195" s="988"/>
      <c r="BN195" s="988"/>
      <c r="BO195" s="988"/>
      <c r="BP195" s="988"/>
      <c r="BQ195" s="988"/>
      <c r="BR195" s="988"/>
      <c r="BS195" s="988"/>
      <c r="BT195" s="1914">
        <v>0</v>
      </c>
      <c r="BU195" s="247"/>
      <c r="BV195" s="988"/>
      <c r="BW195" s="988"/>
      <c r="BX195" s="988"/>
      <c r="BY195" s="1914">
        <v>0</v>
      </c>
      <c r="BZ195" s="1914">
        <v>24000</v>
      </c>
      <c r="CA195" s="153"/>
    </row>
    <row r="196" spans="1:79" s="879" customFormat="1" ht="27.5" hidden="1" customHeight="1" outlineLevel="4">
      <c r="A196" s="583"/>
      <c r="B196" s="550" t="s">
        <v>2423</v>
      </c>
      <c r="C196" s="550" t="s">
        <v>1279</v>
      </c>
      <c r="D196" s="703" t="s">
        <v>2424</v>
      </c>
      <c r="E196"/>
      <c r="F196" s="988"/>
      <c r="G196" s="988"/>
      <c r="H196" s="988"/>
      <c r="I196" s="988"/>
      <c r="J196" s="988"/>
      <c r="K196" s="988"/>
      <c r="L196" s="988"/>
      <c r="M196" s="988"/>
      <c r="N196" s="988"/>
      <c r="O196" s="988"/>
      <c r="P196" s="2043">
        <v>0</v>
      </c>
      <c r="Q196" s="247"/>
      <c r="R196" s="988">
        <v>4000</v>
      </c>
      <c r="S196" s="988">
        <v>4000</v>
      </c>
      <c r="T196" s="988">
        <v>4000</v>
      </c>
      <c r="U196" s="988">
        <v>4000</v>
      </c>
      <c r="V196" s="988">
        <v>4000</v>
      </c>
      <c r="W196" s="988">
        <v>4000</v>
      </c>
      <c r="X196" s="988"/>
      <c r="Y196" s="988"/>
      <c r="Z196" s="988"/>
      <c r="AA196" s="988"/>
      <c r="AB196" s="988"/>
      <c r="AC196" s="988"/>
      <c r="AD196" s="2043">
        <v>24000</v>
      </c>
      <c r="AE196" s="247"/>
      <c r="AF196" s="988"/>
      <c r="AG196" s="988"/>
      <c r="AH196" s="988"/>
      <c r="AI196" s="988"/>
      <c r="AJ196" s="988"/>
      <c r="AK196" s="988"/>
      <c r="AL196" s="988"/>
      <c r="AM196" s="988"/>
      <c r="AN196" s="988"/>
      <c r="AO196" s="988"/>
      <c r="AP196" s="988"/>
      <c r="AQ196" s="988"/>
      <c r="AR196" s="2043">
        <v>0</v>
      </c>
      <c r="AS196" s="247"/>
      <c r="AT196" s="988"/>
      <c r="AU196" s="988"/>
      <c r="AV196" s="988"/>
      <c r="AW196" s="988"/>
      <c r="AX196" s="988"/>
      <c r="AY196" s="988"/>
      <c r="AZ196" s="988"/>
      <c r="BA196" s="988"/>
      <c r="BB196" s="988"/>
      <c r="BC196" s="988"/>
      <c r="BD196" s="988"/>
      <c r="BE196" s="988"/>
      <c r="BF196" s="2032">
        <v>0</v>
      </c>
      <c r="BG196" s="247"/>
      <c r="BH196" s="988"/>
      <c r="BI196" s="988"/>
      <c r="BJ196" s="988"/>
      <c r="BK196" s="988"/>
      <c r="BL196" s="988"/>
      <c r="BM196" s="988"/>
      <c r="BN196" s="988"/>
      <c r="BO196" s="988"/>
      <c r="BP196" s="988"/>
      <c r="BQ196" s="988"/>
      <c r="BR196" s="988"/>
      <c r="BS196" s="988"/>
      <c r="BT196" s="1914">
        <v>0</v>
      </c>
      <c r="BU196" s="247"/>
      <c r="BV196" s="988"/>
      <c r="BW196" s="988"/>
      <c r="BX196" s="988"/>
      <c r="BY196" s="1914">
        <v>0</v>
      </c>
      <c r="BZ196" s="1914">
        <v>24000</v>
      </c>
      <c r="CA196" s="153"/>
    </row>
    <row r="197" spans="1:79" s="879" customFormat="1" ht="41.5" hidden="1" customHeight="1" outlineLevel="4">
      <c r="A197" s="583"/>
      <c r="B197" s="550" t="s">
        <v>2425</v>
      </c>
      <c r="C197" s="550" t="s">
        <v>1279</v>
      </c>
      <c r="D197" s="703" t="s">
        <v>2426</v>
      </c>
      <c r="E197"/>
      <c r="F197" s="988"/>
      <c r="G197" s="988"/>
      <c r="H197" s="988"/>
      <c r="I197" s="988"/>
      <c r="J197" s="988"/>
      <c r="K197" s="988"/>
      <c r="L197" s="988"/>
      <c r="M197" s="988"/>
      <c r="N197" s="988"/>
      <c r="O197" s="988"/>
      <c r="P197" s="2043">
        <v>0</v>
      </c>
      <c r="Q197" s="247"/>
      <c r="R197" s="988">
        <v>4000</v>
      </c>
      <c r="S197" s="988">
        <v>4000</v>
      </c>
      <c r="T197" s="988">
        <v>4000</v>
      </c>
      <c r="U197" s="988">
        <v>4000</v>
      </c>
      <c r="V197" s="988">
        <v>4000</v>
      </c>
      <c r="W197" s="988">
        <v>4000</v>
      </c>
      <c r="X197" s="988">
        <v>4000</v>
      </c>
      <c r="Y197" s="988">
        <v>4000</v>
      </c>
      <c r="Z197" s="988">
        <v>4000</v>
      </c>
      <c r="AA197" s="988">
        <v>4000</v>
      </c>
      <c r="AB197" s="988">
        <v>4000</v>
      </c>
      <c r="AC197" s="988">
        <v>4000</v>
      </c>
      <c r="AD197" s="2043">
        <v>48000</v>
      </c>
      <c r="AE197" s="247"/>
      <c r="AF197" s="988"/>
      <c r="AG197" s="988"/>
      <c r="AH197" s="988"/>
      <c r="AI197" s="988"/>
      <c r="AJ197" s="988"/>
      <c r="AK197" s="988"/>
      <c r="AL197" s="988"/>
      <c r="AM197" s="988"/>
      <c r="AN197" s="988"/>
      <c r="AO197" s="988"/>
      <c r="AP197" s="988"/>
      <c r="AQ197" s="988"/>
      <c r="AR197" s="2043">
        <v>0</v>
      </c>
      <c r="AS197" s="247"/>
      <c r="AT197" s="988"/>
      <c r="AU197" s="988"/>
      <c r="AV197" s="988"/>
      <c r="AW197" s="988"/>
      <c r="AX197" s="988"/>
      <c r="AY197" s="988"/>
      <c r="AZ197" s="988"/>
      <c r="BA197" s="988"/>
      <c r="BB197" s="988"/>
      <c r="BC197" s="988"/>
      <c r="BD197" s="988"/>
      <c r="BE197" s="988"/>
      <c r="BF197" s="2032">
        <v>0</v>
      </c>
      <c r="BG197" s="247"/>
      <c r="BH197" s="988"/>
      <c r="BI197" s="988"/>
      <c r="BJ197" s="988"/>
      <c r="BK197" s="988"/>
      <c r="BL197" s="988"/>
      <c r="BM197" s="988"/>
      <c r="BN197" s="988"/>
      <c r="BO197" s="988"/>
      <c r="BP197" s="988"/>
      <c r="BQ197" s="988"/>
      <c r="BR197" s="988"/>
      <c r="BS197" s="988"/>
      <c r="BT197" s="1914">
        <v>0</v>
      </c>
      <c r="BU197" s="247"/>
      <c r="BV197" s="988"/>
      <c r="BW197" s="988"/>
      <c r="BX197" s="988"/>
      <c r="BY197" s="1914">
        <v>0</v>
      </c>
      <c r="BZ197" s="1914">
        <v>48000</v>
      </c>
      <c r="CA197" s="153"/>
    </row>
    <row r="198" spans="1:79" s="153" customFormat="1" ht="14" hidden="1" customHeight="1" outlineLevel="3" collapsed="1">
      <c r="A198" s="581"/>
      <c r="B198" s="1767" t="s">
        <v>2427</v>
      </c>
      <c r="C198" s="400" t="s">
        <v>1279</v>
      </c>
      <c r="D198" s="536" t="s">
        <v>2428</v>
      </c>
      <c r="E198"/>
      <c r="F198" s="398">
        <v>0</v>
      </c>
      <c r="G198" s="398">
        <v>0</v>
      </c>
      <c r="H198" s="398">
        <v>0</v>
      </c>
      <c r="I198" s="398">
        <v>0</v>
      </c>
      <c r="J198" s="398">
        <v>0</v>
      </c>
      <c r="K198" s="398">
        <v>0</v>
      </c>
      <c r="L198" s="398">
        <v>0</v>
      </c>
      <c r="M198" s="398">
        <v>0</v>
      </c>
      <c r="N198" s="398">
        <v>0</v>
      </c>
      <c r="O198" s="398">
        <v>0</v>
      </c>
      <c r="P198" s="992">
        <v>0</v>
      </c>
      <c r="Q198" s="247"/>
      <c r="R198" s="398">
        <v>0</v>
      </c>
      <c r="S198" s="398">
        <v>0</v>
      </c>
      <c r="T198" s="398">
        <v>5000</v>
      </c>
      <c r="U198" s="398">
        <v>0</v>
      </c>
      <c r="V198" s="398">
        <v>0</v>
      </c>
      <c r="W198" s="398">
        <v>5000</v>
      </c>
      <c r="X198" s="398">
        <v>0</v>
      </c>
      <c r="Y198" s="398">
        <v>0</v>
      </c>
      <c r="Z198" s="398">
        <v>5000</v>
      </c>
      <c r="AA198" s="398">
        <v>0</v>
      </c>
      <c r="AB198" s="398">
        <v>0</v>
      </c>
      <c r="AC198" s="398">
        <v>5000</v>
      </c>
      <c r="AD198" s="992">
        <v>20000</v>
      </c>
      <c r="AE198" s="247"/>
      <c r="AF198" s="398">
        <v>0</v>
      </c>
      <c r="AG198" s="398">
        <v>5000</v>
      </c>
      <c r="AH198" s="398">
        <v>0</v>
      </c>
      <c r="AI198" s="398">
        <v>5000</v>
      </c>
      <c r="AJ198" s="398">
        <v>0</v>
      </c>
      <c r="AK198" s="398">
        <v>0</v>
      </c>
      <c r="AL198" s="398">
        <v>0</v>
      </c>
      <c r="AM198" s="398">
        <v>0</v>
      </c>
      <c r="AN198" s="398">
        <v>0</v>
      </c>
      <c r="AO198" s="398">
        <v>0</v>
      </c>
      <c r="AP198" s="398">
        <v>0</v>
      </c>
      <c r="AQ198" s="398">
        <v>0</v>
      </c>
      <c r="AR198" s="992">
        <v>10000</v>
      </c>
      <c r="AS198" s="247"/>
      <c r="AT198" s="398">
        <v>0</v>
      </c>
      <c r="AU198" s="398">
        <v>0</v>
      </c>
      <c r="AV198" s="398">
        <v>0</v>
      </c>
      <c r="AW198" s="398">
        <v>0</v>
      </c>
      <c r="AX198" s="398">
        <v>0</v>
      </c>
      <c r="AY198" s="398">
        <v>0</v>
      </c>
      <c r="AZ198" s="398">
        <v>0</v>
      </c>
      <c r="BA198" s="398">
        <v>0</v>
      </c>
      <c r="BB198" s="398">
        <v>0</v>
      </c>
      <c r="BC198" s="398">
        <v>0</v>
      </c>
      <c r="BD198" s="398">
        <v>0</v>
      </c>
      <c r="BE198" s="398">
        <v>0</v>
      </c>
      <c r="BF198" s="993">
        <v>0</v>
      </c>
      <c r="BG198" s="247"/>
      <c r="BH198" s="398">
        <v>0</v>
      </c>
      <c r="BI198" s="398">
        <v>0</v>
      </c>
      <c r="BJ198" s="398">
        <v>0</v>
      </c>
      <c r="BK198" s="398">
        <v>0</v>
      </c>
      <c r="BL198" s="398">
        <v>0</v>
      </c>
      <c r="BM198" s="398">
        <v>0</v>
      </c>
      <c r="BN198" s="398">
        <v>0</v>
      </c>
      <c r="BO198" s="398">
        <v>0</v>
      </c>
      <c r="BP198" s="398">
        <v>0</v>
      </c>
      <c r="BQ198" s="398">
        <v>0</v>
      </c>
      <c r="BR198" s="398">
        <v>0</v>
      </c>
      <c r="BS198" s="398">
        <v>0</v>
      </c>
      <c r="BT198" s="994">
        <v>0</v>
      </c>
      <c r="BU198" s="247"/>
      <c r="BV198" s="398">
        <v>0</v>
      </c>
      <c r="BW198" s="398">
        <v>0</v>
      </c>
      <c r="BX198" s="398">
        <v>0</v>
      </c>
      <c r="BY198" s="994">
        <v>0</v>
      </c>
      <c r="BZ198" s="994">
        <v>30000</v>
      </c>
    </row>
    <row r="199" spans="1:79" s="108" customFormat="1" ht="27.5" hidden="1" customHeight="1" outlineLevel="4">
      <c r="A199" s="159"/>
      <c r="B199" s="702" t="s">
        <v>2429</v>
      </c>
      <c r="C199" s="702" t="s">
        <v>1279</v>
      </c>
      <c r="D199" s="703" t="s">
        <v>2430</v>
      </c>
      <c r="E199"/>
      <c r="F199" s="1445"/>
      <c r="G199" s="1445"/>
      <c r="H199" s="1445"/>
      <c r="I199" s="1445"/>
      <c r="J199" s="1445"/>
      <c r="K199" s="1445"/>
      <c r="L199" s="1445"/>
      <c r="M199" s="1445"/>
      <c r="N199" s="1445"/>
      <c r="O199" s="1445"/>
      <c r="P199" s="2078">
        <v>0</v>
      </c>
      <c r="Q199" s="247"/>
      <c r="R199" s="1445"/>
      <c r="S199" s="1445"/>
      <c r="T199" s="1445">
        <v>5000</v>
      </c>
      <c r="U199" s="1445"/>
      <c r="V199" s="1445"/>
      <c r="W199" s="1445">
        <v>5000</v>
      </c>
      <c r="X199" s="1445"/>
      <c r="Y199" s="1445"/>
      <c r="Z199" s="1445">
        <v>5000</v>
      </c>
      <c r="AA199" s="1445"/>
      <c r="AB199" s="1445"/>
      <c r="AC199" s="1445">
        <v>5000</v>
      </c>
      <c r="AD199" s="2078">
        <v>20000</v>
      </c>
      <c r="AE199" s="247"/>
      <c r="AF199" s="1445"/>
      <c r="AG199" s="1445"/>
      <c r="AH199" s="1445"/>
      <c r="AI199" s="1445"/>
      <c r="AJ199" s="1445"/>
      <c r="AK199" s="1445"/>
      <c r="AL199" s="1445"/>
      <c r="AM199" s="1445"/>
      <c r="AN199" s="1445"/>
      <c r="AO199" s="1445"/>
      <c r="AP199" s="1445"/>
      <c r="AQ199" s="1445"/>
      <c r="AR199" s="2078">
        <v>0</v>
      </c>
      <c r="AS199" s="247"/>
      <c r="AT199" s="1445"/>
      <c r="AU199" s="1445"/>
      <c r="AV199" s="1445"/>
      <c r="AW199" s="1445"/>
      <c r="AX199" s="1445"/>
      <c r="AY199" s="1445"/>
      <c r="AZ199" s="1445"/>
      <c r="BA199" s="1445"/>
      <c r="BB199" s="1445"/>
      <c r="BC199" s="1445"/>
      <c r="BD199" s="1445"/>
      <c r="BE199" s="1445"/>
      <c r="BF199" s="2079">
        <v>0</v>
      </c>
      <c r="BG199" s="247"/>
      <c r="BH199" s="1445"/>
      <c r="BI199" s="1445"/>
      <c r="BJ199" s="1445"/>
      <c r="BK199" s="1445"/>
      <c r="BL199" s="1445"/>
      <c r="BM199" s="1445"/>
      <c r="BN199" s="1445"/>
      <c r="BO199" s="1445"/>
      <c r="BP199" s="1445"/>
      <c r="BQ199" s="1445"/>
      <c r="BR199" s="1445"/>
      <c r="BS199" s="1445"/>
      <c r="BT199" s="2080">
        <v>0</v>
      </c>
      <c r="BU199" s="247"/>
      <c r="BV199" s="1445"/>
      <c r="BW199" s="1445"/>
      <c r="BX199" s="1445"/>
      <c r="BY199" s="2080">
        <v>0</v>
      </c>
      <c r="BZ199" s="2080">
        <v>20000</v>
      </c>
      <c r="CA199" s="153"/>
    </row>
    <row r="200" spans="1:79" s="108" customFormat="1" ht="27.5" hidden="1" customHeight="1" outlineLevel="4">
      <c r="A200" s="159"/>
      <c r="B200" s="702" t="s">
        <v>2431</v>
      </c>
      <c r="C200" s="702" t="s">
        <v>1279</v>
      </c>
      <c r="D200" s="703" t="s">
        <v>2432</v>
      </c>
      <c r="E200"/>
      <c r="F200" s="1445"/>
      <c r="G200" s="1445"/>
      <c r="H200" s="1445"/>
      <c r="I200" s="1445"/>
      <c r="J200" s="1445"/>
      <c r="K200" s="1445"/>
      <c r="L200" s="1445"/>
      <c r="M200" s="1445"/>
      <c r="N200" s="1445"/>
      <c r="O200" s="1445"/>
      <c r="P200" s="2078">
        <v>0</v>
      </c>
      <c r="Q200" s="247"/>
      <c r="R200" s="1445"/>
      <c r="S200" s="1445"/>
      <c r="T200" s="1445"/>
      <c r="U200" s="1445"/>
      <c r="V200" s="1445"/>
      <c r="W200" s="1445"/>
      <c r="X200" s="1445"/>
      <c r="Y200" s="1445"/>
      <c r="Z200" s="1445"/>
      <c r="AA200" s="1445"/>
      <c r="AB200" s="1445"/>
      <c r="AC200" s="1445"/>
      <c r="AD200" s="2078">
        <v>0</v>
      </c>
      <c r="AE200" s="247"/>
      <c r="AF200" s="1445"/>
      <c r="AG200" s="1445">
        <v>5000</v>
      </c>
      <c r="AH200" s="1445"/>
      <c r="AI200" s="1445">
        <v>5000</v>
      </c>
      <c r="AJ200" s="1445"/>
      <c r="AK200" s="1445"/>
      <c r="AL200" s="1445"/>
      <c r="AM200" s="1445"/>
      <c r="AN200" s="1445"/>
      <c r="AO200" s="1445"/>
      <c r="AP200" s="1445"/>
      <c r="AQ200" s="1445"/>
      <c r="AR200" s="2078">
        <v>10000</v>
      </c>
      <c r="AS200" s="247"/>
      <c r="AT200" s="1445"/>
      <c r="AU200" s="1445"/>
      <c r="AV200" s="1445"/>
      <c r="AW200" s="1445"/>
      <c r="AX200" s="1445"/>
      <c r="AY200" s="1445"/>
      <c r="AZ200" s="1445"/>
      <c r="BA200" s="1445"/>
      <c r="BB200" s="1445"/>
      <c r="BC200" s="1445"/>
      <c r="BD200" s="1445"/>
      <c r="BE200" s="1445"/>
      <c r="BF200" s="2079">
        <v>0</v>
      </c>
      <c r="BG200" s="247"/>
      <c r="BH200" s="1445"/>
      <c r="BI200" s="1445"/>
      <c r="BJ200" s="1445"/>
      <c r="BK200" s="1445"/>
      <c r="BL200" s="1445"/>
      <c r="BM200" s="1445"/>
      <c r="BN200" s="1445"/>
      <c r="BO200" s="1445"/>
      <c r="BP200" s="1445"/>
      <c r="BQ200" s="1445"/>
      <c r="BR200" s="1445"/>
      <c r="BS200" s="1445"/>
      <c r="BT200" s="2080">
        <v>0</v>
      </c>
      <c r="BU200" s="247"/>
      <c r="BV200" s="1445"/>
      <c r="BW200" s="1445"/>
      <c r="BX200" s="1445"/>
      <c r="BY200" s="2080">
        <v>0</v>
      </c>
      <c r="BZ200" s="2080">
        <v>10000</v>
      </c>
      <c r="CA200" s="153"/>
    </row>
    <row r="201" spans="1:79" s="108" customFormat="1" ht="59.5" hidden="1" customHeight="1" outlineLevel="3" collapsed="1">
      <c r="A201" s="159"/>
      <c r="B201" s="702" t="s">
        <v>2433</v>
      </c>
      <c r="C201" s="702" t="s">
        <v>1279</v>
      </c>
      <c r="D201" s="703" t="s">
        <v>2434</v>
      </c>
      <c r="E201"/>
      <c r="F201" s="988"/>
      <c r="G201" s="988"/>
      <c r="H201" s="988"/>
      <c r="I201" s="988"/>
      <c r="J201" s="988"/>
      <c r="K201" s="988"/>
      <c r="L201" s="988"/>
      <c r="M201" s="988"/>
      <c r="N201" s="988"/>
      <c r="O201" s="988"/>
      <c r="P201" s="2043">
        <v>0</v>
      </c>
      <c r="Q201" s="247"/>
      <c r="R201" s="988"/>
      <c r="S201" s="988"/>
      <c r="T201" s="988"/>
      <c r="U201" s="988"/>
      <c r="V201" s="988"/>
      <c r="W201" s="988"/>
      <c r="X201" s="988">
        <v>4000</v>
      </c>
      <c r="Y201" s="988">
        <v>4000</v>
      </c>
      <c r="Z201" s="988">
        <v>4000</v>
      </c>
      <c r="AA201" s="988">
        <v>4000</v>
      </c>
      <c r="AB201" s="988">
        <v>4000</v>
      </c>
      <c r="AC201" s="988">
        <v>4000</v>
      </c>
      <c r="AD201" s="2043">
        <v>24000</v>
      </c>
      <c r="AE201" s="247"/>
      <c r="AF201" s="988"/>
      <c r="AG201" s="988"/>
      <c r="AH201" s="988"/>
      <c r="AI201" s="988"/>
      <c r="AJ201" s="988"/>
      <c r="AK201" s="988"/>
      <c r="AL201" s="988"/>
      <c r="AM201" s="988"/>
      <c r="AN201" s="988"/>
      <c r="AO201" s="988"/>
      <c r="AP201" s="988"/>
      <c r="AQ201" s="988"/>
      <c r="AR201" s="2043">
        <v>0</v>
      </c>
      <c r="AS201" s="247"/>
      <c r="AT201" s="988"/>
      <c r="AU201" s="988"/>
      <c r="AV201" s="988"/>
      <c r="AW201" s="988"/>
      <c r="AX201" s="988"/>
      <c r="AY201" s="988"/>
      <c r="AZ201" s="988"/>
      <c r="BA201" s="988"/>
      <c r="BB201" s="988"/>
      <c r="BC201" s="988"/>
      <c r="BD201" s="988"/>
      <c r="BE201" s="988"/>
      <c r="BF201" s="2032">
        <v>0</v>
      </c>
      <c r="BG201" s="247"/>
      <c r="BH201" s="988"/>
      <c r="BI201" s="988"/>
      <c r="BJ201" s="988"/>
      <c r="BK201" s="988"/>
      <c r="BL201" s="988"/>
      <c r="BM201" s="988"/>
      <c r="BN201" s="988"/>
      <c r="BO201" s="988"/>
      <c r="BP201" s="988"/>
      <c r="BQ201" s="988"/>
      <c r="BR201" s="988"/>
      <c r="BS201" s="988"/>
      <c r="BT201" s="1914">
        <v>0</v>
      </c>
      <c r="BU201" s="247"/>
      <c r="BV201" s="988"/>
      <c r="BW201" s="988"/>
      <c r="BX201" s="988"/>
      <c r="BY201" s="1914">
        <v>0</v>
      </c>
      <c r="BZ201" s="1914">
        <v>24000</v>
      </c>
      <c r="CA201" s="153"/>
    </row>
    <row r="202" spans="1:79" s="108" customFormat="1" ht="48" hidden="1" customHeight="1" outlineLevel="3">
      <c r="B202" s="702" t="s">
        <v>2435</v>
      </c>
      <c r="C202" s="702" t="s">
        <v>1279</v>
      </c>
      <c r="D202" s="703" t="s">
        <v>2436</v>
      </c>
      <c r="E202"/>
      <c r="F202" s="988"/>
      <c r="G202" s="988"/>
      <c r="H202" s="988"/>
      <c r="I202" s="988"/>
      <c r="J202" s="988"/>
      <c r="K202" s="988"/>
      <c r="L202" s="988"/>
      <c r="M202" s="988"/>
      <c r="N202" s="988"/>
      <c r="O202" s="988"/>
      <c r="P202" s="2043">
        <v>0</v>
      </c>
      <c r="Q202" s="247"/>
      <c r="R202" s="988"/>
      <c r="S202" s="988"/>
      <c r="T202" s="988"/>
      <c r="U202" s="988"/>
      <c r="V202" s="988"/>
      <c r="W202" s="988"/>
      <c r="X202" s="988"/>
      <c r="Y202" s="988"/>
      <c r="Z202" s="988"/>
      <c r="AA202" s="988"/>
      <c r="AB202" s="988"/>
      <c r="AC202" s="988"/>
      <c r="AD202" s="2043">
        <v>0</v>
      </c>
      <c r="AE202" s="247"/>
      <c r="AF202" s="988">
        <v>4000</v>
      </c>
      <c r="AG202" s="988">
        <v>4000</v>
      </c>
      <c r="AH202" s="988">
        <v>4000</v>
      </c>
      <c r="AI202" s="988">
        <v>4000</v>
      </c>
      <c r="AJ202" s="988">
        <v>4000</v>
      </c>
      <c r="AK202" s="988">
        <v>4000</v>
      </c>
      <c r="AL202" s="988"/>
      <c r="AM202" s="988"/>
      <c r="AN202" s="988"/>
      <c r="AO202" s="988"/>
      <c r="AP202" s="988"/>
      <c r="AQ202" s="988"/>
      <c r="AR202" s="2043">
        <v>24000</v>
      </c>
      <c r="AS202" s="247"/>
      <c r="AT202" s="988"/>
      <c r="AU202" s="988"/>
      <c r="AV202" s="988"/>
      <c r="AW202" s="988"/>
      <c r="AX202" s="988"/>
      <c r="AY202" s="988"/>
      <c r="AZ202" s="988"/>
      <c r="BA202" s="988"/>
      <c r="BB202" s="988"/>
      <c r="BC202" s="988"/>
      <c r="BD202" s="988"/>
      <c r="BE202" s="988"/>
      <c r="BF202" s="2032">
        <v>0</v>
      </c>
      <c r="BG202" s="247"/>
      <c r="BH202" s="988"/>
      <c r="BI202" s="988"/>
      <c r="BJ202" s="988"/>
      <c r="BK202" s="988"/>
      <c r="BL202" s="988"/>
      <c r="BM202" s="988"/>
      <c r="BN202" s="988"/>
      <c r="BO202" s="988"/>
      <c r="BP202" s="988"/>
      <c r="BQ202" s="988"/>
      <c r="BR202" s="988"/>
      <c r="BS202" s="988"/>
      <c r="BT202" s="1914">
        <v>0</v>
      </c>
      <c r="BU202" s="247"/>
      <c r="BV202" s="988"/>
      <c r="BW202" s="988"/>
      <c r="BX202" s="988"/>
      <c r="BY202" s="1914">
        <v>0</v>
      </c>
      <c r="BZ202" s="1914">
        <v>24000</v>
      </c>
      <c r="CA202" s="153"/>
    </row>
    <row r="203" spans="1:79" s="108" customFormat="1" ht="27" hidden="1" customHeight="1" outlineLevel="3">
      <c r="A203" s="159"/>
      <c r="B203" s="702" t="s">
        <v>2437</v>
      </c>
      <c r="C203" s="702" t="s">
        <v>1279</v>
      </c>
      <c r="D203" s="703" t="s">
        <v>2438</v>
      </c>
      <c r="E203"/>
      <c r="F203" s="988"/>
      <c r="G203" s="988"/>
      <c r="H203" s="988"/>
      <c r="I203" s="988"/>
      <c r="J203" s="988"/>
      <c r="K203" s="988"/>
      <c r="L203" s="988"/>
      <c r="M203" s="988"/>
      <c r="N203" s="988"/>
      <c r="O203" s="988">
        <v>4000</v>
      </c>
      <c r="P203" s="2043">
        <v>4000</v>
      </c>
      <c r="Q203" s="247"/>
      <c r="R203" s="988">
        <v>4000</v>
      </c>
      <c r="S203" s="988">
        <v>4000</v>
      </c>
      <c r="T203" s="988">
        <v>4000</v>
      </c>
      <c r="U203" s="988">
        <v>4000</v>
      </c>
      <c r="V203" s="988">
        <v>4000</v>
      </c>
      <c r="W203" s="988">
        <v>4000</v>
      </c>
      <c r="X203" s="988">
        <v>4000</v>
      </c>
      <c r="Y203" s="988">
        <v>4000</v>
      </c>
      <c r="Z203" s="988">
        <v>4000</v>
      </c>
      <c r="AA203" s="988">
        <v>4000</v>
      </c>
      <c r="AB203" s="988">
        <v>4000</v>
      </c>
      <c r="AC203" s="988">
        <v>4000</v>
      </c>
      <c r="AD203" s="2043">
        <v>48000</v>
      </c>
      <c r="AE203" s="247"/>
      <c r="AF203" s="988">
        <v>4000</v>
      </c>
      <c r="AG203" s="988">
        <v>4000</v>
      </c>
      <c r="AH203" s="988">
        <v>4000</v>
      </c>
      <c r="AI203" s="988">
        <v>4000</v>
      </c>
      <c r="AJ203" s="988">
        <v>4000</v>
      </c>
      <c r="AK203" s="988">
        <v>4000</v>
      </c>
      <c r="AL203" s="988">
        <v>4000</v>
      </c>
      <c r="AM203" s="988">
        <v>4000</v>
      </c>
      <c r="AN203" s="988">
        <v>4000</v>
      </c>
      <c r="AO203" s="988">
        <v>4000</v>
      </c>
      <c r="AP203" s="988">
        <v>4000</v>
      </c>
      <c r="AQ203" s="988">
        <v>4000</v>
      </c>
      <c r="AR203" s="2043">
        <v>48000</v>
      </c>
      <c r="AS203" s="247"/>
      <c r="AT203" s="988">
        <v>4000</v>
      </c>
      <c r="AU203" s="988">
        <v>4000</v>
      </c>
      <c r="AV203" s="988">
        <v>4000</v>
      </c>
      <c r="AW203" s="988">
        <v>4000</v>
      </c>
      <c r="AX203" s="988">
        <v>4000</v>
      </c>
      <c r="AY203" s="988">
        <v>4000</v>
      </c>
      <c r="AZ203" s="988">
        <v>4000</v>
      </c>
      <c r="BA203" s="988">
        <v>4000</v>
      </c>
      <c r="BB203" s="988">
        <v>4000</v>
      </c>
      <c r="BC203" s="988">
        <v>4000</v>
      </c>
      <c r="BD203" s="988">
        <v>4000</v>
      </c>
      <c r="BE203" s="988">
        <v>4000</v>
      </c>
      <c r="BF203" s="2032">
        <v>48000</v>
      </c>
      <c r="BG203" s="247"/>
      <c r="BH203" s="988">
        <v>4000</v>
      </c>
      <c r="BI203" s="988">
        <v>4000</v>
      </c>
      <c r="BJ203" s="988">
        <v>4000</v>
      </c>
      <c r="BK203" s="988">
        <v>4000</v>
      </c>
      <c r="BL203" s="988">
        <v>4000</v>
      </c>
      <c r="BM203" s="988">
        <v>4000</v>
      </c>
      <c r="BN203" s="988">
        <v>4000</v>
      </c>
      <c r="BO203" s="988">
        <v>4000</v>
      </c>
      <c r="BP203" s="988">
        <v>4000</v>
      </c>
      <c r="BQ203" s="988">
        <v>4000</v>
      </c>
      <c r="BR203" s="988">
        <v>4000</v>
      </c>
      <c r="BS203" s="988">
        <v>4000</v>
      </c>
      <c r="BT203" s="1914">
        <v>48000</v>
      </c>
      <c r="BU203" s="247"/>
      <c r="BV203" s="988">
        <v>4000</v>
      </c>
      <c r="BW203" s="988">
        <v>4000</v>
      </c>
      <c r="BX203" s="988">
        <v>36000</v>
      </c>
      <c r="BY203" s="1914">
        <v>44000</v>
      </c>
      <c r="BZ203" s="1914">
        <v>240000</v>
      </c>
      <c r="CA203" s="153"/>
    </row>
    <row r="204" spans="1:79" s="153" customFormat="1" ht="28.25" customHeight="1" outlineLevel="2" collapsed="1">
      <c r="A204" s="172"/>
      <c r="B204" s="171" t="s">
        <v>522</v>
      </c>
      <c r="C204" s="171"/>
      <c r="D204" s="538" t="s">
        <v>261</v>
      </c>
      <c r="E204"/>
      <c r="F204" s="176">
        <v>0</v>
      </c>
      <c r="G204" s="176">
        <v>0</v>
      </c>
      <c r="H204" s="176">
        <v>0</v>
      </c>
      <c r="I204" s="176">
        <v>0</v>
      </c>
      <c r="J204" s="176">
        <v>0</v>
      </c>
      <c r="K204" s="176">
        <v>0</v>
      </c>
      <c r="L204" s="176">
        <v>0</v>
      </c>
      <c r="M204" s="176">
        <v>0</v>
      </c>
      <c r="N204" s="176">
        <v>0</v>
      </c>
      <c r="O204" s="176">
        <v>0</v>
      </c>
      <c r="P204" s="1451">
        <v>0</v>
      </c>
      <c r="Q204"/>
      <c r="R204" s="176">
        <v>0</v>
      </c>
      <c r="S204" s="176">
        <v>0</v>
      </c>
      <c r="T204" s="176">
        <v>0</v>
      </c>
      <c r="U204" s="176">
        <v>66000</v>
      </c>
      <c r="V204" s="176">
        <v>24000</v>
      </c>
      <c r="W204" s="176">
        <v>24000</v>
      </c>
      <c r="X204" s="176">
        <v>59000</v>
      </c>
      <c r="Y204" s="176">
        <v>24000</v>
      </c>
      <c r="Z204" s="176">
        <v>29000</v>
      </c>
      <c r="AA204" s="176">
        <v>56000</v>
      </c>
      <c r="AB204" s="176">
        <v>21000</v>
      </c>
      <c r="AC204" s="176">
        <v>16000</v>
      </c>
      <c r="AD204" s="1451">
        <v>319000</v>
      </c>
      <c r="AE204"/>
      <c r="AF204" s="176">
        <v>47000</v>
      </c>
      <c r="AG204" s="176">
        <v>19000</v>
      </c>
      <c r="AH204" s="176">
        <v>19000</v>
      </c>
      <c r="AI204" s="176">
        <v>3000</v>
      </c>
      <c r="AJ204" s="176">
        <v>3000</v>
      </c>
      <c r="AK204" s="176">
        <v>3000</v>
      </c>
      <c r="AL204" s="176">
        <v>3000</v>
      </c>
      <c r="AM204" s="176">
        <v>3000</v>
      </c>
      <c r="AN204" s="176">
        <v>3000</v>
      </c>
      <c r="AO204" s="176">
        <v>93000</v>
      </c>
      <c r="AP204" s="176">
        <v>3000</v>
      </c>
      <c r="AQ204" s="176">
        <v>3000</v>
      </c>
      <c r="AR204" s="1451">
        <v>202000</v>
      </c>
      <c r="AS204"/>
      <c r="AT204" s="176">
        <v>6000</v>
      </c>
      <c r="AU204" s="176">
        <v>96000</v>
      </c>
      <c r="AV204" s="176">
        <v>6000</v>
      </c>
      <c r="AW204" s="176">
        <v>6000</v>
      </c>
      <c r="AX204" s="176">
        <v>6000</v>
      </c>
      <c r="AY204" s="176">
        <v>96000</v>
      </c>
      <c r="AZ204" s="176">
        <v>6000</v>
      </c>
      <c r="BA204" s="176">
        <v>6000</v>
      </c>
      <c r="BB204" s="176">
        <v>6000</v>
      </c>
      <c r="BC204" s="176">
        <v>96000</v>
      </c>
      <c r="BD204" s="176">
        <v>6000</v>
      </c>
      <c r="BE204" s="176">
        <v>6000</v>
      </c>
      <c r="BF204" s="1451">
        <v>342000</v>
      </c>
      <c r="BG204"/>
      <c r="BH204" s="176">
        <v>6000</v>
      </c>
      <c r="BI204" s="176">
        <v>6000</v>
      </c>
      <c r="BJ204" s="176">
        <v>6000</v>
      </c>
      <c r="BK204" s="176">
        <v>6000</v>
      </c>
      <c r="BL204" s="176">
        <v>6000</v>
      </c>
      <c r="BM204" s="176">
        <v>6000</v>
      </c>
      <c r="BN204" s="176">
        <v>6000</v>
      </c>
      <c r="BO204" s="176">
        <v>6000</v>
      </c>
      <c r="BP204" s="176">
        <v>6000</v>
      </c>
      <c r="BQ204" s="176">
        <v>6000</v>
      </c>
      <c r="BR204" s="176">
        <v>6000</v>
      </c>
      <c r="BS204" s="176">
        <v>6000</v>
      </c>
      <c r="BT204" s="1451">
        <v>72000</v>
      </c>
      <c r="BU204"/>
      <c r="BV204" s="176">
        <v>0</v>
      </c>
      <c r="BW204" s="176">
        <v>0</v>
      </c>
      <c r="BX204" s="176">
        <v>0</v>
      </c>
      <c r="BY204" s="1451">
        <v>0</v>
      </c>
      <c r="BZ204" s="1451">
        <v>935000</v>
      </c>
    </row>
    <row r="205" spans="1:79" s="108" customFormat="1" ht="28.25" hidden="1" customHeight="1" outlineLevel="3">
      <c r="A205" s="159"/>
      <c r="B205" s="702" t="s">
        <v>2439</v>
      </c>
      <c r="C205" s="702" t="s">
        <v>1279</v>
      </c>
      <c r="D205" s="1339" t="s">
        <v>2440</v>
      </c>
      <c r="E205"/>
      <c r="F205" s="2130"/>
      <c r="G205" s="2130"/>
      <c r="H205" s="2130"/>
      <c r="I205" s="2130"/>
      <c r="J205" s="2130"/>
      <c r="K205" s="2130"/>
      <c r="L205" s="2130"/>
      <c r="M205" s="2130"/>
      <c r="N205" s="2130"/>
      <c r="O205" s="2130"/>
      <c r="P205" s="2131">
        <v>0</v>
      </c>
      <c r="Q205"/>
      <c r="R205" s="2130"/>
      <c r="S205" s="2130"/>
      <c r="T205" s="2130"/>
      <c r="U205" s="2130"/>
      <c r="V205" s="2130"/>
      <c r="W205" s="2130"/>
      <c r="X205" s="2130"/>
      <c r="Y205" s="2130"/>
      <c r="Z205" s="2130">
        <v>5000</v>
      </c>
      <c r="AA205" s="2130">
        <v>5000</v>
      </c>
      <c r="AB205" s="2130">
        <v>5000</v>
      </c>
      <c r="AC205" s="2130"/>
      <c r="AD205" s="2131">
        <v>15000</v>
      </c>
      <c r="AE205"/>
      <c r="AF205" s="2130"/>
      <c r="AG205" s="2130"/>
      <c r="AH205" s="2130"/>
      <c r="AI205" s="2130"/>
      <c r="AJ205" s="2130"/>
      <c r="AK205" s="2130"/>
      <c r="AL205" s="2130"/>
      <c r="AM205" s="2130"/>
      <c r="AN205" s="2130"/>
      <c r="AO205" s="2130"/>
      <c r="AP205" s="2130"/>
      <c r="AQ205" s="2130"/>
      <c r="AR205" s="2131">
        <v>0</v>
      </c>
      <c r="AS205"/>
      <c r="AT205" s="2130"/>
      <c r="AU205" s="2130"/>
      <c r="AV205" s="2130"/>
      <c r="AW205" s="2130"/>
      <c r="AX205" s="2130"/>
      <c r="AY205" s="2130"/>
      <c r="AZ205" s="2130"/>
      <c r="BA205" s="2130"/>
      <c r="BB205" s="2130"/>
      <c r="BC205" s="2130"/>
      <c r="BD205" s="2130"/>
      <c r="BE205" s="2130"/>
      <c r="BF205" s="2131">
        <v>0</v>
      </c>
      <c r="BG205"/>
      <c r="BH205" s="2130"/>
      <c r="BI205" s="2130"/>
      <c r="BJ205" s="2130"/>
      <c r="BK205" s="2130"/>
      <c r="BL205" s="2130"/>
      <c r="BM205" s="2130"/>
      <c r="BN205" s="2130"/>
      <c r="BO205" s="2130"/>
      <c r="BP205" s="2130"/>
      <c r="BQ205" s="2130"/>
      <c r="BR205" s="2130"/>
      <c r="BS205" s="2130"/>
      <c r="BT205" s="2131">
        <v>0</v>
      </c>
      <c r="BU205"/>
      <c r="BV205" s="2130"/>
      <c r="BW205" s="2130"/>
      <c r="BX205" s="2130"/>
      <c r="BY205" s="2131">
        <v>0</v>
      </c>
      <c r="BZ205" s="2131">
        <v>15000</v>
      </c>
    </row>
    <row r="206" spans="1:79" s="153" customFormat="1" ht="27.5" hidden="1" customHeight="1" outlineLevel="3">
      <c r="A206" s="581"/>
      <c r="B206" s="395" t="s">
        <v>2439</v>
      </c>
      <c r="C206" s="395"/>
      <c r="D206" s="1249" t="s">
        <v>2441</v>
      </c>
      <c r="E206"/>
      <c r="F206" s="992">
        <v>0</v>
      </c>
      <c r="G206" s="992">
        <v>0</v>
      </c>
      <c r="H206" s="992">
        <v>0</v>
      </c>
      <c r="I206" s="992">
        <v>0</v>
      </c>
      <c r="J206" s="992">
        <v>0</v>
      </c>
      <c r="K206" s="992">
        <v>0</v>
      </c>
      <c r="L206" s="992">
        <v>0</v>
      </c>
      <c r="M206" s="992">
        <v>0</v>
      </c>
      <c r="N206" s="992">
        <v>0</v>
      </c>
      <c r="O206" s="992">
        <v>0</v>
      </c>
      <c r="P206" s="992">
        <v>0</v>
      </c>
      <c r="Q206"/>
      <c r="R206" s="992">
        <v>0</v>
      </c>
      <c r="S206" s="992">
        <v>0</v>
      </c>
      <c r="T206" s="992">
        <v>0</v>
      </c>
      <c r="U206" s="992">
        <v>0</v>
      </c>
      <c r="V206" s="992">
        <v>0</v>
      </c>
      <c r="W206" s="992">
        <v>0</v>
      </c>
      <c r="X206" s="992">
        <v>0</v>
      </c>
      <c r="Y206" s="992">
        <v>0</v>
      </c>
      <c r="Z206" s="992">
        <v>0</v>
      </c>
      <c r="AA206" s="992">
        <v>0</v>
      </c>
      <c r="AB206" s="992">
        <v>0</v>
      </c>
      <c r="AC206" s="992">
        <v>0</v>
      </c>
      <c r="AD206" s="992">
        <v>0</v>
      </c>
      <c r="AE206"/>
      <c r="AF206" s="992">
        <v>0</v>
      </c>
      <c r="AG206" s="992">
        <v>0</v>
      </c>
      <c r="AH206" s="992">
        <v>0</v>
      </c>
      <c r="AI206" s="992">
        <v>0</v>
      </c>
      <c r="AJ206" s="992">
        <v>0</v>
      </c>
      <c r="AK206" s="992">
        <v>0</v>
      </c>
      <c r="AL206" s="992">
        <v>0</v>
      </c>
      <c r="AM206" s="992">
        <v>0</v>
      </c>
      <c r="AN206" s="992">
        <v>0</v>
      </c>
      <c r="AO206" s="992">
        <v>90000</v>
      </c>
      <c r="AP206" s="992">
        <v>0</v>
      </c>
      <c r="AQ206" s="992">
        <v>0</v>
      </c>
      <c r="AR206" s="992">
        <v>90000</v>
      </c>
      <c r="AS206"/>
      <c r="AT206" s="992">
        <v>0</v>
      </c>
      <c r="AU206" s="992">
        <v>90000</v>
      </c>
      <c r="AV206" s="992">
        <v>0</v>
      </c>
      <c r="AW206" s="992">
        <v>0</v>
      </c>
      <c r="AX206" s="992">
        <v>0</v>
      </c>
      <c r="AY206" s="992">
        <v>90000</v>
      </c>
      <c r="AZ206" s="992">
        <v>0</v>
      </c>
      <c r="BA206" s="992">
        <v>0</v>
      </c>
      <c r="BB206" s="992">
        <v>0</v>
      </c>
      <c r="BC206" s="992">
        <v>90000</v>
      </c>
      <c r="BD206" s="992">
        <v>0</v>
      </c>
      <c r="BE206" s="992">
        <v>0</v>
      </c>
      <c r="BF206" s="993">
        <v>270000</v>
      </c>
      <c r="BG206"/>
      <c r="BH206" s="992">
        <v>0</v>
      </c>
      <c r="BI206" s="992">
        <v>0</v>
      </c>
      <c r="BJ206" s="992">
        <v>0</v>
      </c>
      <c r="BK206" s="992">
        <v>0</v>
      </c>
      <c r="BL206" s="992">
        <v>0</v>
      </c>
      <c r="BM206" s="992">
        <v>0</v>
      </c>
      <c r="BN206" s="992">
        <v>0</v>
      </c>
      <c r="BO206" s="992">
        <v>0</v>
      </c>
      <c r="BP206" s="992">
        <v>0</v>
      </c>
      <c r="BQ206" s="992">
        <v>0</v>
      </c>
      <c r="BR206" s="992">
        <v>0</v>
      </c>
      <c r="BS206" s="992">
        <v>0</v>
      </c>
      <c r="BT206" s="994">
        <v>0</v>
      </c>
      <c r="BU206"/>
      <c r="BV206" s="992">
        <v>0</v>
      </c>
      <c r="BW206" s="992">
        <v>0</v>
      </c>
      <c r="BX206" s="992">
        <v>0</v>
      </c>
      <c r="BY206" s="994">
        <v>0</v>
      </c>
      <c r="BZ206" s="994">
        <v>360000</v>
      </c>
    </row>
    <row r="207" spans="1:79" s="108" customFormat="1" ht="14" hidden="1" customHeight="1" outlineLevel="4">
      <c r="A207" s="184"/>
      <c r="B207" s="441" t="s">
        <v>2442</v>
      </c>
      <c r="C207" s="441"/>
      <c r="D207" s="533" t="s">
        <v>2443</v>
      </c>
      <c r="E207"/>
      <c r="F207" s="3787"/>
      <c r="G207" s="3787"/>
      <c r="H207" s="3787"/>
      <c r="I207" s="3787"/>
      <c r="J207" s="3787"/>
      <c r="K207" s="3787"/>
      <c r="L207" s="3787"/>
      <c r="M207" s="3787"/>
      <c r="N207" s="3787"/>
      <c r="O207" s="3787"/>
      <c r="P207" s="3787">
        <v>0</v>
      </c>
      <c r="Q207" s="3787"/>
      <c r="R207" s="3787"/>
      <c r="S207" s="3787"/>
      <c r="T207" s="3787"/>
      <c r="U207" s="3787"/>
      <c r="V207" s="3787"/>
      <c r="W207" s="3787"/>
      <c r="X207" s="3787"/>
      <c r="Y207" s="3787"/>
      <c r="Z207" s="3787"/>
      <c r="AA207" s="3787"/>
      <c r="AB207" s="3787"/>
      <c r="AC207" s="3787"/>
      <c r="AD207" s="3787">
        <v>0</v>
      </c>
      <c r="AE207" s="3787"/>
      <c r="AF207" s="3787"/>
      <c r="AG207" s="3787"/>
      <c r="AH207" s="3787"/>
      <c r="AI207" s="3787"/>
      <c r="AJ207" s="3787"/>
      <c r="AK207" s="3787"/>
      <c r="AL207" s="3787"/>
      <c r="AM207" s="3787"/>
      <c r="AN207" s="3787"/>
      <c r="AO207" s="3787">
        <v>90000</v>
      </c>
      <c r="AP207" s="3787"/>
      <c r="AQ207" s="3787"/>
      <c r="AR207" s="3787">
        <v>90000</v>
      </c>
      <c r="AS207" s="3787"/>
      <c r="AT207" s="3787"/>
      <c r="AU207" s="3787">
        <v>90000</v>
      </c>
      <c r="AV207" s="3787"/>
      <c r="AW207" s="3787"/>
      <c r="AX207" s="3787"/>
      <c r="AY207" s="3787">
        <v>90000</v>
      </c>
      <c r="AZ207" s="3787"/>
      <c r="BA207" s="3787"/>
      <c r="BB207" s="3787"/>
      <c r="BC207" s="3787">
        <v>90000</v>
      </c>
      <c r="BD207" s="3787"/>
      <c r="BE207" s="3787"/>
      <c r="BF207" s="3787">
        <v>270000</v>
      </c>
      <c r="BG207" s="3787"/>
      <c r="BH207" s="3787"/>
      <c r="BI207" s="3787"/>
      <c r="BJ207" s="3787"/>
      <c r="BK207" s="3787"/>
      <c r="BL207" s="3787"/>
      <c r="BM207" s="3787"/>
      <c r="BN207" s="3787"/>
      <c r="BO207" s="3787"/>
      <c r="BP207" s="3787"/>
      <c r="BQ207" s="3787"/>
      <c r="BR207" s="3787"/>
      <c r="BS207" s="3787"/>
      <c r="BT207" s="3787">
        <v>0</v>
      </c>
      <c r="BU207" s="3787"/>
      <c r="BV207" s="3787"/>
      <c r="BW207" s="3787"/>
      <c r="BX207" s="3787"/>
      <c r="BY207" s="3787">
        <v>0</v>
      </c>
      <c r="BZ207" s="3787">
        <v>360000</v>
      </c>
      <c r="CA207" s="153"/>
    </row>
    <row r="208" spans="1:79" s="108" customFormat="1" ht="27.5" hidden="1" customHeight="1" outlineLevel="4">
      <c r="A208" s="184"/>
      <c r="B208" s="441" t="s">
        <v>2444</v>
      </c>
      <c r="C208" s="441"/>
      <c r="D208" s="533" t="s">
        <v>2445</v>
      </c>
      <c r="E208"/>
      <c r="F208" s="3788"/>
      <c r="G208" s="3788"/>
      <c r="H208" s="3788"/>
      <c r="I208" s="3788"/>
      <c r="J208" s="3788"/>
      <c r="K208" s="3788"/>
      <c r="L208" s="3788"/>
      <c r="M208" s="3788"/>
      <c r="N208" s="3788"/>
      <c r="O208" s="3788"/>
      <c r="P208" s="3788">
        <f t="shared" ref="P208:P255" si="10">SUM(F208:O208)</f>
        <v>0</v>
      </c>
      <c r="Q208" s="3788"/>
      <c r="R208" s="3788"/>
      <c r="S208" s="3788"/>
      <c r="T208" s="3788"/>
      <c r="U208" s="3788"/>
      <c r="V208" s="3788"/>
      <c r="W208" s="3788"/>
      <c r="X208" s="3788"/>
      <c r="Y208" s="3788"/>
      <c r="Z208" s="3788"/>
      <c r="AA208" s="3788"/>
      <c r="AB208" s="3788"/>
      <c r="AC208" s="3788"/>
      <c r="AD208" s="3788">
        <f t="shared" ref="AD208:AD255" si="11">SUM(R208:AC208)</f>
        <v>0</v>
      </c>
      <c r="AE208" s="3788"/>
      <c r="AF208" s="3788"/>
      <c r="AG208" s="3788"/>
      <c r="AH208" s="3788"/>
      <c r="AI208" s="3788"/>
      <c r="AJ208" s="3788"/>
      <c r="AK208" s="3788"/>
      <c r="AL208" s="3788"/>
      <c r="AM208" s="3788"/>
      <c r="AN208" s="3788"/>
      <c r="AO208" s="3788"/>
      <c r="AP208" s="3788"/>
      <c r="AQ208" s="3788"/>
      <c r="AR208" s="3788">
        <f t="shared" ref="AR208:AR255" si="12">SUM(AF208:AQ208)</f>
        <v>0</v>
      </c>
      <c r="AS208" s="3788"/>
      <c r="AT208" s="3788"/>
      <c r="AU208" s="3788"/>
      <c r="AV208" s="3788"/>
      <c r="AW208" s="3788"/>
      <c r="AX208" s="3788"/>
      <c r="AY208" s="3788"/>
      <c r="AZ208" s="3788"/>
      <c r="BA208" s="3788"/>
      <c r="BB208" s="3788"/>
      <c r="BC208" s="3788"/>
      <c r="BD208" s="3788"/>
      <c r="BE208" s="3788"/>
      <c r="BF208" s="3788">
        <f t="shared" ref="BF208:BF255" si="13">SUM(AT208:BE208)</f>
        <v>0</v>
      </c>
      <c r="BG208" s="3788"/>
      <c r="BH208" s="3788"/>
      <c r="BI208" s="3788"/>
      <c r="BJ208" s="3788"/>
      <c r="BK208" s="3788"/>
      <c r="BL208" s="3788"/>
      <c r="BM208" s="3788"/>
      <c r="BN208" s="3788"/>
      <c r="BO208" s="3788"/>
      <c r="BP208" s="3788"/>
      <c r="BQ208" s="3788"/>
      <c r="BR208" s="3788"/>
      <c r="BS208" s="3788"/>
      <c r="BT208" s="3788">
        <f t="shared" ref="BT208:BT255" si="14">SUM(BH208:BS208)</f>
        <v>0</v>
      </c>
      <c r="BU208" s="3788"/>
      <c r="BV208" s="3788"/>
      <c r="BW208" s="3788"/>
      <c r="BX208" s="3788"/>
      <c r="BY208" s="3788">
        <f t="shared" ref="BY208:BY255" si="15">SUM(BV208:BX208)</f>
        <v>0</v>
      </c>
      <c r="BZ208" s="3788">
        <f>+P208+AD208+AR208+BF208+BT208+BY208</f>
        <v>0</v>
      </c>
      <c r="CA208" s="153"/>
    </row>
    <row r="209" spans="1:79" s="108" customFormat="1" ht="14.5" hidden="1" customHeight="1" outlineLevel="4">
      <c r="A209" s="184"/>
      <c r="B209" s="441" t="s">
        <v>2446</v>
      </c>
      <c r="C209" s="441"/>
      <c r="D209" s="1152" t="s">
        <v>2447</v>
      </c>
      <c r="E209"/>
      <c r="F209" s="3788"/>
      <c r="G209" s="3788"/>
      <c r="H209" s="3788"/>
      <c r="I209" s="3788"/>
      <c r="J209" s="3788"/>
      <c r="K209" s="3788"/>
      <c r="L209" s="3788"/>
      <c r="M209" s="3788"/>
      <c r="N209" s="3788"/>
      <c r="O209" s="3788"/>
      <c r="P209" s="3788">
        <f t="shared" si="10"/>
        <v>0</v>
      </c>
      <c r="Q209" s="3788"/>
      <c r="R209" s="3788"/>
      <c r="S209" s="3788"/>
      <c r="T209" s="3788"/>
      <c r="U209" s="3788"/>
      <c r="V209" s="3788"/>
      <c r="W209" s="3788"/>
      <c r="X209" s="3788"/>
      <c r="Y209" s="3788"/>
      <c r="Z209" s="3788"/>
      <c r="AA209" s="3788"/>
      <c r="AB209" s="3788"/>
      <c r="AC209" s="3788"/>
      <c r="AD209" s="3788">
        <f t="shared" si="11"/>
        <v>0</v>
      </c>
      <c r="AE209" s="3788"/>
      <c r="AF209" s="3788"/>
      <c r="AG209" s="3788"/>
      <c r="AH209" s="3788"/>
      <c r="AI209" s="3788"/>
      <c r="AJ209" s="3788"/>
      <c r="AK209" s="3788"/>
      <c r="AL209" s="3788"/>
      <c r="AM209" s="3788"/>
      <c r="AN209" s="3788"/>
      <c r="AO209" s="3788"/>
      <c r="AP209" s="3788"/>
      <c r="AQ209" s="3788"/>
      <c r="AR209" s="3788">
        <f t="shared" si="12"/>
        <v>0</v>
      </c>
      <c r="AS209" s="3788"/>
      <c r="AT209" s="3788"/>
      <c r="AU209" s="3788"/>
      <c r="AV209" s="3788"/>
      <c r="AW209" s="3788"/>
      <c r="AX209" s="3788"/>
      <c r="AY209" s="3788"/>
      <c r="AZ209" s="3788"/>
      <c r="BA209" s="3788"/>
      <c r="BB209" s="3788"/>
      <c r="BC209" s="3788"/>
      <c r="BD209" s="3788"/>
      <c r="BE209" s="3788"/>
      <c r="BF209" s="3788">
        <f t="shared" si="13"/>
        <v>0</v>
      </c>
      <c r="BG209" s="3788"/>
      <c r="BH209" s="3788"/>
      <c r="BI209" s="3788"/>
      <c r="BJ209" s="3788"/>
      <c r="BK209" s="3788"/>
      <c r="BL209" s="3788"/>
      <c r="BM209" s="3788"/>
      <c r="BN209" s="3788"/>
      <c r="BO209" s="3788"/>
      <c r="BP209" s="3788"/>
      <c r="BQ209" s="3788"/>
      <c r="BR209" s="3788"/>
      <c r="BS209" s="3788"/>
      <c r="BT209" s="3788">
        <f t="shared" si="14"/>
        <v>0</v>
      </c>
      <c r="BU209" s="3788"/>
      <c r="BV209" s="3788"/>
      <c r="BW209" s="3788"/>
      <c r="BX209" s="3788"/>
      <c r="BY209" s="3788">
        <f t="shared" si="15"/>
        <v>0</v>
      </c>
      <c r="BZ209" s="3788">
        <f>+P209+AD209+AR209+BF209+BT209+BY209</f>
        <v>0</v>
      </c>
      <c r="CA209" s="153"/>
    </row>
    <row r="210" spans="1:79" s="108" customFormat="1" ht="27.5" hidden="1" customHeight="1" outlineLevel="4">
      <c r="A210" s="184"/>
      <c r="B210" s="441" t="s">
        <v>2448</v>
      </c>
      <c r="C210" s="441"/>
      <c r="D210" s="1152" t="s">
        <v>2449</v>
      </c>
      <c r="E210"/>
      <c r="F210" s="3788"/>
      <c r="G210" s="3788"/>
      <c r="H210" s="3788"/>
      <c r="I210" s="3788"/>
      <c r="J210" s="3788"/>
      <c r="K210" s="3788"/>
      <c r="L210" s="3788"/>
      <c r="M210" s="3788"/>
      <c r="N210" s="3788"/>
      <c r="O210" s="3788"/>
      <c r="P210" s="3788">
        <f t="shared" si="10"/>
        <v>0</v>
      </c>
      <c r="Q210" s="3788"/>
      <c r="R210" s="3788"/>
      <c r="S210" s="3788"/>
      <c r="T210" s="3788"/>
      <c r="U210" s="3788"/>
      <c r="V210" s="3788"/>
      <c r="W210" s="3788"/>
      <c r="X210" s="3788"/>
      <c r="Y210" s="3788"/>
      <c r="Z210" s="3788"/>
      <c r="AA210" s="3788"/>
      <c r="AB210" s="3788"/>
      <c r="AC210" s="3788"/>
      <c r="AD210" s="3788">
        <f t="shared" si="11"/>
        <v>0</v>
      </c>
      <c r="AE210" s="3788"/>
      <c r="AF210" s="3788"/>
      <c r="AG210" s="3788"/>
      <c r="AH210" s="3788"/>
      <c r="AI210" s="3788"/>
      <c r="AJ210" s="3788"/>
      <c r="AK210" s="3788"/>
      <c r="AL210" s="3788"/>
      <c r="AM210" s="3788"/>
      <c r="AN210" s="3788"/>
      <c r="AO210" s="3788"/>
      <c r="AP210" s="3788"/>
      <c r="AQ210" s="3788"/>
      <c r="AR210" s="3788">
        <f t="shared" si="12"/>
        <v>0</v>
      </c>
      <c r="AS210" s="3788"/>
      <c r="AT210" s="3788"/>
      <c r="AU210" s="3788"/>
      <c r="AV210" s="3788"/>
      <c r="AW210" s="3788"/>
      <c r="AX210" s="3788"/>
      <c r="AY210" s="3788"/>
      <c r="AZ210" s="3788"/>
      <c r="BA210" s="3788"/>
      <c r="BB210" s="3788"/>
      <c r="BC210" s="3788"/>
      <c r="BD210" s="3788"/>
      <c r="BE210" s="3788"/>
      <c r="BF210" s="3788">
        <f t="shared" si="13"/>
        <v>0</v>
      </c>
      <c r="BG210" s="3788"/>
      <c r="BH210" s="3788"/>
      <c r="BI210" s="3788"/>
      <c r="BJ210" s="3788"/>
      <c r="BK210" s="3788"/>
      <c r="BL210" s="3788"/>
      <c r="BM210" s="3788"/>
      <c r="BN210" s="3788"/>
      <c r="BO210" s="3788"/>
      <c r="BP210" s="3788"/>
      <c r="BQ210" s="3788"/>
      <c r="BR210" s="3788"/>
      <c r="BS210" s="3788"/>
      <c r="BT210" s="3788">
        <f t="shared" si="14"/>
        <v>0</v>
      </c>
      <c r="BU210" s="3788"/>
      <c r="BV210" s="3788"/>
      <c r="BW210" s="3788"/>
      <c r="BX210" s="3788"/>
      <c r="BY210" s="3788">
        <f t="shared" si="15"/>
        <v>0</v>
      </c>
      <c r="BZ210" s="3788">
        <f>+P210+AD210+AR210+BF210+BT210+BY210</f>
        <v>0</v>
      </c>
      <c r="CA210" s="153"/>
    </row>
    <row r="211" spans="1:79" s="108" customFormat="1" ht="30.5" hidden="1" customHeight="1" outlineLevel="4">
      <c r="A211" s="184"/>
      <c r="B211" s="441" t="s">
        <v>2450</v>
      </c>
      <c r="C211" s="441"/>
      <c r="D211" s="1152" t="s">
        <v>2451</v>
      </c>
      <c r="E211"/>
      <c r="F211" s="3789"/>
      <c r="G211" s="3789"/>
      <c r="H211" s="3789"/>
      <c r="I211" s="3789"/>
      <c r="J211" s="3789"/>
      <c r="K211" s="3789"/>
      <c r="L211" s="3789"/>
      <c r="M211" s="3789"/>
      <c r="N211" s="3789"/>
      <c r="O211" s="3789"/>
      <c r="P211" s="3789">
        <f t="shared" si="10"/>
        <v>0</v>
      </c>
      <c r="Q211" s="3789"/>
      <c r="R211" s="3789"/>
      <c r="S211" s="3789"/>
      <c r="T211" s="3789"/>
      <c r="U211" s="3789"/>
      <c r="V211" s="3789"/>
      <c r="W211" s="3789"/>
      <c r="X211" s="3789"/>
      <c r="Y211" s="3789"/>
      <c r="Z211" s="3789"/>
      <c r="AA211" s="3789"/>
      <c r="AB211" s="3789"/>
      <c r="AC211" s="3789"/>
      <c r="AD211" s="3789">
        <f t="shared" si="11"/>
        <v>0</v>
      </c>
      <c r="AE211" s="3789"/>
      <c r="AF211" s="3789"/>
      <c r="AG211" s="3789"/>
      <c r="AH211" s="3789"/>
      <c r="AI211" s="3789"/>
      <c r="AJ211" s="3789"/>
      <c r="AK211" s="3789"/>
      <c r="AL211" s="3789"/>
      <c r="AM211" s="3789"/>
      <c r="AN211" s="3789"/>
      <c r="AO211" s="3789"/>
      <c r="AP211" s="3789"/>
      <c r="AQ211" s="3789"/>
      <c r="AR211" s="3789">
        <f t="shared" si="12"/>
        <v>0</v>
      </c>
      <c r="AS211" s="3789"/>
      <c r="AT211" s="3789"/>
      <c r="AU211" s="3789"/>
      <c r="AV211" s="3789"/>
      <c r="AW211" s="3789"/>
      <c r="AX211" s="3789"/>
      <c r="AY211" s="3789"/>
      <c r="AZ211" s="3789"/>
      <c r="BA211" s="3789"/>
      <c r="BB211" s="3789"/>
      <c r="BC211" s="3789"/>
      <c r="BD211" s="3789"/>
      <c r="BE211" s="3789"/>
      <c r="BF211" s="3789">
        <f t="shared" si="13"/>
        <v>0</v>
      </c>
      <c r="BG211" s="3789"/>
      <c r="BH211" s="3789"/>
      <c r="BI211" s="3789"/>
      <c r="BJ211" s="3789"/>
      <c r="BK211" s="3789"/>
      <c r="BL211" s="3789"/>
      <c r="BM211" s="3789"/>
      <c r="BN211" s="3789"/>
      <c r="BO211" s="3789"/>
      <c r="BP211" s="3789"/>
      <c r="BQ211" s="3789"/>
      <c r="BR211" s="3789"/>
      <c r="BS211" s="3789"/>
      <c r="BT211" s="3789">
        <f t="shared" si="14"/>
        <v>0</v>
      </c>
      <c r="BU211" s="3789"/>
      <c r="BV211" s="3789"/>
      <c r="BW211" s="3789"/>
      <c r="BX211" s="3789"/>
      <c r="BY211" s="3789">
        <f t="shared" si="15"/>
        <v>0</v>
      </c>
      <c r="BZ211" s="3789">
        <f>+P211+AD211+AR211+BF211+BT211+BY211</f>
        <v>0</v>
      </c>
      <c r="CA211" s="153"/>
    </row>
    <row r="212" spans="1:79" s="153" customFormat="1" ht="14" hidden="1" customHeight="1" outlineLevel="3" collapsed="1">
      <c r="A212" s="581"/>
      <c r="B212" s="395" t="s">
        <v>2452</v>
      </c>
      <c r="C212" s="395"/>
      <c r="D212" s="1249" t="s">
        <v>2453</v>
      </c>
      <c r="E212"/>
      <c r="F212" s="398">
        <v>0</v>
      </c>
      <c r="G212" s="398">
        <v>0</v>
      </c>
      <c r="H212" s="398">
        <v>0</v>
      </c>
      <c r="I212" s="398">
        <v>0</v>
      </c>
      <c r="J212" s="398">
        <v>0</v>
      </c>
      <c r="K212" s="398">
        <v>0</v>
      </c>
      <c r="L212" s="398">
        <v>0</v>
      </c>
      <c r="M212" s="398">
        <v>0</v>
      </c>
      <c r="N212" s="398">
        <v>0</v>
      </c>
      <c r="O212" s="398">
        <v>0</v>
      </c>
      <c r="P212" s="398">
        <v>0</v>
      </c>
      <c r="Q212"/>
      <c r="R212" s="398">
        <v>0</v>
      </c>
      <c r="S212" s="398">
        <v>0</v>
      </c>
      <c r="T212" s="398">
        <v>0</v>
      </c>
      <c r="U212" s="398">
        <v>66000</v>
      </c>
      <c r="V212" s="398">
        <v>24000</v>
      </c>
      <c r="W212" s="398">
        <v>24000</v>
      </c>
      <c r="X212" s="398">
        <v>59000</v>
      </c>
      <c r="Y212" s="398">
        <v>24000</v>
      </c>
      <c r="Z212" s="398">
        <v>24000</v>
      </c>
      <c r="AA212" s="398">
        <v>51000</v>
      </c>
      <c r="AB212" s="398">
        <v>16000</v>
      </c>
      <c r="AC212" s="398">
        <v>16000</v>
      </c>
      <c r="AD212" s="398">
        <v>304000</v>
      </c>
      <c r="AE212"/>
      <c r="AF212" s="398">
        <v>47000</v>
      </c>
      <c r="AG212" s="398">
        <v>19000</v>
      </c>
      <c r="AH212" s="398">
        <v>19000</v>
      </c>
      <c r="AI212" s="398">
        <v>3000</v>
      </c>
      <c r="AJ212" s="398">
        <v>3000</v>
      </c>
      <c r="AK212" s="398">
        <v>3000</v>
      </c>
      <c r="AL212" s="398">
        <v>3000</v>
      </c>
      <c r="AM212" s="398">
        <v>3000</v>
      </c>
      <c r="AN212" s="398">
        <v>3000</v>
      </c>
      <c r="AO212" s="398">
        <v>3000</v>
      </c>
      <c r="AP212" s="398">
        <v>3000</v>
      </c>
      <c r="AQ212" s="398">
        <v>3000</v>
      </c>
      <c r="AR212" s="398">
        <v>112000</v>
      </c>
      <c r="AS212"/>
      <c r="AT212" s="398">
        <v>6000</v>
      </c>
      <c r="AU212" s="398">
        <v>6000</v>
      </c>
      <c r="AV212" s="398">
        <v>6000</v>
      </c>
      <c r="AW212" s="398">
        <v>6000</v>
      </c>
      <c r="AX212" s="398">
        <v>6000</v>
      </c>
      <c r="AY212" s="398">
        <v>6000</v>
      </c>
      <c r="AZ212" s="398">
        <v>6000</v>
      </c>
      <c r="BA212" s="398">
        <v>6000</v>
      </c>
      <c r="BB212" s="398">
        <v>6000</v>
      </c>
      <c r="BC212" s="398">
        <v>6000</v>
      </c>
      <c r="BD212" s="398">
        <v>6000</v>
      </c>
      <c r="BE212" s="398">
        <v>6000</v>
      </c>
      <c r="BF212" s="398">
        <v>72000</v>
      </c>
      <c r="BG212"/>
      <c r="BH212" s="398">
        <v>6000</v>
      </c>
      <c r="BI212" s="398">
        <v>6000</v>
      </c>
      <c r="BJ212" s="398">
        <v>6000</v>
      </c>
      <c r="BK212" s="398">
        <v>6000</v>
      </c>
      <c r="BL212" s="398">
        <v>6000</v>
      </c>
      <c r="BM212" s="398">
        <v>6000</v>
      </c>
      <c r="BN212" s="398">
        <v>6000</v>
      </c>
      <c r="BO212" s="398">
        <v>6000</v>
      </c>
      <c r="BP212" s="398">
        <v>6000</v>
      </c>
      <c r="BQ212" s="398">
        <v>6000</v>
      </c>
      <c r="BR212" s="398">
        <v>6000</v>
      </c>
      <c r="BS212" s="398">
        <v>6000</v>
      </c>
      <c r="BT212" s="398">
        <v>72000</v>
      </c>
      <c r="BU212"/>
      <c r="BV212" s="398">
        <v>0</v>
      </c>
      <c r="BW212" s="398">
        <v>0</v>
      </c>
      <c r="BX212" s="398">
        <v>0</v>
      </c>
      <c r="BY212" s="398">
        <v>0</v>
      </c>
      <c r="BZ212" s="398">
        <v>560000</v>
      </c>
    </row>
    <row r="213" spans="1:79" s="108" customFormat="1" ht="27.5" hidden="1" customHeight="1" outlineLevel="4">
      <c r="A213" s="184"/>
      <c r="B213" s="441" t="s">
        <v>2454</v>
      </c>
      <c r="C213" s="441" t="s">
        <v>1279</v>
      </c>
      <c r="D213" s="533" t="s">
        <v>2455</v>
      </c>
      <c r="E213"/>
      <c r="F213" s="3787"/>
      <c r="G213" s="3787"/>
      <c r="H213" s="3787"/>
      <c r="I213" s="3787"/>
      <c r="J213" s="3787"/>
      <c r="K213" s="3787"/>
      <c r="L213" s="3787"/>
      <c r="M213" s="3787"/>
      <c r="N213" s="3787"/>
      <c r="O213" s="3787"/>
      <c r="P213" s="3811">
        <v>0</v>
      </c>
      <c r="Q213"/>
      <c r="R213" s="3787"/>
      <c r="S213" s="3787"/>
      <c r="T213" s="3787"/>
      <c r="U213" s="3787">
        <v>42000</v>
      </c>
      <c r="V213" s="3787"/>
      <c r="W213" s="3787"/>
      <c r="X213" s="3787">
        <v>35000</v>
      </c>
      <c r="Y213" s="3787"/>
      <c r="Z213" s="3787"/>
      <c r="AA213" s="3787">
        <v>35000</v>
      </c>
      <c r="AB213" s="3787"/>
      <c r="AC213" s="3787"/>
      <c r="AD213" s="3811">
        <v>112000</v>
      </c>
      <c r="AE213"/>
      <c r="AF213" s="3787">
        <v>28000</v>
      </c>
      <c r="AG213" s="3787"/>
      <c r="AH213" s="3787"/>
      <c r="AI213" s="3787"/>
      <c r="AJ213" s="3787"/>
      <c r="AK213" s="3787"/>
      <c r="AL213" s="3787"/>
      <c r="AM213" s="3787"/>
      <c r="AN213" s="3787"/>
      <c r="AO213" s="3787"/>
      <c r="AP213" s="3787"/>
      <c r="AQ213" s="3787"/>
      <c r="AR213" s="3811">
        <v>28000</v>
      </c>
      <c r="AS213"/>
      <c r="AT213" s="3787"/>
      <c r="AU213" s="3787"/>
      <c r="AV213" s="3787"/>
      <c r="AW213" s="3787"/>
      <c r="AX213" s="3787"/>
      <c r="AY213" s="3787"/>
      <c r="AZ213" s="3787"/>
      <c r="BA213" s="3787"/>
      <c r="BB213" s="3787"/>
      <c r="BC213" s="3787"/>
      <c r="BD213" s="3787"/>
      <c r="BE213" s="3787"/>
      <c r="BF213" s="3811">
        <v>0</v>
      </c>
      <c r="BG213"/>
      <c r="BH213" s="3787"/>
      <c r="BI213" s="3787"/>
      <c r="BJ213" s="3787"/>
      <c r="BK213" s="3787"/>
      <c r="BL213" s="3787"/>
      <c r="BM213" s="3787"/>
      <c r="BN213" s="3787"/>
      <c r="BO213" s="3787"/>
      <c r="BP213" s="3787"/>
      <c r="BQ213" s="3787"/>
      <c r="BR213" s="3787"/>
      <c r="BS213" s="3787"/>
      <c r="BT213" s="3811">
        <v>0</v>
      </c>
      <c r="BU213"/>
      <c r="BV213" s="3787"/>
      <c r="BW213" s="3787"/>
      <c r="BX213" s="3787"/>
      <c r="BY213" s="3811">
        <v>0</v>
      </c>
      <c r="BZ213" s="3811">
        <v>140000</v>
      </c>
      <c r="CA213" s="153"/>
    </row>
    <row r="214" spans="1:79" s="108" customFormat="1" ht="27.5" hidden="1" customHeight="1" outlineLevel="4">
      <c r="A214" s="184"/>
      <c r="B214" s="441" t="s">
        <v>2456</v>
      </c>
      <c r="C214" s="441" t="s">
        <v>1279</v>
      </c>
      <c r="D214" s="533" t="s">
        <v>2457</v>
      </c>
      <c r="E214"/>
      <c r="F214" s="3789"/>
      <c r="G214" s="3789"/>
      <c r="H214" s="3789"/>
      <c r="I214" s="3789"/>
      <c r="J214" s="3789"/>
      <c r="K214" s="3789"/>
      <c r="L214" s="3789"/>
      <c r="M214" s="3789"/>
      <c r="N214" s="3789"/>
      <c r="O214" s="3789"/>
      <c r="P214" s="3813">
        <f t="shared" si="10"/>
        <v>0</v>
      </c>
      <c r="Q214"/>
      <c r="R214" s="3789"/>
      <c r="S214" s="3789"/>
      <c r="T214" s="3789"/>
      <c r="U214" s="3789"/>
      <c r="V214" s="3789"/>
      <c r="W214" s="3789"/>
      <c r="X214" s="3789"/>
      <c r="Y214" s="3789"/>
      <c r="Z214" s="3789"/>
      <c r="AA214" s="3789"/>
      <c r="AB214" s="3789"/>
      <c r="AC214" s="3789"/>
      <c r="AD214" s="3813">
        <f t="shared" si="11"/>
        <v>0</v>
      </c>
      <c r="AE214"/>
      <c r="AF214" s="3789"/>
      <c r="AG214" s="3789"/>
      <c r="AH214" s="3789"/>
      <c r="AI214" s="3789"/>
      <c r="AJ214" s="3789"/>
      <c r="AK214" s="3789"/>
      <c r="AL214" s="3789"/>
      <c r="AM214" s="3789"/>
      <c r="AN214" s="3789"/>
      <c r="AO214" s="3789"/>
      <c r="AP214" s="3789"/>
      <c r="AQ214" s="3789"/>
      <c r="AR214" s="3813">
        <f t="shared" si="12"/>
        <v>0</v>
      </c>
      <c r="AS214"/>
      <c r="AT214" s="3789"/>
      <c r="AU214" s="3789"/>
      <c r="AV214" s="3789"/>
      <c r="AW214" s="3789"/>
      <c r="AX214" s="3789"/>
      <c r="AY214" s="3789"/>
      <c r="AZ214" s="3789"/>
      <c r="BA214" s="3789"/>
      <c r="BB214" s="3789"/>
      <c r="BC214" s="3789"/>
      <c r="BD214" s="3789"/>
      <c r="BE214" s="3789"/>
      <c r="BF214" s="3813">
        <f t="shared" si="13"/>
        <v>0</v>
      </c>
      <c r="BG214"/>
      <c r="BH214" s="3789"/>
      <c r="BI214" s="3789"/>
      <c r="BJ214" s="3789"/>
      <c r="BK214" s="3789"/>
      <c r="BL214" s="3789"/>
      <c r="BM214" s="3789"/>
      <c r="BN214" s="3789"/>
      <c r="BO214" s="3789"/>
      <c r="BP214" s="3789"/>
      <c r="BQ214" s="3789"/>
      <c r="BR214" s="3789"/>
      <c r="BS214" s="3789"/>
      <c r="BT214" s="3813">
        <f t="shared" si="14"/>
        <v>0</v>
      </c>
      <c r="BU214"/>
      <c r="BV214" s="3789"/>
      <c r="BW214" s="3789"/>
      <c r="BX214" s="3789"/>
      <c r="BY214" s="3813">
        <f t="shared" si="15"/>
        <v>0</v>
      </c>
      <c r="BZ214" s="3813">
        <f>+P214+AD214+AR214+BF214+BT214+BY214</f>
        <v>0</v>
      </c>
      <c r="CA214" s="153"/>
    </row>
    <row r="215" spans="1:79" s="153" customFormat="1" ht="27.5" hidden="1" customHeight="1" outlineLevel="4">
      <c r="A215" s="447"/>
      <c r="B215" s="448" t="s">
        <v>2458</v>
      </c>
      <c r="C215" s="448"/>
      <c r="D215" s="1547" t="s">
        <v>2459</v>
      </c>
      <c r="E215"/>
      <c r="F215" s="1932">
        <v>0</v>
      </c>
      <c r="G215" s="1932">
        <v>0</v>
      </c>
      <c r="H215" s="1932">
        <v>0</v>
      </c>
      <c r="I215" s="1932">
        <v>0</v>
      </c>
      <c r="J215" s="1932">
        <v>0</v>
      </c>
      <c r="K215" s="1932">
        <v>0</v>
      </c>
      <c r="L215" s="1932">
        <v>0</v>
      </c>
      <c r="M215" s="1932">
        <v>0</v>
      </c>
      <c r="N215" s="1932">
        <v>0</v>
      </c>
      <c r="O215" s="1932">
        <v>0</v>
      </c>
      <c r="P215" s="1931">
        <v>0</v>
      </c>
      <c r="Q215"/>
      <c r="R215" s="1932">
        <v>0</v>
      </c>
      <c r="S215" s="1932">
        <v>0</v>
      </c>
      <c r="T215" s="1932">
        <v>0</v>
      </c>
      <c r="U215" s="1932">
        <v>24000</v>
      </c>
      <c r="V215" s="1932">
        <v>24000</v>
      </c>
      <c r="W215" s="1932">
        <v>24000</v>
      </c>
      <c r="X215" s="1932">
        <v>24000</v>
      </c>
      <c r="Y215" s="1932">
        <v>24000</v>
      </c>
      <c r="Z215" s="1932">
        <v>24000</v>
      </c>
      <c r="AA215" s="1932">
        <v>16000</v>
      </c>
      <c r="AB215" s="1932">
        <v>16000</v>
      </c>
      <c r="AC215" s="1932">
        <v>16000</v>
      </c>
      <c r="AD215" s="1931">
        <v>192000</v>
      </c>
      <c r="AE215"/>
      <c r="AF215" s="1932">
        <v>16000</v>
      </c>
      <c r="AG215" s="1932">
        <v>16000</v>
      </c>
      <c r="AH215" s="1932">
        <v>16000</v>
      </c>
      <c r="AI215" s="1932">
        <v>0</v>
      </c>
      <c r="AJ215" s="1932">
        <v>0</v>
      </c>
      <c r="AK215" s="1932">
        <v>0</v>
      </c>
      <c r="AL215" s="1932">
        <v>0</v>
      </c>
      <c r="AM215" s="1932">
        <v>0</v>
      </c>
      <c r="AN215" s="1932">
        <v>0</v>
      </c>
      <c r="AO215" s="1932">
        <v>0</v>
      </c>
      <c r="AP215" s="1932">
        <v>0</v>
      </c>
      <c r="AQ215" s="1932">
        <v>0</v>
      </c>
      <c r="AR215" s="1931">
        <v>48000</v>
      </c>
      <c r="AS215"/>
      <c r="AT215" s="1932">
        <v>0</v>
      </c>
      <c r="AU215" s="1932">
        <v>0</v>
      </c>
      <c r="AV215" s="1932">
        <v>0</v>
      </c>
      <c r="AW215" s="1932">
        <v>0</v>
      </c>
      <c r="AX215" s="1932">
        <v>0</v>
      </c>
      <c r="AY215" s="1932">
        <v>0</v>
      </c>
      <c r="AZ215" s="1932">
        <v>0</v>
      </c>
      <c r="BA215" s="1932">
        <v>0</v>
      </c>
      <c r="BB215" s="1932">
        <v>0</v>
      </c>
      <c r="BC215" s="1932">
        <v>0</v>
      </c>
      <c r="BD215" s="1932">
        <v>0</v>
      </c>
      <c r="BE215" s="1932">
        <v>0</v>
      </c>
      <c r="BF215" s="1931">
        <v>0</v>
      </c>
      <c r="BG215"/>
      <c r="BH215" s="1932">
        <v>0</v>
      </c>
      <c r="BI215" s="1932">
        <v>0</v>
      </c>
      <c r="BJ215" s="1932">
        <v>0</v>
      </c>
      <c r="BK215" s="1932">
        <v>0</v>
      </c>
      <c r="BL215" s="1932">
        <v>0</v>
      </c>
      <c r="BM215" s="1932">
        <v>0</v>
      </c>
      <c r="BN215" s="1932">
        <v>0</v>
      </c>
      <c r="BO215" s="1932">
        <v>0</v>
      </c>
      <c r="BP215" s="1932">
        <v>0</v>
      </c>
      <c r="BQ215" s="1932">
        <v>0</v>
      </c>
      <c r="BR215" s="1932">
        <v>0</v>
      </c>
      <c r="BS215" s="1932">
        <v>0</v>
      </c>
      <c r="BT215" s="1931">
        <v>0</v>
      </c>
      <c r="BU215"/>
      <c r="BV215" s="1932">
        <v>0</v>
      </c>
      <c r="BW215" s="1932">
        <v>0</v>
      </c>
      <c r="BX215" s="1932">
        <v>0</v>
      </c>
      <c r="BY215" s="1931">
        <v>0</v>
      </c>
      <c r="BZ215" s="1931">
        <v>240000</v>
      </c>
    </row>
    <row r="216" spans="1:79" s="108" customFormat="1" ht="27.5" hidden="1" customHeight="1" outlineLevel="4">
      <c r="A216" s="184"/>
      <c r="B216" s="441" t="s">
        <v>2460</v>
      </c>
      <c r="C216" s="441" t="s">
        <v>1279</v>
      </c>
      <c r="D216" s="533" t="s">
        <v>2461</v>
      </c>
      <c r="E216"/>
      <c r="F216" s="986"/>
      <c r="G216" s="986"/>
      <c r="H216" s="986"/>
      <c r="I216" s="986"/>
      <c r="J216" s="986"/>
      <c r="K216" s="986"/>
      <c r="L216" s="986"/>
      <c r="M216" s="986"/>
      <c r="N216" s="986"/>
      <c r="O216" s="986"/>
      <c r="P216" s="2011">
        <v>0</v>
      </c>
      <c r="Q216"/>
      <c r="R216" s="986"/>
      <c r="S216" s="986"/>
      <c r="T216" s="986"/>
      <c r="U216" s="986">
        <v>8000</v>
      </c>
      <c r="V216" s="986">
        <v>8000</v>
      </c>
      <c r="W216" s="986">
        <v>8000</v>
      </c>
      <c r="X216" s="986">
        <v>8000</v>
      </c>
      <c r="Y216" s="986">
        <v>8000</v>
      </c>
      <c r="Z216" s="986">
        <v>8000</v>
      </c>
      <c r="AA216" s="986">
        <v>8000</v>
      </c>
      <c r="AB216" s="986">
        <v>8000</v>
      </c>
      <c r="AC216" s="986">
        <v>8000</v>
      </c>
      <c r="AD216" s="2011">
        <v>72000</v>
      </c>
      <c r="AE216"/>
      <c r="AF216" s="986">
        <v>8000</v>
      </c>
      <c r="AG216" s="986">
        <v>8000</v>
      </c>
      <c r="AH216" s="986">
        <v>8000</v>
      </c>
      <c r="AI216" s="986"/>
      <c r="AJ216" s="986"/>
      <c r="AK216" s="986"/>
      <c r="AL216" s="986"/>
      <c r="AM216" s="986"/>
      <c r="AN216" s="986"/>
      <c r="AO216" s="986"/>
      <c r="AP216" s="986"/>
      <c r="AQ216" s="986"/>
      <c r="AR216" s="2011">
        <v>24000</v>
      </c>
      <c r="AS216"/>
      <c r="AT216" s="986"/>
      <c r="AU216" s="986"/>
      <c r="AV216" s="986"/>
      <c r="AW216" s="986"/>
      <c r="AX216" s="986"/>
      <c r="AY216" s="986"/>
      <c r="AZ216" s="986"/>
      <c r="BA216" s="986"/>
      <c r="BB216" s="986"/>
      <c r="BC216" s="986"/>
      <c r="BD216" s="986"/>
      <c r="BE216" s="986"/>
      <c r="BF216" s="2014">
        <v>0</v>
      </c>
      <c r="BG216"/>
      <c r="BH216" s="986"/>
      <c r="BI216" s="986"/>
      <c r="BJ216" s="986"/>
      <c r="BK216" s="986"/>
      <c r="BL216" s="986"/>
      <c r="BM216" s="986"/>
      <c r="BN216" s="986"/>
      <c r="BO216" s="986"/>
      <c r="BP216" s="986"/>
      <c r="BQ216" s="986"/>
      <c r="BR216" s="986"/>
      <c r="BS216" s="986"/>
      <c r="BT216" s="1498">
        <v>0</v>
      </c>
      <c r="BU216"/>
      <c r="BV216" s="986"/>
      <c r="BW216" s="986"/>
      <c r="BX216" s="986"/>
      <c r="BY216" s="1498">
        <v>0</v>
      </c>
      <c r="BZ216" s="1498">
        <v>96000</v>
      </c>
      <c r="CA216" s="153"/>
    </row>
    <row r="217" spans="1:79" s="108" customFormat="1" ht="27.5" hidden="1" customHeight="1" outlineLevel="4">
      <c r="A217" s="184"/>
      <c r="B217" s="441" t="s">
        <v>2462</v>
      </c>
      <c r="C217" s="441" t="s">
        <v>1279</v>
      </c>
      <c r="D217" s="533" t="s">
        <v>2463</v>
      </c>
      <c r="E217"/>
      <c r="F217" s="986"/>
      <c r="G217" s="986"/>
      <c r="H217" s="986"/>
      <c r="I217" s="986"/>
      <c r="J217" s="986"/>
      <c r="K217" s="986"/>
      <c r="L217" s="986"/>
      <c r="M217" s="986"/>
      <c r="N217" s="986"/>
      <c r="O217" s="986"/>
      <c r="P217" s="2011">
        <v>0</v>
      </c>
      <c r="Q217"/>
      <c r="R217" s="986"/>
      <c r="S217" s="986"/>
      <c r="T217" s="986"/>
      <c r="U217" s="986">
        <v>4000</v>
      </c>
      <c r="V217" s="986">
        <v>4000</v>
      </c>
      <c r="W217" s="986">
        <v>4000</v>
      </c>
      <c r="X217" s="986">
        <v>4000</v>
      </c>
      <c r="Y217" s="986">
        <v>4000</v>
      </c>
      <c r="Z217" s="986">
        <v>4000</v>
      </c>
      <c r="AA217" s="986"/>
      <c r="AB217" s="986"/>
      <c r="AC217" s="986"/>
      <c r="AD217" s="2011">
        <v>24000</v>
      </c>
      <c r="AE217"/>
      <c r="AF217" s="986"/>
      <c r="AG217" s="986"/>
      <c r="AH217" s="986"/>
      <c r="AI217" s="986"/>
      <c r="AJ217" s="986"/>
      <c r="AK217" s="986"/>
      <c r="AL217" s="986"/>
      <c r="AM217" s="986"/>
      <c r="AN217" s="986"/>
      <c r="AO217" s="986"/>
      <c r="AP217" s="986"/>
      <c r="AQ217" s="986"/>
      <c r="AR217" s="2011">
        <v>0</v>
      </c>
      <c r="AS217"/>
      <c r="AT217" s="986"/>
      <c r="AU217" s="986"/>
      <c r="AV217" s="986"/>
      <c r="AW217" s="986"/>
      <c r="AX217" s="986"/>
      <c r="AY217" s="986"/>
      <c r="AZ217" s="986"/>
      <c r="BA217" s="986"/>
      <c r="BB217" s="986"/>
      <c r="BC217" s="986"/>
      <c r="BD217" s="986"/>
      <c r="BE217" s="986"/>
      <c r="BF217" s="2014">
        <v>0</v>
      </c>
      <c r="BG217"/>
      <c r="BH217" s="986"/>
      <c r="BI217" s="986"/>
      <c r="BJ217" s="986"/>
      <c r="BK217" s="986"/>
      <c r="BL217" s="986"/>
      <c r="BM217" s="986"/>
      <c r="BN217" s="986"/>
      <c r="BO217" s="986"/>
      <c r="BP217" s="986"/>
      <c r="BQ217" s="986"/>
      <c r="BR217" s="986"/>
      <c r="BS217" s="986"/>
      <c r="BT217" s="1498">
        <v>0</v>
      </c>
      <c r="BU217"/>
      <c r="BV217" s="986"/>
      <c r="BW217" s="986"/>
      <c r="BX217" s="986"/>
      <c r="BY217" s="1498">
        <v>0</v>
      </c>
      <c r="BZ217" s="1498">
        <v>24000</v>
      </c>
      <c r="CA217" s="153"/>
    </row>
    <row r="218" spans="1:79" s="108" customFormat="1" ht="27.5" hidden="1" customHeight="1" outlineLevel="4">
      <c r="A218" s="184"/>
      <c r="B218" s="441" t="s">
        <v>2464</v>
      </c>
      <c r="C218" s="441" t="s">
        <v>1279</v>
      </c>
      <c r="D218" s="533" t="s">
        <v>2465</v>
      </c>
      <c r="E218"/>
      <c r="F218" s="986"/>
      <c r="G218" s="986"/>
      <c r="H218" s="986"/>
      <c r="I218" s="986"/>
      <c r="J218" s="986"/>
      <c r="K218" s="986"/>
      <c r="L218" s="986"/>
      <c r="M218" s="986"/>
      <c r="N218" s="986"/>
      <c r="O218" s="986"/>
      <c r="P218" s="2011">
        <v>0</v>
      </c>
      <c r="Q218"/>
      <c r="R218" s="986"/>
      <c r="S218" s="986"/>
      <c r="T218" s="986"/>
      <c r="U218" s="986">
        <v>8000</v>
      </c>
      <c r="V218" s="986">
        <v>8000</v>
      </c>
      <c r="W218" s="986">
        <v>8000</v>
      </c>
      <c r="X218" s="986">
        <v>8000</v>
      </c>
      <c r="Y218" s="986">
        <v>8000</v>
      </c>
      <c r="Z218" s="986">
        <v>8000</v>
      </c>
      <c r="AA218" s="986">
        <v>8000</v>
      </c>
      <c r="AB218" s="986">
        <v>8000</v>
      </c>
      <c r="AC218" s="986">
        <v>8000</v>
      </c>
      <c r="AD218" s="2011">
        <v>72000</v>
      </c>
      <c r="AE218"/>
      <c r="AF218" s="986">
        <v>8000</v>
      </c>
      <c r="AG218" s="986">
        <v>8000</v>
      </c>
      <c r="AH218" s="986">
        <v>8000</v>
      </c>
      <c r="AI218" s="986"/>
      <c r="AJ218" s="986"/>
      <c r="AK218" s="986"/>
      <c r="AL218" s="986"/>
      <c r="AM218" s="986"/>
      <c r="AN218" s="986"/>
      <c r="AO218" s="986"/>
      <c r="AP218" s="986"/>
      <c r="AQ218" s="986"/>
      <c r="AR218" s="2011">
        <v>24000</v>
      </c>
      <c r="AS218"/>
      <c r="AT218" s="986"/>
      <c r="AU218" s="986"/>
      <c r="AV218" s="986"/>
      <c r="AW218" s="986"/>
      <c r="AX218" s="986"/>
      <c r="AY218" s="986"/>
      <c r="AZ218" s="986"/>
      <c r="BA218" s="986"/>
      <c r="BB218" s="986"/>
      <c r="BC218" s="986"/>
      <c r="BD218" s="986"/>
      <c r="BE218" s="986"/>
      <c r="BF218" s="2014">
        <v>0</v>
      </c>
      <c r="BG218"/>
      <c r="BH218" s="986"/>
      <c r="BI218" s="986"/>
      <c r="BJ218" s="986"/>
      <c r="BK218" s="986"/>
      <c r="BL218" s="986"/>
      <c r="BM218" s="986"/>
      <c r="BN218" s="986"/>
      <c r="BO218" s="986"/>
      <c r="BP218" s="986"/>
      <c r="BQ218" s="986"/>
      <c r="BR218" s="986"/>
      <c r="BS218" s="986"/>
      <c r="BT218" s="1498">
        <v>0</v>
      </c>
      <c r="BU218"/>
      <c r="BV218" s="986"/>
      <c r="BW218" s="986"/>
      <c r="BX218" s="986"/>
      <c r="BY218" s="1498">
        <v>0</v>
      </c>
      <c r="BZ218" s="1498">
        <v>96000</v>
      </c>
      <c r="CA218" s="153"/>
    </row>
    <row r="219" spans="1:79" s="108" customFormat="1" ht="27.5" hidden="1" customHeight="1" outlineLevel="4">
      <c r="A219" s="184"/>
      <c r="B219" s="441" t="s">
        <v>2466</v>
      </c>
      <c r="C219" s="441" t="s">
        <v>1279</v>
      </c>
      <c r="D219" s="533" t="s">
        <v>2467</v>
      </c>
      <c r="E219"/>
      <c r="F219" s="986"/>
      <c r="G219" s="986"/>
      <c r="H219" s="986"/>
      <c r="I219" s="986"/>
      <c r="J219" s="986"/>
      <c r="K219" s="986"/>
      <c r="L219" s="986"/>
      <c r="M219" s="986"/>
      <c r="N219" s="986"/>
      <c r="O219" s="986"/>
      <c r="P219" s="2011">
        <v>0</v>
      </c>
      <c r="Q219"/>
      <c r="R219" s="986"/>
      <c r="S219" s="986"/>
      <c r="T219" s="986"/>
      <c r="U219" s="986">
        <v>4000</v>
      </c>
      <c r="V219" s="986">
        <v>4000</v>
      </c>
      <c r="W219" s="986">
        <v>4000</v>
      </c>
      <c r="X219" s="986">
        <v>4000</v>
      </c>
      <c r="Y219" s="986">
        <v>4000</v>
      </c>
      <c r="Z219" s="986">
        <v>4000</v>
      </c>
      <c r="AA219" s="986"/>
      <c r="AB219" s="986"/>
      <c r="AC219" s="986"/>
      <c r="AD219" s="2011">
        <v>24000</v>
      </c>
      <c r="AE219"/>
      <c r="AF219" s="986"/>
      <c r="AG219" s="986"/>
      <c r="AH219" s="986"/>
      <c r="AI219" s="986"/>
      <c r="AJ219" s="986"/>
      <c r="AK219" s="986"/>
      <c r="AL219" s="986"/>
      <c r="AM219" s="986"/>
      <c r="AN219" s="986"/>
      <c r="AO219" s="986"/>
      <c r="AP219" s="986"/>
      <c r="AQ219" s="986"/>
      <c r="AR219" s="2011">
        <v>0</v>
      </c>
      <c r="AS219"/>
      <c r="AT219" s="986"/>
      <c r="AU219" s="986"/>
      <c r="AV219" s="986"/>
      <c r="AW219" s="986"/>
      <c r="AX219" s="986"/>
      <c r="AY219" s="986"/>
      <c r="AZ219" s="986"/>
      <c r="BA219" s="986"/>
      <c r="BB219" s="986"/>
      <c r="BC219" s="986"/>
      <c r="BD219" s="986"/>
      <c r="BE219" s="986"/>
      <c r="BF219" s="2014">
        <v>0</v>
      </c>
      <c r="BG219"/>
      <c r="BH219" s="986"/>
      <c r="BI219" s="986"/>
      <c r="BJ219" s="986"/>
      <c r="BK219" s="986"/>
      <c r="BL219" s="986"/>
      <c r="BM219" s="986"/>
      <c r="BN219" s="986"/>
      <c r="BO219" s="986"/>
      <c r="BP219" s="986"/>
      <c r="BQ219" s="986"/>
      <c r="BR219" s="986"/>
      <c r="BS219" s="986"/>
      <c r="BT219" s="1498">
        <v>0</v>
      </c>
      <c r="BU219"/>
      <c r="BV219" s="986"/>
      <c r="BW219" s="986"/>
      <c r="BX219" s="986"/>
      <c r="BY219" s="1498">
        <v>0</v>
      </c>
      <c r="BZ219" s="1498">
        <v>24000</v>
      </c>
      <c r="CA219" s="153"/>
    </row>
    <row r="220" spans="1:79" s="108" customFormat="1" ht="27.5" hidden="1" customHeight="1" outlineLevel="4">
      <c r="A220" s="184"/>
      <c r="B220" s="441" t="s">
        <v>2468</v>
      </c>
      <c r="C220" s="441"/>
      <c r="D220" s="533" t="s">
        <v>2469</v>
      </c>
      <c r="E220"/>
      <c r="F220" s="986"/>
      <c r="G220" s="986"/>
      <c r="H220" s="986"/>
      <c r="I220" s="986"/>
      <c r="J220" s="986"/>
      <c r="K220" s="986"/>
      <c r="L220" s="986"/>
      <c r="M220" s="986"/>
      <c r="N220" s="986"/>
      <c r="O220" s="986"/>
      <c r="P220" s="2011">
        <v>0</v>
      </c>
      <c r="Q220"/>
      <c r="R220" s="986"/>
      <c r="S220" s="986"/>
      <c r="T220" s="986"/>
      <c r="U220" s="986"/>
      <c r="V220" s="986"/>
      <c r="W220" s="986"/>
      <c r="X220" s="986"/>
      <c r="Y220" s="986"/>
      <c r="Z220" s="986"/>
      <c r="AA220" s="986"/>
      <c r="AB220" s="986"/>
      <c r="AC220" s="986"/>
      <c r="AD220" s="2011">
        <v>0</v>
      </c>
      <c r="AE220"/>
      <c r="AF220" s="986">
        <v>3000</v>
      </c>
      <c r="AG220" s="986">
        <v>3000</v>
      </c>
      <c r="AH220" s="986">
        <v>3000</v>
      </c>
      <c r="AI220" s="986">
        <v>3000</v>
      </c>
      <c r="AJ220" s="986">
        <v>3000</v>
      </c>
      <c r="AK220" s="986">
        <v>3000</v>
      </c>
      <c r="AL220" s="986">
        <v>3000</v>
      </c>
      <c r="AM220" s="986">
        <v>3000</v>
      </c>
      <c r="AN220" s="986">
        <v>3000</v>
      </c>
      <c r="AO220" s="986">
        <v>3000</v>
      </c>
      <c r="AP220" s="986">
        <v>3000</v>
      </c>
      <c r="AQ220" s="986">
        <v>3000</v>
      </c>
      <c r="AR220" s="2011">
        <v>36000</v>
      </c>
      <c r="AS220"/>
      <c r="AT220" s="986">
        <v>6000</v>
      </c>
      <c r="AU220" s="986">
        <v>6000</v>
      </c>
      <c r="AV220" s="986">
        <v>6000</v>
      </c>
      <c r="AW220" s="986">
        <v>6000</v>
      </c>
      <c r="AX220" s="986">
        <v>6000</v>
      </c>
      <c r="AY220" s="986">
        <v>6000</v>
      </c>
      <c r="AZ220" s="986">
        <v>6000</v>
      </c>
      <c r="BA220" s="986">
        <v>6000</v>
      </c>
      <c r="BB220" s="986">
        <v>6000</v>
      </c>
      <c r="BC220" s="986">
        <v>6000</v>
      </c>
      <c r="BD220" s="986">
        <v>6000</v>
      </c>
      <c r="BE220" s="986">
        <v>6000</v>
      </c>
      <c r="BF220" s="2014">
        <v>72000</v>
      </c>
      <c r="BG220"/>
      <c r="BH220" s="986">
        <v>6000</v>
      </c>
      <c r="BI220" s="986">
        <v>6000</v>
      </c>
      <c r="BJ220" s="986">
        <v>6000</v>
      </c>
      <c r="BK220" s="986">
        <v>6000</v>
      </c>
      <c r="BL220" s="986">
        <v>6000</v>
      </c>
      <c r="BM220" s="986">
        <v>6000</v>
      </c>
      <c r="BN220" s="986">
        <v>6000</v>
      </c>
      <c r="BO220" s="986">
        <v>6000</v>
      </c>
      <c r="BP220" s="986">
        <v>6000</v>
      </c>
      <c r="BQ220" s="986">
        <v>6000</v>
      </c>
      <c r="BR220" s="986">
        <v>6000</v>
      </c>
      <c r="BS220" s="986">
        <v>6000</v>
      </c>
      <c r="BT220" s="1498">
        <v>72000</v>
      </c>
      <c r="BU220"/>
      <c r="BV220" s="986"/>
      <c r="BW220" s="986"/>
      <c r="BX220" s="986"/>
      <c r="BY220" s="1498">
        <v>0</v>
      </c>
      <c r="BZ220" s="1498">
        <v>180000</v>
      </c>
      <c r="CA220" s="153"/>
    </row>
    <row r="221" spans="1:79" s="108" customFormat="1" ht="27" hidden="1" customHeight="1" outlineLevel="3" collapsed="1">
      <c r="A221" s="184"/>
      <c r="B221" s="441"/>
      <c r="C221" s="441"/>
      <c r="D221" s="533"/>
      <c r="E221"/>
      <c r="F221" s="986"/>
      <c r="G221" s="986"/>
      <c r="H221" s="986"/>
      <c r="I221" s="986"/>
      <c r="J221" s="986"/>
      <c r="K221" s="986"/>
      <c r="L221" s="986"/>
      <c r="M221" s="986"/>
      <c r="N221" s="986"/>
      <c r="O221" s="986"/>
      <c r="P221" s="2011">
        <v>0</v>
      </c>
      <c r="Q221"/>
      <c r="R221" s="986"/>
      <c r="S221" s="986"/>
      <c r="T221" s="986"/>
      <c r="U221" s="986"/>
      <c r="V221" s="986"/>
      <c r="W221" s="986"/>
      <c r="X221" s="986"/>
      <c r="Y221" s="986"/>
      <c r="Z221" s="986"/>
      <c r="AA221" s="986"/>
      <c r="AB221" s="986"/>
      <c r="AC221" s="986"/>
      <c r="AD221" s="2011">
        <v>0</v>
      </c>
      <c r="AE221"/>
      <c r="AF221" s="986"/>
      <c r="AG221" s="986"/>
      <c r="AH221" s="986"/>
      <c r="AI221" s="986"/>
      <c r="AJ221" s="986"/>
      <c r="AK221" s="986"/>
      <c r="AL221" s="986"/>
      <c r="AM221" s="986"/>
      <c r="AN221" s="986"/>
      <c r="AO221" s="986"/>
      <c r="AP221" s="986"/>
      <c r="AQ221" s="986"/>
      <c r="AR221" s="2011">
        <v>0</v>
      </c>
      <c r="AS221"/>
      <c r="AT221" s="986"/>
      <c r="AU221" s="986"/>
      <c r="AV221" s="986"/>
      <c r="AW221" s="986"/>
      <c r="AX221" s="986"/>
      <c r="AY221" s="986"/>
      <c r="AZ221" s="986"/>
      <c r="BA221" s="986"/>
      <c r="BB221" s="986"/>
      <c r="BC221" s="986"/>
      <c r="BD221" s="986"/>
      <c r="BE221" s="986"/>
      <c r="BF221" s="2014">
        <v>0</v>
      </c>
      <c r="BG221"/>
      <c r="BH221" s="986"/>
      <c r="BI221" s="986"/>
      <c r="BJ221" s="986"/>
      <c r="BK221" s="986"/>
      <c r="BL221" s="986"/>
      <c r="BM221" s="986"/>
      <c r="BN221" s="986"/>
      <c r="BO221" s="986"/>
      <c r="BP221" s="986"/>
      <c r="BQ221" s="986"/>
      <c r="BR221" s="986"/>
      <c r="BS221" s="986"/>
      <c r="BT221" s="1498">
        <v>0</v>
      </c>
      <c r="BU221"/>
      <c r="BV221" s="986"/>
      <c r="BW221" s="986"/>
      <c r="BX221" s="986"/>
      <c r="BY221" s="1498">
        <v>0</v>
      </c>
      <c r="BZ221" s="1498">
        <v>0</v>
      </c>
      <c r="CA221" s="153"/>
    </row>
    <row r="222" spans="1:79" s="153" customFormat="1" ht="69.5" customHeight="1" outlineLevel="2" collapsed="1">
      <c r="A222" s="172"/>
      <c r="B222" s="171" t="s">
        <v>524</v>
      </c>
      <c r="C222" s="171"/>
      <c r="D222" s="538" t="s">
        <v>1823</v>
      </c>
      <c r="E222"/>
      <c r="F222" s="1529">
        <v>0</v>
      </c>
      <c r="G222" s="1529">
        <v>0</v>
      </c>
      <c r="H222" s="1529">
        <v>0</v>
      </c>
      <c r="I222" s="1529">
        <v>0</v>
      </c>
      <c r="J222" s="1529">
        <v>0</v>
      </c>
      <c r="K222" s="1529">
        <v>0</v>
      </c>
      <c r="L222" s="1529">
        <v>0</v>
      </c>
      <c r="M222" s="1529">
        <v>0</v>
      </c>
      <c r="N222" s="1529">
        <v>0</v>
      </c>
      <c r="O222" s="1529">
        <v>0</v>
      </c>
      <c r="P222" s="176">
        <v>0</v>
      </c>
      <c r="Q222"/>
      <c r="R222" s="1529">
        <v>0</v>
      </c>
      <c r="S222" s="1529">
        <v>5000</v>
      </c>
      <c r="T222" s="1529">
        <v>5000</v>
      </c>
      <c r="U222" s="1529">
        <v>5000</v>
      </c>
      <c r="V222" s="1529">
        <v>5000</v>
      </c>
      <c r="W222" s="1529">
        <v>5000</v>
      </c>
      <c r="X222" s="1529">
        <v>5000</v>
      </c>
      <c r="Y222" s="1529">
        <v>5000</v>
      </c>
      <c r="Z222" s="1529">
        <v>5000</v>
      </c>
      <c r="AA222" s="1529">
        <v>0</v>
      </c>
      <c r="AB222" s="1529">
        <v>0</v>
      </c>
      <c r="AC222" s="1529">
        <v>0</v>
      </c>
      <c r="AD222" s="176">
        <v>40000</v>
      </c>
      <c r="AE222"/>
      <c r="AF222" s="1529">
        <v>0</v>
      </c>
      <c r="AG222" s="1529">
        <v>0</v>
      </c>
      <c r="AH222" s="1529">
        <v>0</v>
      </c>
      <c r="AI222" s="1529">
        <v>0</v>
      </c>
      <c r="AJ222" s="1529">
        <v>2500</v>
      </c>
      <c r="AK222" s="1529">
        <v>2500</v>
      </c>
      <c r="AL222" s="1529">
        <v>2500</v>
      </c>
      <c r="AM222" s="1529">
        <v>2500</v>
      </c>
      <c r="AN222" s="1529">
        <v>2500</v>
      </c>
      <c r="AO222" s="1529">
        <v>92625</v>
      </c>
      <c r="AP222" s="1529">
        <v>2500</v>
      </c>
      <c r="AQ222" s="1529">
        <v>2500</v>
      </c>
      <c r="AR222" s="176">
        <v>110125</v>
      </c>
      <c r="AS222"/>
      <c r="AT222" s="1529">
        <v>6500</v>
      </c>
      <c r="AU222" s="1529">
        <v>96625</v>
      </c>
      <c r="AV222" s="1529">
        <v>6500</v>
      </c>
      <c r="AW222" s="1529">
        <v>6500</v>
      </c>
      <c r="AX222" s="1529">
        <v>6500</v>
      </c>
      <c r="AY222" s="1529">
        <v>96625</v>
      </c>
      <c r="AZ222" s="1529">
        <v>2500</v>
      </c>
      <c r="BA222" s="1529">
        <v>2500</v>
      </c>
      <c r="BB222" s="1529">
        <v>2500</v>
      </c>
      <c r="BC222" s="1529">
        <v>92625</v>
      </c>
      <c r="BD222" s="1529">
        <v>2500</v>
      </c>
      <c r="BE222" s="1529">
        <v>2500</v>
      </c>
      <c r="BF222" s="176">
        <v>324375</v>
      </c>
      <c r="BG222"/>
      <c r="BH222" s="1529">
        <v>2500</v>
      </c>
      <c r="BI222" s="1529">
        <v>2500</v>
      </c>
      <c r="BJ222" s="1529">
        <v>2500</v>
      </c>
      <c r="BK222" s="1529">
        <v>2500</v>
      </c>
      <c r="BL222" s="1529">
        <v>0</v>
      </c>
      <c r="BM222" s="1529">
        <v>0</v>
      </c>
      <c r="BN222" s="1529">
        <v>0</v>
      </c>
      <c r="BO222" s="1529">
        <v>0</v>
      </c>
      <c r="BP222" s="1529">
        <v>0</v>
      </c>
      <c r="BQ222" s="1529">
        <v>0</v>
      </c>
      <c r="BR222" s="1529">
        <v>0</v>
      </c>
      <c r="BS222" s="1529">
        <v>0</v>
      </c>
      <c r="BT222" s="176">
        <v>10000</v>
      </c>
      <c r="BU222"/>
      <c r="BV222" s="1529">
        <v>0</v>
      </c>
      <c r="BW222" s="1529">
        <v>0</v>
      </c>
      <c r="BX222" s="1529">
        <v>0</v>
      </c>
      <c r="BY222" s="176">
        <v>0</v>
      </c>
      <c r="BZ222" s="176">
        <v>484500</v>
      </c>
    </row>
    <row r="223" spans="1:79" s="108" customFormat="1" ht="42.5" hidden="1" customHeight="1" outlineLevel="3">
      <c r="A223" s="159"/>
      <c r="B223" s="702" t="s">
        <v>2470</v>
      </c>
      <c r="C223" s="702" t="s">
        <v>1279</v>
      </c>
      <c r="D223" s="1524" t="s">
        <v>2471</v>
      </c>
      <c r="E223"/>
      <c r="F223" s="2132"/>
      <c r="G223" s="2132"/>
      <c r="H223" s="2132"/>
      <c r="I223" s="2132"/>
      <c r="J223" s="2132"/>
      <c r="K223" s="2132"/>
      <c r="L223" s="2132"/>
      <c r="M223" s="2132"/>
      <c r="N223" s="2132"/>
      <c r="O223" s="2132"/>
      <c r="P223" s="2133">
        <v>0</v>
      </c>
      <c r="Q223"/>
      <c r="R223" s="2132"/>
      <c r="S223" s="2132">
        <v>5000</v>
      </c>
      <c r="T223" s="2132">
        <v>5000</v>
      </c>
      <c r="U223" s="2132">
        <v>5000</v>
      </c>
      <c r="V223" s="2132">
        <v>5000</v>
      </c>
      <c r="W223" s="2132">
        <v>5000</v>
      </c>
      <c r="X223" s="2132">
        <v>5000</v>
      </c>
      <c r="Y223" s="2132">
        <v>5000</v>
      </c>
      <c r="Z223" s="2132">
        <v>5000</v>
      </c>
      <c r="AA223" s="2132"/>
      <c r="AB223" s="2132"/>
      <c r="AC223" s="2132"/>
      <c r="AD223" s="2133">
        <v>40000</v>
      </c>
      <c r="AE223"/>
      <c r="AF223" s="2132"/>
      <c r="AG223" s="2132"/>
      <c r="AH223" s="2132"/>
      <c r="AI223" s="2132"/>
      <c r="AJ223" s="2132"/>
      <c r="AK223" s="2132"/>
      <c r="AL223" s="2132"/>
      <c r="AM223" s="2132"/>
      <c r="AN223" s="2132"/>
      <c r="AO223" s="2132"/>
      <c r="AP223" s="2132"/>
      <c r="AQ223" s="2132"/>
      <c r="AR223" s="2133">
        <v>0</v>
      </c>
      <c r="AS223"/>
      <c r="AT223" s="2132"/>
      <c r="AU223" s="2132"/>
      <c r="AV223" s="2132"/>
      <c r="AW223" s="2132"/>
      <c r="AX223" s="2132"/>
      <c r="AY223" s="2132"/>
      <c r="AZ223" s="2132"/>
      <c r="BA223" s="2132"/>
      <c r="BB223" s="2132"/>
      <c r="BC223" s="2132"/>
      <c r="BD223" s="2132"/>
      <c r="BE223" s="2132"/>
      <c r="BF223" s="2133">
        <v>0</v>
      </c>
      <c r="BG223"/>
      <c r="BH223" s="2132"/>
      <c r="BI223" s="2132"/>
      <c r="BJ223" s="2132"/>
      <c r="BK223" s="2132"/>
      <c r="BL223" s="2132"/>
      <c r="BM223" s="2132"/>
      <c r="BN223" s="2132"/>
      <c r="BO223" s="2132"/>
      <c r="BP223" s="2132"/>
      <c r="BQ223" s="2132"/>
      <c r="BR223" s="2132"/>
      <c r="BS223" s="2132"/>
      <c r="BT223" s="2133">
        <v>0</v>
      </c>
      <c r="BU223"/>
      <c r="BV223" s="2132"/>
      <c r="BW223" s="2132"/>
      <c r="BX223" s="2132"/>
      <c r="BY223" s="2133">
        <v>0</v>
      </c>
      <c r="BZ223" s="2133">
        <v>40000</v>
      </c>
    </row>
    <row r="224" spans="1:79" s="108" customFormat="1" ht="27.5" hidden="1" customHeight="1" outlineLevel="3">
      <c r="A224" s="159"/>
      <c r="B224" s="702" t="s">
        <v>2472</v>
      </c>
      <c r="C224" s="702" t="s">
        <v>1279</v>
      </c>
      <c r="D224" s="177" t="s">
        <v>2473</v>
      </c>
      <c r="E224"/>
      <c r="F224" s="2132"/>
      <c r="G224" s="2132"/>
      <c r="H224" s="2132"/>
      <c r="I224" s="2132"/>
      <c r="J224" s="2132"/>
      <c r="K224" s="2132"/>
      <c r="L224" s="2132"/>
      <c r="M224" s="2132"/>
      <c r="N224" s="2132"/>
      <c r="O224" s="2132"/>
      <c r="P224" s="2133">
        <v>0</v>
      </c>
      <c r="Q224"/>
      <c r="R224" s="2132"/>
      <c r="S224" s="2132"/>
      <c r="T224" s="2132"/>
      <c r="U224" s="2132"/>
      <c r="V224" s="2132"/>
      <c r="W224" s="2132"/>
      <c r="X224" s="2132"/>
      <c r="Y224" s="2132"/>
      <c r="Z224" s="2132"/>
      <c r="AA224" s="2132"/>
      <c r="AB224" s="2132"/>
      <c r="AC224" s="2132"/>
      <c r="AD224" s="2133">
        <v>0</v>
      </c>
      <c r="AE224"/>
      <c r="AF224" s="2132"/>
      <c r="AG224" s="2132"/>
      <c r="AH224" s="2132"/>
      <c r="AI224" s="2132"/>
      <c r="AJ224" s="2132"/>
      <c r="AK224" s="2132"/>
      <c r="AL224" s="2132"/>
      <c r="AM224" s="2132"/>
      <c r="AN224" s="2132"/>
      <c r="AO224" s="2132"/>
      <c r="AP224" s="2132"/>
      <c r="AQ224" s="2132"/>
      <c r="AR224" s="2133">
        <v>0</v>
      </c>
      <c r="AS224"/>
      <c r="AT224" s="2132"/>
      <c r="AU224" s="2132"/>
      <c r="AV224" s="2132"/>
      <c r="AW224" s="2132"/>
      <c r="AX224" s="2132"/>
      <c r="AY224" s="2132"/>
      <c r="AZ224" s="2132"/>
      <c r="BA224" s="2132"/>
      <c r="BB224" s="2132"/>
      <c r="BC224" s="2132"/>
      <c r="BD224" s="2132"/>
      <c r="BE224" s="2132"/>
      <c r="BF224" s="2133">
        <v>0</v>
      </c>
      <c r="BG224"/>
      <c r="BH224" s="2132"/>
      <c r="BI224" s="2132"/>
      <c r="BJ224" s="2132"/>
      <c r="BK224" s="2132"/>
      <c r="BL224" s="2132"/>
      <c r="BM224" s="2132"/>
      <c r="BN224" s="2132"/>
      <c r="BO224" s="2132"/>
      <c r="BP224" s="2132"/>
      <c r="BQ224" s="2132"/>
      <c r="BR224" s="2132"/>
      <c r="BS224" s="2132"/>
      <c r="BT224" s="2133">
        <v>0</v>
      </c>
      <c r="BU224"/>
      <c r="BV224" s="2132"/>
      <c r="BW224" s="2132"/>
      <c r="BX224" s="2132"/>
      <c r="BY224" s="2133">
        <v>0</v>
      </c>
      <c r="BZ224" s="2133">
        <v>0</v>
      </c>
    </row>
    <row r="225" spans="1:78" s="153" customFormat="1" ht="27.5" hidden="1" customHeight="1" outlineLevel="3">
      <c r="A225" s="704"/>
      <c r="B225" s="354" t="s">
        <v>2474</v>
      </c>
      <c r="C225" s="354"/>
      <c r="D225" s="1547" t="s">
        <v>2475</v>
      </c>
      <c r="E225"/>
      <c r="F225" s="3874"/>
      <c r="G225" s="3874"/>
      <c r="H225" s="3874"/>
      <c r="I225" s="3874"/>
      <c r="J225" s="3874"/>
      <c r="K225" s="3874"/>
      <c r="L225" s="3874"/>
      <c r="M225" s="3874"/>
      <c r="N225" s="3874"/>
      <c r="O225" s="3874"/>
      <c r="P225" s="3885">
        <v>0</v>
      </c>
      <c r="Q225"/>
      <c r="R225" s="3874"/>
      <c r="S225" s="3874"/>
      <c r="T225" s="3874"/>
      <c r="U225" s="3874"/>
      <c r="V225" s="3874"/>
      <c r="W225" s="3874"/>
      <c r="X225" s="3874"/>
      <c r="Y225" s="3874"/>
      <c r="Z225" s="3874"/>
      <c r="AA225" s="3874"/>
      <c r="AB225" s="3874"/>
      <c r="AC225" s="3874"/>
      <c r="AD225" s="3885">
        <v>0</v>
      </c>
      <c r="AE225"/>
      <c r="AF225" s="3874"/>
      <c r="AG225" s="3874"/>
      <c r="AH225" s="3874"/>
      <c r="AI225" s="3874"/>
      <c r="AJ225" s="3874"/>
      <c r="AK225" s="3874"/>
      <c r="AL225" s="3874"/>
      <c r="AM225" s="3874"/>
      <c r="AN225" s="3874"/>
      <c r="AO225" s="3787">
        <v>90125</v>
      </c>
      <c r="AP225" s="3874"/>
      <c r="AQ225" s="3874"/>
      <c r="AR225" s="3885">
        <v>90125</v>
      </c>
      <c r="AS225"/>
      <c r="AT225" s="3874"/>
      <c r="AU225" s="3787">
        <v>90125</v>
      </c>
      <c r="AV225" s="3874"/>
      <c r="AW225" s="3874"/>
      <c r="AX225" s="3874"/>
      <c r="AY225" s="3787">
        <v>90125</v>
      </c>
      <c r="AZ225" s="3874"/>
      <c r="BA225" s="3874"/>
      <c r="BB225" s="3874"/>
      <c r="BC225" s="3787">
        <v>90125</v>
      </c>
      <c r="BD225" s="3874"/>
      <c r="BE225" s="3874"/>
      <c r="BF225" s="3885">
        <v>270375</v>
      </c>
      <c r="BG225"/>
      <c r="BH225" s="3874"/>
      <c r="BI225" s="3874"/>
      <c r="BJ225" s="3874"/>
      <c r="BK225" s="3874"/>
      <c r="BL225" s="3874"/>
      <c r="BM225" s="3874"/>
      <c r="BN225" s="3874"/>
      <c r="BO225" s="3874"/>
      <c r="BP225" s="3874"/>
      <c r="BQ225" s="3874"/>
      <c r="BR225" s="3874"/>
      <c r="BS225" s="3874"/>
      <c r="BT225" s="3885">
        <v>0</v>
      </c>
      <c r="BU225"/>
      <c r="BV225" s="3874"/>
      <c r="BW225" s="3874"/>
      <c r="BX225" s="3874"/>
      <c r="BY225" s="3885">
        <v>0</v>
      </c>
      <c r="BZ225" s="3885">
        <v>360500</v>
      </c>
    </row>
    <row r="226" spans="1:78" s="108" customFormat="1" ht="101.5" hidden="1" customHeight="1" outlineLevel="3">
      <c r="A226" s="159"/>
      <c r="B226" s="1392" t="s">
        <v>2476</v>
      </c>
      <c r="C226" s="1721"/>
      <c r="D226" s="1611" t="s">
        <v>2477</v>
      </c>
      <c r="E226"/>
      <c r="F226" s="3875"/>
      <c r="G226" s="3875"/>
      <c r="H226" s="3875"/>
      <c r="I226" s="3875"/>
      <c r="J226" s="3875"/>
      <c r="K226" s="3875"/>
      <c r="L226" s="3875"/>
      <c r="M226" s="3875"/>
      <c r="N226" s="3875"/>
      <c r="O226" s="3875"/>
      <c r="P226" s="3886">
        <f t="shared" si="10"/>
        <v>0</v>
      </c>
      <c r="Q226"/>
      <c r="R226" s="3875"/>
      <c r="S226" s="3875"/>
      <c r="T226" s="3875"/>
      <c r="U226" s="3875"/>
      <c r="V226" s="3875"/>
      <c r="W226" s="3875"/>
      <c r="X226" s="3875"/>
      <c r="Y226" s="3875"/>
      <c r="Z226" s="3875"/>
      <c r="AA226" s="3875"/>
      <c r="AB226" s="3875"/>
      <c r="AC226" s="3875"/>
      <c r="AD226" s="3886">
        <f t="shared" si="11"/>
        <v>0</v>
      </c>
      <c r="AE226"/>
      <c r="AF226" s="3875"/>
      <c r="AG226" s="3875"/>
      <c r="AH226" s="3875"/>
      <c r="AI226" s="3875"/>
      <c r="AJ226" s="3875"/>
      <c r="AK226" s="3875"/>
      <c r="AL226" s="3875"/>
      <c r="AM226" s="3875"/>
      <c r="AN226" s="3875"/>
      <c r="AO226" s="3788"/>
      <c r="AP226" s="3875"/>
      <c r="AQ226" s="3875"/>
      <c r="AR226" s="3886">
        <f t="shared" si="12"/>
        <v>0</v>
      </c>
      <c r="AS226"/>
      <c r="AT226" s="3875"/>
      <c r="AU226" s="3788"/>
      <c r="AV226" s="3875"/>
      <c r="AW226" s="3875"/>
      <c r="AX226" s="3875"/>
      <c r="AY226" s="3788"/>
      <c r="AZ226" s="3875"/>
      <c r="BA226" s="3875"/>
      <c r="BB226" s="3875"/>
      <c r="BC226" s="3788"/>
      <c r="BD226" s="3875"/>
      <c r="BE226" s="3875"/>
      <c r="BF226" s="3886">
        <f t="shared" si="13"/>
        <v>0</v>
      </c>
      <c r="BG226"/>
      <c r="BH226" s="3875"/>
      <c r="BI226" s="3875"/>
      <c r="BJ226" s="3875"/>
      <c r="BK226" s="3875"/>
      <c r="BL226" s="3875"/>
      <c r="BM226" s="3875"/>
      <c r="BN226" s="3875"/>
      <c r="BO226" s="3875"/>
      <c r="BP226" s="3875"/>
      <c r="BQ226" s="3875"/>
      <c r="BR226" s="3875"/>
      <c r="BS226" s="3875"/>
      <c r="BT226" s="3886">
        <f t="shared" si="14"/>
        <v>0</v>
      </c>
      <c r="BU226"/>
      <c r="BV226" s="3875"/>
      <c r="BW226" s="3875"/>
      <c r="BX226" s="3875"/>
      <c r="BY226" s="3886">
        <f t="shared" si="15"/>
        <v>0</v>
      </c>
      <c r="BZ226" s="3886">
        <f t="shared" ref="BZ226:BZ255" si="16">+P226+AD226+AR226+BF226+BT226+BY226</f>
        <v>0</v>
      </c>
    </row>
    <row r="227" spans="1:78" s="108" customFormat="1" ht="39.5" hidden="1" customHeight="1" outlineLevel="3">
      <c r="A227" s="159"/>
      <c r="B227" s="702" t="s">
        <v>2472</v>
      </c>
      <c r="C227" s="702"/>
      <c r="D227" s="703" t="s">
        <v>2478</v>
      </c>
      <c r="E227"/>
      <c r="F227" s="3875"/>
      <c r="G227" s="3875"/>
      <c r="H227" s="3875"/>
      <c r="I227" s="3875"/>
      <c r="J227" s="3875"/>
      <c r="K227" s="3875"/>
      <c r="L227" s="3875"/>
      <c r="M227" s="3875"/>
      <c r="N227" s="3875"/>
      <c r="O227" s="3875"/>
      <c r="P227" s="3886">
        <f t="shared" si="10"/>
        <v>0</v>
      </c>
      <c r="Q227"/>
      <c r="R227" s="3875"/>
      <c r="S227" s="3875"/>
      <c r="T227" s="3875"/>
      <c r="U227" s="3875"/>
      <c r="V227" s="3875"/>
      <c r="W227" s="3875"/>
      <c r="X227" s="3875"/>
      <c r="Y227" s="3875"/>
      <c r="Z227" s="3875"/>
      <c r="AA227" s="3875"/>
      <c r="AB227" s="3875"/>
      <c r="AC227" s="3875"/>
      <c r="AD227" s="3886">
        <f t="shared" si="11"/>
        <v>0</v>
      </c>
      <c r="AE227"/>
      <c r="AF227" s="3875"/>
      <c r="AG227" s="3875"/>
      <c r="AH227" s="3875"/>
      <c r="AI227" s="3875"/>
      <c r="AJ227" s="3875"/>
      <c r="AK227" s="3875"/>
      <c r="AL227" s="3875"/>
      <c r="AM227" s="3875"/>
      <c r="AN227" s="3875"/>
      <c r="AO227" s="3788"/>
      <c r="AP227" s="3875"/>
      <c r="AQ227" s="3875"/>
      <c r="AR227" s="3886">
        <f t="shared" si="12"/>
        <v>0</v>
      </c>
      <c r="AS227"/>
      <c r="AT227" s="3875"/>
      <c r="AU227" s="3788"/>
      <c r="AV227" s="3875"/>
      <c r="AW227" s="3875"/>
      <c r="AX227" s="3875"/>
      <c r="AY227" s="3788"/>
      <c r="AZ227" s="3875"/>
      <c r="BA227" s="3875"/>
      <c r="BB227" s="3875"/>
      <c r="BC227" s="3788"/>
      <c r="BD227" s="3875"/>
      <c r="BE227" s="3875"/>
      <c r="BF227" s="3886">
        <f t="shared" si="13"/>
        <v>0</v>
      </c>
      <c r="BG227"/>
      <c r="BH227" s="3875"/>
      <c r="BI227" s="3875"/>
      <c r="BJ227" s="3875"/>
      <c r="BK227" s="3875"/>
      <c r="BL227" s="3875"/>
      <c r="BM227" s="3875"/>
      <c r="BN227" s="3875"/>
      <c r="BO227" s="3875"/>
      <c r="BP227" s="3875"/>
      <c r="BQ227" s="3875"/>
      <c r="BR227" s="3875"/>
      <c r="BS227" s="3875"/>
      <c r="BT227" s="3886">
        <f t="shared" si="14"/>
        <v>0</v>
      </c>
      <c r="BU227"/>
      <c r="BV227" s="3875"/>
      <c r="BW227" s="3875"/>
      <c r="BX227" s="3875"/>
      <c r="BY227" s="3886">
        <f t="shared" si="15"/>
        <v>0</v>
      </c>
      <c r="BZ227" s="3886">
        <f t="shared" si="16"/>
        <v>0</v>
      </c>
    </row>
    <row r="228" spans="1:78" s="108" customFormat="1" ht="51.5" hidden="1" customHeight="1" outlineLevel="3">
      <c r="A228" s="159"/>
      <c r="B228" s="702" t="s">
        <v>2474</v>
      </c>
      <c r="C228" s="702"/>
      <c r="D228" s="703" t="s">
        <v>2479</v>
      </c>
      <c r="E228"/>
      <c r="F228" s="3875"/>
      <c r="G228" s="3875"/>
      <c r="H228" s="3875"/>
      <c r="I228" s="3875"/>
      <c r="J228" s="3875"/>
      <c r="K228" s="3875"/>
      <c r="L228" s="3875"/>
      <c r="M228" s="3875"/>
      <c r="N228" s="3875"/>
      <c r="O228" s="3875"/>
      <c r="P228" s="3886">
        <f t="shared" si="10"/>
        <v>0</v>
      </c>
      <c r="Q228"/>
      <c r="R228" s="3875"/>
      <c r="S228" s="3875"/>
      <c r="T228" s="3875"/>
      <c r="U228" s="3875"/>
      <c r="V228" s="3875"/>
      <c r="W228" s="3875"/>
      <c r="X228" s="3875"/>
      <c r="Y228" s="3875"/>
      <c r="Z228" s="3875"/>
      <c r="AA228" s="3875"/>
      <c r="AB228" s="3875"/>
      <c r="AC228" s="3875"/>
      <c r="AD228" s="3886">
        <f t="shared" si="11"/>
        <v>0</v>
      </c>
      <c r="AE228"/>
      <c r="AF228" s="3875"/>
      <c r="AG228" s="3875"/>
      <c r="AH228" s="3875"/>
      <c r="AI228" s="3875"/>
      <c r="AJ228" s="3875"/>
      <c r="AK228" s="3875"/>
      <c r="AL228" s="3875"/>
      <c r="AM228" s="3875"/>
      <c r="AN228" s="3875"/>
      <c r="AO228" s="3788"/>
      <c r="AP228" s="3875"/>
      <c r="AQ228" s="3875"/>
      <c r="AR228" s="3886">
        <f t="shared" si="12"/>
        <v>0</v>
      </c>
      <c r="AS228"/>
      <c r="AT228" s="3875"/>
      <c r="AU228" s="3788"/>
      <c r="AV228" s="3875"/>
      <c r="AW228" s="3875"/>
      <c r="AX228" s="3875"/>
      <c r="AY228" s="3788"/>
      <c r="AZ228" s="3875"/>
      <c r="BA228" s="3875"/>
      <c r="BB228" s="3875"/>
      <c r="BC228" s="3788"/>
      <c r="BD228" s="3875"/>
      <c r="BE228" s="3875"/>
      <c r="BF228" s="3886">
        <f t="shared" si="13"/>
        <v>0</v>
      </c>
      <c r="BG228"/>
      <c r="BH228" s="3875"/>
      <c r="BI228" s="3875"/>
      <c r="BJ228" s="3875"/>
      <c r="BK228" s="3875"/>
      <c r="BL228" s="3875"/>
      <c r="BM228" s="3875"/>
      <c r="BN228" s="3875"/>
      <c r="BO228" s="3875"/>
      <c r="BP228" s="3875"/>
      <c r="BQ228" s="3875"/>
      <c r="BR228" s="3875"/>
      <c r="BS228" s="3875"/>
      <c r="BT228" s="3886">
        <f t="shared" si="14"/>
        <v>0</v>
      </c>
      <c r="BU228"/>
      <c r="BV228" s="3875"/>
      <c r="BW228" s="3875"/>
      <c r="BX228" s="3875"/>
      <c r="BY228" s="3886">
        <f t="shared" si="15"/>
        <v>0</v>
      </c>
      <c r="BZ228" s="3886">
        <f t="shared" si="16"/>
        <v>0</v>
      </c>
    </row>
    <row r="229" spans="1:78" s="108" customFormat="1" ht="55.25" hidden="1" customHeight="1" outlineLevel="3">
      <c r="A229" s="159"/>
      <c r="B229" s="702" t="s">
        <v>2480</v>
      </c>
      <c r="C229" s="702"/>
      <c r="D229" s="1374" t="s">
        <v>2481</v>
      </c>
      <c r="E229"/>
      <c r="F229" s="3875"/>
      <c r="G229" s="3875"/>
      <c r="H229" s="3875"/>
      <c r="I229" s="3875"/>
      <c r="J229" s="3875"/>
      <c r="K229" s="3875"/>
      <c r="L229" s="3875"/>
      <c r="M229" s="3875"/>
      <c r="N229" s="3875"/>
      <c r="O229" s="3875"/>
      <c r="P229" s="3886">
        <f t="shared" si="10"/>
        <v>0</v>
      </c>
      <c r="Q229"/>
      <c r="R229" s="3875"/>
      <c r="S229" s="3875"/>
      <c r="T229" s="3875"/>
      <c r="U229" s="3875"/>
      <c r="V229" s="3875"/>
      <c r="W229" s="3875"/>
      <c r="X229" s="3875"/>
      <c r="Y229" s="3875"/>
      <c r="Z229" s="3875"/>
      <c r="AA229" s="3875"/>
      <c r="AB229" s="3875"/>
      <c r="AC229" s="3875"/>
      <c r="AD229" s="3886">
        <f t="shared" si="11"/>
        <v>0</v>
      </c>
      <c r="AE229"/>
      <c r="AF229" s="3875"/>
      <c r="AG229" s="3875"/>
      <c r="AH229" s="3875"/>
      <c r="AI229" s="3875"/>
      <c r="AJ229" s="3875"/>
      <c r="AK229" s="3875"/>
      <c r="AL229" s="3875"/>
      <c r="AM229" s="3875"/>
      <c r="AN229" s="3875"/>
      <c r="AO229" s="3788"/>
      <c r="AP229" s="3875"/>
      <c r="AQ229" s="3875"/>
      <c r="AR229" s="3886">
        <f t="shared" si="12"/>
        <v>0</v>
      </c>
      <c r="AS229"/>
      <c r="AT229" s="3875"/>
      <c r="AU229" s="3788"/>
      <c r="AV229" s="3875"/>
      <c r="AW229" s="3875"/>
      <c r="AX229" s="3875"/>
      <c r="AY229" s="3788"/>
      <c r="AZ229" s="3875"/>
      <c r="BA229" s="3875"/>
      <c r="BB229" s="3875"/>
      <c r="BC229" s="3788"/>
      <c r="BD229" s="3875"/>
      <c r="BE229" s="3875"/>
      <c r="BF229" s="3886">
        <f t="shared" si="13"/>
        <v>0</v>
      </c>
      <c r="BG229"/>
      <c r="BH229" s="3875"/>
      <c r="BI229" s="3875"/>
      <c r="BJ229" s="3875"/>
      <c r="BK229" s="3875"/>
      <c r="BL229" s="3875"/>
      <c r="BM229" s="3875"/>
      <c r="BN229" s="3875"/>
      <c r="BO229" s="3875"/>
      <c r="BP229" s="3875"/>
      <c r="BQ229" s="3875"/>
      <c r="BR229" s="3875"/>
      <c r="BS229" s="3875"/>
      <c r="BT229" s="3886">
        <f t="shared" si="14"/>
        <v>0</v>
      </c>
      <c r="BU229"/>
      <c r="BV229" s="3875"/>
      <c r="BW229" s="3875"/>
      <c r="BX229" s="3875"/>
      <c r="BY229" s="3886">
        <f t="shared" si="15"/>
        <v>0</v>
      </c>
      <c r="BZ229" s="3886">
        <f t="shared" si="16"/>
        <v>0</v>
      </c>
    </row>
    <row r="230" spans="1:78" s="108" customFormat="1" ht="55.25" hidden="1" customHeight="1" outlineLevel="3">
      <c r="A230" s="159"/>
      <c r="B230" s="702" t="s">
        <v>2482</v>
      </c>
      <c r="C230" s="702"/>
      <c r="D230" s="703" t="s">
        <v>2483</v>
      </c>
      <c r="E230"/>
      <c r="F230" s="3875"/>
      <c r="G230" s="3875"/>
      <c r="H230" s="3875"/>
      <c r="I230" s="3875"/>
      <c r="J230" s="3875"/>
      <c r="K230" s="3875"/>
      <c r="L230" s="3875"/>
      <c r="M230" s="3875"/>
      <c r="N230" s="3875"/>
      <c r="O230" s="3875"/>
      <c r="P230" s="3886">
        <f t="shared" si="10"/>
        <v>0</v>
      </c>
      <c r="Q230"/>
      <c r="R230" s="3875"/>
      <c r="S230" s="3875"/>
      <c r="T230" s="3875"/>
      <c r="U230" s="3875"/>
      <c r="V230" s="3875"/>
      <c r="W230" s="3875"/>
      <c r="X230" s="3875"/>
      <c r="Y230" s="3875"/>
      <c r="Z230" s="3875"/>
      <c r="AA230" s="3875"/>
      <c r="AB230" s="3875"/>
      <c r="AC230" s="3875"/>
      <c r="AD230" s="3886">
        <f t="shared" si="11"/>
        <v>0</v>
      </c>
      <c r="AE230"/>
      <c r="AF230" s="3875"/>
      <c r="AG230" s="3875"/>
      <c r="AH230" s="3875"/>
      <c r="AI230" s="3875"/>
      <c r="AJ230" s="3875"/>
      <c r="AK230" s="3875"/>
      <c r="AL230" s="3875"/>
      <c r="AM230" s="3875"/>
      <c r="AN230" s="3875"/>
      <c r="AO230" s="3788"/>
      <c r="AP230" s="3875"/>
      <c r="AQ230" s="3875"/>
      <c r="AR230" s="3886">
        <f t="shared" si="12"/>
        <v>0</v>
      </c>
      <c r="AS230"/>
      <c r="AT230" s="3875"/>
      <c r="AU230" s="3788"/>
      <c r="AV230" s="3875"/>
      <c r="AW230" s="3875"/>
      <c r="AX230" s="3875"/>
      <c r="AY230" s="3788"/>
      <c r="AZ230" s="3875"/>
      <c r="BA230" s="3875"/>
      <c r="BB230" s="3875"/>
      <c r="BC230" s="3788"/>
      <c r="BD230" s="3875"/>
      <c r="BE230" s="3875"/>
      <c r="BF230" s="3886">
        <f t="shared" si="13"/>
        <v>0</v>
      </c>
      <c r="BG230"/>
      <c r="BH230" s="3875"/>
      <c r="BI230" s="3875"/>
      <c r="BJ230" s="3875"/>
      <c r="BK230" s="3875"/>
      <c r="BL230" s="3875"/>
      <c r="BM230" s="3875"/>
      <c r="BN230" s="3875"/>
      <c r="BO230" s="3875"/>
      <c r="BP230" s="3875"/>
      <c r="BQ230" s="3875"/>
      <c r="BR230" s="3875"/>
      <c r="BS230" s="3875"/>
      <c r="BT230" s="3886">
        <f t="shared" si="14"/>
        <v>0</v>
      </c>
      <c r="BU230"/>
      <c r="BV230" s="3875"/>
      <c r="BW230" s="3875"/>
      <c r="BX230" s="3875"/>
      <c r="BY230" s="3886">
        <f t="shared" si="15"/>
        <v>0</v>
      </c>
      <c r="BZ230" s="3886">
        <f t="shared" si="16"/>
        <v>0</v>
      </c>
    </row>
    <row r="231" spans="1:78" s="108" customFormat="1" ht="27.5" hidden="1" customHeight="1" outlineLevel="3">
      <c r="A231" s="159"/>
      <c r="B231" s="702" t="s">
        <v>2484</v>
      </c>
      <c r="C231" s="702"/>
      <c r="D231" s="1459" t="s">
        <v>2485</v>
      </c>
      <c r="E231"/>
      <c r="F231" s="3876"/>
      <c r="G231" s="3876"/>
      <c r="H231" s="3876"/>
      <c r="I231" s="3876"/>
      <c r="J231" s="3876"/>
      <c r="K231" s="3876"/>
      <c r="L231" s="3876"/>
      <c r="M231" s="3876"/>
      <c r="N231" s="3876"/>
      <c r="O231" s="3876"/>
      <c r="P231" s="3887">
        <f t="shared" si="10"/>
        <v>0</v>
      </c>
      <c r="Q231"/>
      <c r="R231" s="3876"/>
      <c r="S231" s="3876"/>
      <c r="T231" s="3876"/>
      <c r="U231" s="3876"/>
      <c r="V231" s="3876"/>
      <c r="W231" s="3876"/>
      <c r="X231" s="3876"/>
      <c r="Y231" s="3876"/>
      <c r="Z231" s="3876"/>
      <c r="AA231" s="3876"/>
      <c r="AB231" s="3876"/>
      <c r="AC231" s="3876"/>
      <c r="AD231" s="3887">
        <f t="shared" si="11"/>
        <v>0</v>
      </c>
      <c r="AE231"/>
      <c r="AF231" s="3876"/>
      <c r="AG231" s="3876"/>
      <c r="AH231" s="3876"/>
      <c r="AI231" s="3876"/>
      <c r="AJ231" s="3876"/>
      <c r="AK231" s="3876"/>
      <c r="AL231" s="3876"/>
      <c r="AM231" s="3876"/>
      <c r="AN231" s="3876"/>
      <c r="AO231" s="3789"/>
      <c r="AP231" s="3876"/>
      <c r="AQ231" s="3876"/>
      <c r="AR231" s="3887">
        <f t="shared" si="12"/>
        <v>0</v>
      </c>
      <c r="AS231"/>
      <c r="AT231" s="3876"/>
      <c r="AU231" s="3789"/>
      <c r="AV231" s="3876"/>
      <c r="AW231" s="3876"/>
      <c r="AX231" s="3876"/>
      <c r="AY231" s="3789"/>
      <c r="AZ231" s="3876"/>
      <c r="BA231" s="3876"/>
      <c r="BB231" s="3876"/>
      <c r="BC231" s="3789"/>
      <c r="BD231" s="3876"/>
      <c r="BE231" s="3876"/>
      <c r="BF231" s="3887">
        <f t="shared" si="13"/>
        <v>0</v>
      </c>
      <c r="BG231"/>
      <c r="BH231" s="3876"/>
      <c r="BI231" s="3876"/>
      <c r="BJ231" s="3876"/>
      <c r="BK231" s="3876"/>
      <c r="BL231" s="3876"/>
      <c r="BM231" s="3876"/>
      <c r="BN231" s="3876"/>
      <c r="BO231" s="3876"/>
      <c r="BP231" s="3876"/>
      <c r="BQ231" s="3876"/>
      <c r="BR231" s="3876"/>
      <c r="BS231" s="3876"/>
      <c r="BT231" s="3887">
        <f t="shared" si="14"/>
        <v>0</v>
      </c>
      <c r="BU231"/>
      <c r="BV231" s="3876"/>
      <c r="BW231" s="3876"/>
      <c r="BX231" s="3876"/>
      <c r="BY231" s="3887">
        <f t="shared" si="15"/>
        <v>0</v>
      </c>
      <c r="BZ231" s="3887">
        <f t="shared" si="16"/>
        <v>0</v>
      </c>
    </row>
    <row r="232" spans="1:78" s="108" customFormat="1" ht="41.5" hidden="1" customHeight="1" outlineLevel="3">
      <c r="A232" s="159"/>
      <c r="B232" s="702" t="s">
        <v>2486</v>
      </c>
      <c r="C232" s="702"/>
      <c r="D232" s="533" t="s">
        <v>2487</v>
      </c>
      <c r="E232"/>
      <c r="F232" s="986"/>
      <c r="G232" s="986"/>
      <c r="H232" s="986"/>
      <c r="I232" s="986"/>
      <c r="J232" s="986"/>
      <c r="K232" s="986"/>
      <c r="L232" s="986"/>
      <c r="M232" s="986"/>
      <c r="N232" s="986"/>
      <c r="O232" s="986"/>
      <c r="P232" s="2011">
        <v>0</v>
      </c>
      <c r="Q232"/>
      <c r="R232" s="986"/>
      <c r="S232" s="986"/>
      <c r="T232" s="986"/>
      <c r="U232" s="986"/>
      <c r="V232" s="986"/>
      <c r="W232" s="986"/>
      <c r="X232" s="986"/>
      <c r="Y232" s="986"/>
      <c r="Z232" s="986"/>
      <c r="AA232" s="986"/>
      <c r="AB232" s="986"/>
      <c r="AC232" s="986"/>
      <c r="AD232" s="2011">
        <v>0</v>
      </c>
      <c r="AE232"/>
      <c r="AF232" s="986"/>
      <c r="AG232" s="986"/>
      <c r="AH232" s="986"/>
      <c r="AI232" s="986"/>
      <c r="AJ232" s="986">
        <v>2500</v>
      </c>
      <c r="AK232" s="986">
        <v>2500</v>
      </c>
      <c r="AL232" s="986">
        <v>2500</v>
      </c>
      <c r="AM232" s="986">
        <v>2500</v>
      </c>
      <c r="AN232" s="986">
        <v>2500</v>
      </c>
      <c r="AO232" s="986">
        <v>2500</v>
      </c>
      <c r="AP232" s="986">
        <v>2500</v>
      </c>
      <c r="AQ232" s="986">
        <v>2500</v>
      </c>
      <c r="AR232" s="2011">
        <v>20000</v>
      </c>
      <c r="AS232"/>
      <c r="AT232" s="986">
        <v>2500</v>
      </c>
      <c r="AU232" s="986">
        <v>2500</v>
      </c>
      <c r="AV232" s="986">
        <v>2500</v>
      </c>
      <c r="AW232" s="986">
        <v>2500</v>
      </c>
      <c r="AX232" s="986">
        <v>2500</v>
      </c>
      <c r="AY232" s="986">
        <v>2500</v>
      </c>
      <c r="AZ232" s="986">
        <v>2500</v>
      </c>
      <c r="BA232" s="986">
        <v>2500</v>
      </c>
      <c r="BB232" s="986">
        <v>2500</v>
      </c>
      <c r="BC232" s="986">
        <v>2500</v>
      </c>
      <c r="BD232" s="986">
        <v>2500</v>
      </c>
      <c r="BE232" s="986">
        <v>2500</v>
      </c>
      <c r="BF232" s="2014">
        <v>30000</v>
      </c>
      <c r="BG232"/>
      <c r="BH232" s="986">
        <v>2500</v>
      </c>
      <c r="BI232" s="986">
        <v>2500</v>
      </c>
      <c r="BJ232" s="986">
        <v>2500</v>
      </c>
      <c r="BK232" s="986">
        <v>2500</v>
      </c>
      <c r="BL232" s="986"/>
      <c r="BM232" s="986"/>
      <c r="BN232" s="986"/>
      <c r="BO232" s="986"/>
      <c r="BP232" s="986"/>
      <c r="BQ232" s="986"/>
      <c r="BR232" s="986"/>
      <c r="BS232" s="986"/>
      <c r="BT232" s="1498">
        <v>10000</v>
      </c>
      <c r="BU232"/>
      <c r="BV232" s="986"/>
      <c r="BW232" s="986"/>
      <c r="BX232" s="986"/>
      <c r="BY232" s="1498">
        <v>0</v>
      </c>
      <c r="BZ232" s="1498">
        <v>60000</v>
      </c>
    </row>
    <row r="233" spans="1:78" s="108" customFormat="1" ht="69" hidden="1" customHeight="1" outlineLevel="3">
      <c r="A233" s="159"/>
      <c r="B233" s="702" t="s">
        <v>2488</v>
      </c>
      <c r="C233" s="702"/>
      <c r="D233" s="1374" t="s">
        <v>2489</v>
      </c>
      <c r="E233"/>
      <c r="F233" s="986"/>
      <c r="G233" s="986"/>
      <c r="H233" s="986"/>
      <c r="I233" s="986"/>
      <c r="J233" s="986"/>
      <c r="K233" s="986"/>
      <c r="L233" s="986"/>
      <c r="M233" s="986"/>
      <c r="N233" s="986"/>
      <c r="O233" s="986"/>
      <c r="P233" s="2011">
        <v>0</v>
      </c>
      <c r="Q233"/>
      <c r="R233" s="986"/>
      <c r="S233" s="986"/>
      <c r="T233" s="986"/>
      <c r="U233" s="986"/>
      <c r="V233" s="986"/>
      <c r="W233" s="986"/>
      <c r="X233" s="986"/>
      <c r="Y233" s="986"/>
      <c r="Z233" s="986"/>
      <c r="AA233" s="986"/>
      <c r="AB233" s="986"/>
      <c r="AC233" s="986"/>
      <c r="AD233" s="2011">
        <v>0</v>
      </c>
      <c r="AE233"/>
      <c r="AF233" s="986"/>
      <c r="AG233" s="986"/>
      <c r="AH233" s="986"/>
      <c r="AI233" s="986"/>
      <c r="AJ233" s="986"/>
      <c r="AK233" s="986"/>
      <c r="AL233" s="986"/>
      <c r="AM233" s="986"/>
      <c r="AN233" s="986"/>
      <c r="AO233" s="986"/>
      <c r="AP233" s="986"/>
      <c r="AQ233" s="986"/>
      <c r="AR233" s="2011">
        <v>0</v>
      </c>
      <c r="AS233"/>
      <c r="AT233" s="986">
        <v>4000</v>
      </c>
      <c r="AU233" s="986">
        <v>4000</v>
      </c>
      <c r="AV233" s="986">
        <v>4000</v>
      </c>
      <c r="AW233" s="986">
        <v>4000</v>
      </c>
      <c r="AX233" s="986">
        <v>4000</v>
      </c>
      <c r="AY233" s="986">
        <v>4000</v>
      </c>
      <c r="AZ233" s="986"/>
      <c r="BA233" s="986"/>
      <c r="BB233" s="986"/>
      <c r="BC233" s="986"/>
      <c r="BD233" s="986"/>
      <c r="BE233" s="986"/>
      <c r="BF233" s="2014">
        <v>24000</v>
      </c>
      <c r="BG233"/>
      <c r="BH233" s="986"/>
      <c r="BI233" s="986"/>
      <c r="BJ233" s="986"/>
      <c r="BK233" s="986"/>
      <c r="BL233" s="986"/>
      <c r="BM233" s="986"/>
      <c r="BN233" s="986"/>
      <c r="BO233" s="986"/>
      <c r="BP233" s="986"/>
      <c r="BQ233" s="986"/>
      <c r="BR233" s="986"/>
      <c r="BS233" s="986"/>
      <c r="BT233" s="1498">
        <v>0</v>
      </c>
      <c r="BU233"/>
      <c r="BV233" s="986"/>
      <c r="BW233" s="986"/>
      <c r="BX233" s="986"/>
      <c r="BY233" s="1498">
        <v>0</v>
      </c>
      <c r="BZ233" s="1498">
        <v>24000</v>
      </c>
    </row>
    <row r="234" spans="1:78" s="153" customFormat="1" ht="38" customHeight="1" outlineLevel="2" collapsed="1">
      <c r="A234" s="172"/>
      <c r="B234" s="171" t="s">
        <v>527</v>
      </c>
      <c r="C234" s="171"/>
      <c r="D234" s="538" t="s">
        <v>265</v>
      </c>
      <c r="E234"/>
      <c r="F234" s="176">
        <v>0</v>
      </c>
      <c r="G234" s="176">
        <v>0</v>
      </c>
      <c r="H234" s="176">
        <v>0</v>
      </c>
      <c r="I234" s="176">
        <v>0</v>
      </c>
      <c r="J234" s="176">
        <v>0</v>
      </c>
      <c r="K234" s="176">
        <v>0</v>
      </c>
      <c r="L234" s="176">
        <v>0</v>
      </c>
      <c r="M234" s="176">
        <v>0</v>
      </c>
      <c r="N234" s="176">
        <v>0</v>
      </c>
      <c r="O234" s="176">
        <v>0</v>
      </c>
      <c r="P234" s="176">
        <v>0</v>
      </c>
      <c r="Q234"/>
      <c r="R234" s="176">
        <v>4000</v>
      </c>
      <c r="S234" s="176">
        <v>4000</v>
      </c>
      <c r="T234" s="176">
        <v>4000</v>
      </c>
      <c r="U234" s="176">
        <v>4000</v>
      </c>
      <c r="V234" s="176">
        <v>0</v>
      </c>
      <c r="W234" s="176">
        <v>0</v>
      </c>
      <c r="X234" s="176">
        <v>0</v>
      </c>
      <c r="Y234" s="176">
        <v>0</v>
      </c>
      <c r="Z234" s="176">
        <v>0</v>
      </c>
      <c r="AA234" s="176">
        <v>0</v>
      </c>
      <c r="AB234" s="176">
        <v>0</v>
      </c>
      <c r="AC234" s="176">
        <v>0</v>
      </c>
      <c r="AD234" s="176">
        <v>16000</v>
      </c>
      <c r="AE234"/>
      <c r="AF234" s="176">
        <v>0</v>
      </c>
      <c r="AG234" s="176">
        <v>38400</v>
      </c>
      <c r="AH234" s="176">
        <v>0</v>
      </c>
      <c r="AI234" s="176">
        <v>0</v>
      </c>
      <c r="AJ234" s="176">
        <v>0</v>
      </c>
      <c r="AK234" s="176">
        <v>38400</v>
      </c>
      <c r="AL234" s="176">
        <v>50000</v>
      </c>
      <c r="AM234" s="176">
        <v>0</v>
      </c>
      <c r="AN234" s="176">
        <v>0</v>
      </c>
      <c r="AO234" s="176">
        <v>38400</v>
      </c>
      <c r="AP234" s="176">
        <v>0</v>
      </c>
      <c r="AQ234" s="176">
        <v>0</v>
      </c>
      <c r="AR234" s="176">
        <v>165200</v>
      </c>
      <c r="AS234"/>
      <c r="AT234" s="176">
        <v>0</v>
      </c>
      <c r="AU234" s="176">
        <v>38400</v>
      </c>
      <c r="AV234" s="176">
        <v>0</v>
      </c>
      <c r="AW234" s="176">
        <v>0</v>
      </c>
      <c r="AX234" s="176">
        <v>0</v>
      </c>
      <c r="AY234" s="176">
        <v>38400</v>
      </c>
      <c r="AZ234" s="176">
        <v>0</v>
      </c>
      <c r="BA234" s="176">
        <v>0</v>
      </c>
      <c r="BB234" s="176">
        <v>0</v>
      </c>
      <c r="BC234" s="176">
        <v>38400</v>
      </c>
      <c r="BD234" s="176">
        <v>0</v>
      </c>
      <c r="BE234" s="176">
        <v>0</v>
      </c>
      <c r="BF234" s="176">
        <v>115200</v>
      </c>
      <c r="BG234"/>
      <c r="BH234" s="176">
        <v>0</v>
      </c>
      <c r="BI234" s="176">
        <v>38400</v>
      </c>
      <c r="BJ234" s="176">
        <v>0</v>
      </c>
      <c r="BK234" s="176">
        <v>0</v>
      </c>
      <c r="BL234" s="176">
        <v>0</v>
      </c>
      <c r="BM234" s="176">
        <v>38400</v>
      </c>
      <c r="BN234" s="176">
        <v>0</v>
      </c>
      <c r="BO234" s="176">
        <v>0</v>
      </c>
      <c r="BP234" s="176">
        <v>0</v>
      </c>
      <c r="BQ234" s="176">
        <v>38400</v>
      </c>
      <c r="BR234" s="176">
        <v>0</v>
      </c>
      <c r="BS234" s="176">
        <v>0</v>
      </c>
      <c r="BT234" s="176">
        <v>115200</v>
      </c>
      <c r="BU234"/>
      <c r="BV234" s="176">
        <v>0</v>
      </c>
      <c r="BW234" s="176">
        <v>38400</v>
      </c>
      <c r="BX234" s="176">
        <v>0</v>
      </c>
      <c r="BY234" s="176">
        <v>38400</v>
      </c>
      <c r="BZ234" s="176">
        <v>450000</v>
      </c>
    </row>
    <row r="235" spans="1:78" s="108" customFormat="1" ht="38" hidden="1" customHeight="1" outlineLevel="3">
      <c r="A235" s="159"/>
      <c r="B235" s="107" t="s">
        <v>2490</v>
      </c>
      <c r="C235" s="702" t="s">
        <v>1279</v>
      </c>
      <c r="D235" s="703" t="s">
        <v>2491</v>
      </c>
      <c r="E235"/>
      <c r="F235" s="2132"/>
      <c r="G235" s="2132"/>
      <c r="H235" s="2132"/>
      <c r="I235" s="2132"/>
      <c r="J235" s="2132"/>
      <c r="K235" s="2132"/>
      <c r="L235" s="2132"/>
      <c r="M235" s="2132"/>
      <c r="N235" s="2132"/>
      <c r="O235" s="2132"/>
      <c r="P235" s="2133">
        <v>0</v>
      </c>
      <c r="Q235"/>
      <c r="R235" s="2132">
        <v>4000</v>
      </c>
      <c r="S235" s="2132">
        <v>4000</v>
      </c>
      <c r="T235" s="2132">
        <v>4000</v>
      </c>
      <c r="U235" s="2132">
        <v>4000</v>
      </c>
      <c r="V235" s="2132"/>
      <c r="W235" s="2132"/>
      <c r="X235" s="2132"/>
      <c r="Y235" s="2132"/>
      <c r="Z235" s="2132"/>
      <c r="AA235" s="2132"/>
      <c r="AB235" s="2132"/>
      <c r="AC235" s="2132"/>
      <c r="AD235" s="2133">
        <v>16000</v>
      </c>
      <c r="AE235"/>
      <c r="AF235" s="2132"/>
      <c r="AG235" s="2132"/>
      <c r="AH235" s="2132"/>
      <c r="AI235" s="2132"/>
      <c r="AJ235" s="2132"/>
      <c r="AK235" s="2132"/>
      <c r="AL235" s="2132"/>
      <c r="AM235" s="2132"/>
      <c r="AN235" s="2132"/>
      <c r="AO235" s="2132"/>
      <c r="AP235" s="2132"/>
      <c r="AQ235" s="2132"/>
      <c r="AR235" s="2133">
        <v>0</v>
      </c>
      <c r="AS235"/>
      <c r="AT235" s="2132"/>
      <c r="AU235" s="2132"/>
      <c r="AV235" s="2132"/>
      <c r="AW235" s="2132"/>
      <c r="AX235" s="2132"/>
      <c r="AY235" s="2132"/>
      <c r="AZ235" s="2132"/>
      <c r="BA235" s="2132"/>
      <c r="BB235" s="2132"/>
      <c r="BC235" s="2132"/>
      <c r="BD235" s="2132"/>
      <c r="BE235" s="2132"/>
      <c r="BF235" s="2133">
        <v>0</v>
      </c>
      <c r="BG235"/>
      <c r="BH235" s="2132"/>
      <c r="BI235" s="2132"/>
      <c r="BJ235" s="2132"/>
      <c r="BK235" s="2132"/>
      <c r="BL235" s="2132"/>
      <c r="BM235" s="2132"/>
      <c r="BN235" s="2132"/>
      <c r="BO235" s="2132"/>
      <c r="BP235" s="2132"/>
      <c r="BQ235" s="2132"/>
      <c r="BR235" s="2132"/>
      <c r="BS235" s="2132"/>
      <c r="BT235" s="2133">
        <v>0</v>
      </c>
      <c r="BU235"/>
      <c r="BV235" s="2132"/>
      <c r="BW235" s="2132"/>
      <c r="BX235" s="2132"/>
      <c r="BY235" s="2133">
        <v>0</v>
      </c>
      <c r="BZ235" s="2133">
        <v>16000</v>
      </c>
    </row>
    <row r="236" spans="1:78" s="108" customFormat="1" ht="41.5" hidden="1" customHeight="1" outlineLevel="3">
      <c r="A236" s="580"/>
      <c r="B236" s="107" t="s">
        <v>2492</v>
      </c>
      <c r="C236" s="702" t="s">
        <v>1279</v>
      </c>
      <c r="D236" s="533" t="s">
        <v>2493</v>
      </c>
      <c r="E236"/>
      <c r="F236" s="3874"/>
      <c r="G236" s="3874"/>
      <c r="H236" s="3874"/>
      <c r="I236" s="3874"/>
      <c r="J236" s="3874"/>
      <c r="K236" s="3874"/>
      <c r="L236" s="3874"/>
      <c r="M236" s="3874"/>
      <c r="N236" s="3874"/>
      <c r="O236" s="3874"/>
      <c r="P236" s="3885">
        <v>0</v>
      </c>
      <c r="Q236"/>
      <c r="R236" s="3874"/>
      <c r="S236" s="3874"/>
      <c r="T236" s="3874"/>
      <c r="U236" s="3874"/>
      <c r="V236" s="3874"/>
      <c r="W236" s="3874"/>
      <c r="X236" s="3874"/>
      <c r="Y236" s="3874"/>
      <c r="Z236" s="3874"/>
      <c r="AA236" s="3874"/>
      <c r="AB236" s="3874"/>
      <c r="AC236" s="3874"/>
      <c r="AD236" s="3885">
        <v>0</v>
      </c>
      <c r="AE236"/>
      <c r="AF236" s="3874"/>
      <c r="AG236" s="3874">
        <v>38400</v>
      </c>
      <c r="AH236" s="3874"/>
      <c r="AI236" s="3874"/>
      <c r="AJ236" s="3874"/>
      <c r="AK236" s="3874">
        <v>38400</v>
      </c>
      <c r="AL236" s="3874"/>
      <c r="AM236" s="3874"/>
      <c r="AN236" s="3874"/>
      <c r="AO236" s="3874">
        <v>38400</v>
      </c>
      <c r="AP236" s="3874"/>
      <c r="AQ236" s="3874"/>
      <c r="AR236" s="3885">
        <v>115200</v>
      </c>
      <c r="AS236"/>
      <c r="AT236" s="3874"/>
      <c r="AU236" s="3874">
        <v>38400</v>
      </c>
      <c r="AV236" s="3874"/>
      <c r="AW236" s="3874"/>
      <c r="AX236" s="3874"/>
      <c r="AY236" s="3874">
        <v>38400</v>
      </c>
      <c r="AZ236" s="3874"/>
      <c r="BA236" s="3874"/>
      <c r="BB236" s="3874"/>
      <c r="BC236" s="3874">
        <v>38400</v>
      </c>
      <c r="BD236" s="3874"/>
      <c r="BE236" s="3874"/>
      <c r="BF236" s="3885">
        <v>115200</v>
      </c>
      <c r="BG236"/>
      <c r="BH236" s="3874"/>
      <c r="BI236" s="3874">
        <v>38400</v>
      </c>
      <c r="BJ236" s="3874"/>
      <c r="BK236" s="3874"/>
      <c r="BL236" s="3874"/>
      <c r="BM236" s="3874">
        <v>38400</v>
      </c>
      <c r="BN236" s="3874"/>
      <c r="BO236" s="3874"/>
      <c r="BP236" s="3874"/>
      <c r="BQ236" s="3874">
        <v>38400</v>
      </c>
      <c r="BR236" s="3874"/>
      <c r="BS236" s="3874"/>
      <c r="BT236" s="3885">
        <v>115200</v>
      </c>
      <c r="BU236"/>
      <c r="BV236" s="3874"/>
      <c r="BW236" s="3874">
        <v>38400</v>
      </c>
      <c r="BX236" s="3874"/>
      <c r="BY236" s="3885">
        <v>38400</v>
      </c>
      <c r="BZ236" s="3885">
        <v>384000</v>
      </c>
    </row>
    <row r="237" spans="1:78" s="108" customFormat="1" ht="27.5" hidden="1" customHeight="1" outlineLevel="3">
      <c r="A237" s="580"/>
      <c r="B237" s="107" t="s">
        <v>2494</v>
      </c>
      <c r="C237" s="702" t="s">
        <v>1279</v>
      </c>
      <c r="D237" s="533" t="s">
        <v>2495</v>
      </c>
      <c r="E237"/>
      <c r="F237" s="3875"/>
      <c r="G237" s="3875"/>
      <c r="H237" s="3875"/>
      <c r="I237" s="3875"/>
      <c r="J237" s="3875"/>
      <c r="K237" s="3875"/>
      <c r="L237" s="3875"/>
      <c r="M237" s="3875"/>
      <c r="N237" s="3875"/>
      <c r="O237" s="3875"/>
      <c r="P237" s="3886">
        <f t="shared" si="10"/>
        <v>0</v>
      </c>
      <c r="Q237"/>
      <c r="R237" s="3875"/>
      <c r="S237" s="3875"/>
      <c r="T237" s="3875"/>
      <c r="U237" s="3875"/>
      <c r="V237" s="3875"/>
      <c r="W237" s="3875"/>
      <c r="X237" s="3875"/>
      <c r="Y237" s="3875"/>
      <c r="Z237" s="3875"/>
      <c r="AA237" s="3875"/>
      <c r="AB237" s="3875"/>
      <c r="AC237" s="3875"/>
      <c r="AD237" s="3886">
        <f t="shared" si="11"/>
        <v>0</v>
      </c>
      <c r="AE237"/>
      <c r="AF237" s="3875"/>
      <c r="AG237" s="3875"/>
      <c r="AH237" s="3875"/>
      <c r="AI237" s="3875"/>
      <c r="AJ237" s="3875"/>
      <c r="AK237" s="3875"/>
      <c r="AL237" s="3875"/>
      <c r="AM237" s="3875"/>
      <c r="AN237" s="3875"/>
      <c r="AO237" s="3875"/>
      <c r="AP237" s="3875"/>
      <c r="AQ237" s="3875"/>
      <c r="AR237" s="3886">
        <f t="shared" si="12"/>
        <v>0</v>
      </c>
      <c r="AS237"/>
      <c r="AT237" s="3875"/>
      <c r="AU237" s="3875"/>
      <c r="AV237" s="3875"/>
      <c r="AW237" s="3875"/>
      <c r="AX237" s="3875"/>
      <c r="AY237" s="3875"/>
      <c r="AZ237" s="3875"/>
      <c r="BA237" s="3875"/>
      <c r="BB237" s="3875"/>
      <c r="BC237" s="3875"/>
      <c r="BD237" s="3875"/>
      <c r="BE237" s="3875"/>
      <c r="BF237" s="3886">
        <f t="shared" si="13"/>
        <v>0</v>
      </c>
      <c r="BG237"/>
      <c r="BH237" s="3875"/>
      <c r="BI237" s="3875"/>
      <c r="BJ237" s="3875"/>
      <c r="BK237" s="3875"/>
      <c r="BL237" s="3875"/>
      <c r="BM237" s="3875"/>
      <c r="BN237" s="3875"/>
      <c r="BO237" s="3875"/>
      <c r="BP237" s="3875"/>
      <c r="BQ237" s="3875"/>
      <c r="BR237" s="3875"/>
      <c r="BS237" s="3875"/>
      <c r="BT237" s="3886">
        <f t="shared" si="14"/>
        <v>0</v>
      </c>
      <c r="BU237"/>
      <c r="BV237" s="3875"/>
      <c r="BW237" s="3875"/>
      <c r="BX237" s="3875"/>
      <c r="BY237" s="3886">
        <f t="shared" si="15"/>
        <v>0</v>
      </c>
      <c r="BZ237" s="3886">
        <f t="shared" si="16"/>
        <v>0</v>
      </c>
    </row>
    <row r="238" spans="1:78" s="108" customFormat="1" ht="41.5" hidden="1" customHeight="1" outlineLevel="3">
      <c r="A238" s="580"/>
      <c r="B238" s="107" t="s">
        <v>2496</v>
      </c>
      <c r="C238" s="702" t="s">
        <v>1279</v>
      </c>
      <c r="D238" s="533" t="s">
        <v>2497</v>
      </c>
      <c r="E238"/>
      <c r="F238" s="3875"/>
      <c r="G238" s="3875"/>
      <c r="H238" s="3875"/>
      <c r="I238" s="3875"/>
      <c r="J238" s="3875"/>
      <c r="K238" s="3875"/>
      <c r="L238" s="3875"/>
      <c r="M238" s="3875"/>
      <c r="N238" s="3875"/>
      <c r="O238" s="3875"/>
      <c r="P238" s="3886">
        <f t="shared" si="10"/>
        <v>0</v>
      </c>
      <c r="Q238"/>
      <c r="R238" s="3875"/>
      <c r="S238" s="3875"/>
      <c r="T238" s="3875"/>
      <c r="U238" s="3875"/>
      <c r="V238" s="3875"/>
      <c r="W238" s="3875"/>
      <c r="X238" s="3875"/>
      <c r="Y238" s="3875"/>
      <c r="Z238" s="3875"/>
      <c r="AA238" s="3875"/>
      <c r="AB238" s="3875"/>
      <c r="AC238" s="3875"/>
      <c r="AD238" s="3886">
        <f t="shared" si="11"/>
        <v>0</v>
      </c>
      <c r="AE238"/>
      <c r="AF238" s="3875"/>
      <c r="AG238" s="3875"/>
      <c r="AH238" s="3875"/>
      <c r="AI238" s="3875"/>
      <c r="AJ238" s="3875"/>
      <c r="AK238" s="3875"/>
      <c r="AL238" s="3875"/>
      <c r="AM238" s="3875"/>
      <c r="AN238" s="3875"/>
      <c r="AO238" s="3875"/>
      <c r="AP238" s="3875"/>
      <c r="AQ238" s="3875"/>
      <c r="AR238" s="3886">
        <f t="shared" si="12"/>
        <v>0</v>
      </c>
      <c r="AS238"/>
      <c r="AT238" s="3875"/>
      <c r="AU238" s="3875"/>
      <c r="AV238" s="3875"/>
      <c r="AW238" s="3875"/>
      <c r="AX238" s="3875"/>
      <c r="AY238" s="3875"/>
      <c r="AZ238" s="3875"/>
      <c r="BA238" s="3875"/>
      <c r="BB238" s="3875"/>
      <c r="BC238" s="3875"/>
      <c r="BD238" s="3875"/>
      <c r="BE238" s="3875"/>
      <c r="BF238" s="3886">
        <f t="shared" si="13"/>
        <v>0</v>
      </c>
      <c r="BG238"/>
      <c r="BH238" s="3875"/>
      <c r="BI238" s="3875"/>
      <c r="BJ238" s="3875"/>
      <c r="BK238" s="3875"/>
      <c r="BL238" s="3875"/>
      <c r="BM238" s="3875"/>
      <c r="BN238" s="3875"/>
      <c r="BO238" s="3875"/>
      <c r="BP238" s="3875"/>
      <c r="BQ238" s="3875"/>
      <c r="BR238" s="3875"/>
      <c r="BS238" s="3875"/>
      <c r="BT238" s="3886">
        <f t="shared" si="14"/>
        <v>0</v>
      </c>
      <c r="BU238"/>
      <c r="BV238" s="3875"/>
      <c r="BW238" s="3875"/>
      <c r="BX238" s="3875"/>
      <c r="BY238" s="3886">
        <f t="shared" si="15"/>
        <v>0</v>
      </c>
      <c r="BZ238" s="3886">
        <f t="shared" si="16"/>
        <v>0</v>
      </c>
    </row>
    <row r="239" spans="1:78" s="108" customFormat="1" ht="32" hidden="1" customHeight="1" outlineLevel="3">
      <c r="A239" s="580"/>
      <c r="B239" s="107" t="s">
        <v>2498</v>
      </c>
      <c r="C239" s="702" t="s">
        <v>1279</v>
      </c>
      <c r="D239" s="703" t="s">
        <v>2499</v>
      </c>
      <c r="E239"/>
      <c r="F239" s="3875"/>
      <c r="G239" s="3875"/>
      <c r="H239" s="3875"/>
      <c r="I239" s="3875"/>
      <c r="J239" s="3875"/>
      <c r="K239" s="3875"/>
      <c r="L239" s="3875"/>
      <c r="M239" s="3875"/>
      <c r="N239" s="3875"/>
      <c r="O239" s="3875"/>
      <c r="P239" s="3886">
        <f t="shared" si="10"/>
        <v>0</v>
      </c>
      <c r="Q239"/>
      <c r="R239" s="3875"/>
      <c r="S239" s="3875"/>
      <c r="T239" s="3875"/>
      <c r="U239" s="3875"/>
      <c r="V239" s="3875"/>
      <c r="W239" s="3875"/>
      <c r="X239" s="3875"/>
      <c r="Y239" s="3875"/>
      <c r="Z239" s="3875"/>
      <c r="AA239" s="3875"/>
      <c r="AB239" s="3875"/>
      <c r="AC239" s="3875"/>
      <c r="AD239" s="3886">
        <f t="shared" si="11"/>
        <v>0</v>
      </c>
      <c r="AE239"/>
      <c r="AF239" s="3875"/>
      <c r="AG239" s="3875"/>
      <c r="AH239" s="3875"/>
      <c r="AI239" s="3875"/>
      <c r="AJ239" s="3875"/>
      <c r="AK239" s="3875"/>
      <c r="AL239" s="3875"/>
      <c r="AM239" s="3875"/>
      <c r="AN239" s="3875"/>
      <c r="AO239" s="3875"/>
      <c r="AP239" s="3875"/>
      <c r="AQ239" s="3875"/>
      <c r="AR239" s="3886">
        <f t="shared" si="12"/>
        <v>0</v>
      </c>
      <c r="AS239"/>
      <c r="AT239" s="3875"/>
      <c r="AU239" s="3875"/>
      <c r="AV239" s="3875"/>
      <c r="AW239" s="3875"/>
      <c r="AX239" s="3875"/>
      <c r="AY239" s="3875"/>
      <c r="AZ239" s="3875"/>
      <c r="BA239" s="3875"/>
      <c r="BB239" s="3875"/>
      <c r="BC239" s="3875"/>
      <c r="BD239" s="3875"/>
      <c r="BE239" s="3875"/>
      <c r="BF239" s="3886">
        <f t="shared" si="13"/>
        <v>0</v>
      </c>
      <c r="BG239"/>
      <c r="BH239" s="3875"/>
      <c r="BI239" s="3875"/>
      <c r="BJ239" s="3875"/>
      <c r="BK239" s="3875"/>
      <c r="BL239" s="3875"/>
      <c r="BM239" s="3875"/>
      <c r="BN239" s="3875"/>
      <c r="BO239" s="3875"/>
      <c r="BP239" s="3875"/>
      <c r="BQ239" s="3875"/>
      <c r="BR239" s="3875"/>
      <c r="BS239" s="3875"/>
      <c r="BT239" s="3886">
        <f t="shared" si="14"/>
        <v>0</v>
      </c>
      <c r="BU239"/>
      <c r="BV239" s="3875"/>
      <c r="BW239" s="3875"/>
      <c r="BX239" s="3875"/>
      <c r="BY239" s="3886">
        <f t="shared" si="15"/>
        <v>0</v>
      </c>
      <c r="BZ239" s="3886">
        <f t="shared" si="16"/>
        <v>0</v>
      </c>
    </row>
    <row r="240" spans="1:78" s="108" customFormat="1" ht="41.5" hidden="1" customHeight="1" outlineLevel="4">
      <c r="A240" s="580"/>
      <c r="B240" s="107" t="s">
        <v>2500</v>
      </c>
      <c r="C240" s="702" t="s">
        <v>1279</v>
      </c>
      <c r="D240" s="703" t="s">
        <v>2501</v>
      </c>
      <c r="E240"/>
      <c r="F240" s="3875"/>
      <c r="G240" s="3875"/>
      <c r="H240" s="3875"/>
      <c r="I240" s="3875"/>
      <c r="J240" s="3875"/>
      <c r="K240" s="3875"/>
      <c r="L240" s="3875"/>
      <c r="M240" s="3875"/>
      <c r="N240" s="3875"/>
      <c r="O240" s="3875"/>
      <c r="P240" s="3886">
        <f t="shared" si="10"/>
        <v>0</v>
      </c>
      <c r="Q240"/>
      <c r="R240" s="3875"/>
      <c r="S240" s="3875"/>
      <c r="T240" s="3875"/>
      <c r="U240" s="3875"/>
      <c r="V240" s="3875"/>
      <c r="W240" s="3875"/>
      <c r="X240" s="3875"/>
      <c r="Y240" s="3875"/>
      <c r="Z240" s="3875"/>
      <c r="AA240" s="3875"/>
      <c r="AB240" s="3875"/>
      <c r="AC240" s="3875"/>
      <c r="AD240" s="3886">
        <f t="shared" si="11"/>
        <v>0</v>
      </c>
      <c r="AE240"/>
      <c r="AF240" s="3875"/>
      <c r="AG240" s="3875"/>
      <c r="AH240" s="3875"/>
      <c r="AI240" s="3875"/>
      <c r="AJ240" s="3875"/>
      <c r="AK240" s="3875"/>
      <c r="AL240" s="3875"/>
      <c r="AM240" s="3875"/>
      <c r="AN240" s="3875"/>
      <c r="AO240" s="3875"/>
      <c r="AP240" s="3875"/>
      <c r="AQ240" s="3875"/>
      <c r="AR240" s="3886">
        <f t="shared" si="12"/>
        <v>0</v>
      </c>
      <c r="AS240"/>
      <c r="AT240" s="3875"/>
      <c r="AU240" s="3875"/>
      <c r="AV240" s="3875"/>
      <c r="AW240" s="3875"/>
      <c r="AX240" s="3875"/>
      <c r="AY240" s="3875"/>
      <c r="AZ240" s="3875"/>
      <c r="BA240" s="3875"/>
      <c r="BB240" s="3875"/>
      <c r="BC240" s="3875"/>
      <c r="BD240" s="3875"/>
      <c r="BE240" s="3875"/>
      <c r="BF240" s="3886">
        <f t="shared" si="13"/>
        <v>0</v>
      </c>
      <c r="BG240"/>
      <c r="BH240" s="3875"/>
      <c r="BI240" s="3875"/>
      <c r="BJ240" s="3875"/>
      <c r="BK240" s="3875"/>
      <c r="BL240" s="3875"/>
      <c r="BM240" s="3875"/>
      <c r="BN240" s="3875"/>
      <c r="BO240" s="3875"/>
      <c r="BP240" s="3875"/>
      <c r="BQ240" s="3875"/>
      <c r="BR240" s="3875"/>
      <c r="BS240" s="3875"/>
      <c r="BT240" s="3886">
        <f t="shared" si="14"/>
        <v>0</v>
      </c>
      <c r="BU240"/>
      <c r="BV240" s="3875"/>
      <c r="BW240" s="3875"/>
      <c r="BX240" s="3875"/>
      <c r="BY240" s="3886">
        <f t="shared" si="15"/>
        <v>0</v>
      </c>
      <c r="BZ240" s="3886">
        <f t="shared" si="16"/>
        <v>0</v>
      </c>
    </row>
    <row r="241" spans="1:78" s="108" customFormat="1" ht="14" hidden="1" customHeight="1" outlineLevel="4">
      <c r="A241" s="580"/>
      <c r="B241" s="107" t="s">
        <v>2502</v>
      </c>
      <c r="C241" s="702" t="s">
        <v>1279</v>
      </c>
      <c r="D241" s="703" t="s">
        <v>2503</v>
      </c>
      <c r="E241"/>
      <c r="F241" s="3875"/>
      <c r="G241" s="3875"/>
      <c r="H241" s="3875"/>
      <c r="I241" s="3875"/>
      <c r="J241" s="3875"/>
      <c r="K241" s="3875"/>
      <c r="L241" s="3875"/>
      <c r="M241" s="3875"/>
      <c r="N241" s="3875"/>
      <c r="O241" s="3875"/>
      <c r="P241" s="3886">
        <f t="shared" si="10"/>
        <v>0</v>
      </c>
      <c r="Q241"/>
      <c r="R241" s="3875"/>
      <c r="S241" s="3875"/>
      <c r="T241" s="3875"/>
      <c r="U241" s="3875"/>
      <c r="V241" s="3875"/>
      <c r="W241" s="3875"/>
      <c r="X241" s="3875"/>
      <c r="Y241" s="3875"/>
      <c r="Z241" s="3875"/>
      <c r="AA241" s="3875"/>
      <c r="AB241" s="3875"/>
      <c r="AC241" s="3875"/>
      <c r="AD241" s="3886">
        <f t="shared" si="11"/>
        <v>0</v>
      </c>
      <c r="AE241"/>
      <c r="AF241" s="3875"/>
      <c r="AG241" s="3875"/>
      <c r="AH241" s="3875"/>
      <c r="AI241" s="3875"/>
      <c r="AJ241" s="3875"/>
      <c r="AK241" s="3875"/>
      <c r="AL241" s="3875"/>
      <c r="AM241" s="3875"/>
      <c r="AN241" s="3875"/>
      <c r="AO241" s="3875"/>
      <c r="AP241" s="3875"/>
      <c r="AQ241" s="3875"/>
      <c r="AR241" s="3886">
        <f t="shared" si="12"/>
        <v>0</v>
      </c>
      <c r="AS241"/>
      <c r="AT241" s="3875"/>
      <c r="AU241" s="3875"/>
      <c r="AV241" s="3875"/>
      <c r="AW241" s="3875"/>
      <c r="AX241" s="3875"/>
      <c r="AY241" s="3875"/>
      <c r="AZ241" s="3875"/>
      <c r="BA241" s="3875"/>
      <c r="BB241" s="3875"/>
      <c r="BC241" s="3875"/>
      <c r="BD241" s="3875"/>
      <c r="BE241" s="3875"/>
      <c r="BF241" s="3886">
        <f t="shared" si="13"/>
        <v>0</v>
      </c>
      <c r="BG241"/>
      <c r="BH241" s="3875"/>
      <c r="BI241" s="3875"/>
      <c r="BJ241" s="3875"/>
      <c r="BK241" s="3875"/>
      <c r="BL241" s="3875"/>
      <c r="BM241" s="3875"/>
      <c r="BN241" s="3875"/>
      <c r="BO241" s="3875"/>
      <c r="BP241" s="3875"/>
      <c r="BQ241" s="3875"/>
      <c r="BR241" s="3875"/>
      <c r="BS241" s="3875"/>
      <c r="BT241" s="3886">
        <f t="shared" si="14"/>
        <v>0</v>
      </c>
      <c r="BU241"/>
      <c r="BV241" s="3875"/>
      <c r="BW241" s="3875"/>
      <c r="BX241" s="3875"/>
      <c r="BY241" s="3886">
        <f t="shared" si="15"/>
        <v>0</v>
      </c>
      <c r="BZ241" s="3886">
        <f t="shared" si="16"/>
        <v>0</v>
      </c>
    </row>
    <row r="242" spans="1:78" s="108" customFormat="1" ht="14" hidden="1" customHeight="1" outlineLevel="4">
      <c r="A242" s="580"/>
      <c r="B242" s="107" t="s">
        <v>2504</v>
      </c>
      <c r="C242" s="702" t="s">
        <v>1279</v>
      </c>
      <c r="D242" s="703" t="s">
        <v>2505</v>
      </c>
      <c r="E242"/>
      <c r="F242" s="3875"/>
      <c r="G242" s="3875"/>
      <c r="H242" s="3875"/>
      <c r="I242" s="3875"/>
      <c r="J242" s="3875"/>
      <c r="K242" s="3875"/>
      <c r="L242" s="3875"/>
      <c r="M242" s="3875"/>
      <c r="N242" s="3875"/>
      <c r="O242" s="3875"/>
      <c r="P242" s="3886">
        <f t="shared" si="10"/>
        <v>0</v>
      </c>
      <c r="Q242"/>
      <c r="R242" s="3875"/>
      <c r="S242" s="3875"/>
      <c r="T242" s="3875"/>
      <c r="U242" s="3875"/>
      <c r="V242" s="3875"/>
      <c r="W242" s="3875"/>
      <c r="X242" s="3875"/>
      <c r="Y242" s="3875"/>
      <c r="Z242" s="3875"/>
      <c r="AA242" s="3875"/>
      <c r="AB242" s="3875"/>
      <c r="AC242" s="3875"/>
      <c r="AD242" s="3886">
        <f t="shared" si="11"/>
        <v>0</v>
      </c>
      <c r="AE242"/>
      <c r="AF242" s="3875"/>
      <c r="AG242" s="3875"/>
      <c r="AH242" s="3875"/>
      <c r="AI242" s="3875"/>
      <c r="AJ242" s="3875"/>
      <c r="AK242" s="3875"/>
      <c r="AL242" s="3875"/>
      <c r="AM242" s="3875"/>
      <c r="AN242" s="3875"/>
      <c r="AO242" s="3875"/>
      <c r="AP242" s="3875"/>
      <c r="AQ242" s="3875"/>
      <c r="AR242" s="3886">
        <f t="shared" si="12"/>
        <v>0</v>
      </c>
      <c r="AS242"/>
      <c r="AT242" s="3875"/>
      <c r="AU242" s="3875"/>
      <c r="AV242" s="3875"/>
      <c r="AW242" s="3875"/>
      <c r="AX242" s="3875"/>
      <c r="AY242" s="3875"/>
      <c r="AZ242" s="3875"/>
      <c r="BA242" s="3875"/>
      <c r="BB242" s="3875"/>
      <c r="BC242" s="3875"/>
      <c r="BD242" s="3875"/>
      <c r="BE242" s="3875"/>
      <c r="BF242" s="3886">
        <f t="shared" si="13"/>
        <v>0</v>
      </c>
      <c r="BG242"/>
      <c r="BH242" s="3875"/>
      <c r="BI242" s="3875"/>
      <c r="BJ242" s="3875"/>
      <c r="BK242" s="3875"/>
      <c r="BL242" s="3875"/>
      <c r="BM242" s="3875"/>
      <c r="BN242" s="3875"/>
      <c r="BO242" s="3875"/>
      <c r="BP242" s="3875"/>
      <c r="BQ242" s="3875"/>
      <c r="BR242" s="3875"/>
      <c r="BS242" s="3875"/>
      <c r="BT242" s="3886">
        <f t="shared" si="14"/>
        <v>0</v>
      </c>
      <c r="BU242"/>
      <c r="BV242" s="3875"/>
      <c r="BW242" s="3875"/>
      <c r="BX242" s="3875"/>
      <c r="BY242" s="3886">
        <f t="shared" si="15"/>
        <v>0</v>
      </c>
      <c r="BZ242" s="3886">
        <f t="shared" si="16"/>
        <v>0</v>
      </c>
    </row>
    <row r="243" spans="1:78" s="108" customFormat="1" ht="27.5" hidden="1" customHeight="1" outlineLevel="3" collapsed="1">
      <c r="A243" s="580"/>
      <c r="B243" s="107" t="s">
        <v>2506</v>
      </c>
      <c r="C243" s="702" t="s">
        <v>1279</v>
      </c>
      <c r="D243" s="703" t="s">
        <v>2507</v>
      </c>
      <c r="E243"/>
      <c r="F243" s="3876"/>
      <c r="G243" s="3876"/>
      <c r="H243" s="3876"/>
      <c r="I243" s="3876"/>
      <c r="J243" s="3876"/>
      <c r="K243" s="3876"/>
      <c r="L243" s="3876"/>
      <c r="M243" s="3876"/>
      <c r="N243" s="3876"/>
      <c r="O243" s="3876"/>
      <c r="P243" s="3887">
        <f t="shared" si="10"/>
        <v>0</v>
      </c>
      <c r="Q243"/>
      <c r="R243" s="3876"/>
      <c r="S243" s="3876"/>
      <c r="T243" s="3876"/>
      <c r="U243" s="3876"/>
      <c r="V243" s="3876"/>
      <c r="W243" s="3876"/>
      <c r="X243" s="3876"/>
      <c r="Y243" s="3876"/>
      <c r="Z243" s="3876"/>
      <c r="AA243" s="3876"/>
      <c r="AB243" s="3876"/>
      <c r="AC243" s="3876"/>
      <c r="AD243" s="3887">
        <f t="shared" si="11"/>
        <v>0</v>
      </c>
      <c r="AE243"/>
      <c r="AF243" s="3876"/>
      <c r="AG243" s="3876"/>
      <c r="AH243" s="3876"/>
      <c r="AI243" s="3876"/>
      <c r="AJ243" s="3876"/>
      <c r="AK243" s="3876"/>
      <c r="AL243" s="3876"/>
      <c r="AM243" s="3876"/>
      <c r="AN243" s="3876"/>
      <c r="AO243" s="3876"/>
      <c r="AP243" s="3876"/>
      <c r="AQ243" s="3876"/>
      <c r="AR243" s="3887">
        <f t="shared" si="12"/>
        <v>0</v>
      </c>
      <c r="AS243"/>
      <c r="AT243" s="3876"/>
      <c r="AU243" s="3876"/>
      <c r="AV243" s="3876"/>
      <c r="AW243" s="3876"/>
      <c r="AX243" s="3876"/>
      <c r="AY243" s="3876"/>
      <c r="AZ243" s="3876"/>
      <c r="BA243" s="3876"/>
      <c r="BB243" s="3876"/>
      <c r="BC243" s="3876"/>
      <c r="BD243" s="3876"/>
      <c r="BE243" s="3876"/>
      <c r="BF243" s="3887">
        <f t="shared" si="13"/>
        <v>0</v>
      </c>
      <c r="BG243"/>
      <c r="BH243" s="3876"/>
      <c r="BI243" s="3876"/>
      <c r="BJ243" s="3876"/>
      <c r="BK243" s="3876"/>
      <c r="BL243" s="3876"/>
      <c r="BM243" s="3876"/>
      <c r="BN243" s="3876"/>
      <c r="BO243" s="3876"/>
      <c r="BP243" s="3876"/>
      <c r="BQ243" s="3876"/>
      <c r="BR243" s="3876"/>
      <c r="BS243" s="3876"/>
      <c r="BT243" s="3887">
        <f t="shared" si="14"/>
        <v>0</v>
      </c>
      <c r="BU243"/>
      <c r="BV243" s="3876"/>
      <c r="BW243" s="3876"/>
      <c r="BX243" s="3876"/>
      <c r="BY243" s="3887">
        <f t="shared" si="15"/>
        <v>0</v>
      </c>
      <c r="BZ243" s="3887">
        <f t="shared" si="16"/>
        <v>0</v>
      </c>
    </row>
    <row r="244" spans="1:78" s="108" customFormat="1" ht="27.5" hidden="1" customHeight="1" outlineLevel="3">
      <c r="A244" s="580"/>
      <c r="B244" s="107" t="s">
        <v>2508</v>
      </c>
      <c r="C244" s="703"/>
      <c r="D244" s="703" t="s">
        <v>2509</v>
      </c>
      <c r="E244"/>
      <c r="F244" s="999"/>
      <c r="G244" s="999"/>
      <c r="H244" s="999"/>
      <c r="I244" s="999"/>
      <c r="J244" s="999"/>
      <c r="K244" s="999"/>
      <c r="L244" s="999"/>
      <c r="M244" s="999"/>
      <c r="N244" s="999"/>
      <c r="O244" s="999"/>
      <c r="P244" s="2020">
        <v>0</v>
      </c>
      <c r="Q244"/>
      <c r="R244" s="999"/>
      <c r="S244" s="999"/>
      <c r="T244" s="999"/>
      <c r="U244" s="999"/>
      <c r="V244" s="999"/>
      <c r="W244" s="999"/>
      <c r="X244" s="999"/>
      <c r="Y244" s="999"/>
      <c r="Z244" s="999"/>
      <c r="AA244" s="999"/>
      <c r="AB244" s="999"/>
      <c r="AC244" s="999"/>
      <c r="AD244" s="2020">
        <v>0</v>
      </c>
      <c r="AE244"/>
      <c r="AF244" s="999"/>
      <c r="AG244" s="999"/>
      <c r="AH244" s="999"/>
      <c r="AI244" s="999"/>
      <c r="AJ244" s="999"/>
      <c r="AK244" s="999"/>
      <c r="AL244" s="999">
        <v>50000</v>
      </c>
      <c r="AM244" s="999"/>
      <c r="AN244" s="999"/>
      <c r="AO244" s="999"/>
      <c r="AP244" s="999"/>
      <c r="AQ244" s="999"/>
      <c r="AR244" s="2020">
        <v>50000</v>
      </c>
      <c r="AS244"/>
      <c r="AT244" s="999"/>
      <c r="AU244" s="999"/>
      <c r="AV244" s="999"/>
      <c r="AW244" s="999"/>
      <c r="AX244" s="999"/>
      <c r="AY244" s="999"/>
      <c r="AZ244" s="999"/>
      <c r="BA244" s="999"/>
      <c r="BB244" s="999"/>
      <c r="BC244" s="999"/>
      <c r="BD244" s="999"/>
      <c r="BE244" s="999"/>
      <c r="BF244" s="2020">
        <v>0</v>
      </c>
      <c r="BG244"/>
      <c r="BH244" s="999"/>
      <c r="BI244" s="999"/>
      <c r="BJ244" s="999"/>
      <c r="BK244" s="999"/>
      <c r="BL244" s="999"/>
      <c r="BM244" s="999"/>
      <c r="BN244" s="999"/>
      <c r="BO244" s="999"/>
      <c r="BP244" s="999"/>
      <c r="BQ244" s="999"/>
      <c r="BR244" s="999"/>
      <c r="BS244" s="999"/>
      <c r="BT244" s="2020">
        <v>0</v>
      </c>
      <c r="BU244"/>
      <c r="BV244" s="999"/>
      <c r="BW244" s="999"/>
      <c r="BX244" s="999"/>
      <c r="BY244" s="2020">
        <v>0</v>
      </c>
      <c r="BZ244" s="2020">
        <v>50000</v>
      </c>
    </row>
    <row r="245" spans="1:78" s="108" customFormat="1" ht="14" customHeight="1" outlineLevel="2" collapsed="1">
      <c r="A245" s="580"/>
      <c r="B245" s="107"/>
      <c r="C245" s="107"/>
      <c r="D245" s="533"/>
      <c r="E245"/>
      <c r="F245" s="999"/>
      <c r="G245" s="999"/>
      <c r="H245" s="999"/>
      <c r="I245" s="999"/>
      <c r="J245" s="999"/>
      <c r="K245" s="999"/>
      <c r="L245" s="999"/>
      <c r="M245" s="999"/>
      <c r="N245" s="999"/>
      <c r="O245" s="999"/>
      <c r="P245" s="2020">
        <v>0</v>
      </c>
      <c r="Q245"/>
      <c r="R245" s="999"/>
      <c r="S245" s="999"/>
      <c r="T245" s="999"/>
      <c r="U245" s="999"/>
      <c r="V245" s="999"/>
      <c r="W245" s="999"/>
      <c r="X245" s="999"/>
      <c r="Y245" s="999"/>
      <c r="Z245" s="999"/>
      <c r="AA245" s="999"/>
      <c r="AB245" s="999"/>
      <c r="AC245" s="999"/>
      <c r="AD245" s="2020">
        <v>0</v>
      </c>
      <c r="AE245"/>
      <c r="AF245" s="999"/>
      <c r="AG245" s="999"/>
      <c r="AH245" s="999"/>
      <c r="AI245" s="999"/>
      <c r="AJ245" s="999"/>
      <c r="AK245" s="999"/>
      <c r="AL245" s="999"/>
      <c r="AM245" s="999"/>
      <c r="AN245" s="999"/>
      <c r="AO245" s="999"/>
      <c r="AP245" s="999"/>
      <c r="AQ245" s="999"/>
      <c r="AR245" s="2020">
        <v>0</v>
      </c>
      <c r="AS245"/>
      <c r="AT245" s="999"/>
      <c r="AU245" s="999"/>
      <c r="AV245" s="999"/>
      <c r="AW245" s="999"/>
      <c r="AX245" s="999"/>
      <c r="AY245" s="999"/>
      <c r="AZ245" s="999"/>
      <c r="BA245" s="999"/>
      <c r="BB245" s="999"/>
      <c r="BC245" s="999"/>
      <c r="BD245" s="999"/>
      <c r="BE245" s="999"/>
      <c r="BF245" s="2020">
        <v>0</v>
      </c>
      <c r="BG245"/>
      <c r="BH245" s="999"/>
      <c r="BI245" s="999"/>
      <c r="BJ245" s="999"/>
      <c r="BK245" s="999"/>
      <c r="BL245" s="999"/>
      <c r="BM245" s="999"/>
      <c r="BN245" s="999"/>
      <c r="BO245" s="999"/>
      <c r="BP245" s="999"/>
      <c r="BQ245" s="999"/>
      <c r="BR245" s="999"/>
      <c r="BS245" s="999"/>
      <c r="BT245" s="2020">
        <v>0</v>
      </c>
      <c r="BU245"/>
      <c r="BV245" s="999"/>
      <c r="BW245" s="999"/>
      <c r="BX245" s="999"/>
      <c r="BY245" s="2020">
        <v>0</v>
      </c>
      <c r="BZ245" s="2020">
        <v>0</v>
      </c>
    </row>
    <row r="246" spans="1:78" s="153" customFormat="1" outlineLevel="1">
      <c r="A246" s="578"/>
      <c r="B246" s="428" t="s">
        <v>529</v>
      </c>
      <c r="C246" s="428"/>
      <c r="D246" s="539" t="s">
        <v>268</v>
      </c>
      <c r="E246"/>
      <c r="F246" s="433">
        <v>0</v>
      </c>
      <c r="G246" s="433">
        <v>0</v>
      </c>
      <c r="H246" s="433">
        <v>0</v>
      </c>
      <c r="I246" s="433">
        <v>0</v>
      </c>
      <c r="J246" s="433">
        <v>0</v>
      </c>
      <c r="K246" s="433">
        <v>0</v>
      </c>
      <c r="L246" s="433">
        <v>0</v>
      </c>
      <c r="M246" s="433">
        <v>0</v>
      </c>
      <c r="N246" s="433">
        <v>0</v>
      </c>
      <c r="O246" s="433">
        <v>0</v>
      </c>
      <c r="P246" s="977">
        <v>0</v>
      </c>
      <c r="Q246"/>
      <c r="R246" s="433">
        <v>0</v>
      </c>
      <c r="S246" s="433">
        <v>0</v>
      </c>
      <c r="T246" s="433">
        <v>167800</v>
      </c>
      <c r="U246" s="433">
        <v>7800</v>
      </c>
      <c r="V246" s="433">
        <v>7800</v>
      </c>
      <c r="W246" s="433">
        <v>7800</v>
      </c>
      <c r="X246" s="433">
        <v>11800</v>
      </c>
      <c r="Y246" s="433">
        <v>11800</v>
      </c>
      <c r="Z246" s="433">
        <v>11800</v>
      </c>
      <c r="AA246" s="433">
        <v>7800</v>
      </c>
      <c r="AB246" s="433">
        <v>40300</v>
      </c>
      <c r="AC246" s="433">
        <v>7800</v>
      </c>
      <c r="AD246" s="977">
        <v>282500</v>
      </c>
      <c r="AE246"/>
      <c r="AF246" s="433">
        <v>0</v>
      </c>
      <c r="AG246" s="433">
        <v>20500</v>
      </c>
      <c r="AH246" s="433">
        <v>20500</v>
      </c>
      <c r="AI246" s="433">
        <v>8000</v>
      </c>
      <c r="AJ246" s="433">
        <v>8000</v>
      </c>
      <c r="AK246" s="433">
        <v>20500</v>
      </c>
      <c r="AL246" s="433">
        <v>8750</v>
      </c>
      <c r="AM246" s="433">
        <v>0</v>
      </c>
      <c r="AN246" s="433">
        <v>40000</v>
      </c>
      <c r="AO246" s="433">
        <v>62500</v>
      </c>
      <c r="AP246" s="433">
        <v>27500</v>
      </c>
      <c r="AQ246" s="433">
        <v>0</v>
      </c>
      <c r="AR246" s="977">
        <v>216250</v>
      </c>
      <c r="AS246"/>
      <c r="AT246" s="433">
        <v>40000</v>
      </c>
      <c r="AU246" s="433">
        <v>62500</v>
      </c>
      <c r="AV246" s="433">
        <v>175000</v>
      </c>
      <c r="AW246" s="433">
        <v>0</v>
      </c>
      <c r="AX246" s="433">
        <v>40000</v>
      </c>
      <c r="AY246" s="433">
        <v>50000</v>
      </c>
      <c r="AZ246" s="433">
        <v>30000</v>
      </c>
      <c r="BA246" s="433">
        <v>0</v>
      </c>
      <c r="BB246" s="433">
        <v>40000</v>
      </c>
      <c r="BC246" s="433">
        <v>87500</v>
      </c>
      <c r="BD246" s="433">
        <v>52500</v>
      </c>
      <c r="BE246" s="433">
        <v>0</v>
      </c>
      <c r="BF246" s="978">
        <v>577500</v>
      </c>
      <c r="BG246"/>
      <c r="BH246" s="433">
        <v>40000</v>
      </c>
      <c r="BI246" s="433">
        <v>72500</v>
      </c>
      <c r="BJ246" s="433">
        <v>0</v>
      </c>
      <c r="BK246" s="433">
        <v>0</v>
      </c>
      <c r="BL246" s="433">
        <v>0</v>
      </c>
      <c r="BM246" s="433">
        <v>72500</v>
      </c>
      <c r="BN246" s="433">
        <v>11250</v>
      </c>
      <c r="BO246" s="433">
        <v>0</v>
      </c>
      <c r="BP246" s="433">
        <v>0</v>
      </c>
      <c r="BQ246" s="433">
        <v>67500</v>
      </c>
      <c r="BR246" s="433">
        <v>0</v>
      </c>
      <c r="BS246" s="433">
        <v>0</v>
      </c>
      <c r="BT246" s="976">
        <v>263750</v>
      </c>
      <c r="BU246"/>
      <c r="BV246" s="433">
        <v>0</v>
      </c>
      <c r="BW246" s="433">
        <v>0</v>
      </c>
      <c r="BX246" s="433">
        <v>0</v>
      </c>
      <c r="BY246" s="976">
        <v>0</v>
      </c>
      <c r="BZ246" s="976">
        <v>1340000</v>
      </c>
    </row>
    <row r="247" spans="1:78" s="153" customFormat="1" ht="27.5" customHeight="1" outlineLevel="2" collapsed="1">
      <c r="A247" s="172"/>
      <c r="B247" s="171" t="s">
        <v>530</v>
      </c>
      <c r="C247" s="171"/>
      <c r="D247" s="538" t="s">
        <v>269</v>
      </c>
      <c r="E247"/>
      <c r="F247" s="176">
        <v>0</v>
      </c>
      <c r="G247" s="176">
        <v>0</v>
      </c>
      <c r="H247" s="176">
        <v>0</v>
      </c>
      <c r="I247" s="176">
        <v>0</v>
      </c>
      <c r="J247" s="176">
        <v>0</v>
      </c>
      <c r="K247" s="176">
        <v>0</v>
      </c>
      <c r="L247" s="176">
        <v>0</v>
      </c>
      <c r="M247" s="176">
        <v>0</v>
      </c>
      <c r="N247" s="176">
        <v>0</v>
      </c>
      <c r="O247" s="176">
        <v>0</v>
      </c>
      <c r="P247" s="980">
        <v>0</v>
      </c>
      <c r="Q247"/>
      <c r="R247" s="176">
        <v>0</v>
      </c>
      <c r="S247" s="176">
        <v>0</v>
      </c>
      <c r="T247" s="176">
        <v>0</v>
      </c>
      <c r="U247" s="176">
        <v>0</v>
      </c>
      <c r="V247" s="176">
        <v>0</v>
      </c>
      <c r="W247" s="176">
        <v>0</v>
      </c>
      <c r="X247" s="176">
        <v>0</v>
      </c>
      <c r="Y247" s="176">
        <v>0</v>
      </c>
      <c r="Z247" s="176">
        <v>0</v>
      </c>
      <c r="AA247" s="176">
        <v>0</v>
      </c>
      <c r="AB247" s="176">
        <v>0</v>
      </c>
      <c r="AC247" s="176">
        <v>0</v>
      </c>
      <c r="AD247" s="980">
        <v>0</v>
      </c>
      <c r="AE247"/>
      <c r="AF247" s="176">
        <v>0</v>
      </c>
      <c r="AG247" s="176">
        <v>0</v>
      </c>
      <c r="AH247" s="176">
        <v>0</v>
      </c>
      <c r="AI247" s="176">
        <v>0</v>
      </c>
      <c r="AJ247" s="176">
        <v>0</v>
      </c>
      <c r="AK247" s="176">
        <v>0</v>
      </c>
      <c r="AL247" s="176">
        <v>0</v>
      </c>
      <c r="AM247" s="176">
        <v>0</v>
      </c>
      <c r="AN247" s="176">
        <v>0</v>
      </c>
      <c r="AO247" s="176">
        <v>50000</v>
      </c>
      <c r="AP247" s="176">
        <v>0</v>
      </c>
      <c r="AQ247" s="176">
        <v>0</v>
      </c>
      <c r="AR247" s="980">
        <v>50000</v>
      </c>
      <c r="AS247"/>
      <c r="AT247" s="176">
        <v>0</v>
      </c>
      <c r="AU247" s="176">
        <v>50000</v>
      </c>
      <c r="AV247" s="176">
        <v>0</v>
      </c>
      <c r="AW247" s="176">
        <v>0</v>
      </c>
      <c r="AX247" s="176">
        <v>0</v>
      </c>
      <c r="AY247" s="176">
        <v>50000</v>
      </c>
      <c r="AZ247" s="176">
        <v>0</v>
      </c>
      <c r="BA247" s="176">
        <v>0</v>
      </c>
      <c r="BB247" s="176">
        <v>0</v>
      </c>
      <c r="BC247" s="176">
        <v>87500</v>
      </c>
      <c r="BD247" s="176">
        <v>0</v>
      </c>
      <c r="BE247" s="176">
        <v>0</v>
      </c>
      <c r="BF247" s="981">
        <v>187500</v>
      </c>
      <c r="BG247"/>
      <c r="BH247" s="176">
        <v>0</v>
      </c>
      <c r="BI247" s="176">
        <v>72500</v>
      </c>
      <c r="BJ247" s="176">
        <v>0</v>
      </c>
      <c r="BK247" s="176">
        <v>0</v>
      </c>
      <c r="BL247" s="176">
        <v>0</v>
      </c>
      <c r="BM247" s="176">
        <v>72500</v>
      </c>
      <c r="BN247" s="176">
        <v>0</v>
      </c>
      <c r="BO247" s="176">
        <v>0</v>
      </c>
      <c r="BP247" s="176">
        <v>0</v>
      </c>
      <c r="BQ247" s="176">
        <v>67500</v>
      </c>
      <c r="BR247" s="176">
        <v>0</v>
      </c>
      <c r="BS247" s="176">
        <v>0</v>
      </c>
      <c r="BT247" s="979">
        <v>212500</v>
      </c>
      <c r="BU247"/>
      <c r="BV247" s="176">
        <v>0</v>
      </c>
      <c r="BW247" s="176">
        <v>0</v>
      </c>
      <c r="BX247" s="176">
        <v>0</v>
      </c>
      <c r="BY247" s="979">
        <v>0</v>
      </c>
      <c r="BZ247" s="979">
        <v>450000</v>
      </c>
    </row>
    <row r="248" spans="1:78" s="153" customFormat="1" ht="38" hidden="1" customHeight="1" outlineLevel="3">
      <c r="A248" s="704"/>
      <c r="B248" s="354"/>
      <c r="C248" s="354"/>
      <c r="D248" s="1547" t="s">
        <v>2510</v>
      </c>
      <c r="E248"/>
      <c r="F248" s="2128"/>
      <c r="G248" s="2128"/>
      <c r="H248" s="2128"/>
      <c r="I248" s="2128"/>
      <c r="J248" s="2128"/>
      <c r="K248" s="2128"/>
      <c r="L248" s="2128"/>
      <c r="M248" s="2128"/>
      <c r="N248" s="2128"/>
      <c r="O248" s="2128"/>
      <c r="P248" s="2128">
        <v>0</v>
      </c>
      <c r="Q248"/>
      <c r="R248" s="2128"/>
      <c r="S248" s="2128"/>
      <c r="T248" s="2128"/>
      <c r="U248" s="2128"/>
      <c r="V248" s="2128"/>
      <c r="W248" s="2128"/>
      <c r="X248" s="2128"/>
      <c r="Y248" s="2128"/>
      <c r="Z248" s="2128"/>
      <c r="AA248" s="2128"/>
      <c r="AB248" s="2128"/>
      <c r="AC248" s="2128"/>
      <c r="AD248" s="2128">
        <v>0</v>
      </c>
      <c r="AE248"/>
      <c r="AF248" s="2128"/>
      <c r="AG248" s="2128"/>
      <c r="AH248" s="2128"/>
      <c r="AI248" s="2128"/>
      <c r="AJ248" s="2128"/>
      <c r="AK248" s="2128"/>
      <c r="AL248" s="2128"/>
      <c r="AM248" s="2128"/>
      <c r="AN248" s="2128"/>
      <c r="AO248" s="2128"/>
      <c r="AP248" s="2128"/>
      <c r="AQ248" s="2128"/>
      <c r="AR248" s="2128">
        <v>0</v>
      </c>
      <c r="AS248"/>
      <c r="AT248" s="2128"/>
      <c r="AU248" s="2128"/>
      <c r="AV248" s="2128"/>
      <c r="AW248" s="2128"/>
      <c r="AX248" s="2128"/>
      <c r="AY248" s="2128"/>
      <c r="AZ248" s="2128"/>
      <c r="BA248" s="2128"/>
      <c r="BB248" s="2128"/>
      <c r="BC248" s="2128"/>
      <c r="BD248" s="2128"/>
      <c r="BE248" s="2128"/>
      <c r="BF248" s="2134">
        <v>0</v>
      </c>
      <c r="BG248"/>
      <c r="BH248" s="2128"/>
      <c r="BI248" s="2128"/>
      <c r="BJ248" s="2128"/>
      <c r="BK248" s="2128"/>
      <c r="BL248" s="2128"/>
      <c r="BM248" s="2128"/>
      <c r="BN248" s="2128"/>
      <c r="BO248" s="2128"/>
      <c r="BP248" s="2128"/>
      <c r="BQ248" s="2128"/>
      <c r="BR248" s="2128"/>
      <c r="BS248" s="2128"/>
      <c r="BT248" s="2135">
        <v>0</v>
      </c>
      <c r="BU248"/>
      <c r="BV248" s="2128"/>
      <c r="BW248" s="2128"/>
      <c r="BX248" s="2128"/>
      <c r="BY248" s="2135">
        <v>0</v>
      </c>
      <c r="BZ248" s="2135">
        <v>0</v>
      </c>
    </row>
    <row r="249" spans="1:78" s="108" customFormat="1" ht="41.5" hidden="1" customHeight="1" outlineLevel="3">
      <c r="A249" s="159"/>
      <c r="B249" s="702" t="s">
        <v>2511</v>
      </c>
      <c r="C249" s="702"/>
      <c r="D249" s="703" t="s">
        <v>2512</v>
      </c>
      <c r="E249"/>
      <c r="F249" s="3844"/>
      <c r="G249" s="3844"/>
      <c r="H249" s="3844"/>
      <c r="I249" s="3844"/>
      <c r="J249" s="3844"/>
      <c r="K249" s="3844"/>
      <c r="L249" s="3844"/>
      <c r="M249" s="3844"/>
      <c r="N249" s="3844"/>
      <c r="O249" s="3844"/>
      <c r="P249" s="3882">
        <v>0</v>
      </c>
      <c r="Q249"/>
      <c r="R249" s="3844"/>
      <c r="S249" s="3844"/>
      <c r="T249" s="3844"/>
      <c r="U249" s="3844"/>
      <c r="V249" s="3844"/>
      <c r="W249" s="3844"/>
      <c r="X249" s="3844"/>
      <c r="Y249" s="3844"/>
      <c r="Z249" s="3844"/>
      <c r="AA249" s="3844"/>
      <c r="AB249" s="3844"/>
      <c r="AC249" s="3844"/>
      <c r="AD249" s="3882">
        <v>0</v>
      </c>
      <c r="AE249"/>
      <c r="AF249" s="3844"/>
      <c r="AG249" s="3844"/>
      <c r="AH249" s="3844"/>
      <c r="AI249" s="3844"/>
      <c r="AJ249" s="3844"/>
      <c r="AK249" s="3844"/>
      <c r="AL249" s="3844"/>
      <c r="AM249" s="3844"/>
      <c r="AN249" s="3844"/>
      <c r="AO249" s="3844">
        <v>50000</v>
      </c>
      <c r="AP249" s="3844"/>
      <c r="AQ249" s="3844"/>
      <c r="AR249" s="3882">
        <v>50000</v>
      </c>
      <c r="AS249"/>
      <c r="AT249" s="3844"/>
      <c r="AU249" s="3844">
        <v>50000</v>
      </c>
      <c r="AV249" s="3844"/>
      <c r="AW249" s="3844"/>
      <c r="AX249" s="3844"/>
      <c r="AY249" s="3844">
        <v>50000</v>
      </c>
      <c r="AZ249" s="3844"/>
      <c r="BA249" s="3844"/>
      <c r="BB249" s="3844"/>
      <c r="BC249" s="3844">
        <v>50000</v>
      </c>
      <c r="BD249" s="3844"/>
      <c r="BE249" s="3844"/>
      <c r="BF249" s="3882">
        <v>150000</v>
      </c>
      <c r="BG249"/>
      <c r="BH249" s="3844"/>
      <c r="BI249" s="3844"/>
      <c r="BJ249" s="3844"/>
      <c r="BK249" s="3844"/>
      <c r="BL249" s="3844"/>
      <c r="BM249" s="3844"/>
      <c r="BN249" s="3844"/>
      <c r="BO249" s="3844"/>
      <c r="BP249" s="3844"/>
      <c r="BQ249" s="3844"/>
      <c r="BR249" s="3844"/>
      <c r="BS249" s="3844"/>
      <c r="BT249" s="3882">
        <v>0</v>
      </c>
      <c r="BU249"/>
      <c r="BV249" s="3844"/>
      <c r="BW249" s="3844"/>
      <c r="BX249" s="3844"/>
      <c r="BY249" s="3882">
        <v>0</v>
      </c>
      <c r="BZ249" s="3882">
        <v>200000</v>
      </c>
    </row>
    <row r="250" spans="1:78" s="108" customFormat="1" ht="27.5" hidden="1" customHeight="1" outlineLevel="3">
      <c r="A250" s="159"/>
      <c r="B250" s="702" t="s">
        <v>2513</v>
      </c>
      <c r="C250" s="702"/>
      <c r="D250" s="703" t="s">
        <v>2514</v>
      </c>
      <c r="E250"/>
      <c r="F250" s="3845"/>
      <c r="G250" s="3845"/>
      <c r="H250" s="3845"/>
      <c r="I250" s="3845"/>
      <c r="J250" s="3845"/>
      <c r="K250" s="3845"/>
      <c r="L250" s="3845"/>
      <c r="M250" s="3845"/>
      <c r="N250" s="3845"/>
      <c r="O250" s="3845"/>
      <c r="P250" s="3883">
        <f t="shared" si="10"/>
        <v>0</v>
      </c>
      <c r="Q250"/>
      <c r="R250" s="3845"/>
      <c r="S250" s="3845"/>
      <c r="T250" s="3845"/>
      <c r="U250" s="3845"/>
      <c r="V250" s="3845"/>
      <c r="W250" s="3845"/>
      <c r="X250" s="3845"/>
      <c r="Y250" s="3845"/>
      <c r="Z250" s="3845"/>
      <c r="AA250" s="3845"/>
      <c r="AB250" s="3845"/>
      <c r="AC250" s="3845"/>
      <c r="AD250" s="3883">
        <f t="shared" si="11"/>
        <v>0</v>
      </c>
      <c r="AE250"/>
      <c r="AF250" s="3845"/>
      <c r="AG250" s="3845"/>
      <c r="AH250" s="3845"/>
      <c r="AI250" s="3845"/>
      <c r="AJ250" s="3845"/>
      <c r="AK250" s="3845"/>
      <c r="AL250" s="3845"/>
      <c r="AM250" s="3845"/>
      <c r="AN250" s="3845"/>
      <c r="AO250" s="3845"/>
      <c r="AP250" s="3845"/>
      <c r="AQ250" s="3845"/>
      <c r="AR250" s="3883">
        <f t="shared" si="12"/>
        <v>0</v>
      </c>
      <c r="AS250"/>
      <c r="AT250" s="3845"/>
      <c r="AU250" s="3845"/>
      <c r="AV250" s="3845"/>
      <c r="AW250" s="3845"/>
      <c r="AX250" s="3845"/>
      <c r="AY250" s="3845"/>
      <c r="AZ250" s="3845"/>
      <c r="BA250" s="3845"/>
      <c r="BB250" s="3845"/>
      <c r="BC250" s="3845"/>
      <c r="BD250" s="3845"/>
      <c r="BE250" s="3845"/>
      <c r="BF250" s="3883">
        <f t="shared" si="13"/>
        <v>0</v>
      </c>
      <c r="BG250"/>
      <c r="BH250" s="3845"/>
      <c r="BI250" s="3845"/>
      <c r="BJ250" s="3845"/>
      <c r="BK250" s="3845"/>
      <c r="BL250" s="3845"/>
      <c r="BM250" s="3845"/>
      <c r="BN250" s="3845"/>
      <c r="BO250" s="3845"/>
      <c r="BP250" s="3845"/>
      <c r="BQ250" s="3845"/>
      <c r="BR250" s="3845"/>
      <c r="BS250" s="3845"/>
      <c r="BT250" s="3883">
        <f t="shared" si="14"/>
        <v>0</v>
      </c>
      <c r="BU250"/>
      <c r="BV250" s="3845"/>
      <c r="BW250" s="3845"/>
      <c r="BX250" s="3845"/>
      <c r="BY250" s="3883">
        <f t="shared" si="15"/>
        <v>0</v>
      </c>
      <c r="BZ250" s="3883">
        <f t="shared" si="16"/>
        <v>0</v>
      </c>
    </row>
    <row r="251" spans="1:78" s="153" customFormat="1" ht="27.5" hidden="1" customHeight="1" outlineLevel="3">
      <c r="A251" s="397"/>
      <c r="B251" s="395" t="s">
        <v>2515</v>
      </c>
      <c r="C251" s="395"/>
      <c r="D251" s="1250" t="s">
        <v>2516</v>
      </c>
      <c r="E251"/>
      <c r="F251" s="3845"/>
      <c r="G251" s="3845"/>
      <c r="H251" s="3845"/>
      <c r="I251" s="3845"/>
      <c r="J251" s="3845"/>
      <c r="K251" s="3845"/>
      <c r="L251" s="3845"/>
      <c r="M251" s="3845"/>
      <c r="N251" s="3845"/>
      <c r="O251" s="3845"/>
      <c r="P251" s="3883">
        <f t="shared" si="10"/>
        <v>0</v>
      </c>
      <c r="Q251"/>
      <c r="R251" s="3845"/>
      <c r="S251" s="3845"/>
      <c r="T251" s="3845"/>
      <c r="U251" s="3845"/>
      <c r="V251" s="3845"/>
      <c r="W251" s="3845"/>
      <c r="X251" s="3845"/>
      <c r="Y251" s="3845"/>
      <c r="Z251" s="3845"/>
      <c r="AA251" s="3845"/>
      <c r="AB251" s="3845"/>
      <c r="AC251" s="3845"/>
      <c r="AD251" s="3883">
        <f t="shared" si="11"/>
        <v>0</v>
      </c>
      <c r="AE251"/>
      <c r="AF251" s="3845"/>
      <c r="AG251" s="3845"/>
      <c r="AH251" s="3845"/>
      <c r="AI251" s="3845"/>
      <c r="AJ251" s="3845"/>
      <c r="AK251" s="3845"/>
      <c r="AL251" s="3845"/>
      <c r="AM251" s="3845"/>
      <c r="AN251" s="3845"/>
      <c r="AO251" s="3845"/>
      <c r="AP251" s="3845"/>
      <c r="AQ251" s="3845"/>
      <c r="AR251" s="3883">
        <f t="shared" si="12"/>
        <v>0</v>
      </c>
      <c r="AS251"/>
      <c r="AT251" s="3845"/>
      <c r="AU251" s="3845"/>
      <c r="AV251" s="3845"/>
      <c r="AW251" s="3845"/>
      <c r="AX251" s="3845"/>
      <c r="AY251" s="3845"/>
      <c r="AZ251" s="3845"/>
      <c r="BA251" s="3845"/>
      <c r="BB251" s="3845"/>
      <c r="BC251" s="3845"/>
      <c r="BD251" s="3845"/>
      <c r="BE251" s="3845"/>
      <c r="BF251" s="3883">
        <f t="shared" si="13"/>
        <v>0</v>
      </c>
      <c r="BG251"/>
      <c r="BH251" s="3845"/>
      <c r="BI251" s="3845"/>
      <c r="BJ251" s="3845"/>
      <c r="BK251" s="3845"/>
      <c r="BL251" s="3845"/>
      <c r="BM251" s="3845"/>
      <c r="BN251" s="3845"/>
      <c r="BO251" s="3845"/>
      <c r="BP251" s="3845"/>
      <c r="BQ251" s="3845"/>
      <c r="BR251" s="3845"/>
      <c r="BS251" s="3845"/>
      <c r="BT251" s="3883">
        <f t="shared" si="14"/>
        <v>0</v>
      </c>
      <c r="BU251"/>
      <c r="BV251" s="3845"/>
      <c r="BW251" s="3845"/>
      <c r="BX251" s="3845"/>
      <c r="BY251" s="3883">
        <f t="shared" si="15"/>
        <v>0</v>
      </c>
      <c r="BZ251" s="3883">
        <f t="shared" si="16"/>
        <v>0</v>
      </c>
    </row>
    <row r="252" spans="1:78" s="108" customFormat="1" ht="14.5" hidden="1" customHeight="1" outlineLevel="4">
      <c r="A252" s="159"/>
      <c r="B252" s="702" t="s">
        <v>2517</v>
      </c>
      <c r="C252" s="702"/>
      <c r="D252" s="703" t="s">
        <v>2518</v>
      </c>
      <c r="E252"/>
      <c r="F252" s="3845"/>
      <c r="G252" s="3845"/>
      <c r="H252" s="3845"/>
      <c r="I252" s="3845"/>
      <c r="J252" s="3845"/>
      <c r="K252" s="3845"/>
      <c r="L252" s="3845"/>
      <c r="M252" s="3845"/>
      <c r="N252" s="3845"/>
      <c r="O252" s="3845"/>
      <c r="P252" s="3883">
        <f t="shared" si="10"/>
        <v>0</v>
      </c>
      <c r="Q252"/>
      <c r="R252" s="3845"/>
      <c r="S252" s="3845"/>
      <c r="T252" s="3845"/>
      <c r="U252" s="3845"/>
      <c r="V252" s="3845"/>
      <c r="W252" s="3845"/>
      <c r="X252" s="3845"/>
      <c r="Y252" s="3845"/>
      <c r="Z252" s="3845"/>
      <c r="AA252" s="3845"/>
      <c r="AB252" s="3845"/>
      <c r="AC252" s="3845"/>
      <c r="AD252" s="3883">
        <f t="shared" si="11"/>
        <v>0</v>
      </c>
      <c r="AE252"/>
      <c r="AF252" s="3845"/>
      <c r="AG252" s="3845"/>
      <c r="AH252" s="3845"/>
      <c r="AI252" s="3845"/>
      <c r="AJ252" s="3845"/>
      <c r="AK252" s="3845"/>
      <c r="AL252" s="3845"/>
      <c r="AM252" s="3845"/>
      <c r="AN252" s="3845"/>
      <c r="AO252" s="3845"/>
      <c r="AP252" s="3845"/>
      <c r="AQ252" s="3845"/>
      <c r="AR252" s="3883">
        <f t="shared" si="12"/>
        <v>0</v>
      </c>
      <c r="AS252"/>
      <c r="AT252" s="3845"/>
      <c r="AU252" s="3845"/>
      <c r="AV252" s="3845"/>
      <c r="AW252" s="3845"/>
      <c r="AX252" s="3845"/>
      <c r="AY252" s="3845"/>
      <c r="AZ252" s="3845"/>
      <c r="BA252" s="3845"/>
      <c r="BB252" s="3845"/>
      <c r="BC252" s="3845"/>
      <c r="BD252" s="3845"/>
      <c r="BE252" s="3845"/>
      <c r="BF252" s="3883">
        <f t="shared" si="13"/>
        <v>0</v>
      </c>
      <c r="BG252"/>
      <c r="BH252" s="3845"/>
      <c r="BI252" s="3845"/>
      <c r="BJ252" s="3845"/>
      <c r="BK252" s="3845"/>
      <c r="BL252" s="3845"/>
      <c r="BM252" s="3845"/>
      <c r="BN252" s="3845"/>
      <c r="BO252" s="3845"/>
      <c r="BP252" s="3845"/>
      <c r="BQ252" s="3845"/>
      <c r="BR252" s="3845"/>
      <c r="BS252" s="3845"/>
      <c r="BT252" s="3883">
        <f t="shared" si="14"/>
        <v>0</v>
      </c>
      <c r="BU252"/>
      <c r="BV252" s="3845"/>
      <c r="BW252" s="3845"/>
      <c r="BX252" s="3845"/>
      <c r="BY252" s="3883">
        <f t="shared" si="15"/>
        <v>0</v>
      </c>
      <c r="BZ252" s="3883">
        <f t="shared" si="16"/>
        <v>0</v>
      </c>
    </row>
    <row r="253" spans="1:78" s="108" customFormat="1" ht="14.25" hidden="1" customHeight="1" outlineLevel="4">
      <c r="A253" s="159"/>
      <c r="B253" s="702" t="s">
        <v>2519</v>
      </c>
      <c r="C253" s="702"/>
      <c r="D253" s="703" t="s">
        <v>2520</v>
      </c>
      <c r="E253"/>
      <c r="F253" s="3845"/>
      <c r="G253" s="3845"/>
      <c r="H253" s="3845"/>
      <c r="I253" s="3845"/>
      <c r="J253" s="3845"/>
      <c r="K253" s="3845"/>
      <c r="L253" s="3845"/>
      <c r="M253" s="3845"/>
      <c r="N253" s="3845"/>
      <c r="O253" s="3845"/>
      <c r="P253" s="3883">
        <f t="shared" si="10"/>
        <v>0</v>
      </c>
      <c r="Q253"/>
      <c r="R253" s="3845"/>
      <c r="S253" s="3845"/>
      <c r="T253" s="3845"/>
      <c r="U253" s="3845"/>
      <c r="V253" s="3845"/>
      <c r="W253" s="3845"/>
      <c r="X253" s="3845"/>
      <c r="Y253" s="3845"/>
      <c r="Z253" s="3845"/>
      <c r="AA253" s="3845"/>
      <c r="AB253" s="3845"/>
      <c r="AC253" s="3845"/>
      <c r="AD253" s="3883">
        <f t="shared" si="11"/>
        <v>0</v>
      </c>
      <c r="AE253"/>
      <c r="AF253" s="3845"/>
      <c r="AG253" s="3845"/>
      <c r="AH253" s="3845"/>
      <c r="AI253" s="3845"/>
      <c r="AJ253" s="3845"/>
      <c r="AK253" s="3845"/>
      <c r="AL253" s="3845"/>
      <c r="AM253" s="3845"/>
      <c r="AN253" s="3845"/>
      <c r="AO253" s="3845"/>
      <c r="AP253" s="3845"/>
      <c r="AQ253" s="3845"/>
      <c r="AR253" s="3883">
        <f t="shared" si="12"/>
        <v>0</v>
      </c>
      <c r="AS253"/>
      <c r="AT253" s="3845"/>
      <c r="AU253" s="3845"/>
      <c r="AV253" s="3845"/>
      <c r="AW253" s="3845"/>
      <c r="AX253" s="3845"/>
      <c r="AY253" s="3845"/>
      <c r="AZ253" s="3845"/>
      <c r="BA253" s="3845"/>
      <c r="BB253" s="3845"/>
      <c r="BC253" s="3845"/>
      <c r="BD253" s="3845"/>
      <c r="BE253" s="3845"/>
      <c r="BF253" s="3883">
        <f t="shared" si="13"/>
        <v>0</v>
      </c>
      <c r="BG253"/>
      <c r="BH253" s="3845"/>
      <c r="BI253" s="3845"/>
      <c r="BJ253" s="3845"/>
      <c r="BK253" s="3845"/>
      <c r="BL253" s="3845"/>
      <c r="BM253" s="3845"/>
      <c r="BN253" s="3845"/>
      <c r="BO253" s="3845"/>
      <c r="BP253" s="3845"/>
      <c r="BQ253" s="3845"/>
      <c r="BR253" s="3845"/>
      <c r="BS253" s="3845"/>
      <c r="BT253" s="3883">
        <f t="shared" si="14"/>
        <v>0</v>
      </c>
      <c r="BU253"/>
      <c r="BV253" s="3845"/>
      <c r="BW253" s="3845"/>
      <c r="BX253" s="3845"/>
      <c r="BY253" s="3883">
        <f t="shared" si="15"/>
        <v>0</v>
      </c>
      <c r="BZ253" s="3883">
        <f t="shared" si="16"/>
        <v>0</v>
      </c>
    </row>
    <row r="254" spans="1:78" s="108" customFormat="1" ht="14.5" hidden="1" customHeight="1" outlineLevel="4">
      <c r="A254" s="159"/>
      <c r="B254" s="702" t="s">
        <v>2521</v>
      </c>
      <c r="C254" s="702"/>
      <c r="D254" s="703" t="s">
        <v>2522</v>
      </c>
      <c r="E254"/>
      <c r="F254" s="3845"/>
      <c r="G254" s="3845"/>
      <c r="H254" s="3845"/>
      <c r="I254" s="3845"/>
      <c r="J254" s="3845"/>
      <c r="K254" s="3845"/>
      <c r="L254" s="3845"/>
      <c r="M254" s="3845"/>
      <c r="N254" s="3845"/>
      <c r="O254" s="3845"/>
      <c r="P254" s="3883">
        <f t="shared" si="10"/>
        <v>0</v>
      </c>
      <c r="Q254"/>
      <c r="R254" s="3845"/>
      <c r="S254" s="3845"/>
      <c r="T254" s="3845"/>
      <c r="U254" s="3845"/>
      <c r="V254" s="3845"/>
      <c r="W254" s="3845"/>
      <c r="X254" s="3845"/>
      <c r="Y254" s="3845"/>
      <c r="Z254" s="3845"/>
      <c r="AA254" s="3845"/>
      <c r="AB254" s="3845"/>
      <c r="AC254" s="3845"/>
      <c r="AD254" s="3883">
        <f t="shared" si="11"/>
        <v>0</v>
      </c>
      <c r="AE254"/>
      <c r="AF254" s="3845"/>
      <c r="AG254" s="3845"/>
      <c r="AH254" s="3845"/>
      <c r="AI254" s="3845"/>
      <c r="AJ254" s="3845"/>
      <c r="AK254" s="3845"/>
      <c r="AL254" s="3845"/>
      <c r="AM254" s="3845"/>
      <c r="AN254" s="3845"/>
      <c r="AO254" s="3845"/>
      <c r="AP254" s="3845"/>
      <c r="AQ254" s="3845"/>
      <c r="AR254" s="3883">
        <f t="shared" si="12"/>
        <v>0</v>
      </c>
      <c r="AS254"/>
      <c r="AT254" s="3845"/>
      <c r="AU254" s="3845"/>
      <c r="AV254" s="3845"/>
      <c r="AW254" s="3845"/>
      <c r="AX254" s="3845"/>
      <c r="AY254" s="3845"/>
      <c r="AZ254" s="3845"/>
      <c r="BA254" s="3845"/>
      <c r="BB254" s="3845"/>
      <c r="BC254" s="3845"/>
      <c r="BD254" s="3845"/>
      <c r="BE254" s="3845"/>
      <c r="BF254" s="3883">
        <f t="shared" si="13"/>
        <v>0</v>
      </c>
      <c r="BG254"/>
      <c r="BH254" s="3845"/>
      <c r="BI254" s="3845"/>
      <c r="BJ254" s="3845"/>
      <c r="BK254" s="3845"/>
      <c r="BL254" s="3845"/>
      <c r="BM254" s="3845"/>
      <c r="BN254" s="3845"/>
      <c r="BO254" s="3845"/>
      <c r="BP254" s="3845"/>
      <c r="BQ254" s="3845"/>
      <c r="BR254" s="3845"/>
      <c r="BS254" s="3845"/>
      <c r="BT254" s="3883">
        <f t="shared" si="14"/>
        <v>0</v>
      </c>
      <c r="BU254"/>
      <c r="BV254" s="3845"/>
      <c r="BW254" s="3845"/>
      <c r="BX254" s="3845"/>
      <c r="BY254" s="3883">
        <f t="shared" si="15"/>
        <v>0</v>
      </c>
      <c r="BZ254" s="3883">
        <f t="shared" si="16"/>
        <v>0</v>
      </c>
    </row>
    <row r="255" spans="1:78" s="108" customFormat="1" ht="14.5" hidden="1" customHeight="1" outlineLevel="4">
      <c r="A255" s="159"/>
      <c r="B255" s="702" t="s">
        <v>2523</v>
      </c>
      <c r="C255" s="702"/>
      <c r="D255" s="703" t="s">
        <v>2524</v>
      </c>
      <c r="E255"/>
      <c r="F255" s="3846"/>
      <c r="G255" s="3846"/>
      <c r="H255" s="3846"/>
      <c r="I255" s="3846"/>
      <c r="J255" s="3846"/>
      <c r="K255" s="3846"/>
      <c r="L255" s="3846"/>
      <c r="M255" s="3846"/>
      <c r="N255" s="3846"/>
      <c r="O255" s="3846"/>
      <c r="P255" s="3884">
        <f t="shared" si="10"/>
        <v>0</v>
      </c>
      <c r="Q255"/>
      <c r="R255" s="3846"/>
      <c r="S255" s="3846"/>
      <c r="T255" s="3846"/>
      <c r="U255" s="3846"/>
      <c r="V255" s="3846"/>
      <c r="W255" s="3846"/>
      <c r="X255" s="3846"/>
      <c r="Y255" s="3846"/>
      <c r="Z255" s="3846"/>
      <c r="AA255" s="3846"/>
      <c r="AB255" s="3846"/>
      <c r="AC255" s="3846"/>
      <c r="AD255" s="3884">
        <f t="shared" si="11"/>
        <v>0</v>
      </c>
      <c r="AE255"/>
      <c r="AF255" s="3846"/>
      <c r="AG255" s="3846"/>
      <c r="AH255" s="3846"/>
      <c r="AI255" s="3846"/>
      <c r="AJ255" s="3846"/>
      <c r="AK255" s="3846"/>
      <c r="AL255" s="3846"/>
      <c r="AM255" s="3846"/>
      <c r="AN255" s="3846"/>
      <c r="AO255" s="3846"/>
      <c r="AP255" s="3846"/>
      <c r="AQ255" s="3846"/>
      <c r="AR255" s="3884">
        <f t="shared" si="12"/>
        <v>0</v>
      </c>
      <c r="AS255"/>
      <c r="AT255" s="3846"/>
      <c r="AU255" s="3846"/>
      <c r="AV255" s="3846"/>
      <c r="AW255" s="3846"/>
      <c r="AX255" s="3846"/>
      <c r="AY255" s="3846"/>
      <c r="AZ255" s="3846"/>
      <c r="BA255" s="3846"/>
      <c r="BB255" s="3846"/>
      <c r="BC255" s="3846"/>
      <c r="BD255" s="3846"/>
      <c r="BE255" s="3846"/>
      <c r="BF255" s="3884">
        <f t="shared" si="13"/>
        <v>0</v>
      </c>
      <c r="BG255"/>
      <c r="BH255" s="3846"/>
      <c r="BI255" s="3846"/>
      <c r="BJ255" s="3846"/>
      <c r="BK255" s="3846"/>
      <c r="BL255" s="3846"/>
      <c r="BM255" s="3846"/>
      <c r="BN255" s="3846"/>
      <c r="BO255" s="3846"/>
      <c r="BP255" s="3846"/>
      <c r="BQ255" s="3846"/>
      <c r="BR255" s="3846"/>
      <c r="BS255" s="3846"/>
      <c r="BT255" s="3884">
        <f t="shared" si="14"/>
        <v>0</v>
      </c>
      <c r="BU255"/>
      <c r="BV255" s="3846"/>
      <c r="BW255" s="3846"/>
      <c r="BX255" s="3846"/>
      <c r="BY255" s="3884">
        <f t="shared" si="15"/>
        <v>0</v>
      </c>
      <c r="BZ255" s="3884">
        <f t="shared" si="16"/>
        <v>0</v>
      </c>
    </row>
    <row r="256" spans="1:78" s="108" customFormat="1" ht="27.5" hidden="1" customHeight="1" outlineLevel="3" collapsed="1">
      <c r="A256" s="159"/>
      <c r="B256" s="702" t="s">
        <v>2525</v>
      </c>
      <c r="C256" s="702"/>
      <c r="D256" s="703" t="s">
        <v>2526</v>
      </c>
      <c r="E256"/>
      <c r="F256" s="1005"/>
      <c r="G256" s="1005"/>
      <c r="H256" s="1005"/>
      <c r="I256" s="1005"/>
      <c r="J256" s="1005"/>
      <c r="K256" s="1005"/>
      <c r="L256" s="1005"/>
      <c r="M256" s="1005"/>
      <c r="N256" s="1005"/>
      <c r="O256" s="1005"/>
      <c r="P256" s="2021">
        <v>0</v>
      </c>
      <c r="Q256"/>
      <c r="R256" s="1005"/>
      <c r="S256" s="1005"/>
      <c r="T256" s="1005"/>
      <c r="U256" s="1005"/>
      <c r="V256" s="1005"/>
      <c r="W256" s="1005"/>
      <c r="X256" s="1005"/>
      <c r="Y256" s="1005"/>
      <c r="Z256" s="1005"/>
      <c r="AA256" s="1005"/>
      <c r="AB256" s="1005"/>
      <c r="AC256" s="1005"/>
      <c r="AD256" s="2021">
        <v>0</v>
      </c>
      <c r="AE256"/>
      <c r="AF256" s="1005"/>
      <c r="AG256" s="1005"/>
      <c r="AH256" s="1005"/>
      <c r="AI256" s="1005"/>
      <c r="AJ256" s="1005"/>
      <c r="AK256" s="1005"/>
      <c r="AL256" s="1005"/>
      <c r="AM256" s="1005"/>
      <c r="AN256" s="1005"/>
      <c r="AO256" s="1005"/>
      <c r="AP256" s="1005"/>
      <c r="AQ256" s="1005"/>
      <c r="AR256" s="2021">
        <v>0</v>
      </c>
      <c r="AS256"/>
      <c r="AT256" s="1005"/>
      <c r="AU256" s="1005"/>
      <c r="AV256" s="1005"/>
      <c r="AW256" s="1005"/>
      <c r="AX256" s="1005"/>
      <c r="AY256" s="1005"/>
      <c r="AZ256" s="1005"/>
      <c r="BA256" s="1005"/>
      <c r="BB256" s="1005"/>
      <c r="BC256" s="1005">
        <v>37500</v>
      </c>
      <c r="BD256" s="1005"/>
      <c r="BE256" s="1005"/>
      <c r="BF256" s="2021">
        <v>37500</v>
      </c>
      <c r="BG256"/>
      <c r="BH256" s="1005"/>
      <c r="BI256" s="1005">
        <v>37500</v>
      </c>
      <c r="BJ256" s="1005"/>
      <c r="BK256" s="1005"/>
      <c r="BL256" s="1005"/>
      <c r="BM256" s="1005">
        <v>37500</v>
      </c>
      <c r="BN256" s="1005"/>
      <c r="BO256" s="1005"/>
      <c r="BP256" s="1005"/>
      <c r="BQ256" s="1005">
        <v>37500</v>
      </c>
      <c r="BR256" s="1005"/>
      <c r="BS256" s="1005"/>
      <c r="BT256" s="2021">
        <v>112500</v>
      </c>
      <c r="BU256"/>
      <c r="BV256" s="1005"/>
      <c r="BW256" s="1005"/>
      <c r="BX256" s="1005"/>
      <c r="BY256" s="2021">
        <v>0</v>
      </c>
      <c r="BZ256" s="2021">
        <v>150000</v>
      </c>
    </row>
    <row r="257" spans="1:78" s="108" customFormat="1" ht="55.25" hidden="1" customHeight="1" outlineLevel="3">
      <c r="A257" s="159"/>
      <c r="B257" s="702" t="s">
        <v>2527</v>
      </c>
      <c r="C257" s="702"/>
      <c r="D257" s="703" t="s">
        <v>2528</v>
      </c>
      <c r="E257"/>
      <c r="F257" s="1005"/>
      <c r="G257" s="1005"/>
      <c r="H257" s="1005"/>
      <c r="I257" s="1005"/>
      <c r="J257" s="1005"/>
      <c r="K257" s="1005"/>
      <c r="L257" s="1005"/>
      <c r="M257" s="1005"/>
      <c r="N257" s="1005"/>
      <c r="O257" s="1005"/>
      <c r="P257" s="2021">
        <v>0</v>
      </c>
      <c r="Q257"/>
      <c r="R257" s="1005"/>
      <c r="S257" s="1005"/>
      <c r="T257" s="1005"/>
      <c r="U257" s="1005"/>
      <c r="V257" s="1005"/>
      <c r="W257" s="1005"/>
      <c r="X257" s="1005"/>
      <c r="Y257" s="1005"/>
      <c r="Z257" s="1005"/>
      <c r="AA257" s="1005"/>
      <c r="AB257" s="1005"/>
      <c r="AC257" s="1005"/>
      <c r="AD257" s="2021">
        <v>0</v>
      </c>
      <c r="AE257"/>
      <c r="AF257" s="1005"/>
      <c r="AG257" s="1005"/>
      <c r="AH257" s="1005"/>
      <c r="AI257" s="1005"/>
      <c r="AJ257" s="1005"/>
      <c r="AK257" s="1005"/>
      <c r="AL257" s="1005"/>
      <c r="AM257" s="1005"/>
      <c r="AN257" s="1005"/>
      <c r="AO257" s="1005"/>
      <c r="AP257" s="1005"/>
      <c r="AQ257" s="1005"/>
      <c r="AR257" s="2021">
        <v>0</v>
      </c>
      <c r="AS257"/>
      <c r="AT257" s="1005"/>
      <c r="AU257" s="1005"/>
      <c r="AV257" s="1005"/>
      <c r="AW257" s="1005"/>
      <c r="AX257" s="1005"/>
      <c r="AY257" s="1005"/>
      <c r="AZ257" s="1005"/>
      <c r="BA257" s="1005"/>
      <c r="BB257" s="1005"/>
      <c r="BC257" s="1005"/>
      <c r="BD257" s="1005"/>
      <c r="BE257" s="1005"/>
      <c r="BF257" s="2021">
        <v>0</v>
      </c>
      <c r="BG257"/>
      <c r="BH257" s="1005"/>
      <c r="BI257" s="1005"/>
      <c r="BJ257" s="1005"/>
      <c r="BK257" s="1005"/>
      <c r="BL257" s="1005"/>
      <c r="BM257" s="1005"/>
      <c r="BN257" s="1005"/>
      <c r="BO257" s="1005"/>
      <c r="BP257" s="1005"/>
      <c r="BQ257" s="1005"/>
      <c r="BR257" s="1005"/>
      <c r="BS257" s="1005"/>
      <c r="BT257" s="2021">
        <v>0</v>
      </c>
      <c r="BU257"/>
      <c r="BV257" s="1005"/>
      <c r="BW257" s="1005"/>
      <c r="BX257" s="1005"/>
      <c r="BY257" s="2021">
        <v>0</v>
      </c>
      <c r="BZ257" s="2021">
        <v>0</v>
      </c>
    </row>
    <row r="258" spans="1:78" s="108" customFormat="1" ht="27.5" hidden="1" customHeight="1" outlineLevel="3">
      <c r="A258" s="159"/>
      <c r="B258" s="702" t="s">
        <v>2529</v>
      </c>
      <c r="C258" s="702"/>
      <c r="D258" s="1152" t="s">
        <v>2530</v>
      </c>
      <c r="E258"/>
      <c r="F258" s="728"/>
      <c r="G258" s="728"/>
      <c r="H258" s="728"/>
      <c r="I258" s="728"/>
      <c r="J258" s="728"/>
      <c r="K258" s="728"/>
      <c r="L258" s="728"/>
      <c r="M258" s="728"/>
      <c r="N258" s="728"/>
      <c r="O258" s="728"/>
      <c r="P258" s="995">
        <v>0</v>
      </c>
      <c r="Q258"/>
      <c r="R258" s="728"/>
      <c r="S258" s="728"/>
      <c r="T258" s="728"/>
      <c r="U258" s="728"/>
      <c r="V258" s="728"/>
      <c r="W258" s="728"/>
      <c r="X258" s="728"/>
      <c r="Y258" s="728"/>
      <c r="Z258" s="728"/>
      <c r="AA258" s="728"/>
      <c r="AB258" s="728"/>
      <c r="AC258" s="728"/>
      <c r="AD258" s="995">
        <v>0</v>
      </c>
      <c r="AE258"/>
      <c r="AF258" s="728"/>
      <c r="AG258" s="728"/>
      <c r="AH258" s="728"/>
      <c r="AI258" s="728"/>
      <c r="AJ258" s="728"/>
      <c r="AK258" s="728"/>
      <c r="AL258" s="728"/>
      <c r="AM258" s="728"/>
      <c r="AN258" s="728"/>
      <c r="AO258" s="728"/>
      <c r="AP258" s="728"/>
      <c r="AQ258" s="728"/>
      <c r="AR258" s="995">
        <v>0</v>
      </c>
      <c r="AS258"/>
      <c r="AT258" s="728"/>
      <c r="AU258" s="728"/>
      <c r="AV258" s="728"/>
      <c r="AW258" s="728"/>
      <c r="AX258" s="728"/>
      <c r="AY258" s="728"/>
      <c r="AZ258" s="728"/>
      <c r="BA258" s="728"/>
      <c r="BB258" s="728"/>
      <c r="BC258" s="728"/>
      <c r="BD258" s="728"/>
      <c r="BE258" s="728"/>
      <c r="BF258" s="995">
        <v>0</v>
      </c>
      <c r="BG258"/>
      <c r="BH258" s="728"/>
      <c r="BI258" s="1005">
        <v>35000</v>
      </c>
      <c r="BJ258" s="728"/>
      <c r="BK258" s="728"/>
      <c r="BL258" s="728"/>
      <c r="BM258" s="1005">
        <v>35000</v>
      </c>
      <c r="BN258" s="728"/>
      <c r="BO258" s="728"/>
      <c r="BP258" s="728"/>
      <c r="BQ258" s="1005">
        <v>30000</v>
      </c>
      <c r="BR258" s="728"/>
      <c r="BS258" s="728"/>
      <c r="BT258" s="995">
        <v>100000</v>
      </c>
      <c r="BU258"/>
      <c r="BV258" s="728"/>
      <c r="BW258" s="728"/>
      <c r="BX258" s="728"/>
      <c r="BY258" s="995">
        <v>0</v>
      </c>
      <c r="BZ258" s="995">
        <v>100000</v>
      </c>
    </row>
    <row r="259" spans="1:78" s="153" customFormat="1" ht="27.5" customHeight="1" outlineLevel="2" collapsed="1">
      <c r="A259" s="172"/>
      <c r="B259" s="171" t="s">
        <v>533</v>
      </c>
      <c r="C259" s="171"/>
      <c r="D259" s="538" t="s">
        <v>275</v>
      </c>
      <c r="E259"/>
      <c r="F259" s="176">
        <v>0</v>
      </c>
      <c r="G259" s="176">
        <v>0</v>
      </c>
      <c r="H259" s="176">
        <v>0</v>
      </c>
      <c r="I259" s="176">
        <v>0</v>
      </c>
      <c r="J259" s="176">
        <v>0</v>
      </c>
      <c r="K259" s="176">
        <v>0</v>
      </c>
      <c r="L259" s="176">
        <v>0</v>
      </c>
      <c r="M259" s="176">
        <v>0</v>
      </c>
      <c r="N259" s="176">
        <v>0</v>
      </c>
      <c r="O259" s="176">
        <v>0</v>
      </c>
      <c r="P259" s="980">
        <v>0</v>
      </c>
      <c r="Q259"/>
      <c r="R259" s="176">
        <v>0</v>
      </c>
      <c r="S259" s="176">
        <v>0</v>
      </c>
      <c r="T259" s="176">
        <v>160000</v>
      </c>
      <c r="U259" s="176">
        <v>0</v>
      </c>
      <c r="V259" s="176">
        <v>0</v>
      </c>
      <c r="W259" s="176">
        <v>0</v>
      </c>
      <c r="X259" s="176">
        <v>0</v>
      </c>
      <c r="Y259" s="176">
        <v>0</v>
      </c>
      <c r="Z259" s="176">
        <v>0</v>
      </c>
      <c r="AA259" s="176">
        <v>0</v>
      </c>
      <c r="AB259" s="176">
        <v>32500</v>
      </c>
      <c r="AC259" s="176">
        <v>0</v>
      </c>
      <c r="AD259" s="980">
        <v>192500</v>
      </c>
      <c r="AE259"/>
      <c r="AF259" s="176">
        <v>0</v>
      </c>
      <c r="AG259" s="176">
        <v>12500</v>
      </c>
      <c r="AH259" s="176">
        <v>12500</v>
      </c>
      <c r="AI259" s="176">
        <v>0</v>
      </c>
      <c r="AJ259" s="176">
        <v>0</v>
      </c>
      <c r="AK259" s="176">
        <v>12500</v>
      </c>
      <c r="AL259" s="176">
        <v>8750</v>
      </c>
      <c r="AM259" s="176">
        <v>0</v>
      </c>
      <c r="AN259" s="176">
        <v>0</v>
      </c>
      <c r="AO259" s="176">
        <v>12500</v>
      </c>
      <c r="AP259" s="176">
        <v>2500</v>
      </c>
      <c r="AQ259" s="176">
        <v>0</v>
      </c>
      <c r="AR259" s="980">
        <v>61250</v>
      </c>
      <c r="AS259"/>
      <c r="AT259" s="176">
        <v>0</v>
      </c>
      <c r="AU259" s="176">
        <v>12500</v>
      </c>
      <c r="AV259" s="176">
        <v>150000</v>
      </c>
      <c r="AW259" s="176">
        <v>0</v>
      </c>
      <c r="AX259" s="176">
        <v>0</v>
      </c>
      <c r="AY259" s="176">
        <v>0</v>
      </c>
      <c r="AZ259" s="176">
        <v>5000</v>
      </c>
      <c r="BA259" s="176">
        <v>0</v>
      </c>
      <c r="BB259" s="176">
        <v>0</v>
      </c>
      <c r="BC259" s="176">
        <v>0</v>
      </c>
      <c r="BD259" s="176">
        <v>27500</v>
      </c>
      <c r="BE259" s="176">
        <v>0</v>
      </c>
      <c r="BF259" s="981">
        <v>195000</v>
      </c>
      <c r="BG259"/>
      <c r="BH259" s="176">
        <v>0</v>
      </c>
      <c r="BI259" s="176">
        <v>0</v>
      </c>
      <c r="BJ259" s="176">
        <v>0</v>
      </c>
      <c r="BK259" s="176">
        <v>0</v>
      </c>
      <c r="BL259" s="176">
        <v>0</v>
      </c>
      <c r="BM259" s="176">
        <v>0</v>
      </c>
      <c r="BN259" s="176">
        <v>11250</v>
      </c>
      <c r="BO259" s="176">
        <v>0</v>
      </c>
      <c r="BP259" s="176">
        <v>0</v>
      </c>
      <c r="BQ259" s="176">
        <v>0</v>
      </c>
      <c r="BR259" s="176">
        <v>0</v>
      </c>
      <c r="BS259" s="176">
        <v>0</v>
      </c>
      <c r="BT259" s="979">
        <v>11250</v>
      </c>
      <c r="BU259"/>
      <c r="BV259" s="176">
        <v>0</v>
      </c>
      <c r="BW259" s="176">
        <v>0</v>
      </c>
      <c r="BX259" s="176">
        <v>0</v>
      </c>
      <c r="BY259" s="979">
        <v>0</v>
      </c>
      <c r="BZ259" s="979">
        <v>460000</v>
      </c>
    </row>
    <row r="260" spans="1:78" s="153" customFormat="1" ht="55.25" hidden="1" customHeight="1" outlineLevel="3">
      <c r="A260" s="581"/>
      <c r="B260" s="395" t="s">
        <v>2531</v>
      </c>
      <c r="C260" s="395" t="s">
        <v>1279</v>
      </c>
      <c r="D260" s="1249" t="s">
        <v>2532</v>
      </c>
      <c r="E260"/>
      <c r="F260" s="1458">
        <v>0</v>
      </c>
      <c r="G260" s="1458">
        <v>0</v>
      </c>
      <c r="H260" s="1458">
        <v>0</v>
      </c>
      <c r="I260" s="1458">
        <v>0</v>
      </c>
      <c r="J260" s="1458">
        <v>0</v>
      </c>
      <c r="K260" s="1458">
        <v>0</v>
      </c>
      <c r="L260" s="1458">
        <v>0</v>
      </c>
      <c r="M260" s="1458">
        <v>0</v>
      </c>
      <c r="N260" s="1458">
        <v>0</v>
      </c>
      <c r="O260" s="1458">
        <v>0</v>
      </c>
      <c r="P260" s="398">
        <v>0</v>
      </c>
      <c r="Q260"/>
      <c r="R260" s="1458">
        <v>0</v>
      </c>
      <c r="S260" s="1458">
        <v>0</v>
      </c>
      <c r="T260" s="1458">
        <v>75000</v>
      </c>
      <c r="U260" s="1458">
        <v>0</v>
      </c>
      <c r="V260" s="1458">
        <v>0</v>
      </c>
      <c r="W260" s="1458">
        <v>0</v>
      </c>
      <c r="X260" s="1458">
        <v>0</v>
      </c>
      <c r="Y260" s="1458">
        <v>0</v>
      </c>
      <c r="Z260" s="1458">
        <v>0</v>
      </c>
      <c r="AA260" s="1458">
        <v>0</v>
      </c>
      <c r="AB260" s="1458">
        <v>18750</v>
      </c>
      <c r="AC260" s="1458">
        <v>0</v>
      </c>
      <c r="AD260" s="398">
        <v>93750</v>
      </c>
      <c r="AE260"/>
      <c r="AF260" s="1458">
        <v>0</v>
      </c>
      <c r="AG260" s="1458">
        <v>0</v>
      </c>
      <c r="AH260" s="1458">
        <v>0</v>
      </c>
      <c r="AI260" s="1458">
        <v>0</v>
      </c>
      <c r="AJ260" s="1458">
        <v>0</v>
      </c>
      <c r="AK260" s="1458">
        <v>0</v>
      </c>
      <c r="AL260" s="1458">
        <v>0</v>
      </c>
      <c r="AM260" s="1458">
        <v>0</v>
      </c>
      <c r="AN260" s="1458">
        <v>0</v>
      </c>
      <c r="AO260" s="1458">
        <v>0</v>
      </c>
      <c r="AP260" s="1458">
        <v>0</v>
      </c>
      <c r="AQ260" s="1458">
        <v>0</v>
      </c>
      <c r="AR260" s="398">
        <v>0</v>
      </c>
      <c r="AS260"/>
      <c r="AT260" s="1458">
        <v>0</v>
      </c>
      <c r="AU260" s="1458">
        <v>0</v>
      </c>
      <c r="AV260" s="1458">
        <v>75000</v>
      </c>
      <c r="AW260" s="1458">
        <v>0</v>
      </c>
      <c r="AX260" s="1458">
        <v>0</v>
      </c>
      <c r="AY260" s="1458">
        <v>0</v>
      </c>
      <c r="AZ260" s="1458">
        <v>0</v>
      </c>
      <c r="BA260" s="1458">
        <v>0</v>
      </c>
      <c r="BB260" s="1458">
        <v>0</v>
      </c>
      <c r="BC260" s="1458">
        <v>0</v>
      </c>
      <c r="BD260" s="1458">
        <v>18750</v>
      </c>
      <c r="BE260" s="1458">
        <v>0</v>
      </c>
      <c r="BF260" s="398">
        <v>93750</v>
      </c>
      <c r="BG260"/>
      <c r="BH260" s="1458">
        <v>0</v>
      </c>
      <c r="BI260" s="1458">
        <v>0</v>
      </c>
      <c r="BJ260" s="1458">
        <v>0</v>
      </c>
      <c r="BK260" s="1458">
        <v>0</v>
      </c>
      <c r="BL260" s="1458">
        <v>0</v>
      </c>
      <c r="BM260" s="1458">
        <v>0</v>
      </c>
      <c r="BN260" s="1458">
        <v>0</v>
      </c>
      <c r="BO260" s="1458">
        <v>0</v>
      </c>
      <c r="BP260" s="1458">
        <v>0</v>
      </c>
      <c r="BQ260" s="1458">
        <v>0</v>
      </c>
      <c r="BR260" s="1458">
        <v>0</v>
      </c>
      <c r="BS260" s="1458">
        <v>0</v>
      </c>
      <c r="BT260" s="398">
        <v>0</v>
      </c>
      <c r="BU260"/>
      <c r="BV260" s="1458">
        <v>0</v>
      </c>
      <c r="BW260" s="1458">
        <v>0</v>
      </c>
      <c r="BX260" s="1458">
        <v>0</v>
      </c>
      <c r="BY260" s="398">
        <v>0</v>
      </c>
      <c r="BZ260" s="398">
        <v>187500</v>
      </c>
    </row>
    <row r="261" spans="1:78" s="108" customFormat="1" ht="27.5" hidden="1" customHeight="1" outlineLevel="4">
      <c r="A261" s="580"/>
      <c r="B261" s="107" t="s">
        <v>2533</v>
      </c>
      <c r="C261" s="107" t="s">
        <v>1279</v>
      </c>
      <c r="D261" s="703" t="s">
        <v>2534</v>
      </c>
      <c r="E261"/>
      <c r="F261" s="1032"/>
      <c r="G261" s="1032"/>
      <c r="H261" s="1032"/>
      <c r="I261" s="1032"/>
      <c r="J261" s="1032"/>
      <c r="K261" s="1032"/>
      <c r="L261" s="1032"/>
      <c r="M261" s="1032"/>
      <c r="N261" s="1032"/>
      <c r="O261" s="1032"/>
      <c r="P261" s="2011">
        <v>0</v>
      </c>
      <c r="Q261"/>
      <c r="R261" s="1032"/>
      <c r="S261" s="1032"/>
      <c r="T261" s="1032">
        <v>75000</v>
      </c>
      <c r="U261" s="1032"/>
      <c r="V261" s="1032"/>
      <c r="W261" s="1032"/>
      <c r="X261" s="1032"/>
      <c r="Y261" s="1032"/>
      <c r="Z261" s="1032"/>
      <c r="AA261" s="1032"/>
      <c r="AB261" s="1032"/>
      <c r="AC261" s="1032"/>
      <c r="AD261" s="2011">
        <v>75000</v>
      </c>
      <c r="AE261"/>
      <c r="AF261" s="1032"/>
      <c r="AG261" s="1032"/>
      <c r="AH261" s="1032"/>
      <c r="AI261" s="1032"/>
      <c r="AJ261" s="1032"/>
      <c r="AK261" s="1032"/>
      <c r="AL261" s="1032"/>
      <c r="AM261" s="1032"/>
      <c r="AN261" s="1032"/>
      <c r="AO261" s="1032"/>
      <c r="AP261" s="1032"/>
      <c r="AQ261" s="1032"/>
      <c r="AR261" s="2011">
        <v>0</v>
      </c>
      <c r="AS261"/>
      <c r="AT261" s="1032"/>
      <c r="AU261" s="1032"/>
      <c r="AV261" s="1032">
        <v>75000</v>
      </c>
      <c r="AW261" s="1032"/>
      <c r="AX261" s="1032"/>
      <c r="AY261" s="1032"/>
      <c r="AZ261" s="1032"/>
      <c r="BA261" s="1032"/>
      <c r="BB261" s="1032"/>
      <c r="BC261" s="1032"/>
      <c r="BD261" s="1032"/>
      <c r="BE261" s="1032"/>
      <c r="BF261" s="2014">
        <v>75000</v>
      </c>
      <c r="BG261"/>
      <c r="BH261" s="1032"/>
      <c r="BI261" s="1032"/>
      <c r="BJ261" s="1032"/>
      <c r="BK261" s="1032"/>
      <c r="BL261" s="1032"/>
      <c r="BM261" s="1032"/>
      <c r="BN261" s="1032"/>
      <c r="BO261" s="1032"/>
      <c r="BP261" s="1032"/>
      <c r="BQ261" s="1032"/>
      <c r="BR261" s="1032"/>
      <c r="BS261" s="1032"/>
      <c r="BT261" s="1498">
        <v>0</v>
      </c>
      <c r="BU261"/>
      <c r="BV261" s="1032"/>
      <c r="BW261" s="1032"/>
      <c r="BX261" s="1032"/>
      <c r="BY261" s="1498">
        <v>0</v>
      </c>
      <c r="BZ261" s="1498">
        <v>150000</v>
      </c>
    </row>
    <row r="262" spans="1:78" s="108" customFormat="1" ht="14" hidden="1" customHeight="1" outlineLevel="4">
      <c r="A262" s="580"/>
      <c r="B262" s="107" t="s">
        <v>2535</v>
      </c>
      <c r="C262" s="107" t="s">
        <v>1279</v>
      </c>
      <c r="D262" s="703" t="s">
        <v>2536</v>
      </c>
      <c r="E262"/>
      <c r="F262" s="1032"/>
      <c r="G262" s="1032"/>
      <c r="H262" s="1032"/>
      <c r="I262" s="1032"/>
      <c r="J262" s="1032"/>
      <c r="K262" s="1032"/>
      <c r="L262" s="1032"/>
      <c r="M262" s="1032"/>
      <c r="N262" s="1032"/>
      <c r="O262" s="1032"/>
      <c r="P262" s="2011">
        <v>0</v>
      </c>
      <c r="Q262"/>
      <c r="R262" s="1032"/>
      <c r="S262" s="1032"/>
      <c r="T262" s="1032"/>
      <c r="U262" s="1032"/>
      <c r="V262" s="1032"/>
      <c r="W262" s="1032"/>
      <c r="X262" s="1032"/>
      <c r="Y262" s="1032"/>
      <c r="Z262" s="1032"/>
      <c r="AA262" s="1032"/>
      <c r="AB262" s="1032">
        <v>18750</v>
      </c>
      <c r="AC262" s="1032"/>
      <c r="AD262" s="2011">
        <v>18750</v>
      </c>
      <c r="AE262"/>
      <c r="AF262" s="1032"/>
      <c r="AG262" s="1032"/>
      <c r="AH262" s="1032"/>
      <c r="AI262" s="1032"/>
      <c r="AJ262" s="1032"/>
      <c r="AK262" s="1032"/>
      <c r="AL262" s="1032"/>
      <c r="AM262" s="1032"/>
      <c r="AN262" s="1032"/>
      <c r="AO262" s="1032"/>
      <c r="AP262" s="1032"/>
      <c r="AQ262" s="1032"/>
      <c r="AR262" s="2011">
        <v>0</v>
      </c>
      <c r="AS262"/>
      <c r="AT262" s="1032"/>
      <c r="AU262" s="1032"/>
      <c r="AV262" s="1032"/>
      <c r="AW262" s="1032"/>
      <c r="AX262" s="1032"/>
      <c r="AY262" s="1032"/>
      <c r="AZ262" s="1032"/>
      <c r="BA262" s="1032"/>
      <c r="BB262" s="1032"/>
      <c r="BC262" s="1032"/>
      <c r="BD262" s="1032">
        <v>18750</v>
      </c>
      <c r="BE262" s="1032"/>
      <c r="BF262" s="2014">
        <v>18750</v>
      </c>
      <c r="BG262"/>
      <c r="BH262" s="1032"/>
      <c r="BI262" s="1032"/>
      <c r="BJ262" s="1032"/>
      <c r="BK262" s="1032"/>
      <c r="BL262" s="1032"/>
      <c r="BM262" s="1032"/>
      <c r="BN262" s="1032"/>
      <c r="BO262" s="1032"/>
      <c r="BP262" s="1032"/>
      <c r="BQ262" s="1032"/>
      <c r="BR262" s="1032"/>
      <c r="BS262" s="1032"/>
      <c r="BT262" s="1498">
        <v>0</v>
      </c>
      <c r="BU262"/>
      <c r="BV262" s="1032"/>
      <c r="BW262" s="1032"/>
      <c r="BX262" s="1032"/>
      <c r="BY262" s="1498">
        <v>0</v>
      </c>
      <c r="BZ262" s="1498">
        <v>37500</v>
      </c>
    </row>
    <row r="263" spans="1:78" s="153" customFormat="1" ht="32" hidden="1" customHeight="1" outlineLevel="3" collapsed="1">
      <c r="A263" s="581"/>
      <c r="B263" s="395" t="s">
        <v>2537</v>
      </c>
      <c r="C263" s="395" t="s">
        <v>1279</v>
      </c>
      <c r="D263" s="1249" t="s">
        <v>2538</v>
      </c>
      <c r="E263"/>
      <c r="F263" s="1458">
        <v>0</v>
      </c>
      <c r="G263" s="1458">
        <v>0</v>
      </c>
      <c r="H263" s="1458">
        <v>0</v>
      </c>
      <c r="I263" s="1458">
        <v>0</v>
      </c>
      <c r="J263" s="1458">
        <v>0</v>
      </c>
      <c r="K263" s="1458">
        <v>0</v>
      </c>
      <c r="L263" s="1458">
        <v>0</v>
      </c>
      <c r="M263" s="1458">
        <v>0</v>
      </c>
      <c r="N263" s="1458">
        <v>0</v>
      </c>
      <c r="O263" s="1458">
        <v>0</v>
      </c>
      <c r="P263" s="398">
        <v>0</v>
      </c>
      <c r="Q263"/>
      <c r="R263" s="1458">
        <v>0</v>
      </c>
      <c r="S263" s="1458">
        <v>0</v>
      </c>
      <c r="T263" s="1458">
        <v>75000</v>
      </c>
      <c r="U263" s="1458">
        <v>0</v>
      </c>
      <c r="V263" s="1458">
        <v>0</v>
      </c>
      <c r="W263" s="1458">
        <v>0</v>
      </c>
      <c r="X263" s="1458">
        <v>0</v>
      </c>
      <c r="Y263" s="1458">
        <v>0</v>
      </c>
      <c r="Z263" s="1458">
        <v>0</v>
      </c>
      <c r="AA263" s="1458">
        <v>0</v>
      </c>
      <c r="AB263" s="1458">
        <v>8750</v>
      </c>
      <c r="AC263" s="1458">
        <v>0</v>
      </c>
      <c r="AD263" s="398">
        <v>83750</v>
      </c>
      <c r="AE263"/>
      <c r="AF263" s="1458">
        <v>0</v>
      </c>
      <c r="AG263" s="1458">
        <v>0</v>
      </c>
      <c r="AH263" s="1458">
        <v>0</v>
      </c>
      <c r="AI263" s="1458">
        <v>0</v>
      </c>
      <c r="AJ263" s="1458">
        <v>0</v>
      </c>
      <c r="AK263" s="1458">
        <v>0</v>
      </c>
      <c r="AL263" s="1458">
        <v>8750</v>
      </c>
      <c r="AM263" s="1458">
        <v>0</v>
      </c>
      <c r="AN263" s="1458">
        <v>0</v>
      </c>
      <c r="AO263" s="1458">
        <v>0</v>
      </c>
      <c r="AP263" s="1458">
        <v>0</v>
      </c>
      <c r="AQ263" s="1458">
        <v>0</v>
      </c>
      <c r="AR263" s="398">
        <v>8750</v>
      </c>
      <c r="AS263"/>
      <c r="AT263" s="1458">
        <v>0</v>
      </c>
      <c r="AU263" s="1458">
        <v>0</v>
      </c>
      <c r="AV263" s="1458">
        <v>75000</v>
      </c>
      <c r="AW263" s="1458">
        <v>0</v>
      </c>
      <c r="AX263" s="1458">
        <v>0</v>
      </c>
      <c r="AY263" s="1458">
        <v>0</v>
      </c>
      <c r="AZ263" s="1458">
        <v>0</v>
      </c>
      <c r="BA263" s="1458">
        <v>0</v>
      </c>
      <c r="BB263" s="1458">
        <v>0</v>
      </c>
      <c r="BC263" s="1458">
        <v>0</v>
      </c>
      <c r="BD263" s="1458">
        <v>8750</v>
      </c>
      <c r="BE263" s="1458">
        <v>0</v>
      </c>
      <c r="BF263" s="398">
        <v>83750</v>
      </c>
      <c r="BG263"/>
      <c r="BH263" s="1458">
        <v>0</v>
      </c>
      <c r="BI263" s="1458">
        <v>0</v>
      </c>
      <c r="BJ263" s="1458">
        <v>0</v>
      </c>
      <c r="BK263" s="1458">
        <v>0</v>
      </c>
      <c r="BL263" s="1458">
        <v>0</v>
      </c>
      <c r="BM263" s="1458">
        <v>0</v>
      </c>
      <c r="BN263" s="1458">
        <v>8750</v>
      </c>
      <c r="BO263" s="1458">
        <v>0</v>
      </c>
      <c r="BP263" s="1458">
        <v>0</v>
      </c>
      <c r="BQ263" s="1458">
        <v>0</v>
      </c>
      <c r="BR263" s="1458">
        <v>0</v>
      </c>
      <c r="BS263" s="1458">
        <v>0</v>
      </c>
      <c r="BT263" s="398">
        <v>8750</v>
      </c>
      <c r="BU263"/>
      <c r="BV263" s="1458">
        <v>0</v>
      </c>
      <c r="BW263" s="1458">
        <v>0</v>
      </c>
      <c r="BX263" s="1458">
        <v>0</v>
      </c>
      <c r="BY263" s="398">
        <v>0</v>
      </c>
      <c r="BZ263" s="398">
        <v>185000</v>
      </c>
    </row>
    <row r="264" spans="1:78" s="108" customFormat="1" ht="14" hidden="1" customHeight="1" outlineLevel="4">
      <c r="A264" s="580"/>
      <c r="B264" s="107" t="s">
        <v>2539</v>
      </c>
      <c r="C264" s="107" t="s">
        <v>1279</v>
      </c>
      <c r="D264" s="703" t="s">
        <v>2534</v>
      </c>
      <c r="E264"/>
      <c r="F264" s="1032"/>
      <c r="G264" s="1032"/>
      <c r="H264" s="1032"/>
      <c r="I264" s="1032"/>
      <c r="J264" s="1032"/>
      <c r="K264" s="1032"/>
      <c r="L264" s="1032"/>
      <c r="M264" s="1032"/>
      <c r="N264" s="1032"/>
      <c r="O264" s="1032"/>
      <c r="P264" s="2011">
        <v>0</v>
      </c>
      <c r="Q264"/>
      <c r="R264" s="1032"/>
      <c r="S264" s="1032"/>
      <c r="T264" s="1032">
        <v>75000</v>
      </c>
      <c r="U264" s="1032"/>
      <c r="V264" s="1032"/>
      <c r="W264" s="1032"/>
      <c r="X264" s="1032"/>
      <c r="Y264" s="1032"/>
      <c r="Z264" s="1032"/>
      <c r="AA264" s="1032"/>
      <c r="AB264" s="1032"/>
      <c r="AC264" s="1032"/>
      <c r="AD264" s="2011">
        <v>75000</v>
      </c>
      <c r="AE264"/>
      <c r="AF264" s="1032"/>
      <c r="AG264" s="1032"/>
      <c r="AH264" s="1032"/>
      <c r="AI264" s="1032"/>
      <c r="AJ264" s="1032"/>
      <c r="AK264" s="1032"/>
      <c r="AL264" s="1032"/>
      <c r="AM264" s="1032"/>
      <c r="AN264" s="1032"/>
      <c r="AO264" s="1032"/>
      <c r="AP264" s="1032"/>
      <c r="AQ264" s="1032"/>
      <c r="AR264" s="2011">
        <v>0</v>
      </c>
      <c r="AS264"/>
      <c r="AT264" s="1032"/>
      <c r="AU264" s="1032"/>
      <c r="AV264" s="1032">
        <v>75000</v>
      </c>
      <c r="AW264" s="1032"/>
      <c r="AX264" s="1032"/>
      <c r="AY264" s="1032"/>
      <c r="AZ264" s="1032"/>
      <c r="BA264" s="1032"/>
      <c r="BB264" s="1032"/>
      <c r="BC264" s="1032"/>
      <c r="BD264" s="1032"/>
      <c r="BE264" s="1032"/>
      <c r="BF264" s="2011">
        <v>75000</v>
      </c>
      <c r="BG264"/>
      <c r="BH264" s="1032"/>
      <c r="BI264" s="1032"/>
      <c r="BJ264" s="1032"/>
      <c r="BK264" s="1032"/>
      <c r="BL264" s="1032"/>
      <c r="BM264" s="1032"/>
      <c r="BN264" s="1032"/>
      <c r="BO264" s="1032"/>
      <c r="BP264" s="1032"/>
      <c r="BQ264" s="1032"/>
      <c r="BR264" s="1032"/>
      <c r="BS264" s="1032"/>
      <c r="BT264" s="2011">
        <v>0</v>
      </c>
      <c r="BU264"/>
      <c r="BV264" s="1032"/>
      <c r="BW264" s="1032"/>
      <c r="BX264" s="1032"/>
      <c r="BY264" s="2011">
        <v>0</v>
      </c>
      <c r="BZ264" s="2011">
        <v>150000</v>
      </c>
    </row>
    <row r="265" spans="1:78" s="108" customFormat="1" ht="14" hidden="1" customHeight="1" outlineLevel="4">
      <c r="A265" s="580"/>
      <c r="B265" s="107" t="s">
        <v>2540</v>
      </c>
      <c r="C265" s="107" t="s">
        <v>1279</v>
      </c>
      <c r="D265" s="703" t="s">
        <v>2536</v>
      </c>
      <c r="E265"/>
      <c r="F265" s="1032"/>
      <c r="G265" s="1032"/>
      <c r="H265" s="1032"/>
      <c r="I265" s="1032"/>
      <c r="J265" s="1032"/>
      <c r="K265" s="1032"/>
      <c r="L265" s="1032"/>
      <c r="M265" s="1032"/>
      <c r="N265" s="1032"/>
      <c r="O265" s="1032"/>
      <c r="P265" s="2011">
        <v>0</v>
      </c>
      <c r="Q265"/>
      <c r="R265" s="1032"/>
      <c r="S265" s="1032"/>
      <c r="T265" s="1032"/>
      <c r="U265" s="1032"/>
      <c r="V265" s="1032"/>
      <c r="W265" s="1032"/>
      <c r="X265" s="1032"/>
      <c r="Y265" s="1032"/>
      <c r="Z265" s="1032"/>
      <c r="AA265" s="1032"/>
      <c r="AB265" s="1032">
        <v>8750</v>
      </c>
      <c r="AC265" s="1032"/>
      <c r="AD265" s="2011">
        <v>8750</v>
      </c>
      <c r="AE265"/>
      <c r="AF265" s="1032"/>
      <c r="AG265" s="1032"/>
      <c r="AH265" s="1032"/>
      <c r="AI265" s="1032"/>
      <c r="AJ265" s="1032"/>
      <c r="AK265" s="1032"/>
      <c r="AL265" s="1032"/>
      <c r="AM265" s="1032"/>
      <c r="AN265" s="1032"/>
      <c r="AO265" s="1032"/>
      <c r="AP265" s="1032"/>
      <c r="AQ265" s="1032"/>
      <c r="AR265" s="2011">
        <v>0</v>
      </c>
      <c r="AS265"/>
      <c r="AT265" s="1032"/>
      <c r="AU265" s="1032"/>
      <c r="AV265" s="1032"/>
      <c r="AW265" s="1032"/>
      <c r="AX265" s="1032"/>
      <c r="AY265" s="1032"/>
      <c r="AZ265" s="1032"/>
      <c r="BA265" s="1032"/>
      <c r="BB265" s="1032"/>
      <c r="BC265" s="1032"/>
      <c r="BD265" s="1032">
        <v>8750</v>
      </c>
      <c r="BE265" s="1032"/>
      <c r="BF265" s="2011">
        <v>8750</v>
      </c>
      <c r="BG265"/>
      <c r="BH265" s="1032"/>
      <c r="BI265" s="1032"/>
      <c r="BJ265" s="1032"/>
      <c r="BK265" s="1032"/>
      <c r="BL265" s="1032"/>
      <c r="BM265" s="1032"/>
      <c r="BN265" s="1032"/>
      <c r="BO265" s="1032"/>
      <c r="BP265" s="1032"/>
      <c r="BQ265" s="1032"/>
      <c r="BR265" s="1032"/>
      <c r="BS265" s="1032"/>
      <c r="BT265" s="2011">
        <v>0</v>
      </c>
      <c r="BU265"/>
      <c r="BV265" s="1032"/>
      <c r="BW265" s="1032"/>
      <c r="BX265" s="1032"/>
      <c r="BY265" s="2011">
        <v>0</v>
      </c>
      <c r="BZ265" s="2011">
        <v>17500</v>
      </c>
    </row>
    <row r="266" spans="1:78" s="108" customFormat="1" ht="23.5" hidden="1" customHeight="1" outlineLevel="4">
      <c r="A266" s="580"/>
      <c r="B266" s="107" t="s">
        <v>2541</v>
      </c>
      <c r="C266" s="107"/>
      <c r="D266" s="703" t="s">
        <v>2542</v>
      </c>
      <c r="E266"/>
      <c r="F266" s="1032"/>
      <c r="G266" s="1032"/>
      <c r="H266" s="1032"/>
      <c r="I266" s="1032"/>
      <c r="J266" s="1032"/>
      <c r="K266" s="1032"/>
      <c r="L266" s="1032"/>
      <c r="M266" s="1032"/>
      <c r="N266" s="1032"/>
      <c r="O266" s="1032"/>
      <c r="P266" s="2011">
        <v>0</v>
      </c>
      <c r="Q266"/>
      <c r="R266" s="1032"/>
      <c r="S266" s="1032"/>
      <c r="T266" s="1032"/>
      <c r="U266" s="1032"/>
      <c r="V266" s="1032"/>
      <c r="W266" s="1032"/>
      <c r="X266" s="1032"/>
      <c r="Y266" s="1032"/>
      <c r="Z266" s="1032"/>
      <c r="AA266" s="1032"/>
      <c r="AB266" s="1032"/>
      <c r="AC266" s="1032"/>
      <c r="AD266" s="2011">
        <v>0</v>
      </c>
      <c r="AE266"/>
      <c r="AF266" s="1032"/>
      <c r="AG266" s="1032"/>
      <c r="AH266" s="1032"/>
      <c r="AI266" s="1032"/>
      <c r="AJ266" s="1032"/>
      <c r="AK266" s="1032"/>
      <c r="AL266" s="1032">
        <v>8750</v>
      </c>
      <c r="AM266" s="1032"/>
      <c r="AN266" s="1032"/>
      <c r="AO266" s="1032"/>
      <c r="AP266" s="1032"/>
      <c r="AQ266" s="1032"/>
      <c r="AR266" s="2011">
        <v>8750</v>
      </c>
      <c r="AS266"/>
      <c r="AT266" s="1032"/>
      <c r="AU266" s="1032"/>
      <c r="AV266" s="1032"/>
      <c r="AW266" s="1032"/>
      <c r="AX266" s="1032"/>
      <c r="AY266" s="1032"/>
      <c r="AZ266" s="1032"/>
      <c r="BA266" s="1032"/>
      <c r="BB266" s="1032"/>
      <c r="BC266" s="1032"/>
      <c r="BD266" s="1032"/>
      <c r="BE266" s="1032"/>
      <c r="BF266" s="2011">
        <v>0</v>
      </c>
      <c r="BG266"/>
      <c r="BH266" s="1032"/>
      <c r="BI266" s="1032"/>
      <c r="BJ266" s="1032"/>
      <c r="BK266" s="1032"/>
      <c r="BL266" s="1032"/>
      <c r="BM266" s="1032"/>
      <c r="BN266" s="1032">
        <v>8750</v>
      </c>
      <c r="BO266" s="1032"/>
      <c r="BP266" s="1032"/>
      <c r="BQ266" s="1032"/>
      <c r="BR266" s="1032"/>
      <c r="BS266" s="1032"/>
      <c r="BT266" s="2011">
        <v>8750</v>
      </c>
      <c r="BU266"/>
      <c r="BV266" s="1032"/>
      <c r="BW266" s="1032"/>
      <c r="BX266" s="1032"/>
      <c r="BY266" s="2011">
        <v>0</v>
      </c>
      <c r="BZ266" s="2011">
        <v>17500</v>
      </c>
    </row>
    <row r="267" spans="1:78" s="153" customFormat="1" ht="32" hidden="1" customHeight="1" outlineLevel="3" collapsed="1">
      <c r="A267" s="581"/>
      <c r="B267" s="395" t="s">
        <v>2543</v>
      </c>
      <c r="C267" s="395"/>
      <c r="D267" s="1249" t="s">
        <v>2544</v>
      </c>
      <c r="E267"/>
      <c r="F267" s="1458">
        <v>0</v>
      </c>
      <c r="G267" s="1458">
        <v>0</v>
      </c>
      <c r="H267" s="1458">
        <v>0</v>
      </c>
      <c r="I267" s="1458">
        <v>0</v>
      </c>
      <c r="J267" s="1458">
        <v>0</v>
      </c>
      <c r="K267" s="1458">
        <v>0</v>
      </c>
      <c r="L267" s="1458">
        <v>0</v>
      </c>
      <c r="M267" s="1458">
        <v>0</v>
      </c>
      <c r="N267" s="1458">
        <v>0</v>
      </c>
      <c r="O267" s="1458">
        <v>0</v>
      </c>
      <c r="P267" s="398">
        <v>0</v>
      </c>
      <c r="Q267"/>
      <c r="R267" s="1458">
        <v>0</v>
      </c>
      <c r="S267" s="1458">
        <v>0</v>
      </c>
      <c r="T267" s="1458">
        <v>0</v>
      </c>
      <c r="U267" s="1458">
        <v>0</v>
      </c>
      <c r="V267" s="1458">
        <v>0</v>
      </c>
      <c r="W267" s="1458">
        <v>0</v>
      </c>
      <c r="X267" s="1458">
        <v>0</v>
      </c>
      <c r="Y267" s="1458">
        <v>0</v>
      </c>
      <c r="Z267" s="1458">
        <v>0</v>
      </c>
      <c r="AA267" s="1458">
        <v>0</v>
      </c>
      <c r="AB267" s="1458">
        <v>0</v>
      </c>
      <c r="AC267" s="1458">
        <v>0</v>
      </c>
      <c r="AD267" s="398">
        <v>0</v>
      </c>
      <c r="AE267"/>
      <c r="AF267" s="1458">
        <v>0</v>
      </c>
      <c r="AG267" s="1458">
        <v>0</v>
      </c>
      <c r="AH267" s="1458">
        <v>12500</v>
      </c>
      <c r="AI267" s="1458">
        <v>0</v>
      </c>
      <c r="AJ267" s="1458">
        <v>0</v>
      </c>
      <c r="AK267" s="1458">
        <v>0</v>
      </c>
      <c r="AL267" s="1458">
        <v>0</v>
      </c>
      <c r="AM267" s="1458">
        <v>0</v>
      </c>
      <c r="AN267" s="1458">
        <v>0</v>
      </c>
      <c r="AO267" s="1458">
        <v>0</v>
      </c>
      <c r="AP267" s="1458">
        <v>2500</v>
      </c>
      <c r="AQ267" s="1458">
        <v>0</v>
      </c>
      <c r="AR267" s="398">
        <v>15000</v>
      </c>
      <c r="AS267"/>
      <c r="AT267" s="1458">
        <v>0</v>
      </c>
      <c r="AU267" s="1458">
        <v>0</v>
      </c>
      <c r="AV267" s="1458">
        <v>0</v>
      </c>
      <c r="AW267" s="1458">
        <v>0</v>
      </c>
      <c r="AX267" s="1458">
        <v>0</v>
      </c>
      <c r="AY267" s="1458">
        <v>0</v>
      </c>
      <c r="AZ267" s="1458">
        <v>0</v>
      </c>
      <c r="BA267" s="1458">
        <v>0</v>
      </c>
      <c r="BB267" s="1458">
        <v>0</v>
      </c>
      <c r="BC267" s="1458">
        <v>0</v>
      </c>
      <c r="BD267" s="1458">
        <v>0</v>
      </c>
      <c r="BE267" s="1458">
        <v>0</v>
      </c>
      <c r="BF267" s="398">
        <v>0</v>
      </c>
      <c r="BG267"/>
      <c r="BH267" s="1458">
        <v>0</v>
      </c>
      <c r="BI267" s="1458">
        <v>0</v>
      </c>
      <c r="BJ267" s="1458">
        <v>0</v>
      </c>
      <c r="BK267" s="1458">
        <v>0</v>
      </c>
      <c r="BL267" s="1458">
        <v>0</v>
      </c>
      <c r="BM267" s="1458">
        <v>0</v>
      </c>
      <c r="BN267" s="1458">
        <v>2500</v>
      </c>
      <c r="BO267" s="1458">
        <v>0</v>
      </c>
      <c r="BP267" s="1458">
        <v>0</v>
      </c>
      <c r="BQ267" s="1458">
        <v>0</v>
      </c>
      <c r="BR267" s="1458">
        <v>0</v>
      </c>
      <c r="BS267" s="1458">
        <v>0</v>
      </c>
      <c r="BT267" s="398">
        <v>2500</v>
      </c>
      <c r="BU267"/>
      <c r="BV267" s="1458">
        <v>0</v>
      </c>
      <c r="BW267" s="1458">
        <v>0</v>
      </c>
      <c r="BX267" s="1458">
        <v>0</v>
      </c>
      <c r="BY267" s="398">
        <v>0</v>
      </c>
      <c r="BZ267" s="398">
        <v>17500</v>
      </c>
    </row>
    <row r="268" spans="1:78" s="108" customFormat="1" ht="14" hidden="1" customHeight="1" outlineLevel="4">
      <c r="A268" s="580"/>
      <c r="B268" s="107" t="s">
        <v>2545</v>
      </c>
      <c r="C268" s="107"/>
      <c r="D268" s="703" t="s">
        <v>2534</v>
      </c>
      <c r="E268"/>
      <c r="F268" s="1032"/>
      <c r="G268" s="1032"/>
      <c r="H268" s="1032"/>
      <c r="I268" s="1032"/>
      <c r="J268" s="1032"/>
      <c r="K268" s="1032"/>
      <c r="L268" s="1032"/>
      <c r="M268" s="1032"/>
      <c r="N268" s="1032"/>
      <c r="O268" s="1032"/>
      <c r="P268" s="2011">
        <v>0</v>
      </c>
      <c r="Q268"/>
      <c r="R268" s="1032"/>
      <c r="S268" s="1032"/>
      <c r="T268" s="1032"/>
      <c r="U268" s="1032"/>
      <c r="V268" s="1032"/>
      <c r="W268" s="1032"/>
      <c r="X268" s="1032"/>
      <c r="Y268" s="1032"/>
      <c r="Z268" s="1032"/>
      <c r="AA268" s="1032"/>
      <c r="AB268" s="1032"/>
      <c r="AC268" s="1032"/>
      <c r="AD268" s="2011">
        <v>0</v>
      </c>
      <c r="AE268"/>
      <c r="AF268" s="1032"/>
      <c r="AG268" s="1032"/>
      <c r="AH268" s="1032">
        <v>12500</v>
      </c>
      <c r="AI268" s="1032"/>
      <c r="AJ268" s="1032"/>
      <c r="AK268" s="1032"/>
      <c r="AL268" s="1032"/>
      <c r="AM268" s="1032"/>
      <c r="AN268" s="1032"/>
      <c r="AO268" s="1032"/>
      <c r="AP268" s="1032"/>
      <c r="AQ268" s="1032"/>
      <c r="AR268" s="2011">
        <v>12500</v>
      </c>
      <c r="AS268"/>
      <c r="AT268" s="1032"/>
      <c r="AU268" s="1032"/>
      <c r="AV268" s="1032"/>
      <c r="AW268" s="1032"/>
      <c r="AX268" s="1032"/>
      <c r="AY268" s="1032"/>
      <c r="AZ268" s="1032"/>
      <c r="BA268" s="1032"/>
      <c r="BB268" s="1032"/>
      <c r="BC268" s="1032"/>
      <c r="BD268" s="1032"/>
      <c r="BE268" s="1032"/>
      <c r="BF268" s="2011">
        <v>0</v>
      </c>
      <c r="BG268"/>
      <c r="BH268" s="1032"/>
      <c r="BI268" s="1032"/>
      <c r="BJ268" s="1032"/>
      <c r="BK268" s="1032"/>
      <c r="BL268" s="1032"/>
      <c r="BM268" s="1032"/>
      <c r="BN268" s="1032"/>
      <c r="BO268" s="1032"/>
      <c r="BP268" s="1032"/>
      <c r="BQ268" s="1032"/>
      <c r="BR268" s="1032"/>
      <c r="BS268" s="1032"/>
      <c r="BT268" s="2011">
        <v>0</v>
      </c>
      <c r="BU268"/>
      <c r="BV268" s="1032"/>
      <c r="BW268" s="1032"/>
      <c r="BX268" s="1032"/>
      <c r="BY268" s="2011">
        <v>0</v>
      </c>
      <c r="BZ268" s="2011">
        <v>12500</v>
      </c>
    </row>
    <row r="269" spans="1:78" s="108" customFormat="1" ht="14" hidden="1" customHeight="1" outlineLevel="4">
      <c r="A269" s="580"/>
      <c r="B269" s="107" t="s">
        <v>2546</v>
      </c>
      <c r="C269" s="107"/>
      <c r="D269" s="703" t="s">
        <v>2536</v>
      </c>
      <c r="E269"/>
      <c r="F269" s="1032"/>
      <c r="G269" s="1032"/>
      <c r="H269" s="1032"/>
      <c r="I269" s="1032"/>
      <c r="J269" s="1032"/>
      <c r="K269" s="1032"/>
      <c r="L269" s="1032"/>
      <c r="M269" s="1032"/>
      <c r="N269" s="1032"/>
      <c r="O269" s="1032"/>
      <c r="P269" s="2011">
        <v>0</v>
      </c>
      <c r="Q269"/>
      <c r="R269" s="1032"/>
      <c r="S269" s="1032"/>
      <c r="T269" s="1032"/>
      <c r="U269" s="1032"/>
      <c r="V269" s="1032"/>
      <c r="W269" s="1032"/>
      <c r="X269" s="1032"/>
      <c r="Y269" s="1032"/>
      <c r="Z269" s="1032"/>
      <c r="AA269" s="1032"/>
      <c r="AB269" s="1032"/>
      <c r="AC269" s="1032"/>
      <c r="AD269" s="2011">
        <v>0</v>
      </c>
      <c r="AE269"/>
      <c r="AF269" s="1032"/>
      <c r="AG269" s="1032"/>
      <c r="AH269" s="1032"/>
      <c r="AI269" s="1032"/>
      <c r="AJ269" s="1032"/>
      <c r="AK269" s="1032"/>
      <c r="AL269" s="1032"/>
      <c r="AM269" s="1032"/>
      <c r="AN269" s="1032"/>
      <c r="AO269" s="1032"/>
      <c r="AP269" s="1032">
        <v>2500</v>
      </c>
      <c r="AQ269" s="1032"/>
      <c r="AR269" s="2011">
        <v>2500</v>
      </c>
      <c r="AS269"/>
      <c r="AT269" s="1032"/>
      <c r="AU269" s="1032"/>
      <c r="AV269" s="1032"/>
      <c r="AW269" s="1032"/>
      <c r="AX269" s="1032"/>
      <c r="AY269" s="1032"/>
      <c r="AZ269" s="1032"/>
      <c r="BA269" s="1032"/>
      <c r="BB269" s="1032"/>
      <c r="BC269" s="1032"/>
      <c r="BD269" s="1032"/>
      <c r="BE269" s="1032"/>
      <c r="BF269" s="2011">
        <v>0</v>
      </c>
      <c r="BG269"/>
      <c r="BH269" s="1032"/>
      <c r="BI269" s="1032"/>
      <c r="BJ269" s="1032"/>
      <c r="BK269" s="1032"/>
      <c r="BL269" s="1032"/>
      <c r="BM269" s="1032"/>
      <c r="BN269" s="1032"/>
      <c r="BO269" s="1032"/>
      <c r="BP269" s="1032"/>
      <c r="BQ269" s="1032"/>
      <c r="BR269" s="1032"/>
      <c r="BS269" s="1032"/>
      <c r="BT269" s="2011">
        <v>0</v>
      </c>
      <c r="BU269"/>
      <c r="BV269" s="1032"/>
      <c r="BW269" s="1032"/>
      <c r="BX269" s="1032"/>
      <c r="BY269" s="2011">
        <v>0</v>
      </c>
      <c r="BZ269" s="2011">
        <v>2500</v>
      </c>
    </row>
    <row r="270" spans="1:78" s="108" customFormat="1" ht="14" hidden="1" customHeight="1" outlineLevel="4">
      <c r="A270" s="580"/>
      <c r="B270" s="107" t="s">
        <v>2547</v>
      </c>
      <c r="C270" s="107"/>
      <c r="D270" s="703" t="s">
        <v>2548</v>
      </c>
      <c r="E270"/>
      <c r="F270" s="1032"/>
      <c r="G270" s="1032"/>
      <c r="H270" s="1032"/>
      <c r="I270" s="1032"/>
      <c r="J270" s="1032"/>
      <c r="K270" s="1032"/>
      <c r="L270" s="1032"/>
      <c r="M270" s="1032"/>
      <c r="N270" s="1032"/>
      <c r="O270" s="1032"/>
      <c r="P270" s="2011">
        <v>0</v>
      </c>
      <c r="Q270"/>
      <c r="R270" s="1032"/>
      <c r="S270" s="1032"/>
      <c r="T270" s="1032"/>
      <c r="U270" s="1032"/>
      <c r="V270" s="1032"/>
      <c r="W270" s="1032"/>
      <c r="X270" s="1032"/>
      <c r="Y270" s="1032"/>
      <c r="Z270" s="1032"/>
      <c r="AA270" s="1032"/>
      <c r="AB270" s="1032"/>
      <c r="AC270" s="1032"/>
      <c r="AD270" s="2011">
        <v>0</v>
      </c>
      <c r="AE270"/>
      <c r="AF270" s="1032"/>
      <c r="AG270" s="1032"/>
      <c r="AH270" s="1032"/>
      <c r="AI270" s="1032"/>
      <c r="AJ270" s="1032"/>
      <c r="AK270" s="1032"/>
      <c r="AL270" s="1032"/>
      <c r="AM270" s="1032"/>
      <c r="AN270" s="1032"/>
      <c r="AO270" s="1032"/>
      <c r="AP270" s="1032"/>
      <c r="AQ270" s="1032"/>
      <c r="AR270" s="2011">
        <v>0</v>
      </c>
      <c r="AS270"/>
      <c r="AT270" s="1032"/>
      <c r="AU270" s="1032"/>
      <c r="AV270" s="1032"/>
      <c r="AW270" s="1032"/>
      <c r="AX270" s="1032"/>
      <c r="AY270" s="1032"/>
      <c r="AZ270" s="1032"/>
      <c r="BA270" s="1032"/>
      <c r="BB270" s="1032"/>
      <c r="BC270" s="1032"/>
      <c r="BD270" s="1032"/>
      <c r="BE270" s="1032"/>
      <c r="BF270" s="2011">
        <v>0</v>
      </c>
      <c r="BG270"/>
      <c r="BH270" s="1032"/>
      <c r="BI270" s="1032"/>
      <c r="BJ270" s="1032"/>
      <c r="BK270" s="1032"/>
      <c r="BL270" s="1032"/>
      <c r="BM270" s="1032"/>
      <c r="BN270" s="1032">
        <v>2500</v>
      </c>
      <c r="BO270" s="1032"/>
      <c r="BP270" s="1032"/>
      <c r="BQ270" s="1032"/>
      <c r="BR270" s="1032"/>
      <c r="BS270" s="1032"/>
      <c r="BT270" s="2011">
        <v>2500</v>
      </c>
      <c r="BU270"/>
      <c r="BV270" s="1032"/>
      <c r="BW270" s="1032"/>
      <c r="BX270" s="1032"/>
      <c r="BY270" s="2011">
        <v>0</v>
      </c>
      <c r="BZ270" s="2011">
        <v>2500</v>
      </c>
    </row>
    <row r="271" spans="1:78" s="148" customFormat="1" ht="41.5" hidden="1" customHeight="1" outlineLevel="3" collapsed="1">
      <c r="A271" s="159"/>
      <c r="B271" s="107" t="s">
        <v>2549</v>
      </c>
      <c r="C271" s="107"/>
      <c r="D271" s="703" t="s">
        <v>2550</v>
      </c>
      <c r="E271"/>
      <c r="F271" s="1032"/>
      <c r="G271" s="1032"/>
      <c r="H271" s="1032"/>
      <c r="I271" s="1032"/>
      <c r="J271" s="1032"/>
      <c r="K271" s="1032"/>
      <c r="L271" s="1032"/>
      <c r="M271" s="1032"/>
      <c r="N271" s="1032"/>
      <c r="O271" s="1032"/>
      <c r="P271" s="2011">
        <v>0</v>
      </c>
      <c r="Q271"/>
      <c r="R271" s="1032"/>
      <c r="S271" s="1032"/>
      <c r="T271" s="1032"/>
      <c r="U271" s="1032"/>
      <c r="V271" s="1032"/>
      <c r="W271" s="1032"/>
      <c r="X271" s="1032"/>
      <c r="Y271" s="1032"/>
      <c r="Z271" s="1032"/>
      <c r="AA271" s="1032"/>
      <c r="AB271" s="1032"/>
      <c r="AC271" s="1032"/>
      <c r="AD271" s="2011">
        <v>0</v>
      </c>
      <c r="AE271"/>
      <c r="AF271" s="1032"/>
      <c r="AG271" s="1032">
        <v>12500</v>
      </c>
      <c r="AH271" s="1032"/>
      <c r="AI271" s="1032"/>
      <c r="AJ271" s="1032"/>
      <c r="AK271" s="1032">
        <v>12500</v>
      </c>
      <c r="AL271" s="1032"/>
      <c r="AM271" s="1032"/>
      <c r="AN271" s="1032"/>
      <c r="AO271" s="1032">
        <v>12500</v>
      </c>
      <c r="AP271" s="1032"/>
      <c r="AQ271" s="1032"/>
      <c r="AR271" s="2011">
        <v>37500</v>
      </c>
      <c r="AS271"/>
      <c r="AT271" s="1032"/>
      <c r="AU271" s="1032">
        <v>12500</v>
      </c>
      <c r="AV271" s="1032"/>
      <c r="AW271" s="1032"/>
      <c r="AX271" s="1032"/>
      <c r="AY271" s="1032"/>
      <c r="AZ271" s="1032"/>
      <c r="BA271" s="1032"/>
      <c r="BB271" s="1032"/>
      <c r="BC271" s="1032"/>
      <c r="BD271" s="1032"/>
      <c r="BE271" s="1032"/>
      <c r="BF271" s="2011">
        <v>12500</v>
      </c>
      <c r="BG271"/>
      <c r="BH271" s="1032"/>
      <c r="BI271" s="1032"/>
      <c r="BJ271" s="1032"/>
      <c r="BK271" s="1032"/>
      <c r="BL271" s="1032"/>
      <c r="BM271" s="1032"/>
      <c r="BN271" s="1032"/>
      <c r="BO271" s="1032"/>
      <c r="BP271" s="1032"/>
      <c r="BQ271" s="1032"/>
      <c r="BR271" s="1032"/>
      <c r="BS271" s="1032"/>
      <c r="BT271" s="2024">
        <v>0</v>
      </c>
      <c r="BU271"/>
      <c r="BV271" s="1032"/>
      <c r="BW271" s="1032"/>
      <c r="BX271" s="1032"/>
      <c r="BY271" s="2024">
        <v>0</v>
      </c>
      <c r="BZ271" s="2024">
        <v>50000</v>
      </c>
    </row>
    <row r="272" spans="1:78" s="153" customFormat="1" ht="32" hidden="1" customHeight="1" outlineLevel="3">
      <c r="A272" s="581"/>
      <c r="B272" s="395" t="s">
        <v>2551</v>
      </c>
      <c r="C272" s="395" t="s">
        <v>1279</v>
      </c>
      <c r="D272" s="1249" t="s">
        <v>2552</v>
      </c>
      <c r="E272"/>
      <c r="F272" s="1458">
        <v>0</v>
      </c>
      <c r="G272" s="1458">
        <v>0</v>
      </c>
      <c r="H272" s="1458">
        <v>0</v>
      </c>
      <c r="I272" s="1458">
        <v>0</v>
      </c>
      <c r="J272" s="1458">
        <v>0</v>
      </c>
      <c r="K272" s="1458">
        <v>0</v>
      </c>
      <c r="L272" s="1458">
        <v>0</v>
      </c>
      <c r="M272" s="1458">
        <v>0</v>
      </c>
      <c r="N272" s="1458">
        <v>0</v>
      </c>
      <c r="O272" s="1458">
        <v>0</v>
      </c>
      <c r="P272" s="398">
        <v>0</v>
      </c>
      <c r="Q272"/>
      <c r="R272" s="1458">
        <v>0</v>
      </c>
      <c r="S272" s="1458">
        <v>0</v>
      </c>
      <c r="T272" s="1458">
        <v>10000</v>
      </c>
      <c r="U272" s="1458">
        <v>0</v>
      </c>
      <c r="V272" s="1458">
        <v>0</v>
      </c>
      <c r="W272" s="1458">
        <v>0</v>
      </c>
      <c r="X272" s="1458">
        <v>0</v>
      </c>
      <c r="Y272" s="1458">
        <v>0</v>
      </c>
      <c r="Z272" s="1458">
        <v>0</v>
      </c>
      <c r="AA272" s="1458">
        <v>0</v>
      </c>
      <c r="AB272" s="1458">
        <v>5000</v>
      </c>
      <c r="AC272" s="1458">
        <v>0</v>
      </c>
      <c r="AD272" s="398">
        <v>15000</v>
      </c>
      <c r="AE272"/>
      <c r="AF272" s="1458">
        <v>0</v>
      </c>
      <c r="AG272" s="1458">
        <v>0</v>
      </c>
      <c r="AH272" s="1458">
        <v>0</v>
      </c>
      <c r="AI272" s="1458">
        <v>0</v>
      </c>
      <c r="AJ272" s="1458">
        <v>0</v>
      </c>
      <c r="AK272" s="1458">
        <v>0</v>
      </c>
      <c r="AL272" s="1458">
        <v>0</v>
      </c>
      <c r="AM272" s="1458">
        <v>0</v>
      </c>
      <c r="AN272" s="1458">
        <v>0</v>
      </c>
      <c r="AO272" s="1458">
        <v>0</v>
      </c>
      <c r="AP272" s="1458">
        <v>0</v>
      </c>
      <c r="AQ272" s="1458">
        <v>0</v>
      </c>
      <c r="AR272" s="398">
        <v>0</v>
      </c>
      <c r="AS272"/>
      <c r="AT272" s="1458">
        <v>0</v>
      </c>
      <c r="AU272" s="1458">
        <v>0</v>
      </c>
      <c r="AV272" s="1458">
        <v>0</v>
      </c>
      <c r="AW272" s="1458">
        <v>0</v>
      </c>
      <c r="AX272" s="1458">
        <v>0</v>
      </c>
      <c r="AY272" s="1458">
        <v>0</v>
      </c>
      <c r="AZ272" s="1458">
        <v>5000</v>
      </c>
      <c r="BA272" s="1458">
        <v>0</v>
      </c>
      <c r="BB272" s="1458">
        <v>0</v>
      </c>
      <c r="BC272" s="1458">
        <v>0</v>
      </c>
      <c r="BD272" s="1458">
        <v>0</v>
      </c>
      <c r="BE272" s="1458">
        <v>0</v>
      </c>
      <c r="BF272" s="398">
        <v>5000</v>
      </c>
      <c r="BG272"/>
      <c r="BH272" s="1458">
        <v>0</v>
      </c>
      <c r="BI272" s="1458">
        <v>0</v>
      </c>
      <c r="BJ272" s="1458">
        <v>0</v>
      </c>
      <c r="BK272" s="1458">
        <v>0</v>
      </c>
      <c r="BL272" s="1458">
        <v>0</v>
      </c>
      <c r="BM272" s="1458">
        <v>0</v>
      </c>
      <c r="BN272" s="1458">
        <v>0</v>
      </c>
      <c r="BO272" s="1458">
        <v>0</v>
      </c>
      <c r="BP272" s="1458">
        <v>0</v>
      </c>
      <c r="BQ272" s="1458">
        <v>0</v>
      </c>
      <c r="BR272" s="1458">
        <v>0</v>
      </c>
      <c r="BS272" s="1458">
        <v>0</v>
      </c>
      <c r="BT272" s="398">
        <v>0</v>
      </c>
      <c r="BU272"/>
      <c r="BV272" s="1458">
        <v>0</v>
      </c>
      <c r="BW272" s="1458">
        <v>0</v>
      </c>
      <c r="BX272" s="1458">
        <v>0</v>
      </c>
      <c r="BY272" s="398">
        <v>0</v>
      </c>
      <c r="BZ272" s="398">
        <v>20000</v>
      </c>
    </row>
    <row r="273" spans="1:78" s="108" customFormat="1" ht="14" hidden="1" customHeight="1" outlineLevel="4">
      <c r="A273" s="580"/>
      <c r="B273" s="107" t="s">
        <v>2553</v>
      </c>
      <c r="C273" s="107" t="s">
        <v>1279</v>
      </c>
      <c r="D273" s="703" t="s">
        <v>2534</v>
      </c>
      <c r="E273"/>
      <c r="F273" s="986"/>
      <c r="G273" s="986"/>
      <c r="H273" s="986"/>
      <c r="I273" s="986"/>
      <c r="J273" s="986"/>
      <c r="K273" s="986"/>
      <c r="L273" s="986"/>
      <c r="M273" s="986"/>
      <c r="N273" s="986"/>
      <c r="O273" s="986"/>
      <c r="P273" s="2011">
        <v>0</v>
      </c>
      <c r="Q273"/>
      <c r="R273" s="986"/>
      <c r="S273" s="986"/>
      <c r="T273" s="1032">
        <v>10000</v>
      </c>
      <c r="U273" s="1032"/>
      <c r="V273" s="1032"/>
      <c r="W273" s="1032"/>
      <c r="X273" s="1032"/>
      <c r="Y273" s="1032"/>
      <c r="Z273" s="1032"/>
      <c r="AA273" s="1032"/>
      <c r="AB273" s="1032"/>
      <c r="AC273" s="986"/>
      <c r="AD273" s="2011">
        <v>10000</v>
      </c>
      <c r="AE273"/>
      <c r="AF273" s="986"/>
      <c r="AG273" s="986"/>
      <c r="AH273" s="986"/>
      <c r="AI273" s="986"/>
      <c r="AJ273" s="986"/>
      <c r="AK273" s="986"/>
      <c r="AL273" s="986"/>
      <c r="AM273" s="986"/>
      <c r="AN273" s="986"/>
      <c r="AO273" s="986"/>
      <c r="AP273" s="986"/>
      <c r="AQ273" s="986"/>
      <c r="AR273" s="2011">
        <v>0</v>
      </c>
      <c r="AS273"/>
      <c r="AT273" s="986"/>
      <c r="AU273" s="986"/>
      <c r="AV273" s="986"/>
      <c r="AW273" s="986"/>
      <c r="AX273" s="986"/>
      <c r="AY273" s="986"/>
      <c r="AZ273" s="986"/>
      <c r="BA273" s="986"/>
      <c r="BB273" s="986"/>
      <c r="BC273" s="986"/>
      <c r="BD273" s="986"/>
      <c r="BE273" s="986"/>
      <c r="BF273" s="2011">
        <v>0</v>
      </c>
      <c r="BG273"/>
      <c r="BH273" s="986"/>
      <c r="BI273" s="986"/>
      <c r="BJ273" s="986"/>
      <c r="BK273" s="986"/>
      <c r="BL273" s="986"/>
      <c r="BM273" s="986"/>
      <c r="BN273" s="986"/>
      <c r="BO273" s="986"/>
      <c r="BP273" s="986"/>
      <c r="BQ273" s="986"/>
      <c r="BR273" s="986"/>
      <c r="BS273" s="986"/>
      <c r="BT273" s="2011">
        <v>0</v>
      </c>
      <c r="BU273"/>
      <c r="BV273" s="986"/>
      <c r="BW273" s="986"/>
      <c r="BX273" s="986"/>
      <c r="BY273" s="2011">
        <v>0</v>
      </c>
      <c r="BZ273" s="2011">
        <v>10000</v>
      </c>
    </row>
    <row r="274" spans="1:78" s="108" customFormat="1" ht="14" hidden="1" customHeight="1" outlineLevel="4">
      <c r="A274" s="580"/>
      <c r="B274" s="107" t="s">
        <v>2554</v>
      </c>
      <c r="C274" s="107" t="s">
        <v>1279</v>
      </c>
      <c r="D274" s="703" t="s">
        <v>2536</v>
      </c>
      <c r="E274"/>
      <c r="F274" s="986"/>
      <c r="G274" s="986"/>
      <c r="H274" s="986"/>
      <c r="I274" s="986"/>
      <c r="J274" s="986"/>
      <c r="K274" s="986"/>
      <c r="L274" s="986"/>
      <c r="M274" s="986"/>
      <c r="N274" s="986"/>
      <c r="O274" s="986"/>
      <c r="P274" s="2011">
        <v>0</v>
      </c>
      <c r="Q274"/>
      <c r="R274" s="986"/>
      <c r="S274" s="986"/>
      <c r="T274" s="1032"/>
      <c r="U274" s="1032"/>
      <c r="V274" s="1032"/>
      <c r="W274" s="1032"/>
      <c r="X274" s="1032"/>
      <c r="Y274" s="1032"/>
      <c r="Z274" s="1032"/>
      <c r="AA274" s="1032"/>
      <c r="AB274" s="1032">
        <v>5000</v>
      </c>
      <c r="AC274" s="986"/>
      <c r="AD274" s="2011">
        <v>5000</v>
      </c>
      <c r="AE274"/>
      <c r="AF274" s="986"/>
      <c r="AG274" s="986"/>
      <c r="AH274" s="986"/>
      <c r="AI274" s="986"/>
      <c r="AJ274" s="986"/>
      <c r="AK274" s="986"/>
      <c r="AL274" s="986"/>
      <c r="AM274" s="986"/>
      <c r="AN274" s="986"/>
      <c r="AO274" s="986"/>
      <c r="AP274" s="986"/>
      <c r="AQ274" s="986"/>
      <c r="AR274" s="2011">
        <v>0</v>
      </c>
      <c r="AS274"/>
      <c r="AT274" s="986"/>
      <c r="AU274" s="986"/>
      <c r="AV274" s="986"/>
      <c r="AW274" s="986"/>
      <c r="AX274" s="986"/>
      <c r="AY274" s="986"/>
      <c r="AZ274" s="986"/>
      <c r="BA274" s="986"/>
      <c r="BB274" s="986"/>
      <c r="BC274" s="986"/>
      <c r="BD274" s="986"/>
      <c r="BE274" s="986"/>
      <c r="BF274" s="2011">
        <v>0</v>
      </c>
      <c r="BG274"/>
      <c r="BH274" s="986"/>
      <c r="BI274" s="986"/>
      <c r="BJ274" s="986"/>
      <c r="BK274" s="986"/>
      <c r="BL274" s="986"/>
      <c r="BM274" s="986"/>
      <c r="BN274" s="986"/>
      <c r="BO274" s="986"/>
      <c r="BP274" s="986"/>
      <c r="BQ274" s="986"/>
      <c r="BR274" s="986"/>
      <c r="BS274" s="986"/>
      <c r="BT274" s="2011">
        <v>0</v>
      </c>
      <c r="BU274"/>
      <c r="BV274" s="986"/>
      <c r="BW274" s="986"/>
      <c r="BX274" s="986"/>
      <c r="BY274" s="2011">
        <v>0</v>
      </c>
      <c r="BZ274" s="2011">
        <v>5000</v>
      </c>
    </row>
    <row r="275" spans="1:78" s="108" customFormat="1" ht="14" hidden="1" customHeight="1" outlineLevel="4">
      <c r="A275" s="580"/>
      <c r="B275" s="107" t="s">
        <v>2555</v>
      </c>
      <c r="C275" s="107"/>
      <c r="D275" s="703" t="s">
        <v>2556</v>
      </c>
      <c r="E275"/>
      <c r="F275" s="986"/>
      <c r="G275" s="986"/>
      <c r="H275" s="986"/>
      <c r="I275" s="986"/>
      <c r="J275" s="986"/>
      <c r="K275" s="986"/>
      <c r="L275" s="986"/>
      <c r="M275" s="986"/>
      <c r="N275" s="986"/>
      <c r="O275" s="986"/>
      <c r="P275" s="2011">
        <v>0</v>
      </c>
      <c r="Q275"/>
      <c r="R275" s="986"/>
      <c r="S275" s="986"/>
      <c r="T275" s="986"/>
      <c r="U275" s="986"/>
      <c r="V275" s="986"/>
      <c r="W275" s="986"/>
      <c r="X275" s="986"/>
      <c r="Y275" s="986"/>
      <c r="Z275" s="986"/>
      <c r="AA275" s="986"/>
      <c r="AB275" s="986"/>
      <c r="AC275" s="986"/>
      <c r="AD275" s="2011">
        <v>0</v>
      </c>
      <c r="AE275"/>
      <c r="AF275" s="986"/>
      <c r="AG275" s="986"/>
      <c r="AH275" s="986"/>
      <c r="AI275" s="986"/>
      <c r="AJ275" s="986"/>
      <c r="AK275" s="986"/>
      <c r="AL275" s="986"/>
      <c r="AM275" s="986"/>
      <c r="AN275" s="986"/>
      <c r="AO275" s="986"/>
      <c r="AP275" s="986"/>
      <c r="AQ275" s="986"/>
      <c r="AR275" s="2011">
        <v>0</v>
      </c>
      <c r="AS275"/>
      <c r="AT275" s="986"/>
      <c r="AU275" s="986"/>
      <c r="AV275" s="986"/>
      <c r="AW275" s="986"/>
      <c r="AX275" s="986"/>
      <c r="AY275" s="986"/>
      <c r="AZ275" s="986">
        <v>5000</v>
      </c>
      <c r="BA275" s="986"/>
      <c r="BB275" s="986"/>
      <c r="BC275" s="986"/>
      <c r="BD275" s="986"/>
      <c r="BE275" s="986"/>
      <c r="BF275" s="2011">
        <v>5000</v>
      </c>
      <c r="BG275"/>
      <c r="BH275" s="986"/>
      <c r="BI275" s="986"/>
      <c r="BJ275" s="986"/>
      <c r="BK275" s="986"/>
      <c r="BL275" s="986"/>
      <c r="BM275" s="986"/>
      <c r="BN275" s="986"/>
      <c r="BO275" s="986"/>
      <c r="BP275" s="986"/>
      <c r="BQ275" s="986"/>
      <c r="BR275" s="986"/>
      <c r="BS275" s="986"/>
      <c r="BT275" s="2011">
        <v>0</v>
      </c>
      <c r="BU275"/>
      <c r="BV275" s="986"/>
      <c r="BW275" s="986"/>
      <c r="BX275" s="986"/>
      <c r="BY275" s="2011">
        <v>0</v>
      </c>
      <c r="BZ275" s="2011">
        <v>5000</v>
      </c>
    </row>
    <row r="276" spans="1:78" s="108" customFormat="1" ht="14" hidden="1" customHeight="1" outlineLevel="3" collapsed="1">
      <c r="A276" s="580"/>
      <c r="B276" s="107"/>
      <c r="C276" s="107"/>
      <c r="D276" s="703"/>
      <c r="E276"/>
      <c r="F276" s="986"/>
      <c r="G276" s="986"/>
      <c r="H276" s="986"/>
      <c r="I276" s="986"/>
      <c r="J276" s="986"/>
      <c r="K276" s="986"/>
      <c r="L276" s="986"/>
      <c r="M276" s="986"/>
      <c r="N276" s="986"/>
      <c r="O276" s="986"/>
      <c r="P276" s="2011">
        <v>0</v>
      </c>
      <c r="Q276"/>
      <c r="R276" s="986"/>
      <c r="S276" s="986"/>
      <c r="T276" s="986"/>
      <c r="U276" s="986"/>
      <c r="V276" s="986"/>
      <c r="W276" s="986"/>
      <c r="X276" s="986"/>
      <c r="Y276" s="986"/>
      <c r="Z276" s="986"/>
      <c r="AA276" s="986"/>
      <c r="AB276" s="986"/>
      <c r="AC276" s="986"/>
      <c r="AD276" s="2011">
        <v>0</v>
      </c>
      <c r="AE276"/>
      <c r="AF276" s="986"/>
      <c r="AG276" s="986"/>
      <c r="AH276" s="986"/>
      <c r="AI276" s="986"/>
      <c r="AJ276" s="986"/>
      <c r="AK276" s="986"/>
      <c r="AL276" s="986"/>
      <c r="AM276" s="986"/>
      <c r="AN276" s="986"/>
      <c r="AO276" s="986"/>
      <c r="AP276" s="986"/>
      <c r="AQ276" s="986"/>
      <c r="AR276" s="2011">
        <v>0</v>
      </c>
      <c r="AS276"/>
      <c r="AT276" s="986"/>
      <c r="AU276" s="986"/>
      <c r="AV276" s="986"/>
      <c r="AW276" s="986"/>
      <c r="AX276" s="986"/>
      <c r="AY276" s="986"/>
      <c r="AZ276" s="986"/>
      <c r="BA276" s="986"/>
      <c r="BB276" s="986"/>
      <c r="BC276" s="986"/>
      <c r="BD276" s="986"/>
      <c r="BE276" s="986"/>
      <c r="BF276" s="2011">
        <v>0</v>
      </c>
      <c r="BG276"/>
      <c r="BH276" s="986"/>
      <c r="BI276" s="986"/>
      <c r="BJ276" s="986"/>
      <c r="BK276" s="986"/>
      <c r="BL276" s="986"/>
      <c r="BM276" s="986"/>
      <c r="BN276" s="986"/>
      <c r="BO276" s="986"/>
      <c r="BP276" s="986"/>
      <c r="BQ276" s="986"/>
      <c r="BR276" s="986"/>
      <c r="BS276" s="986"/>
      <c r="BT276" s="2011">
        <v>0</v>
      </c>
      <c r="BU276"/>
      <c r="BV276" s="986"/>
      <c r="BW276" s="986"/>
      <c r="BX276" s="986"/>
      <c r="BY276" s="2011">
        <v>0</v>
      </c>
      <c r="BZ276" s="2011">
        <v>0</v>
      </c>
    </row>
    <row r="277" spans="1:78" s="153" customFormat="1" ht="27.5" customHeight="1" outlineLevel="2" collapsed="1">
      <c r="A277" s="172"/>
      <c r="B277" s="171" t="s">
        <v>535</v>
      </c>
      <c r="C277" s="171"/>
      <c r="D277" s="538" t="s">
        <v>278</v>
      </c>
      <c r="E277"/>
      <c r="F277" s="176">
        <v>0</v>
      </c>
      <c r="G277" s="176">
        <v>0</v>
      </c>
      <c r="H277" s="176">
        <v>0</v>
      </c>
      <c r="I277" s="176">
        <v>0</v>
      </c>
      <c r="J277" s="176">
        <v>0</v>
      </c>
      <c r="K277" s="176">
        <v>0</v>
      </c>
      <c r="L277" s="176">
        <v>0</v>
      </c>
      <c r="M277" s="176">
        <v>0</v>
      </c>
      <c r="N277" s="176">
        <v>0</v>
      </c>
      <c r="O277" s="176">
        <v>0</v>
      </c>
      <c r="P277" s="980">
        <v>0</v>
      </c>
      <c r="Q277"/>
      <c r="R277" s="176">
        <v>0</v>
      </c>
      <c r="S277" s="176">
        <v>0</v>
      </c>
      <c r="T277" s="176">
        <v>7800</v>
      </c>
      <c r="U277" s="176">
        <v>7800</v>
      </c>
      <c r="V277" s="176">
        <v>7800</v>
      </c>
      <c r="W277" s="176">
        <v>7800</v>
      </c>
      <c r="X277" s="176">
        <v>11800</v>
      </c>
      <c r="Y277" s="176">
        <v>11800</v>
      </c>
      <c r="Z277" s="176">
        <v>11800</v>
      </c>
      <c r="AA277" s="176">
        <v>7800</v>
      </c>
      <c r="AB277" s="176">
        <v>7800</v>
      </c>
      <c r="AC277" s="176">
        <v>7800</v>
      </c>
      <c r="AD277" s="980">
        <v>90000</v>
      </c>
      <c r="AE277"/>
      <c r="AF277" s="176">
        <v>0</v>
      </c>
      <c r="AG277" s="176">
        <v>8000</v>
      </c>
      <c r="AH277" s="176">
        <v>8000</v>
      </c>
      <c r="AI277" s="176">
        <v>8000</v>
      </c>
      <c r="AJ277" s="176">
        <v>8000</v>
      </c>
      <c r="AK277" s="176">
        <v>8000</v>
      </c>
      <c r="AL277" s="176">
        <v>0</v>
      </c>
      <c r="AM277" s="176">
        <v>0</v>
      </c>
      <c r="AN277" s="176">
        <v>0</v>
      </c>
      <c r="AO277" s="176">
        <v>0</v>
      </c>
      <c r="AP277" s="176">
        <v>25000</v>
      </c>
      <c r="AQ277" s="176">
        <v>0</v>
      </c>
      <c r="AR277" s="980">
        <v>65000</v>
      </c>
      <c r="AS277"/>
      <c r="AT277" s="176">
        <v>0</v>
      </c>
      <c r="AU277" s="176">
        <v>0</v>
      </c>
      <c r="AV277" s="176">
        <v>25000</v>
      </c>
      <c r="AW277" s="176">
        <v>0</v>
      </c>
      <c r="AX277" s="176">
        <v>0</v>
      </c>
      <c r="AY277" s="176">
        <v>0</v>
      </c>
      <c r="AZ277" s="176">
        <v>25000</v>
      </c>
      <c r="BA277" s="176">
        <v>0</v>
      </c>
      <c r="BB277" s="176">
        <v>0</v>
      </c>
      <c r="BC277" s="176">
        <v>0</v>
      </c>
      <c r="BD277" s="176">
        <v>25000</v>
      </c>
      <c r="BE277" s="176">
        <v>0</v>
      </c>
      <c r="BF277" s="981">
        <v>75000</v>
      </c>
      <c r="BG277"/>
      <c r="BH277" s="176">
        <v>0</v>
      </c>
      <c r="BI277" s="176">
        <v>0</v>
      </c>
      <c r="BJ277" s="176">
        <v>0</v>
      </c>
      <c r="BK277" s="176">
        <v>0</v>
      </c>
      <c r="BL277" s="176">
        <v>0</v>
      </c>
      <c r="BM277" s="176">
        <v>0</v>
      </c>
      <c r="BN277" s="176">
        <v>0</v>
      </c>
      <c r="BO277" s="176">
        <v>0</v>
      </c>
      <c r="BP277" s="176">
        <v>0</v>
      </c>
      <c r="BQ277" s="176">
        <v>0</v>
      </c>
      <c r="BR277" s="176">
        <v>0</v>
      </c>
      <c r="BS277" s="176">
        <v>0</v>
      </c>
      <c r="BT277" s="979">
        <v>0</v>
      </c>
      <c r="BU277"/>
      <c r="BV277" s="176">
        <v>0</v>
      </c>
      <c r="BW277" s="176">
        <v>0</v>
      </c>
      <c r="BX277" s="176">
        <v>0</v>
      </c>
      <c r="BY277" s="979">
        <v>0</v>
      </c>
      <c r="BZ277" s="979">
        <v>230000</v>
      </c>
    </row>
    <row r="278" spans="1:78" s="108" customFormat="1" ht="27.5" hidden="1" customHeight="1" outlineLevel="3">
      <c r="A278" s="159"/>
      <c r="B278" s="107" t="s">
        <v>2557</v>
      </c>
      <c r="C278" s="702" t="s">
        <v>1279</v>
      </c>
      <c r="D278" s="1339" t="s">
        <v>2558</v>
      </c>
      <c r="E278"/>
      <c r="F278" s="1001"/>
      <c r="G278" s="1001"/>
      <c r="H278" s="1001"/>
      <c r="I278" s="1001"/>
      <c r="J278" s="1001"/>
      <c r="K278" s="1001"/>
      <c r="L278" s="1001"/>
      <c r="M278" s="1001"/>
      <c r="N278" s="1001"/>
      <c r="O278" s="1001"/>
      <c r="P278" s="996">
        <v>0</v>
      </c>
      <c r="Q278"/>
      <c r="R278" s="1001"/>
      <c r="S278" s="1001"/>
      <c r="T278" s="1001"/>
      <c r="U278" s="1001"/>
      <c r="V278" s="1001"/>
      <c r="W278" s="1001"/>
      <c r="X278" s="1001">
        <v>4000</v>
      </c>
      <c r="Y278" s="1001">
        <v>4000</v>
      </c>
      <c r="Z278" s="1001">
        <v>4000</v>
      </c>
      <c r="AA278" s="1001"/>
      <c r="AB278" s="1001"/>
      <c r="AC278" s="1001"/>
      <c r="AD278" s="996">
        <v>12000</v>
      </c>
      <c r="AE278"/>
      <c r="AF278" s="1001"/>
      <c r="AG278" s="1001"/>
      <c r="AH278" s="1001"/>
      <c r="AI278" s="1001"/>
      <c r="AJ278" s="1001"/>
      <c r="AK278" s="1001"/>
      <c r="AL278" s="1001"/>
      <c r="AM278" s="1001"/>
      <c r="AN278" s="1001"/>
      <c r="AO278" s="1001"/>
      <c r="AP278" s="1001"/>
      <c r="AQ278" s="1001"/>
      <c r="AR278" s="996">
        <v>0</v>
      </c>
      <c r="AS278"/>
      <c r="AT278" s="1001"/>
      <c r="AU278" s="1001"/>
      <c r="AV278" s="1001"/>
      <c r="AW278" s="1001"/>
      <c r="AX278" s="1001"/>
      <c r="AY278" s="1001"/>
      <c r="AZ278" s="1001"/>
      <c r="BA278" s="1001"/>
      <c r="BB278" s="1001"/>
      <c r="BC278" s="1001"/>
      <c r="BD278" s="1001"/>
      <c r="BE278" s="1001"/>
      <c r="BF278" s="997">
        <v>0</v>
      </c>
      <c r="BG278"/>
      <c r="BH278" s="1001"/>
      <c r="BI278" s="1001"/>
      <c r="BJ278" s="1001"/>
      <c r="BK278" s="1001"/>
      <c r="BL278" s="1001"/>
      <c r="BM278" s="1001"/>
      <c r="BN278" s="1001"/>
      <c r="BO278" s="1001"/>
      <c r="BP278" s="1001"/>
      <c r="BQ278" s="1001"/>
      <c r="BR278" s="1001"/>
      <c r="BS278" s="1001"/>
      <c r="BT278" s="995">
        <v>0</v>
      </c>
      <c r="BU278"/>
      <c r="BV278" s="1001"/>
      <c r="BW278" s="1001"/>
      <c r="BX278" s="1001"/>
      <c r="BY278" s="995">
        <v>0</v>
      </c>
      <c r="BZ278" s="995">
        <v>12000</v>
      </c>
    </row>
    <row r="279" spans="1:78" s="148" customFormat="1" ht="69" hidden="1" customHeight="1" outlineLevel="3">
      <c r="A279" s="159"/>
      <c r="B279" s="107" t="s">
        <v>2559</v>
      </c>
      <c r="C279" s="107"/>
      <c r="D279" s="1374" t="s">
        <v>2560</v>
      </c>
      <c r="E279"/>
      <c r="F279" s="1032">
        <v>0</v>
      </c>
      <c r="G279" s="1032">
        <v>0</v>
      </c>
      <c r="H279" s="1032">
        <v>0</v>
      </c>
      <c r="I279" s="1032">
        <v>0</v>
      </c>
      <c r="J279" s="1032">
        <v>0</v>
      </c>
      <c r="K279" s="1032">
        <v>0</v>
      </c>
      <c r="L279" s="1032">
        <v>0</v>
      </c>
      <c r="M279" s="1032">
        <v>0</v>
      </c>
      <c r="N279" s="1032">
        <v>0</v>
      </c>
      <c r="O279" s="1032">
        <v>0</v>
      </c>
      <c r="P279" s="2008">
        <v>0</v>
      </c>
      <c r="Q279"/>
      <c r="R279" s="1032">
        <v>0</v>
      </c>
      <c r="S279" s="1032">
        <v>0</v>
      </c>
      <c r="T279" s="1032">
        <v>7800</v>
      </c>
      <c r="U279" s="1032">
        <v>7800</v>
      </c>
      <c r="V279" s="1032">
        <v>7800</v>
      </c>
      <c r="W279" s="1032">
        <v>7800</v>
      </c>
      <c r="X279" s="1032">
        <v>7800</v>
      </c>
      <c r="Y279" s="1032">
        <v>7800</v>
      </c>
      <c r="Z279" s="1032">
        <v>7800</v>
      </c>
      <c r="AA279" s="1032">
        <v>7800</v>
      </c>
      <c r="AB279" s="1032">
        <v>7800</v>
      </c>
      <c r="AC279" s="1032">
        <v>7800</v>
      </c>
      <c r="AD279" s="2008">
        <v>78000</v>
      </c>
      <c r="AE279"/>
      <c r="AF279" s="1032">
        <v>0</v>
      </c>
      <c r="AG279" s="1032">
        <v>8000</v>
      </c>
      <c r="AH279" s="1032">
        <v>8000</v>
      </c>
      <c r="AI279" s="1032">
        <v>8000</v>
      </c>
      <c r="AJ279" s="1032">
        <v>8000</v>
      </c>
      <c r="AK279" s="1032">
        <v>8000</v>
      </c>
      <c r="AL279" s="1032">
        <v>0</v>
      </c>
      <c r="AM279" s="1032">
        <v>0</v>
      </c>
      <c r="AN279" s="1032">
        <v>0</v>
      </c>
      <c r="AO279" s="1032">
        <v>0</v>
      </c>
      <c r="AP279" s="1032">
        <v>0</v>
      </c>
      <c r="AQ279" s="1032">
        <v>0</v>
      </c>
      <c r="AR279" s="2011">
        <v>40000</v>
      </c>
      <c r="AS279"/>
      <c r="AT279" s="1032">
        <v>0</v>
      </c>
      <c r="AU279" s="1032">
        <v>0</v>
      </c>
      <c r="AV279" s="1032">
        <v>0</v>
      </c>
      <c r="AW279" s="1032">
        <v>0</v>
      </c>
      <c r="AX279" s="1032">
        <v>0</v>
      </c>
      <c r="AY279" s="1032">
        <v>0</v>
      </c>
      <c r="AZ279" s="1032">
        <v>0</v>
      </c>
      <c r="BA279" s="1032">
        <v>0</v>
      </c>
      <c r="BB279" s="1032">
        <v>0</v>
      </c>
      <c r="BC279" s="1032">
        <v>0</v>
      </c>
      <c r="BD279" s="1032">
        <v>0</v>
      </c>
      <c r="BE279" s="1032">
        <v>0</v>
      </c>
      <c r="BF279" s="2011">
        <v>0</v>
      </c>
      <c r="BG279"/>
      <c r="BH279" s="1032">
        <v>0</v>
      </c>
      <c r="BI279" s="1032">
        <v>0</v>
      </c>
      <c r="BJ279" s="1032">
        <v>0</v>
      </c>
      <c r="BK279" s="1032">
        <v>0</v>
      </c>
      <c r="BL279" s="1032">
        <v>0</v>
      </c>
      <c r="BM279" s="1032">
        <v>0</v>
      </c>
      <c r="BN279" s="1032">
        <v>0</v>
      </c>
      <c r="BO279" s="1032">
        <v>0</v>
      </c>
      <c r="BP279" s="1032">
        <v>0</v>
      </c>
      <c r="BQ279" s="1032">
        <v>0</v>
      </c>
      <c r="BR279" s="1032">
        <v>0</v>
      </c>
      <c r="BS279" s="1032">
        <v>0</v>
      </c>
      <c r="BT279" s="2024">
        <v>0</v>
      </c>
      <c r="BU279"/>
      <c r="BV279" s="1032">
        <v>0</v>
      </c>
      <c r="BW279" s="1032">
        <v>0</v>
      </c>
      <c r="BX279" s="1032">
        <v>0</v>
      </c>
      <c r="BY279" s="2024">
        <v>0</v>
      </c>
      <c r="BZ279" s="2024">
        <v>118000</v>
      </c>
    </row>
    <row r="280" spans="1:78" s="148" customFormat="1" ht="41.5" hidden="1" customHeight="1" outlineLevel="3">
      <c r="A280" s="159"/>
      <c r="B280" s="107" t="s">
        <v>2561</v>
      </c>
      <c r="C280" s="107" t="s">
        <v>1279</v>
      </c>
      <c r="D280" s="2071" t="s">
        <v>2562</v>
      </c>
      <c r="E280"/>
      <c r="F280" s="991"/>
      <c r="G280" s="991"/>
      <c r="H280" s="991"/>
      <c r="I280" s="991"/>
      <c r="J280" s="991"/>
      <c r="K280" s="991"/>
      <c r="L280" s="991"/>
      <c r="M280" s="991"/>
      <c r="N280" s="991"/>
      <c r="O280" s="991"/>
      <c r="P280" s="2008">
        <v>0</v>
      </c>
      <c r="Q280"/>
      <c r="R280" s="991"/>
      <c r="S280" s="991"/>
      <c r="T280" s="1001">
        <v>7800</v>
      </c>
      <c r="U280" s="1001">
        <v>7800</v>
      </c>
      <c r="V280" s="1001">
        <v>7800</v>
      </c>
      <c r="W280" s="1001">
        <v>7800</v>
      </c>
      <c r="X280" s="1001">
        <v>7800</v>
      </c>
      <c r="Y280" s="1001">
        <v>7800</v>
      </c>
      <c r="Z280" s="1001">
        <v>7800</v>
      </c>
      <c r="AA280" s="1001">
        <v>7800</v>
      </c>
      <c r="AB280" s="1001">
        <v>7800</v>
      </c>
      <c r="AC280" s="1001">
        <v>7800</v>
      </c>
      <c r="AD280" s="2008">
        <v>78000</v>
      </c>
      <c r="AE280"/>
      <c r="AF280" s="1001"/>
      <c r="AG280" s="1001"/>
      <c r="AH280" s="1001"/>
      <c r="AI280" s="1001"/>
      <c r="AJ280" s="991"/>
      <c r="AK280" s="991"/>
      <c r="AL280" s="991"/>
      <c r="AM280" s="991"/>
      <c r="AN280" s="991"/>
      <c r="AO280" s="991"/>
      <c r="AP280" s="991"/>
      <c r="AQ280" s="991"/>
      <c r="AR280" s="2011">
        <v>0</v>
      </c>
      <c r="AS280"/>
      <c r="AT280" s="991"/>
      <c r="AU280" s="991"/>
      <c r="AV280" s="991"/>
      <c r="AW280" s="991"/>
      <c r="AX280" s="991"/>
      <c r="AY280" s="991"/>
      <c r="AZ280" s="991"/>
      <c r="BA280" s="991"/>
      <c r="BB280" s="991"/>
      <c r="BC280" s="991"/>
      <c r="BD280" s="991"/>
      <c r="BE280" s="991"/>
      <c r="BF280" s="2011">
        <v>0</v>
      </c>
      <c r="BG280"/>
      <c r="BH280" s="991"/>
      <c r="BI280" s="991"/>
      <c r="BJ280" s="991"/>
      <c r="BK280" s="991"/>
      <c r="BL280" s="991"/>
      <c r="BM280" s="991"/>
      <c r="BN280" s="991"/>
      <c r="BO280" s="991"/>
      <c r="BP280" s="991"/>
      <c r="BQ280" s="991"/>
      <c r="BR280" s="991"/>
      <c r="BS280" s="991"/>
      <c r="BT280" s="2024">
        <v>0</v>
      </c>
      <c r="BU280"/>
      <c r="BV280" s="991"/>
      <c r="BW280" s="991"/>
      <c r="BX280" s="991"/>
      <c r="BY280" s="2024">
        <v>0</v>
      </c>
      <c r="BZ280" s="2024">
        <v>78000</v>
      </c>
    </row>
    <row r="281" spans="1:78" s="148" customFormat="1" ht="27.5" hidden="1" customHeight="1" outlineLevel="3">
      <c r="A281" s="159"/>
      <c r="B281" s="107" t="s">
        <v>2563</v>
      </c>
      <c r="C281" s="107"/>
      <c r="D281" s="1374" t="s">
        <v>2564</v>
      </c>
      <c r="E281"/>
      <c r="F281" s="991"/>
      <c r="G281" s="991"/>
      <c r="H281" s="991"/>
      <c r="I281" s="991"/>
      <c r="J281" s="991"/>
      <c r="K281" s="991"/>
      <c r="L281" s="991"/>
      <c r="M281" s="991"/>
      <c r="N281" s="991"/>
      <c r="O281" s="991"/>
      <c r="P281" s="2008">
        <v>0</v>
      </c>
      <c r="Q281"/>
      <c r="R281" s="991"/>
      <c r="S281" s="991"/>
      <c r="T281" s="991"/>
      <c r="U281" s="991"/>
      <c r="V281" s="991"/>
      <c r="W281" s="991"/>
      <c r="X281" s="991"/>
      <c r="Y281" s="991"/>
      <c r="Z281" s="991"/>
      <c r="AA281" s="991"/>
      <c r="AB281" s="991"/>
      <c r="AC281" s="991"/>
      <c r="AD281" s="2008">
        <v>0</v>
      </c>
      <c r="AE281"/>
      <c r="AF281" s="1001"/>
      <c r="AG281" s="1001">
        <v>4000</v>
      </c>
      <c r="AH281" s="1001">
        <v>4000</v>
      </c>
      <c r="AI281" s="1001">
        <v>4000</v>
      </c>
      <c r="AJ281" s="1001">
        <v>4000</v>
      </c>
      <c r="AK281" s="1001">
        <v>4000</v>
      </c>
      <c r="AL281" s="991"/>
      <c r="AM281" s="991"/>
      <c r="AN281" s="991"/>
      <c r="AO281" s="991"/>
      <c r="AP281" s="991"/>
      <c r="AQ281" s="991"/>
      <c r="AR281" s="2011">
        <v>20000</v>
      </c>
      <c r="AS281"/>
      <c r="AT281" s="991"/>
      <c r="AU281" s="991"/>
      <c r="AV281" s="991"/>
      <c r="AW281" s="991"/>
      <c r="AX281" s="991"/>
      <c r="AY281" s="991"/>
      <c r="AZ281" s="991"/>
      <c r="BA281" s="991"/>
      <c r="BB281" s="991"/>
      <c r="BC281" s="991"/>
      <c r="BD281" s="991"/>
      <c r="BE281" s="991"/>
      <c r="BF281" s="2011">
        <v>0</v>
      </c>
      <c r="BG281"/>
      <c r="BH281" s="991"/>
      <c r="BI281" s="991"/>
      <c r="BJ281" s="991"/>
      <c r="BK281" s="991"/>
      <c r="BL281" s="991"/>
      <c r="BM281" s="991"/>
      <c r="BN281" s="991"/>
      <c r="BO281" s="991"/>
      <c r="BP281" s="991"/>
      <c r="BQ281" s="991"/>
      <c r="BR281" s="991"/>
      <c r="BS281" s="991"/>
      <c r="BT281" s="2024">
        <v>0</v>
      </c>
      <c r="BU281"/>
      <c r="BV281" s="991"/>
      <c r="BW281" s="991"/>
      <c r="BX281" s="991"/>
      <c r="BY281" s="2024">
        <v>0</v>
      </c>
      <c r="BZ281" s="2024">
        <v>20000</v>
      </c>
    </row>
    <row r="282" spans="1:78" s="148" customFormat="1" ht="27.5" hidden="1" customHeight="1" outlineLevel="3">
      <c r="A282" s="159"/>
      <c r="B282" s="107" t="s">
        <v>2565</v>
      </c>
      <c r="C282" s="107"/>
      <c r="D282" s="1374" t="s">
        <v>2566</v>
      </c>
      <c r="E282"/>
      <c r="F282" s="991"/>
      <c r="G282" s="991"/>
      <c r="H282" s="991"/>
      <c r="I282" s="991"/>
      <c r="J282" s="991"/>
      <c r="K282" s="991"/>
      <c r="L282" s="991"/>
      <c r="M282" s="991"/>
      <c r="N282" s="991"/>
      <c r="O282" s="991"/>
      <c r="P282" s="2008">
        <v>0</v>
      </c>
      <c r="Q282"/>
      <c r="R282" s="991"/>
      <c r="S282" s="991"/>
      <c r="T282" s="991"/>
      <c r="U282" s="991"/>
      <c r="V282" s="991"/>
      <c r="W282" s="991"/>
      <c r="X282" s="991"/>
      <c r="Y282" s="991"/>
      <c r="Z282" s="991"/>
      <c r="AA282" s="991"/>
      <c r="AB282" s="991"/>
      <c r="AC282" s="991"/>
      <c r="AD282" s="2008">
        <v>0</v>
      </c>
      <c r="AE282"/>
      <c r="AF282" s="991"/>
      <c r="AG282" s="1001">
        <v>4000</v>
      </c>
      <c r="AH282" s="1001">
        <v>4000</v>
      </c>
      <c r="AI282" s="1001">
        <v>4000</v>
      </c>
      <c r="AJ282" s="1001">
        <v>4000</v>
      </c>
      <c r="AK282" s="1001">
        <v>4000</v>
      </c>
      <c r="AL282" s="991"/>
      <c r="AM282" s="991"/>
      <c r="AN282" s="991"/>
      <c r="AO282" s="991"/>
      <c r="AP282" s="991"/>
      <c r="AQ282" s="991"/>
      <c r="AR282" s="2011">
        <v>20000</v>
      </c>
      <c r="AS282"/>
      <c r="AT282" s="991"/>
      <c r="AU282" s="991"/>
      <c r="AV282" s="991"/>
      <c r="AW282" s="991"/>
      <c r="AX282" s="991"/>
      <c r="AY282" s="991"/>
      <c r="AZ282" s="991"/>
      <c r="BA282" s="991"/>
      <c r="BB282" s="991"/>
      <c r="BC282" s="991"/>
      <c r="BD282" s="991"/>
      <c r="BE282" s="991"/>
      <c r="BF282" s="2011">
        <v>0</v>
      </c>
      <c r="BG282"/>
      <c r="BH282" s="991"/>
      <c r="BI282" s="991"/>
      <c r="BJ282" s="991"/>
      <c r="BK282" s="991"/>
      <c r="BL282" s="991"/>
      <c r="BM282" s="991"/>
      <c r="BN282" s="991"/>
      <c r="BO282" s="991"/>
      <c r="BP282" s="991"/>
      <c r="BQ282" s="991"/>
      <c r="BR282" s="991"/>
      <c r="BS282" s="991"/>
      <c r="BT282" s="2024">
        <v>0</v>
      </c>
      <c r="BU282"/>
      <c r="BV282" s="991"/>
      <c r="BW282" s="991"/>
      <c r="BX282" s="991"/>
      <c r="BY282" s="2024">
        <v>0</v>
      </c>
      <c r="BZ282" s="2024">
        <v>20000</v>
      </c>
    </row>
    <row r="283" spans="1:78" s="148" customFormat="1" ht="86" hidden="1" customHeight="1" outlineLevel="3">
      <c r="A283" s="159"/>
      <c r="B283" s="107" t="s">
        <v>2567</v>
      </c>
      <c r="C283" s="107"/>
      <c r="D283" s="1374" t="s">
        <v>2568</v>
      </c>
      <c r="E283"/>
      <c r="F283" s="991"/>
      <c r="G283" s="991"/>
      <c r="H283" s="991"/>
      <c r="I283" s="991"/>
      <c r="J283" s="991"/>
      <c r="K283" s="991"/>
      <c r="L283" s="991"/>
      <c r="M283" s="991"/>
      <c r="N283" s="991"/>
      <c r="O283" s="991"/>
      <c r="P283" s="2008">
        <v>0</v>
      </c>
      <c r="Q283"/>
      <c r="R283" s="991"/>
      <c r="S283" s="991"/>
      <c r="T283" s="991"/>
      <c r="U283" s="991"/>
      <c r="V283" s="991"/>
      <c r="W283" s="991"/>
      <c r="X283" s="991"/>
      <c r="Y283" s="991"/>
      <c r="Z283" s="991"/>
      <c r="AA283" s="991"/>
      <c r="AB283" s="991"/>
      <c r="AC283" s="991"/>
      <c r="AD283" s="2008">
        <v>0</v>
      </c>
      <c r="AE283"/>
      <c r="AF283" s="991"/>
      <c r="AG283" s="991"/>
      <c r="AH283" s="991"/>
      <c r="AI283" s="991"/>
      <c r="AJ283" s="991"/>
      <c r="AK283" s="991"/>
      <c r="AL283" s="991"/>
      <c r="AM283" s="991"/>
      <c r="AN283" s="991"/>
      <c r="AO283" s="991"/>
      <c r="AP283" s="991">
        <v>25000</v>
      </c>
      <c r="AQ283" s="991"/>
      <c r="AR283" s="2011">
        <v>25000</v>
      </c>
      <c r="AS283"/>
      <c r="AT283" s="991"/>
      <c r="AU283" s="991"/>
      <c r="AV283" s="991">
        <v>25000</v>
      </c>
      <c r="AW283" s="991"/>
      <c r="AX283" s="991"/>
      <c r="AY283" s="991"/>
      <c r="AZ283" s="991">
        <v>25000</v>
      </c>
      <c r="BA283" s="991"/>
      <c r="BB283" s="991"/>
      <c r="BC283" s="991"/>
      <c r="BD283" s="991">
        <v>25000</v>
      </c>
      <c r="BE283" s="991"/>
      <c r="BF283" s="2011">
        <v>75000</v>
      </c>
      <c r="BG283"/>
      <c r="BH283" s="991"/>
      <c r="BI283" s="991"/>
      <c r="BJ283" s="991"/>
      <c r="BK283" s="991"/>
      <c r="BL283" s="991"/>
      <c r="BM283" s="991"/>
      <c r="BN283" s="991"/>
      <c r="BO283" s="991"/>
      <c r="BP283" s="991"/>
      <c r="BQ283" s="991"/>
      <c r="BR283" s="991"/>
      <c r="BS283" s="991"/>
      <c r="BT283" s="2024">
        <v>0</v>
      </c>
      <c r="BU283"/>
      <c r="BV283" s="991"/>
      <c r="BW283" s="991"/>
      <c r="BX283" s="991"/>
      <c r="BY283" s="2024">
        <v>0</v>
      </c>
      <c r="BZ283" s="2024">
        <v>100000</v>
      </c>
    </row>
    <row r="284" spans="1:78" s="153" customFormat="1" ht="27.5" customHeight="1" outlineLevel="2" collapsed="1">
      <c r="A284" s="172"/>
      <c r="B284" s="171" t="s">
        <v>2569</v>
      </c>
      <c r="C284" s="171"/>
      <c r="D284" s="106" t="s">
        <v>280</v>
      </c>
      <c r="E284"/>
      <c r="F284" s="980">
        <v>0</v>
      </c>
      <c r="G284" s="980">
        <v>0</v>
      </c>
      <c r="H284" s="980">
        <v>0</v>
      </c>
      <c r="I284" s="980">
        <v>0</v>
      </c>
      <c r="J284" s="980">
        <v>0</v>
      </c>
      <c r="K284" s="980">
        <v>0</v>
      </c>
      <c r="L284" s="980">
        <v>0</v>
      </c>
      <c r="M284" s="980">
        <v>0</v>
      </c>
      <c r="N284" s="980">
        <v>0</v>
      </c>
      <c r="O284" s="980">
        <v>0</v>
      </c>
      <c r="P284" s="980">
        <v>0</v>
      </c>
      <c r="Q284"/>
      <c r="R284" s="980">
        <v>0</v>
      </c>
      <c r="S284" s="980">
        <v>0</v>
      </c>
      <c r="T284" s="980">
        <v>0</v>
      </c>
      <c r="U284" s="980">
        <v>0</v>
      </c>
      <c r="V284" s="980">
        <v>0</v>
      </c>
      <c r="W284" s="980">
        <v>0</v>
      </c>
      <c r="X284" s="980">
        <v>0</v>
      </c>
      <c r="Y284" s="980">
        <v>0</v>
      </c>
      <c r="Z284" s="980">
        <v>0</v>
      </c>
      <c r="AA284" s="980">
        <v>0</v>
      </c>
      <c r="AB284" s="980">
        <v>0</v>
      </c>
      <c r="AC284" s="980">
        <v>0</v>
      </c>
      <c r="AD284" s="980">
        <v>0</v>
      </c>
      <c r="AE284"/>
      <c r="AF284" s="980">
        <v>0</v>
      </c>
      <c r="AG284" s="980">
        <v>0</v>
      </c>
      <c r="AH284" s="980">
        <v>0</v>
      </c>
      <c r="AI284" s="980">
        <v>0</v>
      </c>
      <c r="AJ284" s="980">
        <v>0</v>
      </c>
      <c r="AK284" s="980">
        <v>0</v>
      </c>
      <c r="AL284" s="980">
        <v>0</v>
      </c>
      <c r="AM284" s="980">
        <v>0</v>
      </c>
      <c r="AN284" s="980">
        <v>40000</v>
      </c>
      <c r="AO284" s="980">
        <v>0</v>
      </c>
      <c r="AP284" s="980">
        <v>0</v>
      </c>
      <c r="AQ284" s="980">
        <v>0</v>
      </c>
      <c r="AR284" s="980">
        <v>40000</v>
      </c>
      <c r="AS284"/>
      <c r="AT284" s="980">
        <v>40000</v>
      </c>
      <c r="AU284" s="980">
        <v>0</v>
      </c>
      <c r="AV284" s="980">
        <v>0</v>
      </c>
      <c r="AW284" s="980">
        <v>0</v>
      </c>
      <c r="AX284" s="980">
        <v>40000</v>
      </c>
      <c r="AY284" s="980">
        <v>0</v>
      </c>
      <c r="AZ284" s="980">
        <v>0</v>
      </c>
      <c r="BA284" s="980">
        <v>0</v>
      </c>
      <c r="BB284" s="980">
        <v>40000</v>
      </c>
      <c r="BC284" s="980">
        <v>0</v>
      </c>
      <c r="BD284" s="980">
        <v>0</v>
      </c>
      <c r="BE284" s="980">
        <v>0</v>
      </c>
      <c r="BF284" s="981">
        <v>120000</v>
      </c>
      <c r="BG284"/>
      <c r="BH284" s="980">
        <v>40000</v>
      </c>
      <c r="BI284" s="980">
        <v>0</v>
      </c>
      <c r="BJ284" s="980">
        <v>0</v>
      </c>
      <c r="BK284" s="980">
        <v>0</v>
      </c>
      <c r="BL284" s="980">
        <v>0</v>
      </c>
      <c r="BM284" s="980">
        <v>0</v>
      </c>
      <c r="BN284" s="980">
        <v>0</v>
      </c>
      <c r="BO284" s="980">
        <v>0</v>
      </c>
      <c r="BP284" s="980">
        <v>0</v>
      </c>
      <c r="BQ284" s="980">
        <v>0</v>
      </c>
      <c r="BR284" s="980">
        <v>0</v>
      </c>
      <c r="BS284" s="980">
        <v>0</v>
      </c>
      <c r="BT284" s="979">
        <v>40000</v>
      </c>
      <c r="BU284"/>
      <c r="BV284" s="980">
        <v>0</v>
      </c>
      <c r="BW284" s="980">
        <v>0</v>
      </c>
      <c r="BX284" s="980">
        <v>0</v>
      </c>
      <c r="BY284" s="979">
        <v>0</v>
      </c>
      <c r="BZ284" s="979">
        <v>200000</v>
      </c>
    </row>
    <row r="285" spans="1:78" s="148" customFormat="1" ht="27.5" hidden="1" customHeight="1" outlineLevel="3">
      <c r="A285" s="159"/>
      <c r="B285" s="107" t="s">
        <v>2570</v>
      </c>
      <c r="C285" s="107"/>
      <c r="D285" s="703" t="s">
        <v>2571</v>
      </c>
      <c r="E285"/>
      <c r="F285" s="3787"/>
      <c r="G285" s="3787"/>
      <c r="H285" s="3787"/>
      <c r="I285" s="3787"/>
      <c r="J285" s="3787"/>
      <c r="K285" s="3787"/>
      <c r="L285" s="3787"/>
      <c r="M285" s="3787"/>
      <c r="N285" s="3787"/>
      <c r="O285" s="3787"/>
      <c r="P285" s="3811">
        <v>0</v>
      </c>
      <c r="Q285"/>
      <c r="R285" s="3787"/>
      <c r="S285" s="3787"/>
      <c r="T285" s="3787"/>
      <c r="U285" s="3787"/>
      <c r="V285" s="3787"/>
      <c r="W285" s="3787"/>
      <c r="X285" s="3787"/>
      <c r="Y285" s="3787"/>
      <c r="Z285" s="3787"/>
      <c r="AA285" s="3787"/>
      <c r="AB285" s="3787"/>
      <c r="AC285" s="3787"/>
      <c r="AD285" s="3811">
        <v>0</v>
      </c>
      <c r="AE285"/>
      <c r="AF285" s="3787"/>
      <c r="AG285" s="3787"/>
      <c r="AH285" s="3787"/>
      <c r="AI285" s="3787"/>
      <c r="AJ285" s="3787"/>
      <c r="AK285" s="3787"/>
      <c r="AL285" s="3787"/>
      <c r="AM285" s="3787"/>
      <c r="AN285" s="3787">
        <v>40000</v>
      </c>
      <c r="AO285" s="3787"/>
      <c r="AP285" s="3787"/>
      <c r="AQ285" s="3787"/>
      <c r="AR285" s="3811">
        <v>40000</v>
      </c>
      <c r="AS285"/>
      <c r="AT285" s="3787">
        <v>40000</v>
      </c>
      <c r="AU285" s="3787"/>
      <c r="AV285" s="3787"/>
      <c r="AW285" s="3787"/>
      <c r="AX285" s="3787">
        <v>40000</v>
      </c>
      <c r="AY285" s="3787"/>
      <c r="AZ285" s="3787"/>
      <c r="BA285" s="3787"/>
      <c r="BB285" s="3787">
        <v>40000</v>
      </c>
      <c r="BC285" s="3787"/>
      <c r="BD285" s="3787"/>
      <c r="BE285" s="3787"/>
      <c r="BF285" s="3811">
        <v>120000</v>
      </c>
      <c r="BG285"/>
      <c r="BH285" s="3787">
        <v>40000</v>
      </c>
      <c r="BI285" s="3787"/>
      <c r="BJ285" s="3787"/>
      <c r="BK285" s="3787"/>
      <c r="BL285" s="3787"/>
      <c r="BM285" s="3787"/>
      <c r="BN285" s="3787"/>
      <c r="BO285" s="3787"/>
      <c r="BP285" s="3787"/>
      <c r="BQ285" s="3787"/>
      <c r="BR285" s="3787"/>
      <c r="BS285" s="3787"/>
      <c r="BT285" s="3811">
        <v>40000</v>
      </c>
      <c r="BU285"/>
      <c r="BV285" s="3787"/>
      <c r="BW285" s="3787"/>
      <c r="BX285" s="3787"/>
      <c r="BY285" s="3811">
        <v>0</v>
      </c>
      <c r="BZ285" s="3811">
        <v>200000</v>
      </c>
    </row>
    <row r="286" spans="1:78" s="148" customFormat="1" ht="25.25" hidden="1" customHeight="1" outlineLevel="3">
      <c r="A286" s="159"/>
      <c r="B286" s="107" t="s">
        <v>2572</v>
      </c>
      <c r="C286" s="107"/>
      <c r="D286" s="703" t="s">
        <v>2573</v>
      </c>
      <c r="E286"/>
      <c r="F286" s="3788"/>
      <c r="G286" s="3788"/>
      <c r="H286" s="3788"/>
      <c r="I286" s="3788"/>
      <c r="J286" s="3788"/>
      <c r="K286" s="3788"/>
      <c r="L286" s="3788"/>
      <c r="M286" s="3788"/>
      <c r="N286" s="3788"/>
      <c r="O286" s="3788"/>
      <c r="P286" s="3812">
        <f>SUM(F286:O286)</f>
        <v>0</v>
      </c>
      <c r="Q286"/>
      <c r="R286" s="3788"/>
      <c r="S286" s="3788"/>
      <c r="T286" s="3788"/>
      <c r="U286" s="3788"/>
      <c r="V286" s="3788"/>
      <c r="W286" s="3788"/>
      <c r="X286" s="3788"/>
      <c r="Y286" s="3788"/>
      <c r="Z286" s="3788"/>
      <c r="AA286" s="3788"/>
      <c r="AB286" s="3788"/>
      <c r="AC286" s="3788"/>
      <c r="AD286" s="3812">
        <f>SUM(R286:AC286)</f>
        <v>0</v>
      </c>
      <c r="AE286"/>
      <c r="AF286" s="3788"/>
      <c r="AG286" s="3788"/>
      <c r="AH286" s="3788"/>
      <c r="AI286" s="3788"/>
      <c r="AJ286" s="3788"/>
      <c r="AK286" s="3788"/>
      <c r="AL286" s="3788"/>
      <c r="AM286" s="3788"/>
      <c r="AN286" s="3788"/>
      <c r="AO286" s="3788"/>
      <c r="AP286" s="3788"/>
      <c r="AQ286" s="3788"/>
      <c r="AR286" s="3812">
        <f>SUM(AF286:AQ286)</f>
        <v>0</v>
      </c>
      <c r="AS286"/>
      <c r="AT286" s="3788"/>
      <c r="AU286" s="3788"/>
      <c r="AV286" s="3788"/>
      <c r="AW286" s="3788"/>
      <c r="AX286" s="3788"/>
      <c r="AY286" s="3788"/>
      <c r="AZ286" s="3788"/>
      <c r="BA286" s="3788"/>
      <c r="BB286" s="3788"/>
      <c r="BC286" s="3788"/>
      <c r="BD286" s="3788"/>
      <c r="BE286" s="3788"/>
      <c r="BF286" s="3812">
        <f>SUM(AT286:BE286)</f>
        <v>0</v>
      </c>
      <c r="BG286"/>
      <c r="BH286" s="3788"/>
      <c r="BI286" s="3788"/>
      <c r="BJ286" s="3788"/>
      <c r="BK286" s="3788"/>
      <c r="BL286" s="3788"/>
      <c r="BM286" s="3788"/>
      <c r="BN286" s="3788"/>
      <c r="BO286" s="3788"/>
      <c r="BP286" s="3788"/>
      <c r="BQ286" s="3788"/>
      <c r="BR286" s="3788"/>
      <c r="BS286" s="3788"/>
      <c r="BT286" s="3812">
        <f>SUM(BH286:BS286)</f>
        <v>0</v>
      </c>
      <c r="BU286"/>
      <c r="BV286" s="3788"/>
      <c r="BW286" s="3788"/>
      <c r="BX286" s="3788"/>
      <c r="BY286" s="3812">
        <f>SUM(BV286:BX286)</f>
        <v>0</v>
      </c>
      <c r="BZ286" s="3812">
        <f>+P286+AD286+AR286+BF286+BT286+BY286</f>
        <v>0</v>
      </c>
    </row>
    <row r="287" spans="1:78" s="148" customFormat="1" ht="48.5" hidden="1" customHeight="1" outlineLevel="3">
      <c r="A287" s="159"/>
      <c r="B287" s="107" t="s">
        <v>2574</v>
      </c>
      <c r="C287" s="107"/>
      <c r="D287" s="703" t="s">
        <v>2575</v>
      </c>
      <c r="E287"/>
      <c r="F287" s="3788"/>
      <c r="G287" s="3788"/>
      <c r="H287" s="3788"/>
      <c r="I287" s="3788"/>
      <c r="J287" s="3788"/>
      <c r="K287" s="3788"/>
      <c r="L287" s="3788"/>
      <c r="M287" s="3788"/>
      <c r="N287" s="3788"/>
      <c r="O287" s="3788"/>
      <c r="P287" s="3812">
        <f>SUM(F287:O287)</f>
        <v>0</v>
      </c>
      <c r="Q287"/>
      <c r="R287" s="3788"/>
      <c r="S287" s="3788"/>
      <c r="T287" s="3788"/>
      <c r="U287" s="3788"/>
      <c r="V287" s="3788"/>
      <c r="W287" s="3788"/>
      <c r="X287" s="3788"/>
      <c r="Y287" s="3788"/>
      <c r="Z287" s="3788"/>
      <c r="AA287" s="3788"/>
      <c r="AB287" s="3788"/>
      <c r="AC287" s="3788"/>
      <c r="AD287" s="3812">
        <f>SUM(R287:AC287)</f>
        <v>0</v>
      </c>
      <c r="AE287"/>
      <c r="AF287" s="3788"/>
      <c r="AG287" s="3788"/>
      <c r="AH287" s="3788"/>
      <c r="AI287" s="3788"/>
      <c r="AJ287" s="3788"/>
      <c r="AK287" s="3788"/>
      <c r="AL287" s="3788"/>
      <c r="AM287" s="3788"/>
      <c r="AN287" s="3788"/>
      <c r="AO287" s="3788"/>
      <c r="AP287" s="3788"/>
      <c r="AQ287" s="3788"/>
      <c r="AR287" s="3812">
        <f>SUM(AF287:AQ287)</f>
        <v>0</v>
      </c>
      <c r="AS287"/>
      <c r="AT287" s="3788"/>
      <c r="AU287" s="3788"/>
      <c r="AV287" s="3788"/>
      <c r="AW287" s="3788"/>
      <c r="AX287" s="3788"/>
      <c r="AY287" s="3788"/>
      <c r="AZ287" s="3788"/>
      <c r="BA287" s="3788"/>
      <c r="BB287" s="3788"/>
      <c r="BC287" s="3788"/>
      <c r="BD287" s="3788"/>
      <c r="BE287" s="3788"/>
      <c r="BF287" s="3812">
        <f>SUM(AT287:BE287)</f>
        <v>0</v>
      </c>
      <c r="BG287"/>
      <c r="BH287" s="3788"/>
      <c r="BI287" s="3788"/>
      <c r="BJ287" s="3788"/>
      <c r="BK287" s="3788"/>
      <c r="BL287" s="3788"/>
      <c r="BM287" s="3788"/>
      <c r="BN287" s="3788"/>
      <c r="BO287" s="3788"/>
      <c r="BP287" s="3788"/>
      <c r="BQ287" s="3788"/>
      <c r="BR287" s="3788"/>
      <c r="BS287" s="3788"/>
      <c r="BT287" s="3812">
        <f>SUM(BH287:BS287)</f>
        <v>0</v>
      </c>
      <c r="BU287"/>
      <c r="BV287" s="3788"/>
      <c r="BW287" s="3788"/>
      <c r="BX287" s="3788"/>
      <c r="BY287" s="3812">
        <f>SUM(BV287:BX287)</f>
        <v>0</v>
      </c>
      <c r="BZ287" s="3812">
        <f>+P287+AD287+AR287+BF287+BT287+BY287</f>
        <v>0</v>
      </c>
    </row>
    <row r="288" spans="1:78" s="148" customFormat="1" ht="44" hidden="1" customHeight="1" outlineLevel="3">
      <c r="A288" s="159"/>
      <c r="B288" s="107" t="s">
        <v>2576</v>
      </c>
      <c r="C288" s="107"/>
      <c r="D288" s="703" t="s">
        <v>2577</v>
      </c>
      <c r="E288"/>
      <c r="F288" s="3789"/>
      <c r="G288" s="3789"/>
      <c r="H288" s="3789"/>
      <c r="I288" s="3789"/>
      <c r="J288" s="3789"/>
      <c r="K288" s="3789"/>
      <c r="L288" s="3789"/>
      <c r="M288" s="3789"/>
      <c r="N288" s="3789"/>
      <c r="O288" s="3789"/>
      <c r="P288" s="3813">
        <f>SUM(F288:O288)</f>
        <v>0</v>
      </c>
      <c r="Q288"/>
      <c r="R288" s="3789"/>
      <c r="S288" s="3789"/>
      <c r="T288" s="3789"/>
      <c r="U288" s="3789"/>
      <c r="V288" s="3789"/>
      <c r="W288" s="3789"/>
      <c r="X288" s="3789"/>
      <c r="Y288" s="3789"/>
      <c r="Z288" s="3789"/>
      <c r="AA288" s="3789"/>
      <c r="AB288" s="3789"/>
      <c r="AC288" s="3789"/>
      <c r="AD288" s="3813">
        <f>SUM(R288:AC288)</f>
        <v>0</v>
      </c>
      <c r="AE288"/>
      <c r="AF288" s="3789"/>
      <c r="AG288" s="3789"/>
      <c r="AH288" s="3789"/>
      <c r="AI288" s="3789"/>
      <c r="AJ288" s="3789"/>
      <c r="AK288" s="3789"/>
      <c r="AL288" s="3789"/>
      <c r="AM288" s="3789"/>
      <c r="AN288" s="3789"/>
      <c r="AO288" s="3789"/>
      <c r="AP288" s="3789"/>
      <c r="AQ288" s="3789"/>
      <c r="AR288" s="3813">
        <f>SUM(AF288:AQ288)</f>
        <v>0</v>
      </c>
      <c r="AS288"/>
      <c r="AT288" s="3789"/>
      <c r="AU288" s="3789"/>
      <c r="AV288" s="3789"/>
      <c r="AW288" s="3789"/>
      <c r="AX288" s="3789"/>
      <c r="AY288" s="3789"/>
      <c r="AZ288" s="3789"/>
      <c r="BA288" s="3789"/>
      <c r="BB288" s="3789"/>
      <c r="BC288" s="3789"/>
      <c r="BD288" s="3789"/>
      <c r="BE288" s="3789"/>
      <c r="BF288" s="3813">
        <f>SUM(AT288:BE288)</f>
        <v>0</v>
      </c>
      <c r="BG288"/>
      <c r="BH288" s="3789"/>
      <c r="BI288" s="3789"/>
      <c r="BJ288" s="3789"/>
      <c r="BK288" s="3789"/>
      <c r="BL288" s="3789"/>
      <c r="BM288" s="3789"/>
      <c r="BN288" s="3789"/>
      <c r="BO288" s="3789"/>
      <c r="BP288" s="3789"/>
      <c r="BQ288" s="3789"/>
      <c r="BR288" s="3789"/>
      <c r="BS288" s="3789"/>
      <c r="BT288" s="3813">
        <f>SUM(BH288:BS288)</f>
        <v>0</v>
      </c>
      <c r="BU288"/>
      <c r="BV288" s="3789"/>
      <c r="BW288" s="3789"/>
      <c r="BX288" s="3789"/>
      <c r="BY288" s="3813">
        <f>SUM(BV288:BX288)</f>
        <v>0</v>
      </c>
      <c r="BZ288" s="3813">
        <f>+P288+AD288+AR288+BF288+BT288+BY288</f>
        <v>0</v>
      </c>
    </row>
    <row r="289" spans="1:79" s="148" customFormat="1" ht="14" customHeight="1" outlineLevel="2" collapsed="1">
      <c r="A289" s="159"/>
      <c r="B289" s="107"/>
      <c r="C289" s="203"/>
      <c r="E289"/>
      <c r="F289" s="991"/>
      <c r="G289" s="991"/>
      <c r="H289" s="991"/>
      <c r="I289" s="991"/>
      <c r="J289" s="991"/>
      <c r="K289" s="991"/>
      <c r="L289" s="991"/>
      <c r="M289" s="991"/>
      <c r="N289" s="991"/>
      <c r="O289" s="991"/>
      <c r="P289" s="2008">
        <v>0</v>
      </c>
      <c r="Q289"/>
      <c r="R289" s="991"/>
      <c r="S289" s="991"/>
      <c r="T289" s="991"/>
      <c r="U289" s="991"/>
      <c r="V289" s="991"/>
      <c r="W289" s="991"/>
      <c r="X289" s="991"/>
      <c r="Y289" s="991"/>
      <c r="Z289" s="991"/>
      <c r="AA289" s="991"/>
      <c r="AB289" s="991"/>
      <c r="AC289" s="991"/>
      <c r="AD289" s="2008">
        <v>0</v>
      </c>
      <c r="AE289"/>
      <c r="AF289" s="991"/>
      <c r="AG289" s="991"/>
      <c r="AH289" s="991"/>
      <c r="AI289" s="991"/>
      <c r="AJ289" s="991"/>
      <c r="AK289" s="991"/>
      <c r="AL289" s="991"/>
      <c r="AM289" s="991"/>
      <c r="AN289" s="991"/>
      <c r="AO289" s="991"/>
      <c r="AP289" s="991"/>
      <c r="AQ289" s="991"/>
      <c r="AR289" s="2011">
        <v>0</v>
      </c>
      <c r="AS289"/>
      <c r="AT289" s="991"/>
      <c r="AU289" s="991"/>
      <c r="AV289" s="991"/>
      <c r="AW289" s="991"/>
      <c r="AX289" s="991"/>
      <c r="AY289" s="991"/>
      <c r="AZ289" s="991"/>
      <c r="BA289" s="991"/>
      <c r="BB289" s="991"/>
      <c r="BC289" s="991"/>
      <c r="BD289" s="991"/>
      <c r="BE289" s="991"/>
      <c r="BF289" s="2011">
        <v>0</v>
      </c>
      <c r="BG289"/>
      <c r="BH289" s="991"/>
      <c r="BI289" s="991"/>
      <c r="BJ289" s="991"/>
      <c r="BK289" s="991"/>
      <c r="BL289" s="991"/>
      <c r="BM289" s="991"/>
      <c r="BN289" s="991"/>
      <c r="BO289" s="991"/>
      <c r="BP289" s="991"/>
      <c r="BQ289" s="991"/>
      <c r="BR289" s="991"/>
      <c r="BS289" s="991"/>
      <c r="BT289" s="2024">
        <v>0</v>
      </c>
      <c r="BU289"/>
      <c r="BV289" s="991"/>
      <c r="BW289" s="991"/>
      <c r="BX289" s="991"/>
      <c r="BY289" s="2024">
        <v>0</v>
      </c>
      <c r="BZ289" s="2024">
        <v>0</v>
      </c>
    </row>
    <row r="290" spans="1:79" s="153" customFormat="1" ht="34.75" customHeight="1" outlineLevel="1">
      <c r="A290" s="578"/>
      <c r="B290" s="428" t="s">
        <v>538</v>
      </c>
      <c r="C290" s="428"/>
      <c r="D290" s="539" t="s">
        <v>281</v>
      </c>
      <c r="E290"/>
      <c r="F290" s="433">
        <v>0</v>
      </c>
      <c r="G290" s="433">
        <v>0</v>
      </c>
      <c r="H290" s="433">
        <v>0</v>
      </c>
      <c r="I290" s="433">
        <v>0</v>
      </c>
      <c r="J290" s="433">
        <v>0</v>
      </c>
      <c r="K290" s="433">
        <v>0</v>
      </c>
      <c r="L290" s="433">
        <v>0</v>
      </c>
      <c r="M290" s="433">
        <v>0</v>
      </c>
      <c r="N290" s="433">
        <v>0</v>
      </c>
      <c r="O290" s="433">
        <v>0</v>
      </c>
      <c r="P290" s="433">
        <v>0</v>
      </c>
      <c r="Q290"/>
      <c r="R290" s="433">
        <v>0</v>
      </c>
      <c r="S290" s="433">
        <v>4000</v>
      </c>
      <c r="T290" s="433">
        <v>4000</v>
      </c>
      <c r="U290" s="433">
        <v>4000</v>
      </c>
      <c r="V290" s="433">
        <v>9000</v>
      </c>
      <c r="W290" s="433">
        <v>109000</v>
      </c>
      <c r="X290" s="433">
        <v>64750</v>
      </c>
      <c r="Y290" s="433">
        <v>9000</v>
      </c>
      <c r="Z290" s="433">
        <v>9000</v>
      </c>
      <c r="AA290" s="433">
        <v>84000</v>
      </c>
      <c r="AB290" s="433">
        <v>59750</v>
      </c>
      <c r="AC290" s="433">
        <v>79000</v>
      </c>
      <c r="AD290" s="433">
        <v>435500</v>
      </c>
      <c r="AE290"/>
      <c r="AF290" s="433">
        <v>4000</v>
      </c>
      <c r="AG290" s="433">
        <v>75000</v>
      </c>
      <c r="AH290" s="433">
        <v>356250</v>
      </c>
      <c r="AI290" s="433">
        <v>0</v>
      </c>
      <c r="AJ290" s="433">
        <v>0</v>
      </c>
      <c r="AK290" s="433">
        <v>130750</v>
      </c>
      <c r="AL290" s="433">
        <v>240400</v>
      </c>
      <c r="AM290" s="433">
        <v>0</v>
      </c>
      <c r="AN290" s="433">
        <v>20000</v>
      </c>
      <c r="AO290" s="433">
        <v>75000</v>
      </c>
      <c r="AP290" s="433">
        <v>400400</v>
      </c>
      <c r="AQ290" s="433">
        <v>330125</v>
      </c>
      <c r="AR290" s="433">
        <v>1631925</v>
      </c>
      <c r="AS290"/>
      <c r="AT290" s="433">
        <v>20000</v>
      </c>
      <c r="AU290" s="433">
        <v>520125</v>
      </c>
      <c r="AV290" s="433">
        <v>240400</v>
      </c>
      <c r="AW290" s="433">
        <v>0</v>
      </c>
      <c r="AX290" s="433">
        <v>20000</v>
      </c>
      <c r="AY290" s="433">
        <v>455300</v>
      </c>
      <c r="AZ290" s="433">
        <v>391800</v>
      </c>
      <c r="BA290" s="433">
        <v>0</v>
      </c>
      <c r="BB290" s="433">
        <v>20000</v>
      </c>
      <c r="BC290" s="433">
        <v>225000</v>
      </c>
      <c r="BD290" s="433">
        <v>391800</v>
      </c>
      <c r="BE290" s="433">
        <v>330125</v>
      </c>
      <c r="BF290" s="433">
        <v>2614550</v>
      </c>
      <c r="BG290"/>
      <c r="BH290" s="433">
        <v>20000</v>
      </c>
      <c r="BI290" s="433">
        <v>360125</v>
      </c>
      <c r="BJ290" s="433">
        <v>511800</v>
      </c>
      <c r="BK290" s="433">
        <v>0</v>
      </c>
      <c r="BL290" s="433">
        <v>0</v>
      </c>
      <c r="BM290" s="433">
        <v>105000</v>
      </c>
      <c r="BN290" s="433">
        <v>511800</v>
      </c>
      <c r="BO290" s="433">
        <v>0</v>
      </c>
      <c r="BP290" s="433">
        <v>0</v>
      </c>
      <c r="BQ290" s="433">
        <v>75000</v>
      </c>
      <c r="BR290" s="433">
        <v>391800</v>
      </c>
      <c r="BS290" s="433">
        <v>75000</v>
      </c>
      <c r="BT290" s="433">
        <v>2050525</v>
      </c>
      <c r="BU290"/>
      <c r="BV290" s="433">
        <v>0</v>
      </c>
      <c r="BW290" s="433">
        <v>100000</v>
      </c>
      <c r="BX290" s="433">
        <v>0</v>
      </c>
      <c r="BY290" s="433">
        <v>100000</v>
      </c>
      <c r="BZ290" s="433">
        <v>6832500</v>
      </c>
    </row>
    <row r="291" spans="1:79" s="153" customFormat="1" ht="29.5" customHeight="1" outlineLevel="2">
      <c r="A291" s="172"/>
      <c r="B291" s="171" t="s">
        <v>539</v>
      </c>
      <c r="C291" s="171"/>
      <c r="D291" s="1466" t="s">
        <v>1845</v>
      </c>
      <c r="E291"/>
      <c r="F291" s="176">
        <v>0</v>
      </c>
      <c r="G291" s="176">
        <v>0</v>
      </c>
      <c r="H291" s="176">
        <v>0</v>
      </c>
      <c r="I291" s="176">
        <v>0</v>
      </c>
      <c r="J291" s="176">
        <v>0</v>
      </c>
      <c r="K291" s="176">
        <v>0</v>
      </c>
      <c r="L291" s="176">
        <v>0</v>
      </c>
      <c r="M291" s="176">
        <v>0</v>
      </c>
      <c r="N291" s="176">
        <v>0</v>
      </c>
      <c r="O291" s="176">
        <v>0</v>
      </c>
      <c r="P291" s="176">
        <v>0</v>
      </c>
      <c r="Q291"/>
      <c r="R291" s="176">
        <v>0</v>
      </c>
      <c r="S291" s="176">
        <v>0</v>
      </c>
      <c r="T291" s="176">
        <v>0</v>
      </c>
      <c r="U291" s="176">
        <v>0</v>
      </c>
      <c r="V291" s="176">
        <v>5000</v>
      </c>
      <c r="W291" s="176">
        <v>105000</v>
      </c>
      <c r="X291" s="176">
        <v>5000</v>
      </c>
      <c r="Y291" s="176">
        <v>5000</v>
      </c>
      <c r="Z291" s="176">
        <v>5000</v>
      </c>
      <c r="AA291" s="176">
        <v>80000</v>
      </c>
      <c r="AB291" s="176">
        <v>0</v>
      </c>
      <c r="AC291" s="176">
        <v>0</v>
      </c>
      <c r="AD291" s="176">
        <v>205000</v>
      </c>
      <c r="AE291"/>
      <c r="AF291" s="176">
        <v>0</v>
      </c>
      <c r="AG291" s="176">
        <v>75000</v>
      </c>
      <c r="AH291" s="176">
        <v>0</v>
      </c>
      <c r="AI291" s="176">
        <v>0</v>
      </c>
      <c r="AJ291" s="176">
        <v>0</v>
      </c>
      <c r="AK291" s="176">
        <v>75000</v>
      </c>
      <c r="AL291" s="176">
        <v>0</v>
      </c>
      <c r="AM291" s="176">
        <v>0</v>
      </c>
      <c r="AN291" s="176">
        <v>0</v>
      </c>
      <c r="AO291" s="176">
        <v>75000</v>
      </c>
      <c r="AP291" s="176">
        <v>0</v>
      </c>
      <c r="AQ291" s="176">
        <v>0</v>
      </c>
      <c r="AR291" s="176">
        <v>225000</v>
      </c>
      <c r="AS291"/>
      <c r="AT291" s="176">
        <v>0</v>
      </c>
      <c r="AU291" s="176">
        <v>75000</v>
      </c>
      <c r="AV291" s="176">
        <v>0</v>
      </c>
      <c r="AW291" s="176">
        <v>0</v>
      </c>
      <c r="AX291" s="176">
        <v>0</v>
      </c>
      <c r="AY291" s="176">
        <v>125000</v>
      </c>
      <c r="AZ291" s="176">
        <v>0</v>
      </c>
      <c r="BA291" s="176">
        <v>0</v>
      </c>
      <c r="BB291" s="176">
        <v>0</v>
      </c>
      <c r="BC291" s="176">
        <v>75000</v>
      </c>
      <c r="BD291" s="176">
        <v>0</v>
      </c>
      <c r="BE291" s="176">
        <v>0</v>
      </c>
      <c r="BF291" s="176">
        <v>275000</v>
      </c>
      <c r="BG291"/>
      <c r="BH291" s="176">
        <v>0</v>
      </c>
      <c r="BI291" s="176">
        <v>75000</v>
      </c>
      <c r="BJ291" s="176">
        <v>0</v>
      </c>
      <c r="BK291" s="176">
        <v>0</v>
      </c>
      <c r="BL291" s="176">
        <v>0</v>
      </c>
      <c r="BM291" s="176">
        <v>75000</v>
      </c>
      <c r="BN291" s="176">
        <v>0</v>
      </c>
      <c r="BO291" s="176">
        <v>0</v>
      </c>
      <c r="BP291" s="176">
        <v>0</v>
      </c>
      <c r="BQ291" s="176">
        <v>75000</v>
      </c>
      <c r="BR291" s="176">
        <v>0</v>
      </c>
      <c r="BS291" s="176">
        <v>0</v>
      </c>
      <c r="BT291" s="176">
        <v>225000</v>
      </c>
      <c r="BU291"/>
      <c r="BV291" s="176">
        <v>0</v>
      </c>
      <c r="BW291" s="176">
        <v>100000</v>
      </c>
      <c r="BX291" s="176">
        <v>0</v>
      </c>
      <c r="BY291" s="176">
        <v>100000</v>
      </c>
      <c r="BZ291" s="176">
        <v>1030000</v>
      </c>
    </row>
    <row r="292" spans="1:79" s="108" customFormat="1" ht="41.5" hidden="1" customHeight="1" outlineLevel="3">
      <c r="A292" s="580"/>
      <c r="B292" s="107" t="s">
        <v>1438</v>
      </c>
      <c r="C292" s="1722" t="s">
        <v>1279</v>
      </c>
      <c r="D292" s="1465" t="s">
        <v>1443</v>
      </c>
      <c r="E292"/>
      <c r="F292" s="986"/>
      <c r="G292" s="986"/>
      <c r="H292" s="986"/>
      <c r="I292" s="986"/>
      <c r="J292" s="986"/>
      <c r="K292" s="986"/>
      <c r="L292" s="986"/>
      <c r="M292" s="986"/>
      <c r="N292" s="986"/>
      <c r="O292" s="986"/>
      <c r="P292" s="2011">
        <v>0</v>
      </c>
      <c r="Q292"/>
      <c r="R292" s="986"/>
      <c r="S292" s="986"/>
      <c r="T292" s="986"/>
      <c r="U292" s="986"/>
      <c r="V292" s="986">
        <v>5000</v>
      </c>
      <c r="W292" s="986">
        <v>5000</v>
      </c>
      <c r="X292" s="986">
        <v>5000</v>
      </c>
      <c r="Y292" s="986">
        <v>5000</v>
      </c>
      <c r="Z292" s="986">
        <v>5000</v>
      </c>
      <c r="AA292" s="986">
        <v>5000</v>
      </c>
      <c r="AB292" s="986"/>
      <c r="AC292" s="986"/>
      <c r="AD292" s="2011">
        <v>30000</v>
      </c>
      <c r="AE292"/>
      <c r="AF292" s="986"/>
      <c r="AG292" s="986"/>
      <c r="AH292" s="986"/>
      <c r="AI292" s="986"/>
      <c r="AJ292" s="986"/>
      <c r="AK292" s="986"/>
      <c r="AL292" s="986"/>
      <c r="AM292" s="986"/>
      <c r="AN292" s="986"/>
      <c r="AO292" s="986"/>
      <c r="AP292" s="986"/>
      <c r="AQ292" s="986"/>
      <c r="AR292" s="2011">
        <v>0</v>
      </c>
      <c r="AS292"/>
      <c r="AT292" s="986"/>
      <c r="AU292" s="986"/>
      <c r="AV292" s="986"/>
      <c r="AW292" s="986"/>
      <c r="AX292" s="986"/>
      <c r="AY292" s="986"/>
      <c r="AZ292" s="986"/>
      <c r="BA292" s="986"/>
      <c r="BB292" s="986"/>
      <c r="BC292" s="986"/>
      <c r="BD292" s="986"/>
      <c r="BE292" s="986"/>
      <c r="BF292" s="2014">
        <v>0</v>
      </c>
      <c r="BG292"/>
      <c r="BH292" s="986"/>
      <c r="BI292" s="986"/>
      <c r="BJ292" s="986"/>
      <c r="BK292" s="986"/>
      <c r="BL292" s="986"/>
      <c r="BM292" s="986"/>
      <c r="BN292" s="986"/>
      <c r="BO292" s="986"/>
      <c r="BP292" s="986"/>
      <c r="BQ292" s="986"/>
      <c r="BR292" s="986"/>
      <c r="BS292" s="986"/>
      <c r="BT292" s="1498">
        <v>0</v>
      </c>
      <c r="BU292"/>
      <c r="BV292" s="986"/>
      <c r="BW292" s="986"/>
      <c r="BX292" s="986"/>
      <c r="BY292" s="1498">
        <v>0</v>
      </c>
      <c r="BZ292" s="1498">
        <v>30000</v>
      </c>
      <c r="CA292" s="153"/>
    </row>
    <row r="293" spans="1:79" s="108" customFormat="1" ht="55.25" hidden="1" customHeight="1" outlineLevel="3">
      <c r="A293" s="580"/>
      <c r="B293" s="107" t="s">
        <v>1516</v>
      </c>
      <c r="C293" s="1722" t="s">
        <v>1279</v>
      </c>
      <c r="D293" s="1465" t="s">
        <v>2578</v>
      </c>
      <c r="E293"/>
      <c r="F293" s="988"/>
      <c r="G293" s="988"/>
      <c r="H293" s="988"/>
      <c r="I293" s="988"/>
      <c r="J293" s="988"/>
      <c r="K293" s="988"/>
      <c r="L293" s="988"/>
      <c r="M293" s="988"/>
      <c r="N293" s="988"/>
      <c r="O293" s="988"/>
      <c r="P293" s="2043">
        <v>0</v>
      </c>
      <c r="Q293"/>
      <c r="R293" s="988"/>
      <c r="S293" s="988"/>
      <c r="T293" s="988"/>
      <c r="U293" s="988"/>
      <c r="V293" s="988"/>
      <c r="W293" s="988"/>
      <c r="X293" s="988"/>
      <c r="Y293" s="988"/>
      <c r="Z293" s="988"/>
      <c r="AA293" s="988"/>
      <c r="AB293" s="988"/>
      <c r="AC293" s="988"/>
      <c r="AD293" s="2043">
        <v>0</v>
      </c>
      <c r="AE293"/>
      <c r="AF293" s="988"/>
      <c r="AG293" s="988"/>
      <c r="AH293" s="988"/>
      <c r="AI293" s="988"/>
      <c r="AJ293" s="988"/>
      <c r="AK293" s="988"/>
      <c r="AL293" s="988"/>
      <c r="AM293" s="988"/>
      <c r="AN293" s="988"/>
      <c r="AO293" s="988"/>
      <c r="AP293" s="988"/>
      <c r="AQ293" s="988"/>
      <c r="AR293" s="2043">
        <v>0</v>
      </c>
      <c r="AS293"/>
      <c r="AT293" s="988"/>
      <c r="AU293" s="988"/>
      <c r="AV293" s="988"/>
      <c r="AW293" s="988"/>
      <c r="AX293" s="988"/>
      <c r="AY293" s="988"/>
      <c r="AZ293" s="988"/>
      <c r="BA293" s="988"/>
      <c r="BB293" s="988"/>
      <c r="BC293" s="988"/>
      <c r="BD293" s="988"/>
      <c r="BE293" s="988"/>
      <c r="BF293" s="2032">
        <v>0</v>
      </c>
      <c r="BG293"/>
      <c r="BH293" s="988"/>
      <c r="BI293" s="988"/>
      <c r="BJ293" s="988"/>
      <c r="BK293" s="988"/>
      <c r="BL293" s="988"/>
      <c r="BM293" s="988"/>
      <c r="BN293" s="988"/>
      <c r="BO293" s="988"/>
      <c r="BP293" s="988"/>
      <c r="BQ293" s="988"/>
      <c r="BR293" s="988"/>
      <c r="BS293" s="988"/>
      <c r="BT293" s="2007">
        <v>0</v>
      </c>
      <c r="BU293"/>
      <c r="BV293" s="988"/>
      <c r="BW293" s="988"/>
      <c r="BX293" s="988"/>
      <c r="BY293" s="2007">
        <v>0</v>
      </c>
      <c r="BZ293" s="2007">
        <v>0</v>
      </c>
      <c r="CA293" s="153"/>
    </row>
    <row r="294" spans="1:79" s="153" customFormat="1" ht="41.5" hidden="1" customHeight="1" outlineLevel="3">
      <c r="A294" s="581"/>
      <c r="B294" s="395" t="s">
        <v>1537</v>
      </c>
      <c r="C294" s="395" t="s">
        <v>1279</v>
      </c>
      <c r="D294" s="1249" t="s">
        <v>1451</v>
      </c>
      <c r="E294"/>
      <c r="F294" s="1458">
        <v>0</v>
      </c>
      <c r="G294" s="1458">
        <v>0</v>
      </c>
      <c r="H294" s="1458">
        <v>0</v>
      </c>
      <c r="I294" s="1458">
        <v>0</v>
      </c>
      <c r="J294" s="1458">
        <v>0</v>
      </c>
      <c r="K294" s="1458">
        <v>0</v>
      </c>
      <c r="L294" s="1458">
        <v>0</v>
      </c>
      <c r="M294" s="1458">
        <v>0</v>
      </c>
      <c r="N294" s="1458">
        <v>0</v>
      </c>
      <c r="O294" s="1458">
        <v>0</v>
      </c>
      <c r="P294" s="398">
        <v>0</v>
      </c>
      <c r="Q294"/>
      <c r="R294" s="1458">
        <v>0</v>
      </c>
      <c r="S294" s="1458">
        <v>0</v>
      </c>
      <c r="T294" s="1458">
        <v>0</v>
      </c>
      <c r="U294" s="1458">
        <v>0</v>
      </c>
      <c r="V294" s="1458">
        <v>0</v>
      </c>
      <c r="W294" s="1458">
        <v>100000</v>
      </c>
      <c r="X294" s="1458">
        <v>0</v>
      </c>
      <c r="Y294" s="1458">
        <v>0</v>
      </c>
      <c r="Z294" s="1458">
        <v>0</v>
      </c>
      <c r="AA294" s="1458">
        <v>75000</v>
      </c>
      <c r="AB294" s="1458">
        <v>0</v>
      </c>
      <c r="AC294" s="1458">
        <v>0</v>
      </c>
      <c r="AD294" s="398">
        <v>175000</v>
      </c>
      <c r="AE294"/>
      <c r="AF294" s="1458">
        <v>0</v>
      </c>
      <c r="AG294" s="1458">
        <v>75000</v>
      </c>
      <c r="AH294" s="1458">
        <v>0</v>
      </c>
      <c r="AI294" s="1458">
        <v>0</v>
      </c>
      <c r="AJ294" s="1458">
        <v>0</v>
      </c>
      <c r="AK294" s="1458">
        <v>75000</v>
      </c>
      <c r="AL294" s="1458">
        <v>0</v>
      </c>
      <c r="AM294" s="1458">
        <v>0</v>
      </c>
      <c r="AN294" s="1458">
        <v>0</v>
      </c>
      <c r="AO294" s="1458">
        <v>75000</v>
      </c>
      <c r="AP294" s="1458">
        <v>0</v>
      </c>
      <c r="AQ294" s="1458">
        <v>0</v>
      </c>
      <c r="AR294" s="398">
        <v>225000</v>
      </c>
      <c r="AS294"/>
      <c r="AT294" s="1458">
        <v>0</v>
      </c>
      <c r="AU294" s="1458">
        <v>75000</v>
      </c>
      <c r="AV294" s="1458">
        <v>0</v>
      </c>
      <c r="AW294" s="1458">
        <v>0</v>
      </c>
      <c r="AX294" s="1458">
        <v>0</v>
      </c>
      <c r="AY294" s="1458">
        <v>25000</v>
      </c>
      <c r="AZ294" s="1458">
        <v>0</v>
      </c>
      <c r="BA294" s="1458">
        <v>0</v>
      </c>
      <c r="BB294" s="1458">
        <v>0</v>
      </c>
      <c r="BC294" s="1458">
        <v>0</v>
      </c>
      <c r="BD294" s="1458">
        <v>0</v>
      </c>
      <c r="BE294" s="1458">
        <v>0</v>
      </c>
      <c r="BF294" s="398">
        <v>100000</v>
      </c>
      <c r="BG294"/>
      <c r="BH294" s="1458">
        <v>0</v>
      </c>
      <c r="BI294" s="1458">
        <v>0</v>
      </c>
      <c r="BJ294" s="1458">
        <v>0</v>
      </c>
      <c r="BK294" s="1458">
        <v>0</v>
      </c>
      <c r="BL294" s="1458">
        <v>0</v>
      </c>
      <c r="BM294" s="1458">
        <v>0</v>
      </c>
      <c r="BN294" s="1458">
        <v>0</v>
      </c>
      <c r="BO294" s="1458">
        <v>0</v>
      </c>
      <c r="BP294" s="1458">
        <v>0</v>
      </c>
      <c r="BQ294" s="1458">
        <v>0</v>
      </c>
      <c r="BR294" s="1458">
        <v>0</v>
      </c>
      <c r="BS294" s="1458">
        <v>0</v>
      </c>
      <c r="BT294" s="398">
        <v>0</v>
      </c>
      <c r="BU294"/>
      <c r="BV294" s="1458">
        <v>0</v>
      </c>
      <c r="BW294" s="1458">
        <v>0</v>
      </c>
      <c r="BX294" s="1458">
        <v>0</v>
      </c>
      <c r="BY294" s="398">
        <v>0</v>
      </c>
      <c r="BZ294" s="398">
        <v>500000</v>
      </c>
    </row>
    <row r="295" spans="1:79" s="108" customFormat="1" ht="14.5" hidden="1" customHeight="1" outlineLevel="4">
      <c r="A295" s="580"/>
      <c r="B295" s="107" t="s">
        <v>2579</v>
      </c>
      <c r="C295" s="107"/>
      <c r="D295" s="1465" t="s">
        <v>865</v>
      </c>
      <c r="E295"/>
      <c r="F295" s="4180"/>
      <c r="G295" s="4180"/>
      <c r="H295" s="4180"/>
      <c r="I295" s="4180"/>
      <c r="J295" s="4180"/>
      <c r="K295" s="4180"/>
      <c r="L295" s="4180"/>
      <c r="M295" s="4180"/>
      <c r="N295" s="4180"/>
      <c r="O295" s="4180"/>
      <c r="P295" s="4180">
        <v>0</v>
      </c>
      <c r="Q295" s="4180"/>
      <c r="R295" s="4180"/>
      <c r="S295" s="4180"/>
      <c r="T295" s="4180"/>
      <c r="U295" s="4180"/>
      <c r="V295" s="4180"/>
      <c r="W295" s="4180">
        <v>100000</v>
      </c>
      <c r="X295" s="4180"/>
      <c r="Y295" s="4180"/>
      <c r="Z295" s="4180"/>
      <c r="AA295" s="4180">
        <v>75000</v>
      </c>
      <c r="AB295" s="4180"/>
      <c r="AC295" s="4180"/>
      <c r="AD295" s="4180">
        <v>175000</v>
      </c>
      <c r="AE295" s="4180"/>
      <c r="AF295" s="4180"/>
      <c r="AG295" s="4180">
        <v>75000</v>
      </c>
      <c r="AH295" s="4180"/>
      <c r="AI295" s="4180"/>
      <c r="AJ295" s="4180"/>
      <c r="AK295" s="4180">
        <v>75000</v>
      </c>
      <c r="AL295" s="4180"/>
      <c r="AM295" s="4180"/>
      <c r="AN295" s="4180"/>
      <c r="AO295" s="4180">
        <v>75000</v>
      </c>
      <c r="AP295" s="4180"/>
      <c r="AQ295" s="4180"/>
      <c r="AR295" s="4180">
        <v>225000</v>
      </c>
      <c r="AS295" s="4180"/>
      <c r="AT295" s="4180"/>
      <c r="AU295" s="4180">
        <v>75000</v>
      </c>
      <c r="AV295" s="4180"/>
      <c r="AW295" s="4180"/>
      <c r="AX295" s="4180"/>
      <c r="AY295" s="4180">
        <v>25000</v>
      </c>
      <c r="AZ295" s="4180"/>
      <c r="BA295" s="4180"/>
      <c r="BB295" s="4180"/>
      <c r="BC295" s="4180"/>
      <c r="BD295" s="4180"/>
      <c r="BE295" s="4180"/>
      <c r="BF295" s="4180">
        <v>100000</v>
      </c>
      <c r="BG295" s="4180"/>
      <c r="BH295" s="4180"/>
      <c r="BI295" s="4180"/>
      <c r="BJ295" s="4180"/>
      <c r="BK295" s="4180"/>
      <c r="BL295" s="4180"/>
      <c r="BM295" s="4180"/>
      <c r="BN295" s="4180"/>
      <c r="BO295" s="4180"/>
      <c r="BP295" s="4180"/>
      <c r="BQ295" s="4180"/>
      <c r="BR295" s="4180"/>
      <c r="BS295" s="4180"/>
      <c r="BT295" s="4180">
        <v>0</v>
      </c>
      <c r="BU295" s="4180"/>
      <c r="BV295" s="4180"/>
      <c r="BW295" s="4180"/>
      <c r="BX295" s="4180"/>
      <c r="BY295" s="4180">
        <v>0</v>
      </c>
      <c r="BZ295" s="4180">
        <v>500000</v>
      </c>
      <c r="CA295" s="153"/>
    </row>
    <row r="296" spans="1:79" s="108" customFormat="1" ht="14.5" hidden="1" customHeight="1" outlineLevel="4">
      <c r="A296" s="580"/>
      <c r="B296" s="107" t="s">
        <v>2580</v>
      </c>
      <c r="C296" s="107"/>
      <c r="D296" s="1465" t="s">
        <v>1455</v>
      </c>
      <c r="E296"/>
      <c r="F296" s="4181"/>
      <c r="G296" s="4181"/>
      <c r="H296" s="4181"/>
      <c r="I296" s="4181"/>
      <c r="J296" s="4181"/>
      <c r="K296" s="4181"/>
      <c r="L296" s="4181"/>
      <c r="M296" s="4181"/>
      <c r="N296" s="4181"/>
      <c r="O296" s="4181"/>
      <c r="P296" s="4181">
        <f t="shared" ref="P296:P304" si="17">SUM(F296:O296)</f>
        <v>0</v>
      </c>
      <c r="Q296" s="4181"/>
      <c r="R296" s="4181"/>
      <c r="S296" s="4181"/>
      <c r="T296" s="4181"/>
      <c r="U296" s="4181"/>
      <c r="V296" s="4181"/>
      <c r="W296" s="4181"/>
      <c r="X296" s="4181"/>
      <c r="Y296" s="4181"/>
      <c r="Z296" s="4181"/>
      <c r="AA296" s="4181"/>
      <c r="AB296" s="4181"/>
      <c r="AC296" s="4181"/>
      <c r="AD296" s="4181">
        <f t="shared" ref="AD296:AD304" si="18">SUM(R296:AC296)</f>
        <v>0</v>
      </c>
      <c r="AE296" s="4181"/>
      <c r="AF296" s="4181"/>
      <c r="AG296" s="4181"/>
      <c r="AH296" s="4181"/>
      <c r="AI296" s="4181"/>
      <c r="AJ296" s="4181"/>
      <c r="AK296" s="4181"/>
      <c r="AL296" s="4181"/>
      <c r="AM296" s="4181"/>
      <c r="AN296" s="4181"/>
      <c r="AO296" s="4181"/>
      <c r="AP296" s="4181"/>
      <c r="AQ296" s="4181"/>
      <c r="AR296" s="4181">
        <f t="shared" ref="AR296:AR304" si="19">SUM(AF296:AQ296)</f>
        <v>0</v>
      </c>
      <c r="AS296" s="4181"/>
      <c r="AT296" s="4181"/>
      <c r="AU296" s="4181"/>
      <c r="AV296" s="4181"/>
      <c r="AW296" s="4181"/>
      <c r="AX296" s="4181"/>
      <c r="AY296" s="4181"/>
      <c r="AZ296" s="4181"/>
      <c r="BA296" s="4181"/>
      <c r="BB296" s="4181"/>
      <c r="BC296" s="4181"/>
      <c r="BD296" s="4181"/>
      <c r="BE296" s="4181"/>
      <c r="BF296" s="4181">
        <f t="shared" ref="BF296:BF304" si="20">SUM(AT296:BE296)</f>
        <v>0</v>
      </c>
      <c r="BG296" s="4181"/>
      <c r="BH296" s="4181"/>
      <c r="BI296" s="4181"/>
      <c r="BJ296" s="4181"/>
      <c r="BK296" s="4181"/>
      <c r="BL296" s="4181"/>
      <c r="BM296" s="4181"/>
      <c r="BN296" s="4181"/>
      <c r="BO296" s="4181"/>
      <c r="BP296" s="4181"/>
      <c r="BQ296" s="4181"/>
      <c r="BR296" s="4181"/>
      <c r="BS296" s="4181"/>
      <c r="BT296" s="4181">
        <f t="shared" ref="BT296:BT304" si="21">SUM(BH296:BS296)</f>
        <v>0</v>
      </c>
      <c r="BU296" s="4181"/>
      <c r="BV296" s="4181"/>
      <c r="BW296" s="4181"/>
      <c r="BX296" s="4181"/>
      <c r="BY296" s="4181">
        <f t="shared" ref="BY296:BY304" si="22">SUM(BV296:BX296)</f>
        <v>0</v>
      </c>
      <c r="BZ296" s="4181">
        <f t="shared" ref="BZ296:BZ304" si="23">+P296+AD296+AR296+BF296+BT296+BY296</f>
        <v>0</v>
      </c>
      <c r="CA296" s="153"/>
    </row>
    <row r="297" spans="1:79" s="108" customFormat="1" ht="27.5" hidden="1" customHeight="1" outlineLevel="4">
      <c r="A297" s="580"/>
      <c r="B297" s="107" t="s">
        <v>2581</v>
      </c>
      <c r="C297" s="107"/>
      <c r="D297" s="1465" t="s">
        <v>1457</v>
      </c>
      <c r="E297"/>
      <c r="F297" s="4181"/>
      <c r="G297" s="4181"/>
      <c r="H297" s="4181"/>
      <c r="I297" s="4181"/>
      <c r="J297" s="4181"/>
      <c r="K297" s="4181"/>
      <c r="L297" s="4181"/>
      <c r="M297" s="4181"/>
      <c r="N297" s="4181"/>
      <c r="O297" s="4181"/>
      <c r="P297" s="4181">
        <f t="shared" si="17"/>
        <v>0</v>
      </c>
      <c r="Q297" s="4181"/>
      <c r="R297" s="4181"/>
      <c r="S297" s="4181"/>
      <c r="T297" s="4181"/>
      <c r="U297" s="4181"/>
      <c r="V297" s="4181"/>
      <c r="W297" s="4181"/>
      <c r="X297" s="4181"/>
      <c r="Y297" s="4181"/>
      <c r="Z297" s="4181"/>
      <c r="AA297" s="4181"/>
      <c r="AB297" s="4181"/>
      <c r="AC297" s="4181"/>
      <c r="AD297" s="4181">
        <f t="shared" si="18"/>
        <v>0</v>
      </c>
      <c r="AE297" s="4181"/>
      <c r="AF297" s="4181"/>
      <c r="AG297" s="4181"/>
      <c r="AH297" s="4181"/>
      <c r="AI297" s="4181"/>
      <c r="AJ297" s="4181"/>
      <c r="AK297" s="4181"/>
      <c r="AL297" s="4181"/>
      <c r="AM297" s="4181"/>
      <c r="AN297" s="4181"/>
      <c r="AO297" s="4181"/>
      <c r="AP297" s="4181"/>
      <c r="AQ297" s="4181"/>
      <c r="AR297" s="4181">
        <f t="shared" si="19"/>
        <v>0</v>
      </c>
      <c r="AS297" s="4181"/>
      <c r="AT297" s="4181"/>
      <c r="AU297" s="4181"/>
      <c r="AV297" s="4181"/>
      <c r="AW297" s="4181"/>
      <c r="AX297" s="4181"/>
      <c r="AY297" s="4181"/>
      <c r="AZ297" s="4181"/>
      <c r="BA297" s="4181"/>
      <c r="BB297" s="4181"/>
      <c r="BC297" s="4181"/>
      <c r="BD297" s="4181"/>
      <c r="BE297" s="4181"/>
      <c r="BF297" s="4181">
        <f t="shared" si="20"/>
        <v>0</v>
      </c>
      <c r="BG297" s="4181"/>
      <c r="BH297" s="4181"/>
      <c r="BI297" s="4181"/>
      <c r="BJ297" s="4181"/>
      <c r="BK297" s="4181"/>
      <c r="BL297" s="4181"/>
      <c r="BM297" s="4181"/>
      <c r="BN297" s="4181"/>
      <c r="BO297" s="4181"/>
      <c r="BP297" s="4181"/>
      <c r="BQ297" s="4181"/>
      <c r="BR297" s="4181"/>
      <c r="BS297" s="4181"/>
      <c r="BT297" s="4181">
        <f t="shared" si="21"/>
        <v>0</v>
      </c>
      <c r="BU297" s="4181"/>
      <c r="BV297" s="4181"/>
      <c r="BW297" s="4181"/>
      <c r="BX297" s="4181"/>
      <c r="BY297" s="4181">
        <f t="shared" si="22"/>
        <v>0</v>
      </c>
      <c r="BZ297" s="4181">
        <f t="shared" si="23"/>
        <v>0</v>
      </c>
      <c r="CA297" s="153"/>
    </row>
    <row r="298" spans="1:79" s="108" customFormat="1" ht="14.5" hidden="1" customHeight="1" outlineLevel="4">
      <c r="A298" s="580"/>
      <c r="B298" s="107" t="s">
        <v>2582</v>
      </c>
      <c r="C298" s="107"/>
      <c r="D298" s="1465" t="s">
        <v>1459</v>
      </c>
      <c r="E298"/>
      <c r="F298" s="4181"/>
      <c r="G298" s="4181"/>
      <c r="H298" s="4181"/>
      <c r="I298" s="4181"/>
      <c r="J298" s="4181"/>
      <c r="K298" s="4181"/>
      <c r="L298" s="4181"/>
      <c r="M298" s="4181"/>
      <c r="N298" s="4181"/>
      <c r="O298" s="4181"/>
      <c r="P298" s="4181">
        <f t="shared" si="17"/>
        <v>0</v>
      </c>
      <c r="Q298" s="4181"/>
      <c r="R298" s="4181"/>
      <c r="S298" s="4181"/>
      <c r="T298" s="4181"/>
      <c r="U298" s="4181"/>
      <c r="V298" s="4181"/>
      <c r="W298" s="4181"/>
      <c r="X298" s="4181"/>
      <c r="Y298" s="4181"/>
      <c r="Z298" s="4181"/>
      <c r="AA298" s="4181"/>
      <c r="AB298" s="4181"/>
      <c r="AC298" s="4181"/>
      <c r="AD298" s="4181">
        <f t="shared" si="18"/>
        <v>0</v>
      </c>
      <c r="AE298" s="4181"/>
      <c r="AF298" s="4181"/>
      <c r="AG298" s="4181"/>
      <c r="AH298" s="4181"/>
      <c r="AI298" s="4181"/>
      <c r="AJ298" s="4181"/>
      <c r="AK298" s="4181"/>
      <c r="AL298" s="4181"/>
      <c r="AM298" s="4181"/>
      <c r="AN298" s="4181"/>
      <c r="AO298" s="4181"/>
      <c r="AP298" s="4181"/>
      <c r="AQ298" s="4181"/>
      <c r="AR298" s="4181">
        <f t="shared" si="19"/>
        <v>0</v>
      </c>
      <c r="AS298" s="4181"/>
      <c r="AT298" s="4181"/>
      <c r="AU298" s="4181"/>
      <c r="AV298" s="4181"/>
      <c r="AW298" s="4181"/>
      <c r="AX298" s="4181"/>
      <c r="AY298" s="4181"/>
      <c r="AZ298" s="4181"/>
      <c r="BA298" s="4181"/>
      <c r="BB298" s="4181"/>
      <c r="BC298" s="4181"/>
      <c r="BD298" s="4181"/>
      <c r="BE298" s="4181"/>
      <c r="BF298" s="4181">
        <f t="shared" si="20"/>
        <v>0</v>
      </c>
      <c r="BG298" s="4181"/>
      <c r="BH298" s="4181"/>
      <c r="BI298" s="4181"/>
      <c r="BJ298" s="4181"/>
      <c r="BK298" s="4181"/>
      <c r="BL298" s="4181"/>
      <c r="BM298" s="4181"/>
      <c r="BN298" s="4181"/>
      <c r="BO298" s="4181"/>
      <c r="BP298" s="4181"/>
      <c r="BQ298" s="4181"/>
      <c r="BR298" s="4181"/>
      <c r="BS298" s="4181"/>
      <c r="BT298" s="4181">
        <f t="shared" si="21"/>
        <v>0</v>
      </c>
      <c r="BU298" s="4181"/>
      <c r="BV298" s="4181"/>
      <c r="BW298" s="4181"/>
      <c r="BX298" s="4181"/>
      <c r="BY298" s="4181">
        <f t="shared" si="22"/>
        <v>0</v>
      </c>
      <c r="BZ298" s="4181">
        <f t="shared" si="23"/>
        <v>0</v>
      </c>
      <c r="CA298" s="153"/>
    </row>
    <row r="299" spans="1:79" s="108" customFormat="1" ht="14.5" hidden="1" customHeight="1" outlineLevel="4">
      <c r="A299" s="580"/>
      <c r="B299" s="107" t="s">
        <v>2583</v>
      </c>
      <c r="C299" s="107"/>
      <c r="D299" s="1465" t="s">
        <v>1461</v>
      </c>
      <c r="E299"/>
      <c r="F299" s="4181"/>
      <c r="G299" s="4181"/>
      <c r="H299" s="4181"/>
      <c r="I299" s="4181"/>
      <c r="J299" s="4181"/>
      <c r="K299" s="4181"/>
      <c r="L299" s="4181"/>
      <c r="M299" s="4181"/>
      <c r="N299" s="4181"/>
      <c r="O299" s="4181"/>
      <c r="P299" s="4181">
        <f t="shared" si="17"/>
        <v>0</v>
      </c>
      <c r="Q299" s="4181"/>
      <c r="R299" s="4181"/>
      <c r="S299" s="4181"/>
      <c r="T299" s="4181"/>
      <c r="U299" s="4181"/>
      <c r="V299" s="4181"/>
      <c r="W299" s="4181"/>
      <c r="X299" s="4181"/>
      <c r="Y299" s="4181"/>
      <c r="Z299" s="4181"/>
      <c r="AA299" s="4181"/>
      <c r="AB299" s="4181"/>
      <c r="AC299" s="4181"/>
      <c r="AD299" s="4181">
        <f t="shared" si="18"/>
        <v>0</v>
      </c>
      <c r="AE299" s="4181"/>
      <c r="AF299" s="4181"/>
      <c r="AG299" s="4181"/>
      <c r="AH299" s="4181"/>
      <c r="AI299" s="4181"/>
      <c r="AJ299" s="4181"/>
      <c r="AK299" s="4181"/>
      <c r="AL299" s="4181"/>
      <c r="AM299" s="4181"/>
      <c r="AN299" s="4181"/>
      <c r="AO299" s="4181"/>
      <c r="AP299" s="4181"/>
      <c r="AQ299" s="4181"/>
      <c r="AR299" s="4181">
        <f t="shared" si="19"/>
        <v>0</v>
      </c>
      <c r="AS299" s="4181"/>
      <c r="AT299" s="4181"/>
      <c r="AU299" s="4181"/>
      <c r="AV299" s="4181"/>
      <c r="AW299" s="4181"/>
      <c r="AX299" s="4181"/>
      <c r="AY299" s="4181"/>
      <c r="AZ299" s="4181"/>
      <c r="BA299" s="4181"/>
      <c r="BB299" s="4181"/>
      <c r="BC299" s="4181"/>
      <c r="BD299" s="4181"/>
      <c r="BE299" s="4181"/>
      <c r="BF299" s="4181">
        <f t="shared" si="20"/>
        <v>0</v>
      </c>
      <c r="BG299" s="4181"/>
      <c r="BH299" s="4181"/>
      <c r="BI299" s="4181"/>
      <c r="BJ299" s="4181"/>
      <c r="BK299" s="4181"/>
      <c r="BL299" s="4181"/>
      <c r="BM299" s="4181"/>
      <c r="BN299" s="4181"/>
      <c r="BO299" s="4181"/>
      <c r="BP299" s="4181"/>
      <c r="BQ299" s="4181"/>
      <c r="BR299" s="4181"/>
      <c r="BS299" s="4181"/>
      <c r="BT299" s="4181">
        <f t="shared" si="21"/>
        <v>0</v>
      </c>
      <c r="BU299" s="4181"/>
      <c r="BV299" s="4181"/>
      <c r="BW299" s="4181"/>
      <c r="BX299" s="4181"/>
      <c r="BY299" s="4181">
        <f t="shared" si="22"/>
        <v>0</v>
      </c>
      <c r="BZ299" s="4181">
        <f t="shared" si="23"/>
        <v>0</v>
      </c>
      <c r="CA299" s="153"/>
    </row>
    <row r="300" spans="1:79" s="108" customFormat="1" ht="14.5" hidden="1" customHeight="1" outlineLevel="4">
      <c r="A300" s="580"/>
      <c r="B300" s="107" t="s">
        <v>2584</v>
      </c>
      <c r="C300" s="107"/>
      <c r="D300" s="1465" t="s">
        <v>1463</v>
      </c>
      <c r="E300"/>
      <c r="F300" s="4181"/>
      <c r="G300" s="4181"/>
      <c r="H300" s="4181"/>
      <c r="I300" s="4181"/>
      <c r="J300" s="4181"/>
      <c r="K300" s="4181"/>
      <c r="L300" s="4181"/>
      <c r="M300" s="4181"/>
      <c r="N300" s="4181"/>
      <c r="O300" s="4181"/>
      <c r="P300" s="4181">
        <f t="shared" si="17"/>
        <v>0</v>
      </c>
      <c r="Q300" s="4181"/>
      <c r="R300" s="4181"/>
      <c r="S300" s="4181"/>
      <c r="T300" s="4181"/>
      <c r="U300" s="4181"/>
      <c r="V300" s="4181"/>
      <c r="W300" s="4181"/>
      <c r="X300" s="4181"/>
      <c r="Y300" s="4181"/>
      <c r="Z300" s="4181"/>
      <c r="AA300" s="4181"/>
      <c r="AB300" s="4181"/>
      <c r="AC300" s="4181"/>
      <c r="AD300" s="4181">
        <f t="shared" si="18"/>
        <v>0</v>
      </c>
      <c r="AE300" s="4181"/>
      <c r="AF300" s="4181"/>
      <c r="AG300" s="4181"/>
      <c r="AH300" s="4181"/>
      <c r="AI300" s="4181"/>
      <c r="AJ300" s="4181"/>
      <c r="AK300" s="4181"/>
      <c r="AL300" s="4181"/>
      <c r="AM300" s="4181"/>
      <c r="AN300" s="4181"/>
      <c r="AO300" s="4181"/>
      <c r="AP300" s="4181"/>
      <c r="AQ300" s="4181"/>
      <c r="AR300" s="4181">
        <f t="shared" si="19"/>
        <v>0</v>
      </c>
      <c r="AS300" s="4181"/>
      <c r="AT300" s="4181"/>
      <c r="AU300" s="4181"/>
      <c r="AV300" s="4181"/>
      <c r="AW300" s="4181"/>
      <c r="AX300" s="4181"/>
      <c r="AY300" s="4181"/>
      <c r="AZ300" s="4181"/>
      <c r="BA300" s="4181"/>
      <c r="BB300" s="4181"/>
      <c r="BC300" s="4181"/>
      <c r="BD300" s="4181"/>
      <c r="BE300" s="4181"/>
      <c r="BF300" s="4181">
        <f t="shared" si="20"/>
        <v>0</v>
      </c>
      <c r="BG300" s="4181"/>
      <c r="BH300" s="4181"/>
      <c r="BI300" s="4181"/>
      <c r="BJ300" s="4181"/>
      <c r="BK300" s="4181"/>
      <c r="BL300" s="4181"/>
      <c r="BM300" s="4181"/>
      <c r="BN300" s="4181"/>
      <c r="BO300" s="4181"/>
      <c r="BP300" s="4181"/>
      <c r="BQ300" s="4181"/>
      <c r="BR300" s="4181"/>
      <c r="BS300" s="4181"/>
      <c r="BT300" s="4181">
        <f t="shared" si="21"/>
        <v>0</v>
      </c>
      <c r="BU300" s="4181"/>
      <c r="BV300" s="4181"/>
      <c r="BW300" s="4181"/>
      <c r="BX300" s="4181"/>
      <c r="BY300" s="4181">
        <f t="shared" si="22"/>
        <v>0</v>
      </c>
      <c r="BZ300" s="4181">
        <f t="shared" si="23"/>
        <v>0</v>
      </c>
      <c r="CA300" s="153"/>
    </row>
    <row r="301" spans="1:79" s="108" customFormat="1" ht="14.5" hidden="1" customHeight="1" outlineLevel="4">
      <c r="A301" s="580"/>
      <c r="B301" s="107" t="s">
        <v>2585</v>
      </c>
      <c r="C301" s="107"/>
      <c r="D301" s="1465" t="s">
        <v>1465</v>
      </c>
      <c r="E301"/>
      <c r="F301" s="4181"/>
      <c r="G301" s="4181"/>
      <c r="H301" s="4181"/>
      <c r="I301" s="4181"/>
      <c r="J301" s="4181"/>
      <c r="K301" s="4181"/>
      <c r="L301" s="4181"/>
      <c r="M301" s="4181"/>
      <c r="N301" s="4181"/>
      <c r="O301" s="4181"/>
      <c r="P301" s="4181">
        <f t="shared" si="17"/>
        <v>0</v>
      </c>
      <c r="Q301" s="4181"/>
      <c r="R301" s="4181"/>
      <c r="S301" s="4181"/>
      <c r="T301" s="4181"/>
      <c r="U301" s="4181"/>
      <c r="V301" s="4181"/>
      <c r="W301" s="4181"/>
      <c r="X301" s="4181"/>
      <c r="Y301" s="4181"/>
      <c r="Z301" s="4181"/>
      <c r="AA301" s="4181"/>
      <c r="AB301" s="4181"/>
      <c r="AC301" s="4181"/>
      <c r="AD301" s="4181">
        <f t="shared" si="18"/>
        <v>0</v>
      </c>
      <c r="AE301" s="4181"/>
      <c r="AF301" s="4181"/>
      <c r="AG301" s="4181"/>
      <c r="AH301" s="4181"/>
      <c r="AI301" s="4181"/>
      <c r="AJ301" s="4181"/>
      <c r="AK301" s="4181"/>
      <c r="AL301" s="4181"/>
      <c r="AM301" s="4181"/>
      <c r="AN301" s="4181"/>
      <c r="AO301" s="4181"/>
      <c r="AP301" s="4181"/>
      <c r="AQ301" s="4181"/>
      <c r="AR301" s="4181">
        <f t="shared" si="19"/>
        <v>0</v>
      </c>
      <c r="AS301" s="4181"/>
      <c r="AT301" s="4181"/>
      <c r="AU301" s="4181"/>
      <c r="AV301" s="4181"/>
      <c r="AW301" s="4181"/>
      <c r="AX301" s="4181"/>
      <c r="AY301" s="4181"/>
      <c r="AZ301" s="4181"/>
      <c r="BA301" s="4181"/>
      <c r="BB301" s="4181"/>
      <c r="BC301" s="4181"/>
      <c r="BD301" s="4181"/>
      <c r="BE301" s="4181"/>
      <c r="BF301" s="4181">
        <f t="shared" si="20"/>
        <v>0</v>
      </c>
      <c r="BG301" s="4181"/>
      <c r="BH301" s="4181"/>
      <c r="BI301" s="4181"/>
      <c r="BJ301" s="4181"/>
      <c r="BK301" s="4181"/>
      <c r="BL301" s="4181"/>
      <c r="BM301" s="4181"/>
      <c r="BN301" s="4181"/>
      <c r="BO301" s="4181"/>
      <c r="BP301" s="4181"/>
      <c r="BQ301" s="4181"/>
      <c r="BR301" s="4181"/>
      <c r="BS301" s="4181"/>
      <c r="BT301" s="4181">
        <f t="shared" si="21"/>
        <v>0</v>
      </c>
      <c r="BU301" s="4181"/>
      <c r="BV301" s="4181"/>
      <c r="BW301" s="4181"/>
      <c r="BX301" s="4181"/>
      <c r="BY301" s="4181">
        <f t="shared" si="22"/>
        <v>0</v>
      </c>
      <c r="BZ301" s="4181">
        <f t="shared" si="23"/>
        <v>0</v>
      </c>
      <c r="CA301" s="153"/>
    </row>
    <row r="302" spans="1:79" s="108" customFormat="1" ht="27.5" hidden="1" customHeight="1" outlineLevel="4">
      <c r="A302" s="580"/>
      <c r="B302" s="107" t="s">
        <v>2586</v>
      </c>
      <c r="C302" s="107"/>
      <c r="D302" s="1465" t="s">
        <v>1467</v>
      </c>
      <c r="E302"/>
      <c r="F302" s="4181"/>
      <c r="G302" s="4181"/>
      <c r="H302" s="4181"/>
      <c r="I302" s="4181"/>
      <c r="J302" s="4181"/>
      <c r="K302" s="4181"/>
      <c r="L302" s="4181"/>
      <c r="M302" s="4181"/>
      <c r="N302" s="4181"/>
      <c r="O302" s="4181"/>
      <c r="P302" s="4181">
        <f t="shared" si="17"/>
        <v>0</v>
      </c>
      <c r="Q302" s="4181"/>
      <c r="R302" s="4181"/>
      <c r="S302" s="4181"/>
      <c r="T302" s="4181"/>
      <c r="U302" s="4181"/>
      <c r="V302" s="4181"/>
      <c r="W302" s="4181"/>
      <c r="X302" s="4181"/>
      <c r="Y302" s="4181"/>
      <c r="Z302" s="4181"/>
      <c r="AA302" s="4181"/>
      <c r="AB302" s="4181"/>
      <c r="AC302" s="4181"/>
      <c r="AD302" s="4181">
        <f t="shared" si="18"/>
        <v>0</v>
      </c>
      <c r="AE302" s="4181"/>
      <c r="AF302" s="4181"/>
      <c r="AG302" s="4181"/>
      <c r="AH302" s="4181"/>
      <c r="AI302" s="4181"/>
      <c r="AJ302" s="4181"/>
      <c r="AK302" s="4181"/>
      <c r="AL302" s="4181"/>
      <c r="AM302" s="4181"/>
      <c r="AN302" s="4181"/>
      <c r="AO302" s="4181"/>
      <c r="AP302" s="4181"/>
      <c r="AQ302" s="4181"/>
      <c r="AR302" s="4181">
        <f t="shared" si="19"/>
        <v>0</v>
      </c>
      <c r="AS302" s="4181"/>
      <c r="AT302" s="4181"/>
      <c r="AU302" s="4181"/>
      <c r="AV302" s="4181"/>
      <c r="AW302" s="4181"/>
      <c r="AX302" s="4181"/>
      <c r="AY302" s="4181"/>
      <c r="AZ302" s="4181"/>
      <c r="BA302" s="4181"/>
      <c r="BB302" s="4181"/>
      <c r="BC302" s="4181"/>
      <c r="BD302" s="4181"/>
      <c r="BE302" s="4181"/>
      <c r="BF302" s="4181">
        <f t="shared" si="20"/>
        <v>0</v>
      </c>
      <c r="BG302" s="4181"/>
      <c r="BH302" s="4181"/>
      <c r="BI302" s="4181"/>
      <c r="BJ302" s="4181"/>
      <c r="BK302" s="4181"/>
      <c r="BL302" s="4181"/>
      <c r="BM302" s="4181"/>
      <c r="BN302" s="4181"/>
      <c r="BO302" s="4181"/>
      <c r="BP302" s="4181"/>
      <c r="BQ302" s="4181"/>
      <c r="BR302" s="4181"/>
      <c r="BS302" s="4181"/>
      <c r="BT302" s="4181">
        <f t="shared" si="21"/>
        <v>0</v>
      </c>
      <c r="BU302" s="4181"/>
      <c r="BV302" s="4181"/>
      <c r="BW302" s="4181"/>
      <c r="BX302" s="4181"/>
      <c r="BY302" s="4181">
        <f t="shared" si="22"/>
        <v>0</v>
      </c>
      <c r="BZ302" s="4181">
        <f t="shared" si="23"/>
        <v>0</v>
      </c>
      <c r="CA302" s="153"/>
    </row>
    <row r="303" spans="1:79" s="108" customFormat="1" ht="14.5" hidden="1" customHeight="1" outlineLevel="4">
      <c r="A303" s="580"/>
      <c r="B303" s="107" t="s">
        <v>2587</v>
      </c>
      <c r="C303" s="107"/>
      <c r="D303" s="1465" t="s">
        <v>1469</v>
      </c>
      <c r="E303"/>
      <c r="F303" s="4181"/>
      <c r="G303" s="4181"/>
      <c r="H303" s="4181"/>
      <c r="I303" s="4181"/>
      <c r="J303" s="4181"/>
      <c r="K303" s="4181"/>
      <c r="L303" s="4181"/>
      <c r="M303" s="4181"/>
      <c r="N303" s="4181"/>
      <c r="O303" s="4181"/>
      <c r="P303" s="4181">
        <f t="shared" si="17"/>
        <v>0</v>
      </c>
      <c r="Q303" s="4181"/>
      <c r="R303" s="4181"/>
      <c r="S303" s="4181"/>
      <c r="T303" s="4181"/>
      <c r="U303" s="4181"/>
      <c r="V303" s="4181"/>
      <c r="W303" s="4181"/>
      <c r="X303" s="4181"/>
      <c r="Y303" s="4181"/>
      <c r="Z303" s="4181"/>
      <c r="AA303" s="4181"/>
      <c r="AB303" s="4181"/>
      <c r="AC303" s="4181"/>
      <c r="AD303" s="4181">
        <f t="shared" si="18"/>
        <v>0</v>
      </c>
      <c r="AE303" s="4181"/>
      <c r="AF303" s="4181"/>
      <c r="AG303" s="4181"/>
      <c r="AH303" s="4181"/>
      <c r="AI303" s="4181"/>
      <c r="AJ303" s="4181"/>
      <c r="AK303" s="4181"/>
      <c r="AL303" s="4181"/>
      <c r="AM303" s="4181"/>
      <c r="AN303" s="4181"/>
      <c r="AO303" s="4181"/>
      <c r="AP303" s="4181"/>
      <c r="AQ303" s="4181"/>
      <c r="AR303" s="4181">
        <f t="shared" si="19"/>
        <v>0</v>
      </c>
      <c r="AS303" s="4181"/>
      <c r="AT303" s="4181"/>
      <c r="AU303" s="4181"/>
      <c r="AV303" s="4181"/>
      <c r="AW303" s="4181"/>
      <c r="AX303" s="4181"/>
      <c r="AY303" s="4181"/>
      <c r="AZ303" s="4181"/>
      <c r="BA303" s="4181"/>
      <c r="BB303" s="4181"/>
      <c r="BC303" s="4181"/>
      <c r="BD303" s="4181"/>
      <c r="BE303" s="4181"/>
      <c r="BF303" s="4181">
        <f t="shared" si="20"/>
        <v>0</v>
      </c>
      <c r="BG303" s="4181"/>
      <c r="BH303" s="4181"/>
      <c r="BI303" s="4181"/>
      <c r="BJ303" s="4181"/>
      <c r="BK303" s="4181"/>
      <c r="BL303" s="4181"/>
      <c r="BM303" s="4181"/>
      <c r="BN303" s="4181"/>
      <c r="BO303" s="4181"/>
      <c r="BP303" s="4181"/>
      <c r="BQ303" s="4181"/>
      <c r="BR303" s="4181"/>
      <c r="BS303" s="4181"/>
      <c r="BT303" s="4181">
        <f t="shared" si="21"/>
        <v>0</v>
      </c>
      <c r="BU303" s="4181"/>
      <c r="BV303" s="4181"/>
      <c r="BW303" s="4181"/>
      <c r="BX303" s="4181"/>
      <c r="BY303" s="4181">
        <f t="shared" si="22"/>
        <v>0</v>
      </c>
      <c r="BZ303" s="4181">
        <f t="shared" si="23"/>
        <v>0</v>
      </c>
      <c r="CA303" s="153"/>
    </row>
    <row r="304" spans="1:79" s="108" customFormat="1" ht="14.5" hidden="1" customHeight="1" outlineLevel="4">
      <c r="A304" s="580"/>
      <c r="B304" s="107" t="s">
        <v>2588</v>
      </c>
      <c r="C304" s="107"/>
      <c r="D304" s="1465" t="s">
        <v>1471</v>
      </c>
      <c r="E304"/>
      <c r="F304" s="4182"/>
      <c r="G304" s="4182"/>
      <c r="H304" s="4182"/>
      <c r="I304" s="4182"/>
      <c r="J304" s="4182"/>
      <c r="K304" s="4182"/>
      <c r="L304" s="4182"/>
      <c r="M304" s="4182"/>
      <c r="N304" s="4182"/>
      <c r="O304" s="4182"/>
      <c r="P304" s="4182">
        <f t="shared" si="17"/>
        <v>0</v>
      </c>
      <c r="Q304" s="4182"/>
      <c r="R304" s="4182"/>
      <c r="S304" s="4182"/>
      <c r="T304" s="4182"/>
      <c r="U304" s="4182"/>
      <c r="V304" s="4182"/>
      <c r="W304" s="4182"/>
      <c r="X304" s="4182"/>
      <c r="Y304" s="4182"/>
      <c r="Z304" s="4182"/>
      <c r="AA304" s="4182"/>
      <c r="AB304" s="4182"/>
      <c r="AC304" s="4182"/>
      <c r="AD304" s="4182">
        <f t="shared" si="18"/>
        <v>0</v>
      </c>
      <c r="AE304" s="4182"/>
      <c r="AF304" s="4182"/>
      <c r="AG304" s="4182"/>
      <c r="AH304" s="4182"/>
      <c r="AI304" s="4182"/>
      <c r="AJ304" s="4182"/>
      <c r="AK304" s="4182"/>
      <c r="AL304" s="4182"/>
      <c r="AM304" s="4182"/>
      <c r="AN304" s="4182"/>
      <c r="AO304" s="4182"/>
      <c r="AP304" s="4182"/>
      <c r="AQ304" s="4182"/>
      <c r="AR304" s="4182">
        <f t="shared" si="19"/>
        <v>0</v>
      </c>
      <c r="AS304" s="4182"/>
      <c r="AT304" s="4182"/>
      <c r="AU304" s="4182"/>
      <c r="AV304" s="4182"/>
      <c r="AW304" s="4182"/>
      <c r="AX304" s="4182"/>
      <c r="AY304" s="4182"/>
      <c r="AZ304" s="4182"/>
      <c r="BA304" s="4182"/>
      <c r="BB304" s="4182"/>
      <c r="BC304" s="4182"/>
      <c r="BD304" s="4182"/>
      <c r="BE304" s="4182"/>
      <c r="BF304" s="4182">
        <f t="shared" si="20"/>
        <v>0</v>
      </c>
      <c r="BG304" s="4182"/>
      <c r="BH304" s="4182"/>
      <c r="BI304" s="4182"/>
      <c r="BJ304" s="4182"/>
      <c r="BK304" s="4182"/>
      <c r="BL304" s="4182"/>
      <c r="BM304" s="4182"/>
      <c r="BN304" s="4182"/>
      <c r="BO304" s="4182"/>
      <c r="BP304" s="4182"/>
      <c r="BQ304" s="4182"/>
      <c r="BR304" s="4182"/>
      <c r="BS304" s="4182"/>
      <c r="BT304" s="4182">
        <f t="shared" si="21"/>
        <v>0</v>
      </c>
      <c r="BU304" s="4182"/>
      <c r="BV304" s="4182"/>
      <c r="BW304" s="4182"/>
      <c r="BX304" s="4182"/>
      <c r="BY304" s="4182">
        <f t="shared" si="22"/>
        <v>0</v>
      </c>
      <c r="BZ304" s="4182">
        <f t="shared" si="23"/>
        <v>0</v>
      </c>
      <c r="CA304" s="153"/>
    </row>
    <row r="305" spans="1:79" s="108" customFormat="1" ht="41.5" hidden="1" customHeight="1" outlineLevel="3" collapsed="1">
      <c r="A305" s="580"/>
      <c r="B305" s="107" t="s">
        <v>2589</v>
      </c>
      <c r="C305" s="107" t="s">
        <v>1473</v>
      </c>
      <c r="D305" s="1465" t="s">
        <v>1474</v>
      </c>
      <c r="E305"/>
      <c r="F305" s="1407"/>
      <c r="G305" s="1407"/>
      <c r="H305" s="1407"/>
      <c r="I305" s="1407"/>
      <c r="J305" s="1407"/>
      <c r="K305" s="1407"/>
      <c r="L305" s="1407"/>
      <c r="M305" s="1407"/>
      <c r="N305" s="1407"/>
      <c r="O305" s="1407"/>
      <c r="P305" s="1931">
        <v>0</v>
      </c>
      <c r="Q305"/>
      <c r="R305" s="1407"/>
      <c r="S305" s="1407"/>
      <c r="T305" s="1407"/>
      <c r="U305" s="1407"/>
      <c r="V305" s="1407"/>
      <c r="W305" s="1407"/>
      <c r="X305" s="1407"/>
      <c r="Y305" s="1407"/>
      <c r="Z305" s="1407"/>
      <c r="AA305" s="1407"/>
      <c r="AB305" s="1407"/>
      <c r="AC305" s="1407"/>
      <c r="AD305" s="1931">
        <v>0</v>
      </c>
      <c r="AE305"/>
      <c r="AF305" s="1407"/>
      <c r="AG305" s="1407"/>
      <c r="AH305" s="1407"/>
      <c r="AI305" s="1407"/>
      <c r="AJ305" s="1407"/>
      <c r="AK305" s="1407"/>
      <c r="AL305" s="1407"/>
      <c r="AM305" s="1407"/>
      <c r="AN305" s="1407"/>
      <c r="AO305" s="1407"/>
      <c r="AP305" s="1407"/>
      <c r="AQ305" s="1407"/>
      <c r="AR305" s="1931">
        <v>0</v>
      </c>
      <c r="AS305"/>
      <c r="AT305" s="1407"/>
      <c r="AU305" s="1407"/>
      <c r="AV305" s="1407"/>
      <c r="AW305" s="1407"/>
      <c r="AX305" s="1407"/>
      <c r="AY305" s="1407">
        <v>100000</v>
      </c>
      <c r="AZ305" s="1407"/>
      <c r="BA305" s="1407"/>
      <c r="BB305" s="1407"/>
      <c r="BC305" s="1407">
        <v>75000</v>
      </c>
      <c r="BD305" s="1407"/>
      <c r="BE305" s="1407"/>
      <c r="BF305" s="1931">
        <v>175000</v>
      </c>
      <c r="BG305"/>
      <c r="BH305" s="1407"/>
      <c r="BI305" s="1407">
        <v>75000</v>
      </c>
      <c r="BJ305" s="1407"/>
      <c r="BK305" s="1407"/>
      <c r="BL305" s="1407"/>
      <c r="BM305" s="1407">
        <v>75000</v>
      </c>
      <c r="BN305" s="1407"/>
      <c r="BO305" s="1407"/>
      <c r="BP305" s="1407"/>
      <c r="BQ305" s="1407">
        <v>75000</v>
      </c>
      <c r="BR305" s="1407"/>
      <c r="BS305" s="1407"/>
      <c r="BT305" s="1931">
        <v>225000</v>
      </c>
      <c r="BU305"/>
      <c r="BV305" s="1407"/>
      <c r="BW305" s="1407">
        <v>100000</v>
      </c>
      <c r="BX305" s="1407"/>
      <c r="BY305" s="1931">
        <v>100000</v>
      </c>
      <c r="BZ305" s="1931">
        <v>500000</v>
      </c>
      <c r="CA305" s="153"/>
    </row>
    <row r="306" spans="1:79" s="153" customFormat="1" ht="26" customHeight="1" outlineLevel="2" collapsed="1">
      <c r="A306" s="172"/>
      <c r="B306" s="171" t="s">
        <v>542</v>
      </c>
      <c r="C306" s="171"/>
      <c r="D306" s="1467" t="s">
        <v>1849</v>
      </c>
      <c r="E306"/>
      <c r="F306" s="176">
        <v>0</v>
      </c>
      <c r="G306" s="176">
        <v>0</v>
      </c>
      <c r="H306" s="176">
        <v>0</v>
      </c>
      <c r="I306" s="176">
        <v>0</v>
      </c>
      <c r="J306" s="176">
        <v>0</v>
      </c>
      <c r="K306" s="176">
        <v>0</v>
      </c>
      <c r="L306" s="176">
        <v>0</v>
      </c>
      <c r="M306" s="176">
        <v>0</v>
      </c>
      <c r="N306" s="176">
        <v>0</v>
      </c>
      <c r="O306" s="176">
        <v>0</v>
      </c>
      <c r="P306" s="176">
        <v>0</v>
      </c>
      <c r="Q306"/>
      <c r="R306" s="176">
        <v>0</v>
      </c>
      <c r="S306" s="176">
        <v>4000</v>
      </c>
      <c r="T306" s="176">
        <v>4000</v>
      </c>
      <c r="U306" s="176">
        <v>4000</v>
      </c>
      <c r="V306" s="176">
        <v>4000</v>
      </c>
      <c r="W306" s="176">
        <v>4000</v>
      </c>
      <c r="X306" s="176">
        <v>4000</v>
      </c>
      <c r="Y306" s="176">
        <v>4000</v>
      </c>
      <c r="Z306" s="176">
        <v>4000</v>
      </c>
      <c r="AA306" s="176">
        <v>4000</v>
      </c>
      <c r="AB306" s="176">
        <v>4000</v>
      </c>
      <c r="AC306" s="176">
        <v>4000</v>
      </c>
      <c r="AD306" s="176">
        <v>44000</v>
      </c>
      <c r="AE306"/>
      <c r="AF306" s="176">
        <v>4000</v>
      </c>
      <c r="AG306" s="176">
        <v>0</v>
      </c>
      <c r="AH306" s="176">
        <v>300500</v>
      </c>
      <c r="AI306" s="176">
        <v>0</v>
      </c>
      <c r="AJ306" s="176">
        <v>0</v>
      </c>
      <c r="AK306" s="176">
        <v>0</v>
      </c>
      <c r="AL306" s="176">
        <v>240400</v>
      </c>
      <c r="AM306" s="176">
        <v>0</v>
      </c>
      <c r="AN306" s="176">
        <v>0</v>
      </c>
      <c r="AO306" s="176">
        <v>0</v>
      </c>
      <c r="AP306" s="176">
        <v>240400</v>
      </c>
      <c r="AQ306" s="176">
        <v>0</v>
      </c>
      <c r="AR306" s="176">
        <v>785300</v>
      </c>
      <c r="AS306"/>
      <c r="AT306" s="176">
        <v>0</v>
      </c>
      <c r="AU306" s="176">
        <v>0</v>
      </c>
      <c r="AV306" s="176">
        <v>240400</v>
      </c>
      <c r="AW306" s="176">
        <v>0</v>
      </c>
      <c r="AX306" s="176">
        <v>0</v>
      </c>
      <c r="AY306" s="176">
        <v>180300</v>
      </c>
      <c r="AZ306" s="176">
        <v>391800</v>
      </c>
      <c r="BA306" s="176">
        <v>0</v>
      </c>
      <c r="BB306" s="176">
        <v>0</v>
      </c>
      <c r="BC306" s="176">
        <v>0</v>
      </c>
      <c r="BD306" s="176">
        <v>391800</v>
      </c>
      <c r="BE306" s="176">
        <v>0</v>
      </c>
      <c r="BF306" s="176">
        <v>1204300</v>
      </c>
      <c r="BG306"/>
      <c r="BH306" s="176">
        <v>0</v>
      </c>
      <c r="BI306" s="176">
        <v>0</v>
      </c>
      <c r="BJ306" s="176">
        <v>391800</v>
      </c>
      <c r="BK306" s="176">
        <v>0</v>
      </c>
      <c r="BL306" s="176">
        <v>0</v>
      </c>
      <c r="BM306" s="176">
        <v>0</v>
      </c>
      <c r="BN306" s="176">
        <v>391800</v>
      </c>
      <c r="BO306" s="176">
        <v>0</v>
      </c>
      <c r="BP306" s="176">
        <v>0</v>
      </c>
      <c r="BQ306" s="176">
        <v>0</v>
      </c>
      <c r="BR306" s="176">
        <v>391800</v>
      </c>
      <c r="BS306" s="176">
        <v>0</v>
      </c>
      <c r="BT306" s="176">
        <v>1175400</v>
      </c>
      <c r="BU306"/>
      <c r="BV306" s="176">
        <v>0</v>
      </c>
      <c r="BW306" s="176">
        <v>0</v>
      </c>
      <c r="BX306" s="176">
        <v>0</v>
      </c>
      <c r="BY306" s="176">
        <v>0</v>
      </c>
      <c r="BZ306" s="176">
        <v>3209000</v>
      </c>
    </row>
    <row r="307" spans="1:79" s="108" customFormat="1" ht="49.25" hidden="1" customHeight="1" outlineLevel="3">
      <c r="A307" s="159"/>
      <c r="B307" s="702" t="s">
        <v>2590</v>
      </c>
      <c r="C307" s="702" t="s">
        <v>1279</v>
      </c>
      <c r="D307" s="703" t="s">
        <v>2591</v>
      </c>
      <c r="E307"/>
      <c r="F307" s="455"/>
      <c r="G307" s="455"/>
      <c r="H307" s="455"/>
      <c r="I307" s="455"/>
      <c r="J307" s="455"/>
      <c r="K307" s="455"/>
      <c r="L307" s="455"/>
      <c r="M307" s="455"/>
      <c r="N307" s="455"/>
      <c r="O307" s="455"/>
      <c r="P307" s="439">
        <v>0</v>
      </c>
      <c r="Q307"/>
      <c r="R307" s="455"/>
      <c r="S307" s="455">
        <v>4000</v>
      </c>
      <c r="T307" s="455">
        <v>4000</v>
      </c>
      <c r="U307" s="455">
        <v>4000</v>
      </c>
      <c r="V307" s="455">
        <v>4000</v>
      </c>
      <c r="W307" s="455">
        <v>4000</v>
      </c>
      <c r="X307" s="455">
        <v>4000</v>
      </c>
      <c r="Y307" s="455">
        <v>4000</v>
      </c>
      <c r="Z307" s="455">
        <v>4000</v>
      </c>
      <c r="AA307" s="455">
        <v>4000</v>
      </c>
      <c r="AB307" s="455">
        <v>4000</v>
      </c>
      <c r="AC307" s="455">
        <v>4000</v>
      </c>
      <c r="AD307" s="439">
        <v>44000</v>
      </c>
      <c r="AE307"/>
      <c r="AF307" s="455">
        <v>4000</v>
      </c>
      <c r="AG307" s="455"/>
      <c r="AH307" s="455"/>
      <c r="AI307" s="455"/>
      <c r="AJ307" s="455"/>
      <c r="AK307" s="455"/>
      <c r="AL307" s="455"/>
      <c r="AM307" s="455"/>
      <c r="AN307" s="455"/>
      <c r="AO307" s="455"/>
      <c r="AP307" s="455"/>
      <c r="AQ307" s="455"/>
      <c r="AR307" s="439">
        <v>4000</v>
      </c>
      <c r="AS307"/>
      <c r="AT307" s="455"/>
      <c r="AU307" s="455"/>
      <c r="AV307" s="455"/>
      <c r="AW307" s="455"/>
      <c r="AX307" s="455"/>
      <c r="AY307" s="455"/>
      <c r="AZ307" s="455"/>
      <c r="BA307" s="455"/>
      <c r="BB307" s="455"/>
      <c r="BC307" s="455"/>
      <c r="BD307" s="455"/>
      <c r="BE307" s="455"/>
      <c r="BF307" s="439">
        <v>0</v>
      </c>
      <c r="BG307"/>
      <c r="BH307" s="455"/>
      <c r="BI307" s="455"/>
      <c r="BJ307" s="455"/>
      <c r="BK307" s="455"/>
      <c r="BL307" s="455"/>
      <c r="BM307" s="455"/>
      <c r="BN307" s="455"/>
      <c r="BO307" s="455"/>
      <c r="BP307" s="455"/>
      <c r="BQ307" s="455"/>
      <c r="BR307" s="455"/>
      <c r="BS307" s="455"/>
      <c r="BT307" s="439">
        <v>0</v>
      </c>
      <c r="BU307"/>
      <c r="BV307" s="455"/>
      <c r="BW307" s="455"/>
      <c r="BX307" s="455"/>
      <c r="BY307" s="439">
        <v>0</v>
      </c>
      <c r="BZ307" s="439">
        <v>48000</v>
      </c>
    </row>
    <row r="308" spans="1:79" s="153" customFormat="1" ht="83" hidden="1" customHeight="1" outlineLevel="3">
      <c r="A308" s="581"/>
      <c r="B308" s="395" t="s">
        <v>2592</v>
      </c>
      <c r="C308" s="395" t="s">
        <v>1279</v>
      </c>
      <c r="D308" s="1249" t="s">
        <v>1482</v>
      </c>
      <c r="E308"/>
      <c r="F308" s="1458">
        <v>0</v>
      </c>
      <c r="G308" s="1458">
        <v>0</v>
      </c>
      <c r="H308" s="1458">
        <v>0</v>
      </c>
      <c r="I308" s="1458">
        <v>0</v>
      </c>
      <c r="J308" s="1458">
        <v>0</v>
      </c>
      <c r="K308" s="1458">
        <v>0</v>
      </c>
      <c r="L308" s="1458">
        <v>0</v>
      </c>
      <c r="M308" s="1458">
        <v>0</v>
      </c>
      <c r="N308" s="1458">
        <v>0</v>
      </c>
      <c r="O308" s="1458">
        <v>0</v>
      </c>
      <c r="P308" s="398">
        <v>0</v>
      </c>
      <c r="Q308"/>
      <c r="R308" s="1458">
        <v>0</v>
      </c>
      <c r="S308" s="1458">
        <v>0</v>
      </c>
      <c r="T308" s="1458">
        <v>0</v>
      </c>
      <c r="U308" s="1458">
        <v>0</v>
      </c>
      <c r="V308" s="1458">
        <v>0</v>
      </c>
      <c r="W308" s="1458">
        <v>0</v>
      </c>
      <c r="X308" s="1458">
        <v>0</v>
      </c>
      <c r="Y308" s="1458">
        <v>0</v>
      </c>
      <c r="Z308" s="1458">
        <v>0</v>
      </c>
      <c r="AA308" s="1458">
        <v>0</v>
      </c>
      <c r="AB308" s="1458">
        <v>0</v>
      </c>
      <c r="AC308" s="1458">
        <v>0</v>
      </c>
      <c r="AD308" s="398">
        <v>0</v>
      </c>
      <c r="AE308"/>
      <c r="AF308" s="1458">
        <v>0</v>
      </c>
      <c r="AG308" s="1458">
        <v>0</v>
      </c>
      <c r="AH308" s="1458">
        <v>300500</v>
      </c>
      <c r="AI308" s="1458">
        <v>0</v>
      </c>
      <c r="AJ308" s="1458">
        <v>0</v>
      </c>
      <c r="AK308" s="1458">
        <v>0</v>
      </c>
      <c r="AL308" s="1458">
        <v>240400</v>
      </c>
      <c r="AM308" s="1458">
        <v>0</v>
      </c>
      <c r="AN308" s="1458">
        <v>0</v>
      </c>
      <c r="AO308" s="1458">
        <v>0</v>
      </c>
      <c r="AP308" s="1458">
        <v>240400</v>
      </c>
      <c r="AQ308" s="1458">
        <v>0</v>
      </c>
      <c r="AR308" s="398">
        <v>781300</v>
      </c>
      <c r="AS308"/>
      <c r="AT308" s="1458">
        <v>0</v>
      </c>
      <c r="AU308" s="1458">
        <v>0</v>
      </c>
      <c r="AV308" s="1458">
        <v>240400</v>
      </c>
      <c r="AW308" s="1458">
        <v>0</v>
      </c>
      <c r="AX308" s="1458">
        <v>0</v>
      </c>
      <c r="AY308" s="1458">
        <v>180300</v>
      </c>
      <c r="AZ308" s="1458">
        <v>0</v>
      </c>
      <c r="BA308" s="1458">
        <v>0</v>
      </c>
      <c r="BB308" s="1458">
        <v>0</v>
      </c>
      <c r="BC308" s="1458">
        <v>0</v>
      </c>
      <c r="BD308" s="1458">
        <v>0</v>
      </c>
      <c r="BE308" s="1458">
        <v>0</v>
      </c>
      <c r="BF308" s="398">
        <v>420700</v>
      </c>
      <c r="BG308"/>
      <c r="BH308" s="1458">
        <v>0</v>
      </c>
      <c r="BI308" s="1458">
        <v>0</v>
      </c>
      <c r="BJ308" s="1458">
        <v>0</v>
      </c>
      <c r="BK308" s="1458">
        <v>0</v>
      </c>
      <c r="BL308" s="1458">
        <v>0</v>
      </c>
      <c r="BM308" s="1458">
        <v>0</v>
      </c>
      <c r="BN308" s="1458">
        <v>0</v>
      </c>
      <c r="BO308" s="1458">
        <v>0</v>
      </c>
      <c r="BP308" s="1458">
        <v>0</v>
      </c>
      <c r="BQ308" s="1458">
        <v>0</v>
      </c>
      <c r="BR308" s="1458">
        <v>0</v>
      </c>
      <c r="BS308" s="1458">
        <v>0</v>
      </c>
      <c r="BT308" s="398">
        <v>0</v>
      </c>
      <c r="BU308"/>
      <c r="BV308" s="1458">
        <v>0</v>
      </c>
      <c r="BW308" s="1458">
        <v>0</v>
      </c>
      <c r="BX308" s="1458">
        <v>0</v>
      </c>
      <c r="BY308" s="398">
        <v>0</v>
      </c>
      <c r="BZ308" s="398">
        <v>1202000</v>
      </c>
    </row>
    <row r="309" spans="1:79" s="153" customFormat="1" ht="27.5" hidden="1" customHeight="1" outlineLevel="4">
      <c r="A309" s="159"/>
      <c r="B309" s="702" t="s">
        <v>2593</v>
      </c>
      <c r="C309" s="1722" t="s">
        <v>1279</v>
      </c>
      <c r="D309" s="703" t="s">
        <v>1484</v>
      </c>
      <c r="E309"/>
      <c r="F309" s="439"/>
      <c r="G309" s="439"/>
      <c r="H309" s="439"/>
      <c r="I309" s="439"/>
      <c r="J309" s="439"/>
      <c r="K309" s="439"/>
      <c r="L309" s="439"/>
      <c r="M309" s="439"/>
      <c r="N309" s="439"/>
      <c r="O309" s="439"/>
      <c r="P309" s="439">
        <v>0</v>
      </c>
      <c r="Q309"/>
      <c r="R309" s="439"/>
      <c r="S309" s="439"/>
      <c r="T309" s="439"/>
      <c r="U309" s="439"/>
      <c r="V309" s="439"/>
      <c r="W309" s="439"/>
      <c r="X309" s="439"/>
      <c r="Y309" s="439"/>
      <c r="Z309" s="439"/>
      <c r="AA309" s="439"/>
      <c r="AB309" s="439"/>
      <c r="AC309" s="439"/>
      <c r="AD309" s="439">
        <v>0</v>
      </c>
      <c r="AE309"/>
      <c r="AF309" s="439"/>
      <c r="AG309" s="439"/>
      <c r="AH309" s="439">
        <v>113000</v>
      </c>
      <c r="AI309" s="439"/>
      <c r="AJ309" s="439"/>
      <c r="AK309" s="439"/>
      <c r="AL309" s="439">
        <v>90400</v>
      </c>
      <c r="AM309" s="439"/>
      <c r="AN309" s="439"/>
      <c r="AO309" s="439"/>
      <c r="AP309" s="439">
        <v>90400</v>
      </c>
      <c r="AQ309" s="439"/>
      <c r="AR309" s="439">
        <v>293800</v>
      </c>
      <c r="AS309"/>
      <c r="AT309" s="439"/>
      <c r="AU309" s="439"/>
      <c r="AV309" s="439">
        <v>90400</v>
      </c>
      <c r="AW309" s="439"/>
      <c r="AX309" s="439"/>
      <c r="AY309" s="439">
        <v>67800</v>
      </c>
      <c r="AZ309" s="439"/>
      <c r="BA309" s="439"/>
      <c r="BB309" s="439"/>
      <c r="BC309" s="439"/>
      <c r="BD309" s="439"/>
      <c r="BE309" s="439"/>
      <c r="BF309" s="439">
        <v>158200</v>
      </c>
      <c r="BG309"/>
      <c r="BH309" s="439"/>
      <c r="BI309" s="439"/>
      <c r="BJ309" s="439"/>
      <c r="BK309" s="439"/>
      <c r="BL309" s="439"/>
      <c r="BM309" s="439"/>
      <c r="BN309" s="439"/>
      <c r="BO309" s="439"/>
      <c r="BP309" s="439"/>
      <c r="BQ309" s="439"/>
      <c r="BR309" s="439"/>
      <c r="BS309" s="439"/>
      <c r="BT309" s="439">
        <v>0</v>
      </c>
      <c r="BU309"/>
      <c r="BV309" s="439"/>
      <c r="BW309" s="439"/>
      <c r="BX309" s="439"/>
      <c r="BY309" s="439">
        <v>0</v>
      </c>
      <c r="BZ309" s="439">
        <v>452000</v>
      </c>
    </row>
    <row r="310" spans="1:79" s="108" customFormat="1" ht="41.5" hidden="1" customHeight="1" outlineLevel="4">
      <c r="A310" s="580"/>
      <c r="B310" s="702" t="s">
        <v>2594</v>
      </c>
      <c r="C310" s="1722" t="s">
        <v>1279</v>
      </c>
      <c r="D310" s="703" t="s">
        <v>1488</v>
      </c>
      <c r="E310"/>
      <c r="F310" s="1032"/>
      <c r="G310" s="1032"/>
      <c r="H310" s="1032"/>
      <c r="I310" s="1032"/>
      <c r="J310" s="1032"/>
      <c r="K310" s="1032"/>
      <c r="L310" s="1032"/>
      <c r="M310" s="1032"/>
      <c r="N310" s="1032"/>
      <c r="O310" s="1032"/>
      <c r="P310" s="1105">
        <v>0</v>
      </c>
      <c r="Q310"/>
      <c r="R310" s="1032"/>
      <c r="S310" s="1032"/>
      <c r="T310" s="1032"/>
      <c r="U310" s="1032"/>
      <c r="V310" s="1032"/>
      <c r="W310" s="1032"/>
      <c r="X310" s="1032"/>
      <c r="Y310" s="1032"/>
      <c r="Z310" s="1032"/>
      <c r="AA310" s="1032"/>
      <c r="AB310" s="1032"/>
      <c r="AC310" s="1032"/>
      <c r="AD310" s="1105">
        <v>0</v>
      </c>
      <c r="AE310"/>
      <c r="AF310" s="1032"/>
      <c r="AG310" s="1032"/>
      <c r="AH310" s="439">
        <v>25000</v>
      </c>
      <c r="AI310" s="439"/>
      <c r="AJ310" s="439"/>
      <c r="AK310" s="439"/>
      <c r="AL310" s="439">
        <v>20000</v>
      </c>
      <c r="AM310" s="439"/>
      <c r="AN310" s="439"/>
      <c r="AO310" s="439"/>
      <c r="AP310" s="439">
        <v>20000</v>
      </c>
      <c r="AQ310" s="439"/>
      <c r="AR310" s="439">
        <v>65000</v>
      </c>
      <c r="AS310"/>
      <c r="AT310" s="439"/>
      <c r="AU310" s="439"/>
      <c r="AV310" s="439">
        <v>20000</v>
      </c>
      <c r="AW310" s="439"/>
      <c r="AX310" s="439"/>
      <c r="AY310" s="439">
        <v>15000</v>
      </c>
      <c r="AZ310" s="1032"/>
      <c r="BA310" s="1032"/>
      <c r="BB310" s="1032"/>
      <c r="BC310" s="1032"/>
      <c r="BD310" s="1032"/>
      <c r="BE310" s="1032"/>
      <c r="BF310" s="1105">
        <v>35000</v>
      </c>
      <c r="BG310"/>
      <c r="BH310" s="1032"/>
      <c r="BI310" s="1032"/>
      <c r="BJ310" s="1032"/>
      <c r="BK310" s="1032"/>
      <c r="BL310" s="1032"/>
      <c r="BM310" s="1032"/>
      <c r="BN310" s="1032"/>
      <c r="BO310" s="1032"/>
      <c r="BP310" s="1032"/>
      <c r="BQ310" s="1032"/>
      <c r="BR310" s="1032"/>
      <c r="BS310" s="1032"/>
      <c r="BT310" s="1105">
        <v>0</v>
      </c>
      <c r="BU310"/>
      <c r="BV310" s="1032"/>
      <c r="BW310" s="1032"/>
      <c r="BX310" s="1032"/>
      <c r="BY310" s="1105">
        <v>0</v>
      </c>
      <c r="BZ310" s="1105">
        <v>100000</v>
      </c>
    </row>
    <row r="311" spans="1:79" s="108" customFormat="1" ht="69" hidden="1" customHeight="1" outlineLevel="4">
      <c r="A311" s="580"/>
      <c r="B311" s="702" t="s">
        <v>2595</v>
      </c>
      <c r="C311" s="1722" t="s">
        <v>1279</v>
      </c>
      <c r="D311" s="703" t="s">
        <v>1490</v>
      </c>
      <c r="E311"/>
      <c r="F311" s="1032"/>
      <c r="G311" s="1032"/>
      <c r="H311" s="1032"/>
      <c r="I311" s="1032"/>
      <c r="J311" s="1032"/>
      <c r="K311" s="1032"/>
      <c r="L311" s="1032"/>
      <c r="M311" s="1032"/>
      <c r="N311" s="1032"/>
      <c r="O311" s="1032"/>
      <c r="P311" s="1105">
        <v>0</v>
      </c>
      <c r="Q311"/>
      <c r="R311" s="1032"/>
      <c r="S311" s="1032"/>
      <c r="T311" s="1032"/>
      <c r="U311" s="1032"/>
      <c r="V311" s="1032"/>
      <c r="W311" s="1032"/>
      <c r="X311" s="1032"/>
      <c r="Y311" s="1032"/>
      <c r="Z311" s="1032"/>
      <c r="AA311" s="1032"/>
      <c r="AB311" s="1032"/>
      <c r="AC311" s="1032"/>
      <c r="AD311" s="1105">
        <v>0</v>
      </c>
      <c r="AE311"/>
      <c r="AF311" s="1032"/>
      <c r="AG311" s="1032"/>
      <c r="AH311" s="439">
        <v>125000</v>
      </c>
      <c r="AI311" s="439"/>
      <c r="AJ311" s="439"/>
      <c r="AK311" s="439"/>
      <c r="AL311" s="439">
        <v>100000</v>
      </c>
      <c r="AM311" s="439"/>
      <c r="AN311" s="439"/>
      <c r="AO311" s="439"/>
      <c r="AP311" s="439">
        <v>100000</v>
      </c>
      <c r="AQ311" s="439"/>
      <c r="AR311" s="439">
        <v>325000</v>
      </c>
      <c r="AS311"/>
      <c r="AT311" s="439"/>
      <c r="AU311" s="439"/>
      <c r="AV311" s="439">
        <v>100000</v>
      </c>
      <c r="AW311" s="439"/>
      <c r="AX311" s="439"/>
      <c r="AY311" s="439">
        <v>75000</v>
      </c>
      <c r="AZ311" s="1032"/>
      <c r="BA311" s="1032"/>
      <c r="BB311" s="1032"/>
      <c r="BC311" s="1032"/>
      <c r="BD311" s="1032"/>
      <c r="BE311" s="1032"/>
      <c r="BF311" s="1105">
        <v>175000</v>
      </c>
      <c r="BG311"/>
      <c r="BH311" s="1032"/>
      <c r="BI311" s="1032"/>
      <c r="BJ311" s="1032"/>
      <c r="BK311" s="1032"/>
      <c r="BL311" s="1032"/>
      <c r="BM311" s="1032"/>
      <c r="BN311" s="1032"/>
      <c r="BO311" s="1032"/>
      <c r="BP311" s="1032"/>
      <c r="BQ311" s="1032"/>
      <c r="BR311" s="1032"/>
      <c r="BS311" s="1032"/>
      <c r="BT311" s="1105">
        <v>0</v>
      </c>
      <c r="BU311"/>
      <c r="BV311" s="1032"/>
      <c r="BW311" s="1032"/>
      <c r="BX311" s="1032"/>
      <c r="BY311" s="1105">
        <v>0</v>
      </c>
      <c r="BZ311" s="1105">
        <v>500000</v>
      </c>
    </row>
    <row r="312" spans="1:79" s="108" customFormat="1" ht="41.5" hidden="1" customHeight="1" outlineLevel="4">
      <c r="A312" s="580"/>
      <c r="B312" s="702" t="s">
        <v>2596</v>
      </c>
      <c r="C312" s="1722" t="s">
        <v>1279</v>
      </c>
      <c r="D312" s="1470" t="s">
        <v>1492</v>
      </c>
      <c r="E312"/>
      <c r="F312" s="1032"/>
      <c r="G312" s="1032"/>
      <c r="H312" s="1032"/>
      <c r="I312" s="1032"/>
      <c r="J312" s="1032"/>
      <c r="K312" s="1032"/>
      <c r="L312" s="1032"/>
      <c r="M312" s="1032"/>
      <c r="N312" s="1032"/>
      <c r="O312" s="1032"/>
      <c r="P312" s="1105">
        <v>0</v>
      </c>
      <c r="Q312"/>
      <c r="R312" s="1032"/>
      <c r="S312" s="1032"/>
      <c r="T312" s="1032"/>
      <c r="U312" s="1032"/>
      <c r="V312" s="1032"/>
      <c r="W312" s="1032"/>
      <c r="X312" s="1032"/>
      <c r="Y312" s="1032"/>
      <c r="Z312" s="1032"/>
      <c r="AA312" s="1032"/>
      <c r="AB312" s="1032"/>
      <c r="AC312" s="1032"/>
      <c r="AD312" s="1105">
        <v>0</v>
      </c>
      <c r="AE312"/>
      <c r="AF312" s="1032"/>
      <c r="AG312" s="1032"/>
      <c r="AH312" s="439">
        <v>25000</v>
      </c>
      <c r="AI312" s="439"/>
      <c r="AJ312" s="439"/>
      <c r="AK312" s="439"/>
      <c r="AL312" s="439">
        <v>20000</v>
      </c>
      <c r="AM312" s="439"/>
      <c r="AN312" s="439"/>
      <c r="AO312" s="439"/>
      <c r="AP312" s="439">
        <v>20000</v>
      </c>
      <c r="AQ312" s="439"/>
      <c r="AR312" s="439">
        <v>65000</v>
      </c>
      <c r="AS312"/>
      <c r="AT312" s="439"/>
      <c r="AU312" s="439"/>
      <c r="AV312" s="439">
        <v>20000</v>
      </c>
      <c r="AW312" s="439"/>
      <c r="AX312" s="439"/>
      <c r="AY312" s="439">
        <v>15000</v>
      </c>
      <c r="AZ312" s="1032"/>
      <c r="BA312" s="1032"/>
      <c r="BB312" s="1032"/>
      <c r="BC312" s="1032"/>
      <c r="BD312" s="1032"/>
      <c r="BE312" s="1032"/>
      <c r="BF312" s="1105">
        <v>35000</v>
      </c>
      <c r="BG312"/>
      <c r="BH312" s="1032"/>
      <c r="BI312" s="1032"/>
      <c r="BJ312" s="1032"/>
      <c r="BK312" s="1032"/>
      <c r="BL312" s="1032"/>
      <c r="BM312" s="1032"/>
      <c r="BN312" s="1032"/>
      <c r="BO312" s="1032"/>
      <c r="BP312" s="1032"/>
      <c r="BQ312" s="1032"/>
      <c r="BR312" s="1032"/>
      <c r="BS312" s="1032"/>
      <c r="BT312" s="1105">
        <v>0</v>
      </c>
      <c r="BU312"/>
      <c r="BV312" s="1032"/>
      <c r="BW312" s="1032"/>
      <c r="BX312" s="1032"/>
      <c r="BY312" s="1105">
        <v>0</v>
      </c>
      <c r="BZ312" s="1105">
        <v>100000</v>
      </c>
    </row>
    <row r="313" spans="1:79" s="108" customFormat="1" ht="27.5" hidden="1" customHeight="1" outlineLevel="4">
      <c r="A313" s="580"/>
      <c r="B313" s="702" t="s">
        <v>2597</v>
      </c>
      <c r="C313" s="1722" t="s">
        <v>1279</v>
      </c>
      <c r="D313" s="1470" t="s">
        <v>1494</v>
      </c>
      <c r="E313"/>
      <c r="F313" s="1032"/>
      <c r="G313" s="1032"/>
      <c r="H313" s="1032"/>
      <c r="I313" s="1032"/>
      <c r="J313" s="1032"/>
      <c r="K313" s="1032"/>
      <c r="L313" s="1032"/>
      <c r="M313" s="1032"/>
      <c r="N313" s="1032"/>
      <c r="O313" s="1032"/>
      <c r="P313" s="1105">
        <v>0</v>
      </c>
      <c r="Q313"/>
      <c r="R313" s="1032"/>
      <c r="S313" s="1032"/>
      <c r="T313" s="1032"/>
      <c r="U313" s="1032"/>
      <c r="V313" s="1032"/>
      <c r="W313" s="1032"/>
      <c r="X313" s="1032"/>
      <c r="Y313" s="1032"/>
      <c r="Z313" s="1032"/>
      <c r="AA313" s="1032"/>
      <c r="AB313" s="1032"/>
      <c r="AC313" s="1032"/>
      <c r="AD313" s="1105">
        <v>0</v>
      </c>
      <c r="AE313"/>
      <c r="AF313" s="1032"/>
      <c r="AG313" s="1032"/>
      <c r="AH313" s="439">
        <v>12500</v>
      </c>
      <c r="AI313" s="439"/>
      <c r="AJ313" s="439"/>
      <c r="AK313" s="439"/>
      <c r="AL313" s="439">
        <v>10000</v>
      </c>
      <c r="AM313" s="439"/>
      <c r="AN313" s="439"/>
      <c r="AO313" s="439"/>
      <c r="AP313" s="439">
        <v>10000</v>
      </c>
      <c r="AQ313" s="439"/>
      <c r="AR313" s="439">
        <v>32500</v>
      </c>
      <c r="AS313"/>
      <c r="AT313" s="439"/>
      <c r="AU313" s="439"/>
      <c r="AV313" s="439">
        <v>10000</v>
      </c>
      <c r="AW313" s="439"/>
      <c r="AX313" s="439"/>
      <c r="AY313" s="439">
        <v>7500</v>
      </c>
      <c r="AZ313" s="1032"/>
      <c r="BA313" s="1032"/>
      <c r="BB313" s="1032"/>
      <c r="BC313" s="1032"/>
      <c r="BD313" s="1032"/>
      <c r="BE313" s="1032"/>
      <c r="BF313" s="1105">
        <v>17500</v>
      </c>
      <c r="BG313"/>
      <c r="BH313" s="1032"/>
      <c r="BI313" s="1032"/>
      <c r="BJ313" s="1032"/>
      <c r="BK313" s="1032"/>
      <c r="BL313" s="1032"/>
      <c r="BM313" s="1032"/>
      <c r="BN313" s="1032"/>
      <c r="BO313" s="1032"/>
      <c r="BP313" s="1032"/>
      <c r="BQ313" s="1032"/>
      <c r="BR313" s="1032"/>
      <c r="BS313" s="1032"/>
      <c r="BT313" s="1105">
        <v>0</v>
      </c>
      <c r="BU313"/>
      <c r="BV313" s="1032"/>
      <c r="BW313" s="1032"/>
      <c r="BX313" s="1032"/>
      <c r="BY313" s="1105">
        <v>0</v>
      </c>
      <c r="BZ313" s="1105">
        <v>50000</v>
      </c>
    </row>
    <row r="314" spans="1:79" s="108" customFormat="1" ht="70.25" hidden="1" customHeight="1" outlineLevel="3" collapsed="1">
      <c r="A314" s="580"/>
      <c r="B314" s="702" t="s">
        <v>2598</v>
      </c>
      <c r="C314" s="107"/>
      <c r="D314" s="1639" t="s">
        <v>1496</v>
      </c>
      <c r="E314"/>
      <c r="F314" s="1032"/>
      <c r="G314" s="1032"/>
      <c r="H314" s="1032"/>
      <c r="I314" s="1032"/>
      <c r="J314" s="1032"/>
      <c r="K314" s="1032"/>
      <c r="L314" s="1032"/>
      <c r="M314" s="1032"/>
      <c r="N314" s="1032"/>
      <c r="O314" s="1032"/>
      <c r="P314" s="1105">
        <v>0</v>
      </c>
      <c r="Q314"/>
      <c r="R314" s="1032"/>
      <c r="S314" s="1032"/>
      <c r="T314" s="1032"/>
      <c r="U314" s="1032"/>
      <c r="V314" s="1032"/>
      <c r="W314" s="1032"/>
      <c r="X314" s="1032"/>
      <c r="Y314" s="1032"/>
      <c r="Z314" s="1032"/>
      <c r="AA314" s="1032"/>
      <c r="AB314" s="1032"/>
      <c r="AC314" s="1032"/>
      <c r="AD314" s="1105">
        <v>0</v>
      </c>
      <c r="AE314"/>
      <c r="AF314" s="1032"/>
      <c r="AG314" s="1032"/>
      <c r="AH314" s="1032"/>
      <c r="AI314" s="1032"/>
      <c r="AJ314" s="1032"/>
      <c r="AK314" s="1032"/>
      <c r="AL314" s="1032"/>
      <c r="AM314" s="1032"/>
      <c r="AN314" s="1032"/>
      <c r="AO314" s="1032"/>
      <c r="AP314" s="1032"/>
      <c r="AQ314" s="1032"/>
      <c r="AR314" s="1105">
        <v>0</v>
      </c>
      <c r="AS314"/>
      <c r="AT314" s="1032"/>
      <c r="AU314" s="1032"/>
      <c r="AV314" s="1032"/>
      <c r="AW314" s="1032"/>
      <c r="AX314" s="1032"/>
      <c r="AY314" s="1032"/>
      <c r="AZ314" s="1032">
        <v>391800</v>
      </c>
      <c r="BA314" s="1032"/>
      <c r="BB314" s="1032"/>
      <c r="BC314" s="1032"/>
      <c r="BD314" s="1032">
        <v>391800</v>
      </c>
      <c r="BE314" s="1032"/>
      <c r="BF314" s="1105">
        <v>783600</v>
      </c>
      <c r="BG314"/>
      <c r="BH314" s="1032"/>
      <c r="BI314" s="1032"/>
      <c r="BJ314" s="1032">
        <v>391800</v>
      </c>
      <c r="BK314" s="1032"/>
      <c r="BL314" s="1032"/>
      <c r="BM314" s="1032"/>
      <c r="BN314" s="1032">
        <v>391800</v>
      </c>
      <c r="BO314" s="1032"/>
      <c r="BP314" s="1032"/>
      <c r="BQ314" s="1032"/>
      <c r="BR314" s="1032">
        <v>391800</v>
      </c>
      <c r="BS314" s="1032"/>
      <c r="BT314" s="1105">
        <v>1175400</v>
      </c>
      <c r="BU314"/>
      <c r="BV314" s="1032"/>
      <c r="BW314" s="1032"/>
      <c r="BX314" s="1032"/>
      <c r="BY314" s="1105">
        <v>0</v>
      </c>
      <c r="BZ314" s="1105">
        <v>1959000</v>
      </c>
    </row>
    <row r="315" spans="1:79" s="153" customFormat="1" ht="55.25" customHeight="1" outlineLevel="2" collapsed="1">
      <c r="A315" s="172"/>
      <c r="B315" s="171" t="s">
        <v>544</v>
      </c>
      <c r="C315" s="171"/>
      <c r="D315" s="538" t="s">
        <v>285</v>
      </c>
      <c r="E315"/>
      <c r="F315" s="980">
        <v>0</v>
      </c>
      <c r="G315" s="980">
        <v>0</v>
      </c>
      <c r="H315" s="980">
        <v>0</v>
      </c>
      <c r="I315" s="980">
        <v>0</v>
      </c>
      <c r="J315" s="980">
        <v>0</v>
      </c>
      <c r="K315" s="980">
        <v>0</v>
      </c>
      <c r="L315" s="980">
        <v>0</v>
      </c>
      <c r="M315" s="980">
        <v>0</v>
      </c>
      <c r="N315" s="980">
        <v>0</v>
      </c>
      <c r="O315" s="980">
        <v>0</v>
      </c>
      <c r="P315" s="980">
        <v>0</v>
      </c>
      <c r="Q315"/>
      <c r="R315" s="980">
        <v>0</v>
      </c>
      <c r="S315" s="980">
        <v>0</v>
      </c>
      <c r="T315" s="980">
        <v>0</v>
      </c>
      <c r="U315" s="980">
        <v>0</v>
      </c>
      <c r="V315" s="980">
        <v>0</v>
      </c>
      <c r="W315" s="980">
        <v>0</v>
      </c>
      <c r="X315" s="980">
        <v>0</v>
      </c>
      <c r="Y315" s="980">
        <v>0</v>
      </c>
      <c r="Z315" s="980">
        <v>0</v>
      </c>
      <c r="AA315" s="980">
        <v>0</v>
      </c>
      <c r="AB315" s="980">
        <v>0</v>
      </c>
      <c r="AC315" s="980">
        <v>0</v>
      </c>
      <c r="AD315" s="980">
        <v>0</v>
      </c>
      <c r="AE315"/>
      <c r="AF315" s="980">
        <v>0</v>
      </c>
      <c r="AG315" s="980">
        <v>0</v>
      </c>
      <c r="AH315" s="980">
        <v>0</v>
      </c>
      <c r="AI315" s="980">
        <v>0</v>
      </c>
      <c r="AJ315" s="980">
        <v>0</v>
      </c>
      <c r="AK315" s="980">
        <v>0</v>
      </c>
      <c r="AL315" s="980">
        <v>0</v>
      </c>
      <c r="AM315" s="980">
        <v>0</v>
      </c>
      <c r="AN315" s="980">
        <v>0</v>
      </c>
      <c r="AO315" s="980">
        <v>0</v>
      </c>
      <c r="AP315" s="980">
        <v>160000</v>
      </c>
      <c r="AQ315" s="980">
        <v>0</v>
      </c>
      <c r="AR315" s="980">
        <v>160000</v>
      </c>
      <c r="AS315"/>
      <c r="AT315" s="980">
        <v>0</v>
      </c>
      <c r="AU315" s="980">
        <v>160000</v>
      </c>
      <c r="AV315" s="980">
        <v>0</v>
      </c>
      <c r="AW315" s="980">
        <v>0</v>
      </c>
      <c r="AX315" s="980">
        <v>0</v>
      </c>
      <c r="AY315" s="980">
        <v>120000</v>
      </c>
      <c r="AZ315" s="980">
        <v>0</v>
      </c>
      <c r="BA315" s="980">
        <v>0</v>
      </c>
      <c r="BB315" s="980">
        <v>0</v>
      </c>
      <c r="BC315" s="980">
        <v>120000</v>
      </c>
      <c r="BD315" s="980">
        <v>0</v>
      </c>
      <c r="BE315" s="980">
        <v>0</v>
      </c>
      <c r="BF315" s="981">
        <v>400000</v>
      </c>
      <c r="BG315"/>
      <c r="BH315" s="980">
        <v>0</v>
      </c>
      <c r="BI315" s="980">
        <v>0</v>
      </c>
      <c r="BJ315" s="980">
        <v>120000</v>
      </c>
      <c r="BK315" s="980">
        <v>0</v>
      </c>
      <c r="BL315" s="980">
        <v>0</v>
      </c>
      <c r="BM315" s="980">
        <v>0</v>
      </c>
      <c r="BN315" s="980">
        <v>120000</v>
      </c>
      <c r="BO315" s="980">
        <v>0</v>
      </c>
      <c r="BP315" s="980">
        <v>0</v>
      </c>
      <c r="BQ315" s="980">
        <v>0</v>
      </c>
      <c r="BR315" s="980">
        <v>0</v>
      </c>
      <c r="BS315" s="980">
        <v>0</v>
      </c>
      <c r="BT315" s="979">
        <v>240000</v>
      </c>
      <c r="BU315"/>
      <c r="BV315" s="980">
        <v>0</v>
      </c>
      <c r="BW315" s="980">
        <v>0</v>
      </c>
      <c r="BX315" s="980">
        <v>0</v>
      </c>
      <c r="BY315" s="979">
        <v>0</v>
      </c>
      <c r="BZ315" s="979">
        <v>800000</v>
      </c>
    </row>
    <row r="316" spans="1:79" s="108" customFormat="1" ht="51" hidden="1" customHeight="1" outlineLevel="3">
      <c r="A316" s="580"/>
      <c r="B316" s="107" t="s">
        <v>2599</v>
      </c>
      <c r="C316" s="107"/>
      <c r="D316" s="533" t="s">
        <v>1503</v>
      </c>
      <c r="E316"/>
      <c r="F316" s="3787"/>
      <c r="G316" s="3787"/>
      <c r="H316" s="3787"/>
      <c r="I316" s="3787"/>
      <c r="J316" s="3787"/>
      <c r="K316" s="3787"/>
      <c r="L316" s="3787"/>
      <c r="M316" s="3787"/>
      <c r="N316" s="3787"/>
      <c r="O316" s="3787"/>
      <c r="P316" s="3787">
        <v>0</v>
      </c>
      <c r="Q316" s="3787"/>
      <c r="R316" s="3787"/>
      <c r="S316" s="3787"/>
      <c r="T316" s="3787"/>
      <c r="U316" s="3787"/>
      <c r="V316" s="3787"/>
      <c r="W316" s="3787"/>
      <c r="X316" s="3787"/>
      <c r="Y316" s="3787"/>
      <c r="Z316" s="3787"/>
      <c r="AA316" s="3787"/>
      <c r="AB316" s="3787"/>
      <c r="AC316" s="3787"/>
      <c r="AD316" s="3787">
        <v>0</v>
      </c>
      <c r="AE316" s="3787"/>
      <c r="AF316" s="3787"/>
      <c r="AG316" s="3787"/>
      <c r="AH316" s="3787"/>
      <c r="AI316" s="3787"/>
      <c r="AJ316" s="3787"/>
      <c r="AK316" s="3787"/>
      <c r="AL316" s="3787"/>
      <c r="AM316" s="3787"/>
      <c r="AN316" s="3787"/>
      <c r="AO316" s="3787"/>
      <c r="AP316" s="3787">
        <v>160000</v>
      </c>
      <c r="AQ316" s="3787"/>
      <c r="AR316" s="3787">
        <v>160000</v>
      </c>
      <c r="AS316" s="3787"/>
      <c r="AT316" s="3787"/>
      <c r="AU316" s="3787">
        <v>160000</v>
      </c>
      <c r="AV316" s="3787"/>
      <c r="AW316" s="3787"/>
      <c r="AX316" s="3787"/>
      <c r="AY316" s="3787">
        <v>120000</v>
      </c>
      <c r="AZ316" s="3787"/>
      <c r="BA316" s="3787"/>
      <c r="BB316" s="3787"/>
      <c r="BC316" s="3787">
        <v>120000</v>
      </c>
      <c r="BD316" s="3787"/>
      <c r="BE316" s="3787"/>
      <c r="BF316" s="3787">
        <v>400000</v>
      </c>
      <c r="BG316" s="3787"/>
      <c r="BH316" s="3787"/>
      <c r="BI316" s="3787"/>
      <c r="BJ316" s="3787">
        <v>120000</v>
      </c>
      <c r="BK316" s="3787"/>
      <c r="BL316" s="3787"/>
      <c r="BM316" s="3787"/>
      <c r="BN316" s="3787">
        <v>120000</v>
      </c>
      <c r="BO316" s="3787"/>
      <c r="BP316" s="3787"/>
      <c r="BQ316" s="3787"/>
      <c r="BR316" s="3787"/>
      <c r="BS316" s="3787"/>
      <c r="BT316" s="3787">
        <v>240000</v>
      </c>
      <c r="BU316" s="3787"/>
      <c r="BV316" s="3787"/>
      <c r="BW316" s="3787"/>
      <c r="BX316" s="3787"/>
      <c r="BY316" s="3787">
        <v>0</v>
      </c>
      <c r="BZ316" s="3787">
        <v>800000</v>
      </c>
    </row>
    <row r="317" spans="1:79" s="108" customFormat="1" ht="45.5" hidden="1" customHeight="1" outlineLevel="3">
      <c r="A317" s="580"/>
      <c r="B317" s="107" t="s">
        <v>2600</v>
      </c>
      <c r="C317" s="107"/>
      <c r="D317" s="533" t="s">
        <v>1505</v>
      </c>
      <c r="E317"/>
      <c r="F317" s="3788"/>
      <c r="G317" s="3788"/>
      <c r="H317" s="3788"/>
      <c r="I317" s="3788"/>
      <c r="J317" s="3788"/>
      <c r="K317" s="3788"/>
      <c r="L317" s="3788"/>
      <c r="M317" s="3788"/>
      <c r="N317" s="3788"/>
      <c r="O317" s="3788"/>
      <c r="P317" s="3788">
        <f>SUM(F317:O317)</f>
        <v>0</v>
      </c>
      <c r="Q317" s="3788"/>
      <c r="R317" s="3788"/>
      <c r="S317" s="3788"/>
      <c r="T317" s="3788"/>
      <c r="U317" s="3788"/>
      <c r="V317" s="3788"/>
      <c r="W317" s="3788"/>
      <c r="X317" s="3788"/>
      <c r="Y317" s="3788"/>
      <c r="Z317" s="3788"/>
      <c r="AA317" s="3788"/>
      <c r="AB317" s="3788"/>
      <c r="AC317" s="3788"/>
      <c r="AD317" s="3788">
        <f>SUM(R317:AC317)</f>
        <v>0</v>
      </c>
      <c r="AE317" s="3788"/>
      <c r="AF317" s="3788"/>
      <c r="AG317" s="3788"/>
      <c r="AH317" s="3788"/>
      <c r="AI317" s="3788"/>
      <c r="AJ317" s="3788"/>
      <c r="AK317" s="3788"/>
      <c r="AL317" s="3788"/>
      <c r="AM317" s="3788"/>
      <c r="AN317" s="3788"/>
      <c r="AO317" s="3788"/>
      <c r="AP317" s="3788"/>
      <c r="AQ317" s="3788"/>
      <c r="AR317" s="3788">
        <f>SUM(AF317:AQ317)</f>
        <v>0</v>
      </c>
      <c r="AS317" s="3788"/>
      <c r="AT317" s="3788"/>
      <c r="AU317" s="3788"/>
      <c r="AV317" s="3788"/>
      <c r="AW317" s="3788"/>
      <c r="AX317" s="3788"/>
      <c r="AY317" s="3788"/>
      <c r="AZ317" s="3788"/>
      <c r="BA317" s="3788"/>
      <c r="BB317" s="3788"/>
      <c r="BC317" s="3788"/>
      <c r="BD317" s="3788"/>
      <c r="BE317" s="3788"/>
      <c r="BF317" s="3788">
        <f>SUM(AT317:BE317)</f>
        <v>0</v>
      </c>
      <c r="BG317" s="3788"/>
      <c r="BH317" s="3788"/>
      <c r="BI317" s="3788"/>
      <c r="BJ317" s="3788"/>
      <c r="BK317" s="3788"/>
      <c r="BL317" s="3788"/>
      <c r="BM317" s="3788"/>
      <c r="BN317" s="3788"/>
      <c r="BO317" s="3788"/>
      <c r="BP317" s="3788"/>
      <c r="BQ317" s="3788"/>
      <c r="BR317" s="3788"/>
      <c r="BS317" s="3788"/>
      <c r="BT317" s="3788">
        <f>SUM(BH317:BS317)</f>
        <v>0</v>
      </c>
      <c r="BU317" s="3788"/>
      <c r="BV317" s="3788"/>
      <c r="BW317" s="3788"/>
      <c r="BX317" s="3788"/>
      <c r="BY317" s="3788">
        <f>SUM(BV317:BX317)</f>
        <v>0</v>
      </c>
      <c r="BZ317" s="3788">
        <f>+P317+AD317+AR317+BF317+BT317+BY317</f>
        <v>0</v>
      </c>
    </row>
    <row r="318" spans="1:79" s="108" customFormat="1" ht="36.5" hidden="1" customHeight="1" outlineLevel="3">
      <c r="A318" s="580"/>
      <c r="B318" s="107" t="s">
        <v>2601</v>
      </c>
      <c r="C318" s="107"/>
      <c r="D318" s="533" t="s">
        <v>1507</v>
      </c>
      <c r="E318"/>
      <c r="F318" s="3788"/>
      <c r="G318" s="3788"/>
      <c r="H318" s="3788"/>
      <c r="I318" s="3788"/>
      <c r="J318" s="3788"/>
      <c r="K318" s="3788"/>
      <c r="L318" s="3788"/>
      <c r="M318" s="3788"/>
      <c r="N318" s="3788"/>
      <c r="O318" s="3788"/>
      <c r="P318" s="3788">
        <f>SUM(F318:O318)</f>
        <v>0</v>
      </c>
      <c r="Q318" s="3788"/>
      <c r="R318" s="3788"/>
      <c r="S318" s="3788"/>
      <c r="T318" s="3788"/>
      <c r="U318" s="3788"/>
      <c r="V318" s="3788"/>
      <c r="W318" s="3788"/>
      <c r="X318" s="3788"/>
      <c r="Y318" s="3788"/>
      <c r="Z318" s="3788"/>
      <c r="AA318" s="3788"/>
      <c r="AB318" s="3788"/>
      <c r="AC318" s="3788"/>
      <c r="AD318" s="3788">
        <f>SUM(R318:AC318)</f>
        <v>0</v>
      </c>
      <c r="AE318" s="3788"/>
      <c r="AF318" s="3788"/>
      <c r="AG318" s="3788"/>
      <c r="AH318" s="3788"/>
      <c r="AI318" s="3788"/>
      <c r="AJ318" s="3788"/>
      <c r="AK318" s="3788"/>
      <c r="AL318" s="3788"/>
      <c r="AM318" s="3788"/>
      <c r="AN318" s="3788"/>
      <c r="AO318" s="3788"/>
      <c r="AP318" s="3788"/>
      <c r="AQ318" s="3788"/>
      <c r="AR318" s="3788">
        <f>SUM(AF318:AQ318)</f>
        <v>0</v>
      </c>
      <c r="AS318" s="3788"/>
      <c r="AT318" s="3788"/>
      <c r="AU318" s="3788"/>
      <c r="AV318" s="3788"/>
      <c r="AW318" s="3788"/>
      <c r="AX318" s="3788"/>
      <c r="AY318" s="3788"/>
      <c r="AZ318" s="3788"/>
      <c r="BA318" s="3788"/>
      <c r="BB318" s="3788"/>
      <c r="BC318" s="3788"/>
      <c r="BD318" s="3788"/>
      <c r="BE318" s="3788"/>
      <c r="BF318" s="3788">
        <f>SUM(AT318:BE318)</f>
        <v>0</v>
      </c>
      <c r="BG318" s="3788"/>
      <c r="BH318" s="3788"/>
      <c r="BI318" s="3788"/>
      <c r="BJ318" s="3788"/>
      <c r="BK318" s="3788"/>
      <c r="BL318" s="3788"/>
      <c r="BM318" s="3788"/>
      <c r="BN318" s="3788"/>
      <c r="BO318" s="3788"/>
      <c r="BP318" s="3788"/>
      <c r="BQ318" s="3788"/>
      <c r="BR318" s="3788"/>
      <c r="BS318" s="3788"/>
      <c r="BT318" s="3788">
        <f>SUM(BH318:BS318)</f>
        <v>0</v>
      </c>
      <c r="BU318" s="3788"/>
      <c r="BV318" s="3788"/>
      <c r="BW318" s="3788"/>
      <c r="BX318" s="3788"/>
      <c r="BY318" s="3788">
        <f>SUM(BV318:BX318)</f>
        <v>0</v>
      </c>
      <c r="BZ318" s="3788">
        <f>+P318+AD318+AR318+BF318+BT318+BY318</f>
        <v>0</v>
      </c>
    </row>
    <row r="319" spans="1:79" s="108" customFormat="1" ht="27.5" hidden="1" customHeight="1" outlineLevel="3">
      <c r="A319" s="580"/>
      <c r="B319" s="107" t="s">
        <v>2602</v>
      </c>
      <c r="C319" s="107"/>
      <c r="D319" s="533" t="s">
        <v>1509</v>
      </c>
      <c r="E319"/>
      <c r="F319" s="3788"/>
      <c r="G319" s="3788"/>
      <c r="H319" s="3788"/>
      <c r="I319" s="3788"/>
      <c r="J319" s="3788"/>
      <c r="K319" s="3788"/>
      <c r="L319" s="3788"/>
      <c r="M319" s="3788"/>
      <c r="N319" s="3788"/>
      <c r="O319" s="3788"/>
      <c r="P319" s="3788">
        <f>SUM(F319:O319)</f>
        <v>0</v>
      </c>
      <c r="Q319" s="3788"/>
      <c r="R319" s="3788"/>
      <c r="S319" s="3788"/>
      <c r="T319" s="3788"/>
      <c r="U319" s="3788"/>
      <c r="V319" s="3788"/>
      <c r="W319" s="3788"/>
      <c r="X319" s="3788"/>
      <c r="Y319" s="3788"/>
      <c r="Z319" s="3788"/>
      <c r="AA319" s="3788"/>
      <c r="AB319" s="3788"/>
      <c r="AC319" s="3788"/>
      <c r="AD319" s="3788">
        <f>SUM(R319:AC319)</f>
        <v>0</v>
      </c>
      <c r="AE319" s="3788"/>
      <c r="AF319" s="3788"/>
      <c r="AG319" s="3788"/>
      <c r="AH319" s="3788"/>
      <c r="AI319" s="3788"/>
      <c r="AJ319" s="3788"/>
      <c r="AK319" s="3788"/>
      <c r="AL319" s="3788"/>
      <c r="AM319" s="3788"/>
      <c r="AN319" s="3788"/>
      <c r="AO319" s="3788"/>
      <c r="AP319" s="3788"/>
      <c r="AQ319" s="3788"/>
      <c r="AR319" s="3788">
        <f>SUM(AF319:AQ319)</f>
        <v>0</v>
      </c>
      <c r="AS319" s="3788"/>
      <c r="AT319" s="3788"/>
      <c r="AU319" s="3788"/>
      <c r="AV319" s="3788"/>
      <c r="AW319" s="3788"/>
      <c r="AX319" s="3788"/>
      <c r="AY319" s="3788"/>
      <c r="AZ319" s="3788"/>
      <c r="BA319" s="3788"/>
      <c r="BB319" s="3788"/>
      <c r="BC319" s="3788"/>
      <c r="BD319" s="3788"/>
      <c r="BE319" s="3788"/>
      <c r="BF319" s="3788">
        <f>SUM(AT319:BE319)</f>
        <v>0</v>
      </c>
      <c r="BG319" s="3788"/>
      <c r="BH319" s="3788"/>
      <c r="BI319" s="3788"/>
      <c r="BJ319" s="3788"/>
      <c r="BK319" s="3788"/>
      <c r="BL319" s="3788"/>
      <c r="BM319" s="3788"/>
      <c r="BN319" s="3788"/>
      <c r="BO319" s="3788"/>
      <c r="BP319" s="3788"/>
      <c r="BQ319" s="3788"/>
      <c r="BR319" s="3788"/>
      <c r="BS319" s="3788"/>
      <c r="BT319" s="3788">
        <f>SUM(BH319:BS319)</f>
        <v>0</v>
      </c>
      <c r="BU319" s="3788"/>
      <c r="BV319" s="3788"/>
      <c r="BW319" s="3788"/>
      <c r="BX319" s="3788"/>
      <c r="BY319" s="3788">
        <f>SUM(BV319:BX319)</f>
        <v>0</v>
      </c>
      <c r="BZ319" s="3788">
        <f>+P319+AD319+AR319+BF319+BT319+BY319</f>
        <v>0</v>
      </c>
    </row>
    <row r="320" spans="1:79" s="108" customFormat="1" ht="27.5" hidden="1" customHeight="1" outlineLevel="3">
      <c r="A320" s="580"/>
      <c r="B320" s="107" t="s">
        <v>2603</v>
      </c>
      <c r="C320" s="107"/>
      <c r="D320" s="533" t="s">
        <v>1511</v>
      </c>
      <c r="E320"/>
      <c r="F320" s="3788"/>
      <c r="G320" s="3788"/>
      <c r="H320" s="3788"/>
      <c r="I320" s="3788"/>
      <c r="J320" s="3788"/>
      <c r="K320" s="3788"/>
      <c r="L320" s="3788"/>
      <c r="M320" s="3788"/>
      <c r="N320" s="3788"/>
      <c r="O320" s="3788"/>
      <c r="P320" s="3788">
        <f>SUM(F320:O320)</f>
        <v>0</v>
      </c>
      <c r="Q320" s="3788"/>
      <c r="R320" s="3788"/>
      <c r="S320" s="3788"/>
      <c r="T320" s="3788"/>
      <c r="U320" s="3788"/>
      <c r="V320" s="3788"/>
      <c r="W320" s="3788"/>
      <c r="X320" s="3788"/>
      <c r="Y320" s="3788"/>
      <c r="Z320" s="3788"/>
      <c r="AA320" s="3788"/>
      <c r="AB320" s="3788"/>
      <c r="AC320" s="3788"/>
      <c r="AD320" s="3788">
        <f>SUM(R320:AC320)</f>
        <v>0</v>
      </c>
      <c r="AE320" s="3788"/>
      <c r="AF320" s="3788"/>
      <c r="AG320" s="3788"/>
      <c r="AH320" s="3788"/>
      <c r="AI320" s="3788"/>
      <c r="AJ320" s="3788"/>
      <c r="AK320" s="3788"/>
      <c r="AL320" s="3788"/>
      <c r="AM320" s="3788"/>
      <c r="AN320" s="3788"/>
      <c r="AO320" s="3788"/>
      <c r="AP320" s="3788"/>
      <c r="AQ320" s="3788"/>
      <c r="AR320" s="3788">
        <f>SUM(AF320:AQ320)</f>
        <v>0</v>
      </c>
      <c r="AS320" s="3788"/>
      <c r="AT320" s="3788"/>
      <c r="AU320" s="3788"/>
      <c r="AV320" s="3788"/>
      <c r="AW320" s="3788"/>
      <c r="AX320" s="3788"/>
      <c r="AY320" s="3788"/>
      <c r="AZ320" s="3788"/>
      <c r="BA320" s="3788"/>
      <c r="BB320" s="3788"/>
      <c r="BC320" s="3788"/>
      <c r="BD320" s="3788"/>
      <c r="BE320" s="3788"/>
      <c r="BF320" s="3788">
        <f>SUM(AT320:BE320)</f>
        <v>0</v>
      </c>
      <c r="BG320" s="3788"/>
      <c r="BH320" s="3788"/>
      <c r="BI320" s="3788"/>
      <c r="BJ320" s="3788"/>
      <c r="BK320" s="3788"/>
      <c r="BL320" s="3788"/>
      <c r="BM320" s="3788"/>
      <c r="BN320" s="3788"/>
      <c r="BO320" s="3788"/>
      <c r="BP320" s="3788"/>
      <c r="BQ320" s="3788"/>
      <c r="BR320" s="3788"/>
      <c r="BS320" s="3788"/>
      <c r="BT320" s="3788">
        <f>SUM(BH320:BS320)</f>
        <v>0</v>
      </c>
      <c r="BU320" s="3788"/>
      <c r="BV320" s="3788"/>
      <c r="BW320" s="3788"/>
      <c r="BX320" s="3788"/>
      <c r="BY320" s="3788">
        <f>SUM(BV320:BX320)</f>
        <v>0</v>
      </c>
      <c r="BZ320" s="3788">
        <f>+P320+AD320+AR320+BF320+BT320+BY320</f>
        <v>0</v>
      </c>
    </row>
    <row r="321" spans="1:87" s="108" customFormat="1" ht="27.5" hidden="1" customHeight="1" outlineLevel="3">
      <c r="A321" s="580"/>
      <c r="B321" s="107" t="s">
        <v>2604</v>
      </c>
      <c r="C321" s="107"/>
      <c r="D321" s="533" t="s">
        <v>1513</v>
      </c>
      <c r="E321"/>
      <c r="F321" s="3789"/>
      <c r="G321" s="3789"/>
      <c r="H321" s="3789"/>
      <c r="I321" s="3789"/>
      <c r="J321" s="3789"/>
      <c r="K321" s="3789"/>
      <c r="L321" s="3789"/>
      <c r="M321" s="3789"/>
      <c r="N321" s="3789"/>
      <c r="O321" s="3789"/>
      <c r="P321" s="3789">
        <f>SUM(F321:O321)</f>
        <v>0</v>
      </c>
      <c r="Q321" s="3789"/>
      <c r="R321" s="3789"/>
      <c r="S321" s="3789"/>
      <c r="T321" s="3789"/>
      <c r="U321" s="3789"/>
      <c r="V321" s="3789"/>
      <c r="W321" s="3789"/>
      <c r="X321" s="3789"/>
      <c r="Y321" s="3789"/>
      <c r="Z321" s="3789"/>
      <c r="AA321" s="3789"/>
      <c r="AB321" s="3789"/>
      <c r="AC321" s="3789"/>
      <c r="AD321" s="3789">
        <f>SUM(R321:AC321)</f>
        <v>0</v>
      </c>
      <c r="AE321" s="3789"/>
      <c r="AF321" s="3789"/>
      <c r="AG321" s="3789"/>
      <c r="AH321" s="3789"/>
      <c r="AI321" s="3789"/>
      <c r="AJ321" s="3789"/>
      <c r="AK321" s="3789"/>
      <c r="AL321" s="3789"/>
      <c r="AM321" s="3789"/>
      <c r="AN321" s="3789"/>
      <c r="AO321" s="3789"/>
      <c r="AP321" s="3789"/>
      <c r="AQ321" s="3789"/>
      <c r="AR321" s="3789">
        <f>SUM(AF321:AQ321)</f>
        <v>0</v>
      </c>
      <c r="AS321" s="3789"/>
      <c r="AT321" s="3789"/>
      <c r="AU321" s="3789"/>
      <c r="AV321" s="3789"/>
      <c r="AW321" s="3789"/>
      <c r="AX321" s="3789"/>
      <c r="AY321" s="3789"/>
      <c r="AZ321" s="3789"/>
      <c r="BA321" s="3789"/>
      <c r="BB321" s="3789"/>
      <c r="BC321" s="3789"/>
      <c r="BD321" s="3789"/>
      <c r="BE321" s="3789"/>
      <c r="BF321" s="3789">
        <f>SUM(AT321:BE321)</f>
        <v>0</v>
      </c>
      <c r="BG321" s="3789"/>
      <c r="BH321" s="3789"/>
      <c r="BI321" s="3789"/>
      <c r="BJ321" s="3789"/>
      <c r="BK321" s="3789"/>
      <c r="BL321" s="3789"/>
      <c r="BM321" s="3789"/>
      <c r="BN321" s="3789"/>
      <c r="BO321" s="3789"/>
      <c r="BP321" s="3789"/>
      <c r="BQ321" s="3789"/>
      <c r="BR321" s="3789"/>
      <c r="BS321" s="3789"/>
      <c r="BT321" s="3789">
        <f>SUM(BH321:BS321)</f>
        <v>0</v>
      </c>
      <c r="BU321" s="3789"/>
      <c r="BV321" s="3789"/>
      <c r="BW321" s="3789"/>
      <c r="BX321" s="3789"/>
      <c r="BY321" s="3789">
        <f>SUM(BV321:BX321)</f>
        <v>0</v>
      </c>
      <c r="BZ321" s="3789">
        <f>+P321+AD321+AR321+BF321+BT321+BY321</f>
        <v>0</v>
      </c>
    </row>
    <row r="322" spans="1:87" s="153" customFormat="1" ht="42.5" customHeight="1" outlineLevel="2" collapsed="1">
      <c r="A322" s="172"/>
      <c r="B322" s="171" t="s">
        <v>546</v>
      </c>
      <c r="C322" s="171"/>
      <c r="D322" s="538" t="s">
        <v>286</v>
      </c>
      <c r="E322"/>
      <c r="F322" s="176">
        <v>0</v>
      </c>
      <c r="G322" s="176">
        <v>0</v>
      </c>
      <c r="H322" s="176">
        <v>0</v>
      </c>
      <c r="I322" s="176">
        <v>0</v>
      </c>
      <c r="J322" s="176">
        <v>0</v>
      </c>
      <c r="K322" s="176">
        <v>0</v>
      </c>
      <c r="L322" s="176">
        <v>0</v>
      </c>
      <c r="M322" s="176">
        <v>0</v>
      </c>
      <c r="N322" s="176">
        <v>0</v>
      </c>
      <c r="O322" s="176">
        <v>0</v>
      </c>
      <c r="P322" s="176">
        <v>0</v>
      </c>
      <c r="Q322"/>
      <c r="R322" s="176">
        <v>0</v>
      </c>
      <c r="S322" s="176">
        <v>0</v>
      </c>
      <c r="T322" s="176">
        <v>0</v>
      </c>
      <c r="U322" s="176">
        <v>0</v>
      </c>
      <c r="V322" s="176">
        <v>0</v>
      </c>
      <c r="W322" s="176">
        <v>0</v>
      </c>
      <c r="X322" s="176">
        <v>55750</v>
      </c>
      <c r="Y322" s="176">
        <v>0</v>
      </c>
      <c r="Z322" s="176">
        <v>0</v>
      </c>
      <c r="AA322" s="176">
        <v>0</v>
      </c>
      <c r="AB322" s="176">
        <v>55750</v>
      </c>
      <c r="AC322" s="176">
        <v>0</v>
      </c>
      <c r="AD322" s="176">
        <v>111500</v>
      </c>
      <c r="AE322"/>
      <c r="AF322" s="176">
        <v>0</v>
      </c>
      <c r="AG322" s="176">
        <v>0</v>
      </c>
      <c r="AH322" s="176">
        <v>55750</v>
      </c>
      <c r="AI322" s="176">
        <v>0</v>
      </c>
      <c r="AJ322" s="176">
        <v>0</v>
      </c>
      <c r="AK322" s="176">
        <v>55750</v>
      </c>
      <c r="AL322" s="176">
        <v>0</v>
      </c>
      <c r="AM322" s="176">
        <v>0</v>
      </c>
      <c r="AN322" s="176">
        <v>20000</v>
      </c>
      <c r="AO322" s="176">
        <v>0</v>
      </c>
      <c r="AP322" s="176">
        <v>0</v>
      </c>
      <c r="AQ322" s="176">
        <v>255125</v>
      </c>
      <c r="AR322" s="176">
        <v>386625</v>
      </c>
      <c r="AS322"/>
      <c r="AT322" s="176">
        <v>20000</v>
      </c>
      <c r="AU322" s="176">
        <v>285125</v>
      </c>
      <c r="AV322" s="176">
        <v>0</v>
      </c>
      <c r="AW322" s="176">
        <v>0</v>
      </c>
      <c r="AX322" s="176">
        <v>20000</v>
      </c>
      <c r="AY322" s="176">
        <v>30000</v>
      </c>
      <c r="AZ322" s="176">
        <v>0</v>
      </c>
      <c r="BA322" s="176">
        <v>0</v>
      </c>
      <c r="BB322" s="176">
        <v>20000</v>
      </c>
      <c r="BC322" s="176">
        <v>30000</v>
      </c>
      <c r="BD322" s="176">
        <v>0</v>
      </c>
      <c r="BE322" s="176">
        <v>255125</v>
      </c>
      <c r="BF322" s="176">
        <v>660250</v>
      </c>
      <c r="BG322"/>
      <c r="BH322" s="176">
        <v>20000</v>
      </c>
      <c r="BI322" s="176">
        <v>285125</v>
      </c>
      <c r="BJ322" s="176">
        <v>0</v>
      </c>
      <c r="BK322" s="176">
        <v>0</v>
      </c>
      <c r="BL322" s="176">
        <v>0</v>
      </c>
      <c r="BM322" s="176">
        <v>30000</v>
      </c>
      <c r="BN322" s="176">
        <v>0</v>
      </c>
      <c r="BO322" s="176">
        <v>0</v>
      </c>
      <c r="BP322" s="176">
        <v>0</v>
      </c>
      <c r="BQ322" s="176">
        <v>0</v>
      </c>
      <c r="BR322" s="176">
        <v>0</v>
      </c>
      <c r="BS322" s="176">
        <v>0</v>
      </c>
      <c r="BT322" s="176">
        <v>335125</v>
      </c>
      <c r="BU322"/>
      <c r="BV322" s="176">
        <v>0</v>
      </c>
      <c r="BW322" s="176">
        <v>0</v>
      </c>
      <c r="BX322" s="176">
        <v>0</v>
      </c>
      <c r="BY322" s="176">
        <v>0</v>
      </c>
      <c r="BZ322" s="176">
        <v>1493500</v>
      </c>
    </row>
    <row r="323" spans="1:87" s="108" customFormat="1" ht="41.5" hidden="1" customHeight="1" outlineLevel="3">
      <c r="A323" s="580"/>
      <c r="B323" s="107" t="s">
        <v>2605</v>
      </c>
      <c r="C323" s="107"/>
      <c r="D323" s="533" t="s">
        <v>1519</v>
      </c>
      <c r="E323"/>
      <c r="F323" s="986"/>
      <c r="G323" s="986"/>
      <c r="H323" s="986"/>
      <c r="I323" s="986"/>
      <c r="J323" s="986"/>
      <c r="K323" s="986"/>
      <c r="L323" s="986"/>
      <c r="M323" s="986"/>
      <c r="N323" s="986"/>
      <c r="O323" s="986"/>
      <c r="P323" s="2011">
        <v>0</v>
      </c>
      <c r="Q323"/>
      <c r="R323" s="986"/>
      <c r="S323" s="986"/>
      <c r="T323" s="986"/>
      <c r="U323" s="986"/>
      <c r="V323" s="986"/>
      <c r="W323" s="986"/>
      <c r="X323" s="986"/>
      <c r="Y323" s="986"/>
      <c r="Z323" s="986"/>
      <c r="AA323" s="986"/>
      <c r="AB323" s="986"/>
      <c r="AC323" s="986"/>
      <c r="AD323" s="2011">
        <v>0</v>
      </c>
      <c r="AE323"/>
      <c r="AF323" s="986"/>
      <c r="AG323" s="986"/>
      <c r="AH323" s="986"/>
      <c r="AI323" s="986"/>
      <c r="AJ323" s="986"/>
      <c r="AK323" s="986"/>
      <c r="AL323" s="986"/>
      <c r="AM323" s="986"/>
      <c r="AN323" s="986"/>
      <c r="AO323" s="986"/>
      <c r="AP323" s="986"/>
      <c r="AQ323" s="986">
        <v>255125</v>
      </c>
      <c r="AR323" s="2011">
        <v>255125</v>
      </c>
      <c r="AS323"/>
      <c r="AT323" s="986"/>
      <c r="AU323" s="986">
        <v>255125</v>
      </c>
      <c r="AV323" s="986"/>
      <c r="AW323" s="986"/>
      <c r="AX323" s="986"/>
      <c r="AY323" s="986"/>
      <c r="AZ323" s="986"/>
      <c r="BA323" s="986"/>
      <c r="BB323" s="986"/>
      <c r="BC323" s="986"/>
      <c r="BD323" s="986"/>
      <c r="BE323" s="986">
        <v>255125</v>
      </c>
      <c r="BF323" s="2011">
        <v>510250</v>
      </c>
      <c r="BG323"/>
      <c r="BH323" s="986"/>
      <c r="BI323" s="986">
        <v>255125</v>
      </c>
      <c r="BJ323" s="986"/>
      <c r="BK323" s="986"/>
      <c r="BL323" s="986"/>
      <c r="BM323" s="986"/>
      <c r="BN323" s="986"/>
      <c r="BO323" s="986"/>
      <c r="BP323" s="986"/>
      <c r="BQ323" s="986"/>
      <c r="BR323" s="986"/>
      <c r="BS323" s="986"/>
      <c r="BT323" s="2011">
        <v>255125</v>
      </c>
      <c r="BU323"/>
      <c r="BV323" s="986"/>
      <c r="BW323" s="986"/>
      <c r="BX323" s="986"/>
      <c r="BY323" s="2011">
        <v>0</v>
      </c>
      <c r="BZ323" s="2011">
        <v>1020500</v>
      </c>
    </row>
    <row r="324" spans="1:87" s="108" customFormat="1" ht="41.5" hidden="1" customHeight="1" outlineLevel="3">
      <c r="A324" s="580"/>
      <c r="B324" s="107" t="s">
        <v>2606</v>
      </c>
      <c r="C324" s="107" t="s">
        <v>1279</v>
      </c>
      <c r="D324" s="533" t="s">
        <v>1522</v>
      </c>
      <c r="E324"/>
      <c r="F324" s="986"/>
      <c r="G324" s="986"/>
      <c r="H324" s="986"/>
      <c r="I324" s="986"/>
      <c r="J324" s="986"/>
      <c r="K324" s="986"/>
      <c r="L324" s="986"/>
      <c r="M324" s="986"/>
      <c r="N324" s="986"/>
      <c r="O324" s="986"/>
      <c r="P324" s="2011">
        <v>0</v>
      </c>
      <c r="Q324"/>
      <c r="R324" s="986"/>
      <c r="S324" s="986"/>
      <c r="T324" s="986"/>
      <c r="U324" s="986"/>
      <c r="V324" s="986"/>
      <c r="W324" s="986"/>
      <c r="X324" s="986">
        <v>55750</v>
      </c>
      <c r="Y324" s="986"/>
      <c r="Z324" s="986"/>
      <c r="AA324" s="986"/>
      <c r="AB324" s="986">
        <v>55750</v>
      </c>
      <c r="AC324" s="986"/>
      <c r="AD324" s="2011">
        <v>111500</v>
      </c>
      <c r="AE324"/>
      <c r="AF324" s="986"/>
      <c r="AG324" s="986"/>
      <c r="AH324" s="986">
        <v>55750</v>
      </c>
      <c r="AI324" s="986"/>
      <c r="AJ324" s="986"/>
      <c r="AK324" s="986">
        <v>55750</v>
      </c>
      <c r="AL324" s="986"/>
      <c r="AM324" s="986"/>
      <c r="AN324" s="986"/>
      <c r="AO324" s="986"/>
      <c r="AP324" s="986"/>
      <c r="AQ324" s="986"/>
      <c r="AR324" s="2011">
        <v>111500</v>
      </c>
      <c r="AS324"/>
      <c r="AT324" s="986"/>
      <c r="AU324" s="986"/>
      <c r="AV324" s="986"/>
      <c r="AW324" s="986"/>
      <c r="AX324" s="986"/>
      <c r="AY324" s="986"/>
      <c r="AZ324" s="986"/>
      <c r="BA324" s="986"/>
      <c r="BB324" s="986"/>
      <c r="BC324" s="986"/>
      <c r="BD324" s="986"/>
      <c r="BE324" s="986"/>
      <c r="BF324" s="2011">
        <v>0</v>
      </c>
      <c r="BG324"/>
      <c r="BH324" s="986"/>
      <c r="BI324" s="986"/>
      <c r="BJ324" s="986"/>
      <c r="BK324" s="986"/>
      <c r="BL324" s="986"/>
      <c r="BM324" s="986"/>
      <c r="BN324" s="986"/>
      <c r="BO324" s="986"/>
      <c r="BP324" s="986"/>
      <c r="BQ324" s="986"/>
      <c r="BR324" s="986"/>
      <c r="BS324" s="986"/>
      <c r="BT324" s="2011">
        <v>0</v>
      </c>
      <c r="BU324"/>
      <c r="BV324" s="986"/>
      <c r="BW324" s="986"/>
      <c r="BX324" s="986"/>
      <c r="BY324" s="2011">
        <v>0</v>
      </c>
      <c r="BZ324" s="2011">
        <v>223000</v>
      </c>
    </row>
    <row r="325" spans="1:87" s="108" customFormat="1" ht="41.5" hidden="1" customHeight="1" outlineLevel="3">
      <c r="A325" s="580"/>
      <c r="B325" s="107" t="s">
        <v>2607</v>
      </c>
      <c r="C325" s="107"/>
      <c r="D325" s="533" t="s">
        <v>1525</v>
      </c>
      <c r="E325"/>
      <c r="F325" s="986"/>
      <c r="G325" s="986"/>
      <c r="H325" s="986"/>
      <c r="I325" s="986"/>
      <c r="J325" s="986"/>
      <c r="K325" s="986"/>
      <c r="L325" s="986"/>
      <c r="M325" s="986"/>
      <c r="N325" s="986"/>
      <c r="O325" s="986"/>
      <c r="P325" s="2011">
        <v>0</v>
      </c>
      <c r="Q325"/>
      <c r="R325" s="986"/>
      <c r="S325" s="986"/>
      <c r="T325" s="986"/>
      <c r="U325" s="986"/>
      <c r="V325" s="986"/>
      <c r="W325" s="986"/>
      <c r="X325" s="986"/>
      <c r="Y325" s="986"/>
      <c r="Z325" s="986"/>
      <c r="AA325" s="986"/>
      <c r="AB325" s="986"/>
      <c r="AC325" s="986"/>
      <c r="AD325" s="2011">
        <v>0</v>
      </c>
      <c r="AE325"/>
      <c r="AF325" s="986"/>
      <c r="AG325" s="986"/>
      <c r="AH325" s="986"/>
      <c r="AI325" s="986"/>
      <c r="AJ325" s="986"/>
      <c r="AK325" s="986"/>
      <c r="AL325" s="986"/>
      <c r="AM325" s="986"/>
      <c r="AN325" s="986"/>
      <c r="AO325" s="986"/>
      <c r="AP325" s="986"/>
      <c r="AQ325" s="986"/>
      <c r="AR325" s="2011">
        <v>0</v>
      </c>
      <c r="AS325"/>
      <c r="AT325" s="986"/>
      <c r="AU325" s="986">
        <v>12000</v>
      </c>
      <c r="AV325" s="986"/>
      <c r="AW325" s="986"/>
      <c r="AX325" s="986"/>
      <c r="AY325" s="986">
        <v>12000</v>
      </c>
      <c r="AZ325" s="986"/>
      <c r="BA325" s="986"/>
      <c r="BB325" s="986"/>
      <c r="BC325" s="986">
        <v>12000</v>
      </c>
      <c r="BD325" s="986"/>
      <c r="BE325" s="986"/>
      <c r="BF325" s="2011">
        <v>36000</v>
      </c>
      <c r="BG325"/>
      <c r="BH325" s="986"/>
      <c r="BI325" s="986">
        <v>12000</v>
      </c>
      <c r="BJ325" s="986"/>
      <c r="BK325" s="986"/>
      <c r="BL325" s="986"/>
      <c r="BM325" s="986">
        <v>12000</v>
      </c>
      <c r="BN325" s="986"/>
      <c r="BO325" s="986"/>
      <c r="BP325" s="986"/>
      <c r="BQ325" s="986"/>
      <c r="BR325" s="986"/>
      <c r="BS325" s="986"/>
      <c r="BT325" s="2011">
        <v>24000</v>
      </c>
      <c r="BU325"/>
      <c r="BV325" s="986"/>
      <c r="BW325" s="986"/>
      <c r="BX325" s="986"/>
      <c r="BY325" s="2011">
        <v>0</v>
      </c>
      <c r="BZ325" s="2011">
        <v>60000</v>
      </c>
    </row>
    <row r="326" spans="1:87" s="108" customFormat="1" ht="41.5" hidden="1" customHeight="1" outlineLevel="3">
      <c r="A326" s="580"/>
      <c r="B326" s="107" t="s">
        <v>2608</v>
      </c>
      <c r="C326" s="107"/>
      <c r="D326" s="533" t="s">
        <v>1529</v>
      </c>
      <c r="E326"/>
      <c r="F326" s="986"/>
      <c r="G326" s="986"/>
      <c r="H326" s="986"/>
      <c r="I326" s="986"/>
      <c r="J326" s="986"/>
      <c r="K326" s="986"/>
      <c r="L326" s="986"/>
      <c r="M326" s="986"/>
      <c r="N326" s="986"/>
      <c r="O326" s="986"/>
      <c r="P326" s="2011">
        <v>0</v>
      </c>
      <c r="Q326"/>
      <c r="R326" s="986"/>
      <c r="S326" s="986"/>
      <c r="T326" s="986"/>
      <c r="U326" s="986"/>
      <c r="V326" s="986"/>
      <c r="W326" s="986"/>
      <c r="X326" s="986"/>
      <c r="Y326" s="986"/>
      <c r="Z326" s="986"/>
      <c r="AA326" s="986"/>
      <c r="AB326" s="986"/>
      <c r="AC326" s="986"/>
      <c r="AD326" s="2011">
        <v>0</v>
      </c>
      <c r="AE326"/>
      <c r="AF326" s="986"/>
      <c r="AG326" s="986"/>
      <c r="AH326" s="986"/>
      <c r="AI326" s="986"/>
      <c r="AJ326" s="986"/>
      <c r="AK326" s="986"/>
      <c r="AL326" s="986"/>
      <c r="AM326" s="986"/>
      <c r="AN326" s="986"/>
      <c r="AO326" s="986"/>
      <c r="AP326" s="986"/>
      <c r="AQ326" s="986"/>
      <c r="AR326" s="2011">
        <v>0</v>
      </c>
      <c r="AS326"/>
      <c r="AT326" s="986"/>
      <c r="AU326" s="986">
        <v>18000</v>
      </c>
      <c r="AV326" s="986"/>
      <c r="AW326" s="986"/>
      <c r="AX326" s="986"/>
      <c r="AY326" s="986">
        <v>18000</v>
      </c>
      <c r="AZ326" s="986"/>
      <c r="BA326" s="986"/>
      <c r="BB326" s="986"/>
      <c r="BC326" s="986">
        <v>18000</v>
      </c>
      <c r="BD326" s="986"/>
      <c r="BE326" s="986"/>
      <c r="BF326" s="2011">
        <v>54000</v>
      </c>
      <c r="BG326"/>
      <c r="BH326" s="986"/>
      <c r="BI326" s="986">
        <v>18000</v>
      </c>
      <c r="BJ326" s="986"/>
      <c r="BK326" s="986"/>
      <c r="BL326" s="986"/>
      <c r="BM326" s="986">
        <v>18000</v>
      </c>
      <c r="BN326" s="986"/>
      <c r="BO326" s="986"/>
      <c r="BP326" s="986"/>
      <c r="BQ326" s="986"/>
      <c r="BR326" s="986"/>
      <c r="BS326" s="986"/>
      <c r="BT326" s="2011">
        <v>36000</v>
      </c>
      <c r="BU326"/>
      <c r="BV326" s="986"/>
      <c r="BW326" s="986"/>
      <c r="BX326" s="986"/>
      <c r="BY326" s="2011">
        <v>0</v>
      </c>
      <c r="BZ326" s="2011">
        <v>90000</v>
      </c>
    </row>
    <row r="327" spans="1:87" s="108" customFormat="1" ht="41.5" hidden="1" customHeight="1" outlineLevel="3">
      <c r="A327" s="580"/>
      <c r="B327" s="107" t="s">
        <v>2609</v>
      </c>
      <c r="C327" s="107"/>
      <c r="D327" s="533" t="s">
        <v>1531</v>
      </c>
      <c r="E327"/>
      <c r="F327" s="986"/>
      <c r="G327" s="986"/>
      <c r="H327" s="986"/>
      <c r="I327" s="986"/>
      <c r="J327" s="986"/>
      <c r="K327" s="986"/>
      <c r="L327" s="986"/>
      <c r="M327" s="986"/>
      <c r="N327" s="986"/>
      <c r="O327" s="986"/>
      <c r="P327" s="2011">
        <v>0</v>
      </c>
      <c r="Q327"/>
      <c r="R327" s="986"/>
      <c r="S327" s="986"/>
      <c r="T327" s="986"/>
      <c r="U327" s="986"/>
      <c r="V327" s="986"/>
      <c r="W327" s="986"/>
      <c r="X327" s="986"/>
      <c r="Y327" s="986"/>
      <c r="Z327" s="986"/>
      <c r="AA327" s="986"/>
      <c r="AB327" s="986"/>
      <c r="AC327" s="986"/>
      <c r="AD327" s="2011">
        <v>0</v>
      </c>
      <c r="AE327"/>
      <c r="AF327" s="986"/>
      <c r="AG327" s="986"/>
      <c r="AH327" s="986"/>
      <c r="AI327" s="986"/>
      <c r="AJ327" s="986"/>
      <c r="AK327" s="986"/>
      <c r="AL327" s="986"/>
      <c r="AM327" s="986"/>
      <c r="AN327" s="986">
        <v>20000</v>
      </c>
      <c r="AO327" s="986"/>
      <c r="AP327" s="986"/>
      <c r="AQ327" s="986"/>
      <c r="AR327" s="2011">
        <v>20000</v>
      </c>
      <c r="AS327"/>
      <c r="AT327" s="986">
        <v>20000</v>
      </c>
      <c r="AU327" s="986"/>
      <c r="AV327" s="986"/>
      <c r="AW327" s="986"/>
      <c r="AX327" s="986">
        <v>20000</v>
      </c>
      <c r="AY327" s="986"/>
      <c r="AZ327" s="986"/>
      <c r="BA327" s="986"/>
      <c r="BB327" s="986">
        <v>20000</v>
      </c>
      <c r="BC327" s="986"/>
      <c r="BD327" s="986"/>
      <c r="BE327" s="986"/>
      <c r="BF327" s="2011">
        <v>60000</v>
      </c>
      <c r="BG327" s="986"/>
      <c r="BH327" s="986">
        <v>20000</v>
      </c>
      <c r="BI327" s="986"/>
      <c r="BJ327" s="986"/>
      <c r="BK327" s="986"/>
      <c r="BL327" s="986"/>
      <c r="BM327" s="986"/>
      <c r="BN327" s="986"/>
      <c r="BO327" s="986"/>
      <c r="BP327" s="986"/>
      <c r="BQ327" s="986"/>
      <c r="BR327" s="986"/>
      <c r="BS327" s="986"/>
      <c r="BT327" s="2011">
        <v>20000</v>
      </c>
      <c r="BU327"/>
      <c r="BV327" s="986"/>
      <c r="BW327" s="986"/>
      <c r="BX327" s="986"/>
      <c r="BY327" s="2011">
        <v>0</v>
      </c>
      <c r="BZ327" s="2011">
        <v>100000</v>
      </c>
    </row>
    <row r="328" spans="1:87" s="153" customFormat="1" ht="41.5" customHeight="1" outlineLevel="2" collapsed="1">
      <c r="A328" s="172"/>
      <c r="B328" s="171" t="s">
        <v>548</v>
      </c>
      <c r="C328" s="171"/>
      <c r="D328" s="538" t="s">
        <v>1856</v>
      </c>
      <c r="E328"/>
      <c r="F328" s="176">
        <v>0</v>
      </c>
      <c r="G328" s="176">
        <v>0</v>
      </c>
      <c r="H328" s="176">
        <v>0</v>
      </c>
      <c r="I328" s="176">
        <v>0</v>
      </c>
      <c r="J328" s="176">
        <v>0</v>
      </c>
      <c r="K328" s="176">
        <v>0</v>
      </c>
      <c r="L328" s="176">
        <v>0</v>
      </c>
      <c r="M328" s="176">
        <v>0</v>
      </c>
      <c r="N328" s="176">
        <v>0</v>
      </c>
      <c r="O328" s="176">
        <v>0</v>
      </c>
      <c r="P328" s="176">
        <v>0</v>
      </c>
      <c r="Q328"/>
      <c r="R328" s="176">
        <v>0</v>
      </c>
      <c r="S328" s="176">
        <v>0</v>
      </c>
      <c r="T328" s="176">
        <v>0</v>
      </c>
      <c r="U328" s="176">
        <v>0</v>
      </c>
      <c r="V328" s="176">
        <v>0</v>
      </c>
      <c r="W328" s="176">
        <v>0</v>
      </c>
      <c r="X328" s="176">
        <v>0</v>
      </c>
      <c r="Y328" s="176">
        <v>0</v>
      </c>
      <c r="Z328" s="176">
        <v>0</v>
      </c>
      <c r="AA328" s="176">
        <v>0</v>
      </c>
      <c r="AB328" s="176">
        <v>0</v>
      </c>
      <c r="AC328" s="176">
        <v>75000</v>
      </c>
      <c r="AD328" s="176">
        <v>75000</v>
      </c>
      <c r="AE328"/>
      <c r="AF328" s="176">
        <v>0</v>
      </c>
      <c r="AG328" s="176">
        <v>0</v>
      </c>
      <c r="AH328" s="176">
        <v>0</v>
      </c>
      <c r="AI328" s="176">
        <v>0</v>
      </c>
      <c r="AJ328" s="176">
        <v>0</v>
      </c>
      <c r="AK328" s="176">
        <v>0</v>
      </c>
      <c r="AL328" s="176">
        <v>0</v>
      </c>
      <c r="AM328" s="176">
        <v>0</v>
      </c>
      <c r="AN328" s="176">
        <v>0</v>
      </c>
      <c r="AO328" s="176">
        <v>0</v>
      </c>
      <c r="AP328" s="176">
        <v>0</v>
      </c>
      <c r="AQ328" s="176">
        <v>75000</v>
      </c>
      <c r="AR328" s="176">
        <v>75000</v>
      </c>
      <c r="AS328"/>
      <c r="AT328" s="176">
        <v>0</v>
      </c>
      <c r="AU328" s="176">
        <v>0</v>
      </c>
      <c r="AV328" s="176">
        <v>0</v>
      </c>
      <c r="AW328" s="176">
        <v>0</v>
      </c>
      <c r="AX328" s="176">
        <v>0</v>
      </c>
      <c r="AY328" s="176">
        <v>0</v>
      </c>
      <c r="AZ328" s="176">
        <v>0</v>
      </c>
      <c r="BA328" s="176">
        <v>0</v>
      </c>
      <c r="BB328" s="176">
        <v>0</v>
      </c>
      <c r="BC328" s="176">
        <v>0</v>
      </c>
      <c r="BD328" s="176">
        <v>0</v>
      </c>
      <c r="BE328" s="176">
        <v>75000</v>
      </c>
      <c r="BF328" s="176">
        <v>75000</v>
      </c>
      <c r="BG328"/>
      <c r="BH328" s="176">
        <v>0</v>
      </c>
      <c r="BI328" s="176">
        <v>0</v>
      </c>
      <c r="BJ328" s="176">
        <v>0</v>
      </c>
      <c r="BK328" s="176">
        <v>0</v>
      </c>
      <c r="BL328" s="176">
        <v>0</v>
      </c>
      <c r="BM328" s="176">
        <v>0</v>
      </c>
      <c r="BN328" s="176">
        <v>0</v>
      </c>
      <c r="BO328" s="176">
        <v>0</v>
      </c>
      <c r="BP328" s="176">
        <v>0</v>
      </c>
      <c r="BQ328" s="176">
        <v>0</v>
      </c>
      <c r="BR328" s="176">
        <v>0</v>
      </c>
      <c r="BS328" s="176">
        <v>75000</v>
      </c>
      <c r="BT328" s="176">
        <v>75000</v>
      </c>
      <c r="BU328"/>
      <c r="BV328" s="176">
        <v>0</v>
      </c>
      <c r="BW328" s="176">
        <v>0</v>
      </c>
      <c r="BX328" s="176">
        <v>0</v>
      </c>
      <c r="BY328" s="176">
        <v>0</v>
      </c>
      <c r="BZ328" s="176">
        <v>300000</v>
      </c>
    </row>
    <row r="329" spans="1:87" s="108" customFormat="1" ht="31.25" hidden="1" customHeight="1" outlineLevel="3">
      <c r="A329" s="580"/>
      <c r="B329" s="107" t="s">
        <v>2610</v>
      </c>
      <c r="C329" s="1722" t="s">
        <v>1279</v>
      </c>
      <c r="D329" s="533" t="s">
        <v>1533</v>
      </c>
      <c r="E329"/>
      <c r="F329" s="986"/>
      <c r="G329" s="986"/>
      <c r="H329" s="986"/>
      <c r="I329" s="986"/>
      <c r="J329" s="986"/>
      <c r="K329" s="986"/>
      <c r="L329" s="986"/>
      <c r="M329" s="986"/>
      <c r="N329" s="986"/>
      <c r="O329" s="986"/>
      <c r="P329" s="2011">
        <v>0</v>
      </c>
      <c r="Q329"/>
      <c r="R329" s="986"/>
      <c r="S329" s="986"/>
      <c r="T329" s="986"/>
      <c r="U329" s="986"/>
      <c r="V329" s="986"/>
      <c r="W329" s="986"/>
      <c r="X329" s="986"/>
      <c r="Y329" s="986"/>
      <c r="Z329" s="986"/>
      <c r="AA329" s="986"/>
      <c r="AB329" s="986"/>
      <c r="AC329" s="986">
        <v>75000</v>
      </c>
      <c r="AD329" s="2011">
        <v>75000</v>
      </c>
      <c r="AE329"/>
      <c r="AF329" s="986"/>
      <c r="AG329" s="986"/>
      <c r="AH329" s="986"/>
      <c r="AI329" s="986"/>
      <c r="AJ329" s="986"/>
      <c r="AK329" s="986"/>
      <c r="AL329" s="986"/>
      <c r="AM329" s="986"/>
      <c r="AN329" s="986"/>
      <c r="AO329" s="986"/>
      <c r="AP329" s="986"/>
      <c r="AQ329" s="986">
        <v>75000</v>
      </c>
      <c r="AR329" s="2011">
        <v>75000</v>
      </c>
      <c r="AS329"/>
      <c r="AT329" s="986"/>
      <c r="AU329" s="986"/>
      <c r="AV329" s="986"/>
      <c r="AW329" s="986"/>
      <c r="AX329" s="986"/>
      <c r="AY329" s="986"/>
      <c r="AZ329" s="986"/>
      <c r="BA329" s="986"/>
      <c r="BB329" s="986"/>
      <c r="BC329" s="986"/>
      <c r="BD329" s="986"/>
      <c r="BE329" s="986">
        <v>75000</v>
      </c>
      <c r="BF329" s="2014">
        <v>75000</v>
      </c>
      <c r="BG329"/>
      <c r="BH329" s="986"/>
      <c r="BI329" s="986"/>
      <c r="BJ329" s="986"/>
      <c r="BK329" s="986"/>
      <c r="BL329" s="986"/>
      <c r="BM329" s="986"/>
      <c r="BN329" s="986"/>
      <c r="BO329" s="986"/>
      <c r="BP329" s="986"/>
      <c r="BQ329" s="986"/>
      <c r="BR329" s="986"/>
      <c r="BS329" s="986">
        <v>75000</v>
      </c>
      <c r="BT329" s="1498">
        <v>75000</v>
      </c>
      <c r="BU329"/>
      <c r="BV329" s="986"/>
      <c r="BW329" s="986"/>
      <c r="BX329" s="986"/>
      <c r="BY329" s="1498">
        <v>0</v>
      </c>
      <c r="BZ329" s="1498">
        <v>300000</v>
      </c>
    </row>
    <row r="330" spans="1:87" s="108" customFormat="1" ht="14" customHeight="1" outlineLevel="2" collapsed="1">
      <c r="A330" s="580"/>
      <c r="B330" s="107"/>
      <c r="C330" s="107"/>
      <c r="D330" s="533"/>
      <c r="E330"/>
      <c r="F330" s="986"/>
      <c r="G330" s="986"/>
      <c r="H330" s="986"/>
      <c r="I330" s="986"/>
      <c r="J330" s="986"/>
      <c r="K330" s="986"/>
      <c r="L330" s="986"/>
      <c r="M330" s="986"/>
      <c r="N330" s="986"/>
      <c r="O330" s="986"/>
      <c r="P330" s="2011">
        <v>0</v>
      </c>
      <c r="Q330"/>
      <c r="R330" s="986"/>
      <c r="S330" s="986"/>
      <c r="T330" s="986"/>
      <c r="U330" s="986"/>
      <c r="V330" s="986"/>
      <c r="W330" s="986"/>
      <c r="X330" s="986"/>
      <c r="Y330" s="986"/>
      <c r="Z330" s="986"/>
      <c r="AA330" s="986"/>
      <c r="AB330" s="986"/>
      <c r="AC330" s="986"/>
      <c r="AD330" s="2011">
        <v>0</v>
      </c>
      <c r="AE330"/>
      <c r="AF330" s="986"/>
      <c r="AG330" s="986"/>
      <c r="AH330" s="986"/>
      <c r="AI330" s="986"/>
      <c r="AJ330" s="986"/>
      <c r="AK330" s="986"/>
      <c r="AL330" s="986"/>
      <c r="AM330" s="986"/>
      <c r="AN330" s="986"/>
      <c r="AO330" s="986"/>
      <c r="AP330" s="986"/>
      <c r="AQ330" s="986"/>
      <c r="AR330" s="2011">
        <v>0</v>
      </c>
      <c r="AS330"/>
      <c r="AT330" s="986"/>
      <c r="AU330" s="986"/>
      <c r="AV330" s="986"/>
      <c r="AW330" s="986"/>
      <c r="AX330" s="986"/>
      <c r="AY330" s="986"/>
      <c r="AZ330" s="986"/>
      <c r="BA330" s="986"/>
      <c r="BB330" s="986"/>
      <c r="BC330" s="986"/>
      <c r="BD330" s="986"/>
      <c r="BE330" s="986"/>
      <c r="BF330" s="2014">
        <v>0</v>
      </c>
      <c r="BG330"/>
      <c r="BH330" s="986"/>
      <c r="BI330" s="986"/>
      <c r="BJ330" s="986"/>
      <c r="BK330" s="986"/>
      <c r="BL330" s="986"/>
      <c r="BM330" s="986"/>
      <c r="BN330" s="986"/>
      <c r="BO330" s="986"/>
      <c r="BP330" s="986"/>
      <c r="BQ330" s="986"/>
      <c r="BR330" s="986"/>
      <c r="BS330" s="986"/>
      <c r="BT330" s="1498">
        <v>0</v>
      </c>
      <c r="BU330"/>
      <c r="BV330" s="986"/>
      <c r="BW330" s="986"/>
      <c r="BX330" s="986"/>
      <c r="BY330" s="1498">
        <v>0</v>
      </c>
      <c r="BZ330" s="1498">
        <v>0</v>
      </c>
    </row>
    <row r="331" spans="1:87" s="108" customFormat="1" ht="14" customHeight="1" outlineLevel="1">
      <c r="A331" s="580"/>
      <c r="B331" s="107"/>
      <c r="C331" s="107"/>
      <c r="D331" s="533"/>
      <c r="E331"/>
      <c r="F331" s="986"/>
      <c r="G331" s="986"/>
      <c r="H331" s="986"/>
      <c r="I331" s="986"/>
      <c r="J331" s="986"/>
      <c r="K331" s="986"/>
      <c r="L331" s="986"/>
      <c r="M331" s="986"/>
      <c r="N331" s="986"/>
      <c r="O331" s="986"/>
      <c r="P331" s="2011">
        <v>0</v>
      </c>
      <c r="Q331"/>
      <c r="R331" s="986"/>
      <c r="S331" s="986"/>
      <c r="T331" s="986"/>
      <c r="U331" s="986"/>
      <c r="V331" s="986"/>
      <c r="W331" s="986"/>
      <c r="X331" s="986"/>
      <c r="Y331" s="986"/>
      <c r="Z331" s="986"/>
      <c r="AA331" s="986"/>
      <c r="AB331" s="986"/>
      <c r="AC331" s="986"/>
      <c r="AD331" s="2011">
        <v>0</v>
      </c>
      <c r="AE331"/>
      <c r="AF331" s="986"/>
      <c r="AG331" s="986"/>
      <c r="AH331" s="986"/>
      <c r="AI331" s="986"/>
      <c r="AJ331" s="986"/>
      <c r="AK331" s="986"/>
      <c r="AL331" s="986"/>
      <c r="AM331" s="986"/>
      <c r="AN331" s="986"/>
      <c r="AO331" s="986"/>
      <c r="AP331" s="986"/>
      <c r="AQ331" s="986"/>
      <c r="AR331" s="2011">
        <v>0</v>
      </c>
      <c r="AS331"/>
      <c r="AT331" s="986"/>
      <c r="AU331" s="986"/>
      <c r="AV331" s="986"/>
      <c r="AW331" s="986"/>
      <c r="AX331" s="986"/>
      <c r="AY331" s="986"/>
      <c r="AZ331" s="986"/>
      <c r="BA331" s="986"/>
      <c r="BB331" s="986"/>
      <c r="BC331" s="986"/>
      <c r="BD331" s="986"/>
      <c r="BE331" s="986"/>
      <c r="BF331" s="2014">
        <v>0</v>
      </c>
      <c r="BG331"/>
      <c r="BH331" s="986"/>
      <c r="BI331" s="986"/>
      <c r="BJ331" s="986"/>
      <c r="BK331" s="986"/>
      <c r="BL331" s="986"/>
      <c r="BM331" s="986"/>
      <c r="BN331" s="986"/>
      <c r="BO331" s="986"/>
      <c r="BP331" s="986"/>
      <c r="BQ331" s="986"/>
      <c r="BR331" s="986"/>
      <c r="BS331" s="986"/>
      <c r="BT331" s="1498">
        <v>0</v>
      </c>
      <c r="BU331"/>
      <c r="BV331" s="986"/>
      <c r="BW331" s="986"/>
      <c r="BX331" s="986"/>
      <c r="BY331" s="1498">
        <v>0</v>
      </c>
      <c r="BZ331" s="1498">
        <v>0</v>
      </c>
    </row>
    <row r="332" spans="1:87" s="878" customFormat="1" ht="45">
      <c r="A332" s="577"/>
      <c r="B332" s="67" t="s">
        <v>553</v>
      </c>
      <c r="C332" s="67"/>
      <c r="D332" s="1651" t="s">
        <v>554</v>
      </c>
      <c r="E332"/>
      <c r="F332" s="974">
        <v>0</v>
      </c>
      <c r="G332" s="974">
        <v>0</v>
      </c>
      <c r="H332" s="974">
        <v>0</v>
      </c>
      <c r="I332" s="974">
        <v>0</v>
      </c>
      <c r="J332" s="974">
        <v>0</v>
      </c>
      <c r="K332" s="974">
        <v>0</v>
      </c>
      <c r="L332" s="974">
        <v>0</v>
      </c>
      <c r="M332" s="974">
        <v>0</v>
      </c>
      <c r="N332" s="974">
        <v>0</v>
      </c>
      <c r="O332" s="974">
        <v>0</v>
      </c>
      <c r="P332" s="974">
        <v>0</v>
      </c>
      <c r="Q332"/>
      <c r="R332" s="974">
        <v>168000</v>
      </c>
      <c r="S332" s="974">
        <v>27000</v>
      </c>
      <c r="T332" s="974">
        <v>27000</v>
      </c>
      <c r="U332" s="974">
        <v>66000</v>
      </c>
      <c r="V332" s="974">
        <v>111000</v>
      </c>
      <c r="W332" s="974">
        <v>31000</v>
      </c>
      <c r="X332" s="974">
        <v>31000</v>
      </c>
      <c r="Y332" s="974">
        <v>58000</v>
      </c>
      <c r="Z332" s="974">
        <v>284450</v>
      </c>
      <c r="AA332" s="974">
        <v>26000</v>
      </c>
      <c r="AB332" s="974">
        <v>106000</v>
      </c>
      <c r="AC332" s="974">
        <v>219400</v>
      </c>
      <c r="AD332" s="974">
        <v>1154850</v>
      </c>
      <c r="AE332"/>
      <c r="AF332" s="974">
        <v>83300</v>
      </c>
      <c r="AG332" s="974">
        <v>6000</v>
      </c>
      <c r="AH332" s="974">
        <v>792000</v>
      </c>
      <c r="AI332" s="974">
        <v>119400</v>
      </c>
      <c r="AJ332" s="974">
        <v>68300</v>
      </c>
      <c r="AK332" s="974">
        <v>17750</v>
      </c>
      <c r="AL332" s="974">
        <v>576750</v>
      </c>
      <c r="AM332" s="974">
        <v>51750</v>
      </c>
      <c r="AN332" s="974">
        <v>120250</v>
      </c>
      <c r="AO332" s="974">
        <v>93600</v>
      </c>
      <c r="AP332" s="974">
        <v>628000</v>
      </c>
      <c r="AQ332" s="974">
        <v>0</v>
      </c>
      <c r="AR332" s="974">
        <v>2557100</v>
      </c>
      <c r="AS332"/>
      <c r="AT332" s="974">
        <v>62300</v>
      </c>
      <c r="AU332" s="974">
        <v>173600</v>
      </c>
      <c r="AV332" s="974">
        <v>560500</v>
      </c>
      <c r="AW332" s="974">
        <v>0</v>
      </c>
      <c r="AX332" s="974">
        <v>72300</v>
      </c>
      <c r="AY332" s="974">
        <v>58800</v>
      </c>
      <c r="AZ332" s="974">
        <v>467500</v>
      </c>
      <c r="BA332" s="974">
        <v>10000</v>
      </c>
      <c r="BB332" s="974">
        <v>62300</v>
      </c>
      <c r="BC332" s="974">
        <v>30000</v>
      </c>
      <c r="BD332" s="974">
        <v>450500</v>
      </c>
      <c r="BE332" s="974">
        <v>15000</v>
      </c>
      <c r="BF332" s="975">
        <v>1962800</v>
      </c>
      <c r="BG332"/>
      <c r="BH332" s="974">
        <v>62300</v>
      </c>
      <c r="BI332" s="974">
        <v>0</v>
      </c>
      <c r="BJ332" s="974">
        <v>410500</v>
      </c>
      <c r="BK332" s="974">
        <v>0</v>
      </c>
      <c r="BL332" s="974">
        <v>116300</v>
      </c>
      <c r="BM332" s="974">
        <v>0</v>
      </c>
      <c r="BN332" s="974">
        <v>364000</v>
      </c>
      <c r="BO332" s="974">
        <v>0</v>
      </c>
      <c r="BP332" s="974">
        <v>31150</v>
      </c>
      <c r="BQ332" s="974">
        <v>0</v>
      </c>
      <c r="BR332" s="974">
        <v>383000</v>
      </c>
      <c r="BS332" s="974">
        <v>0</v>
      </c>
      <c r="BT332" s="973">
        <v>1367250</v>
      </c>
      <c r="BU332"/>
      <c r="BV332" s="974">
        <v>163000</v>
      </c>
      <c r="BW332" s="974">
        <v>0</v>
      </c>
      <c r="BX332" s="974">
        <v>0</v>
      </c>
      <c r="BY332" s="973">
        <v>163000</v>
      </c>
      <c r="BZ332" s="973">
        <v>7205000</v>
      </c>
      <c r="CA332" s="153"/>
      <c r="CB332" s="153"/>
      <c r="CC332" s="153"/>
      <c r="CD332" s="153"/>
      <c r="CE332" s="153"/>
      <c r="CF332" s="153"/>
      <c r="CG332" s="153"/>
      <c r="CH332" s="153"/>
      <c r="CI332" s="153"/>
    </row>
    <row r="333" spans="1:87" s="153" customFormat="1" ht="26.5" customHeight="1" outlineLevel="1" collapsed="1">
      <c r="A333" s="578"/>
      <c r="B333" s="428" t="s">
        <v>555</v>
      </c>
      <c r="C333" s="1641"/>
      <c r="D333" s="545" t="s">
        <v>39</v>
      </c>
      <c r="E333"/>
      <c r="F333" s="433">
        <v>0</v>
      </c>
      <c r="G333" s="433">
        <v>0</v>
      </c>
      <c r="H333" s="433">
        <v>0</v>
      </c>
      <c r="I333" s="433">
        <v>0</v>
      </c>
      <c r="J333" s="433">
        <v>0</v>
      </c>
      <c r="K333" s="433">
        <v>0</v>
      </c>
      <c r="L333" s="433">
        <v>0</v>
      </c>
      <c r="M333" s="433">
        <v>0</v>
      </c>
      <c r="N333" s="433">
        <v>0</v>
      </c>
      <c r="O333" s="433">
        <v>0</v>
      </c>
      <c r="P333" s="433">
        <v>0</v>
      </c>
      <c r="Q333"/>
      <c r="R333" s="433">
        <v>168000</v>
      </c>
      <c r="S333" s="433">
        <v>12000</v>
      </c>
      <c r="T333" s="433">
        <v>12000</v>
      </c>
      <c r="U333" s="433">
        <v>12000</v>
      </c>
      <c r="V333" s="433">
        <v>88000</v>
      </c>
      <c r="W333" s="433">
        <v>8000</v>
      </c>
      <c r="X333" s="433">
        <v>8000</v>
      </c>
      <c r="Y333" s="433">
        <v>8000</v>
      </c>
      <c r="Z333" s="433">
        <v>168000</v>
      </c>
      <c r="AA333" s="433">
        <v>3000</v>
      </c>
      <c r="AB333" s="433">
        <v>83000</v>
      </c>
      <c r="AC333" s="433">
        <v>169400</v>
      </c>
      <c r="AD333" s="433">
        <v>739400</v>
      </c>
      <c r="AE333"/>
      <c r="AF333" s="433">
        <v>3000</v>
      </c>
      <c r="AG333" s="433">
        <v>3000</v>
      </c>
      <c r="AH333" s="433">
        <v>189000</v>
      </c>
      <c r="AI333" s="433">
        <v>89400</v>
      </c>
      <c r="AJ333" s="433">
        <v>3000</v>
      </c>
      <c r="AK333" s="433">
        <v>14750</v>
      </c>
      <c r="AL333" s="433">
        <v>157750</v>
      </c>
      <c r="AM333" s="433">
        <v>21750</v>
      </c>
      <c r="AN333" s="433">
        <v>54950</v>
      </c>
      <c r="AO333" s="433">
        <v>57600</v>
      </c>
      <c r="AP333" s="433">
        <v>156000</v>
      </c>
      <c r="AQ333" s="433">
        <v>0</v>
      </c>
      <c r="AR333" s="433">
        <v>750200</v>
      </c>
      <c r="AS333"/>
      <c r="AT333" s="433">
        <v>0</v>
      </c>
      <c r="AU333" s="433">
        <v>83600</v>
      </c>
      <c r="AV333" s="433">
        <v>156000</v>
      </c>
      <c r="AW333" s="433">
        <v>0</v>
      </c>
      <c r="AX333" s="433">
        <v>10000</v>
      </c>
      <c r="AY333" s="433">
        <v>28800</v>
      </c>
      <c r="AZ333" s="433">
        <v>63000</v>
      </c>
      <c r="BA333" s="433">
        <v>10000</v>
      </c>
      <c r="BB333" s="433">
        <v>0</v>
      </c>
      <c r="BC333" s="433">
        <v>0</v>
      </c>
      <c r="BD333" s="433">
        <v>46000</v>
      </c>
      <c r="BE333" s="433">
        <v>15000</v>
      </c>
      <c r="BF333" s="433">
        <v>412400</v>
      </c>
      <c r="BG333"/>
      <c r="BH333" s="433">
        <v>0</v>
      </c>
      <c r="BI333" s="433">
        <v>0</v>
      </c>
      <c r="BJ333" s="433">
        <v>6000</v>
      </c>
      <c r="BK333" s="433">
        <v>0</v>
      </c>
      <c r="BL333" s="433">
        <v>0</v>
      </c>
      <c r="BM333" s="433">
        <v>0</v>
      </c>
      <c r="BN333" s="433">
        <v>0</v>
      </c>
      <c r="BO333" s="433">
        <v>0</v>
      </c>
      <c r="BP333" s="433">
        <v>0</v>
      </c>
      <c r="BQ333" s="433">
        <v>0</v>
      </c>
      <c r="BR333" s="433">
        <v>0</v>
      </c>
      <c r="BS333" s="433">
        <v>0</v>
      </c>
      <c r="BT333" s="433">
        <v>6000</v>
      </c>
      <c r="BU333"/>
      <c r="BV333" s="433">
        <v>0</v>
      </c>
      <c r="BW333" s="433">
        <v>0</v>
      </c>
      <c r="BX333" s="433">
        <v>0</v>
      </c>
      <c r="BY333" s="433">
        <v>0</v>
      </c>
      <c r="BZ333" s="433">
        <v>1908000</v>
      </c>
    </row>
    <row r="334" spans="1:87" s="153" customFormat="1" ht="29" customHeight="1" outlineLevel="2">
      <c r="A334" s="172"/>
      <c r="B334" s="171" t="s">
        <v>556</v>
      </c>
      <c r="C334" s="1642"/>
      <c r="D334" s="1652" t="s">
        <v>41</v>
      </c>
      <c r="E334"/>
      <c r="F334" s="176">
        <v>0</v>
      </c>
      <c r="G334" s="176">
        <v>0</v>
      </c>
      <c r="H334" s="176">
        <v>0</v>
      </c>
      <c r="I334" s="176">
        <v>0</v>
      </c>
      <c r="J334" s="176">
        <v>0</v>
      </c>
      <c r="K334" s="176">
        <v>0</v>
      </c>
      <c r="L334" s="176">
        <v>0</v>
      </c>
      <c r="M334" s="176">
        <v>0</v>
      </c>
      <c r="N334" s="176">
        <v>0</v>
      </c>
      <c r="O334" s="176">
        <v>0</v>
      </c>
      <c r="P334" s="980">
        <v>0</v>
      </c>
      <c r="Q334"/>
      <c r="R334" s="176">
        <v>160000</v>
      </c>
      <c r="S334" s="176">
        <v>0</v>
      </c>
      <c r="T334" s="176">
        <v>0</v>
      </c>
      <c r="U334" s="176">
        <v>0</v>
      </c>
      <c r="V334" s="176">
        <v>80000</v>
      </c>
      <c r="W334" s="176">
        <v>0</v>
      </c>
      <c r="X334" s="176">
        <v>0</v>
      </c>
      <c r="Y334" s="176">
        <v>0</v>
      </c>
      <c r="Z334" s="176">
        <v>160000</v>
      </c>
      <c r="AA334" s="176">
        <v>0</v>
      </c>
      <c r="AB334" s="176">
        <v>80000</v>
      </c>
      <c r="AC334" s="176">
        <v>166400</v>
      </c>
      <c r="AD334" s="980">
        <v>646400</v>
      </c>
      <c r="AE334"/>
      <c r="AF334" s="176">
        <v>0</v>
      </c>
      <c r="AG334" s="176">
        <v>0</v>
      </c>
      <c r="AH334" s="176">
        <v>0</v>
      </c>
      <c r="AI334" s="176">
        <v>86400</v>
      </c>
      <c r="AJ334" s="176">
        <v>0</v>
      </c>
      <c r="AK334" s="176">
        <v>11750</v>
      </c>
      <c r="AL334" s="176">
        <v>11750</v>
      </c>
      <c r="AM334" s="176">
        <v>11750</v>
      </c>
      <c r="AN334" s="176">
        <v>54950</v>
      </c>
      <c r="AO334" s="176">
        <v>57600</v>
      </c>
      <c r="AP334" s="176">
        <v>0</v>
      </c>
      <c r="AQ334" s="176">
        <v>0</v>
      </c>
      <c r="AR334" s="980">
        <v>234200</v>
      </c>
      <c r="AS334"/>
      <c r="AT334" s="176">
        <v>0</v>
      </c>
      <c r="AU334" s="176">
        <v>57600</v>
      </c>
      <c r="AV334" s="176">
        <v>0</v>
      </c>
      <c r="AW334" s="176">
        <v>0</v>
      </c>
      <c r="AX334" s="176">
        <v>0</v>
      </c>
      <c r="AY334" s="176">
        <v>28800</v>
      </c>
      <c r="AZ334" s="176">
        <v>12000</v>
      </c>
      <c r="BA334" s="176">
        <v>0</v>
      </c>
      <c r="BB334" s="176">
        <v>0</v>
      </c>
      <c r="BC334" s="176">
        <v>0</v>
      </c>
      <c r="BD334" s="176">
        <v>12000</v>
      </c>
      <c r="BE334" s="176">
        <v>0</v>
      </c>
      <c r="BF334" s="981">
        <v>110400</v>
      </c>
      <c r="BG334"/>
      <c r="BH334" s="176">
        <v>0</v>
      </c>
      <c r="BI334" s="176">
        <v>0</v>
      </c>
      <c r="BJ334" s="176">
        <v>6000</v>
      </c>
      <c r="BK334" s="176">
        <v>0</v>
      </c>
      <c r="BL334" s="176">
        <v>0</v>
      </c>
      <c r="BM334" s="176">
        <v>0</v>
      </c>
      <c r="BN334" s="176">
        <v>0</v>
      </c>
      <c r="BO334" s="176">
        <v>0</v>
      </c>
      <c r="BP334" s="176">
        <v>0</v>
      </c>
      <c r="BQ334" s="176">
        <v>0</v>
      </c>
      <c r="BR334" s="176">
        <v>0</v>
      </c>
      <c r="BS334" s="176">
        <v>0</v>
      </c>
      <c r="BT334" s="979">
        <v>6000</v>
      </c>
      <c r="BU334"/>
      <c r="BV334" s="176">
        <v>0</v>
      </c>
      <c r="BW334" s="176">
        <v>0</v>
      </c>
      <c r="BX334" s="176">
        <v>0</v>
      </c>
      <c r="BY334" s="979">
        <v>0</v>
      </c>
      <c r="BZ334" s="979">
        <v>997000</v>
      </c>
    </row>
    <row r="335" spans="1:87" s="148" customFormat="1" ht="152" hidden="1" customHeight="1" outlineLevel="3">
      <c r="A335" s="159"/>
      <c r="B335" s="702" t="s">
        <v>953</v>
      </c>
      <c r="C335" s="1643" t="s">
        <v>1279</v>
      </c>
      <c r="D335" s="1745" t="s">
        <v>954</v>
      </c>
      <c r="E335"/>
      <c r="F335" s="986">
        <v>0</v>
      </c>
      <c r="G335" s="986">
        <v>0</v>
      </c>
      <c r="H335" s="986">
        <v>0</v>
      </c>
      <c r="I335" s="986">
        <v>0</v>
      </c>
      <c r="J335" s="986">
        <v>0</v>
      </c>
      <c r="K335" s="986">
        <v>0</v>
      </c>
      <c r="L335" s="986">
        <v>0</v>
      </c>
      <c r="M335" s="986">
        <v>0</v>
      </c>
      <c r="N335" s="986">
        <v>0</v>
      </c>
      <c r="O335" s="986">
        <v>0</v>
      </c>
      <c r="P335" s="2011">
        <v>0</v>
      </c>
      <c r="Q335"/>
      <c r="R335" s="986">
        <v>160000</v>
      </c>
      <c r="S335" s="986">
        <v>0</v>
      </c>
      <c r="T335" s="986">
        <v>0</v>
      </c>
      <c r="U335" s="986">
        <v>0</v>
      </c>
      <c r="V335" s="986">
        <v>80000</v>
      </c>
      <c r="W335" s="986">
        <v>0</v>
      </c>
      <c r="X335" s="986">
        <v>0</v>
      </c>
      <c r="Y335" s="986">
        <v>0</v>
      </c>
      <c r="Z335" s="986">
        <v>160000</v>
      </c>
      <c r="AA335" s="986">
        <v>0</v>
      </c>
      <c r="AB335" s="986">
        <v>0</v>
      </c>
      <c r="AC335" s="986">
        <v>0</v>
      </c>
      <c r="AD335" s="2011">
        <v>400000</v>
      </c>
      <c r="AE335"/>
      <c r="AF335" s="986">
        <v>0</v>
      </c>
      <c r="AG335" s="986">
        <v>0</v>
      </c>
      <c r="AH335" s="986">
        <v>0</v>
      </c>
      <c r="AI335" s="986">
        <v>0</v>
      </c>
      <c r="AJ335" s="986">
        <v>0</v>
      </c>
      <c r="AK335" s="986">
        <v>0</v>
      </c>
      <c r="AL335" s="986">
        <v>0</v>
      </c>
      <c r="AM335" s="986">
        <v>0</v>
      </c>
      <c r="AN335" s="986">
        <v>0</v>
      </c>
      <c r="AO335" s="986">
        <v>0</v>
      </c>
      <c r="AP335" s="986">
        <v>0</v>
      </c>
      <c r="AQ335" s="986">
        <v>0</v>
      </c>
      <c r="AR335" s="2011">
        <v>0</v>
      </c>
      <c r="AS335"/>
      <c r="AT335" s="986">
        <v>0</v>
      </c>
      <c r="AU335" s="986">
        <v>0</v>
      </c>
      <c r="AV335" s="986">
        <v>0</v>
      </c>
      <c r="AW335" s="986">
        <v>0</v>
      </c>
      <c r="AX335" s="986">
        <v>0</v>
      </c>
      <c r="AY335" s="986">
        <v>0</v>
      </c>
      <c r="AZ335" s="986">
        <v>0</v>
      </c>
      <c r="BA335" s="986">
        <v>0</v>
      </c>
      <c r="BB335" s="986">
        <v>0</v>
      </c>
      <c r="BC335" s="986">
        <v>0</v>
      </c>
      <c r="BD335" s="986">
        <v>0</v>
      </c>
      <c r="BE335" s="986">
        <v>0</v>
      </c>
      <c r="BF335" s="2011">
        <v>0</v>
      </c>
      <c r="BG335"/>
      <c r="BH335" s="986">
        <v>0</v>
      </c>
      <c r="BI335" s="986">
        <v>0</v>
      </c>
      <c r="BJ335" s="986">
        <v>0</v>
      </c>
      <c r="BK335" s="986">
        <v>0</v>
      </c>
      <c r="BL335" s="986">
        <v>0</v>
      </c>
      <c r="BM335" s="986">
        <v>0</v>
      </c>
      <c r="BN335" s="986">
        <v>0</v>
      </c>
      <c r="BO335" s="986">
        <v>0</v>
      </c>
      <c r="BP335" s="986">
        <v>0</v>
      </c>
      <c r="BQ335" s="986">
        <v>0</v>
      </c>
      <c r="BR335" s="986">
        <v>0</v>
      </c>
      <c r="BS335" s="986">
        <v>0</v>
      </c>
      <c r="BT335" s="2025">
        <v>0</v>
      </c>
      <c r="BU335"/>
      <c r="BV335" s="986">
        <v>0</v>
      </c>
      <c r="BW335" s="986">
        <v>0</v>
      </c>
      <c r="BX335" s="986">
        <v>0</v>
      </c>
      <c r="BY335" s="2025">
        <v>0</v>
      </c>
      <c r="BZ335" s="2025">
        <v>400000</v>
      </c>
    </row>
    <row r="336" spans="1:87" s="148" customFormat="1" ht="41" hidden="1" customHeight="1" outlineLevel="3">
      <c r="A336" s="159"/>
      <c r="B336" s="702" t="s">
        <v>956</v>
      </c>
      <c r="C336" s="1643"/>
      <c r="D336" s="1745" t="s">
        <v>957</v>
      </c>
      <c r="E336"/>
      <c r="F336" s="986">
        <v>0</v>
      </c>
      <c r="G336" s="986">
        <v>0</v>
      </c>
      <c r="H336" s="986">
        <v>0</v>
      </c>
      <c r="I336" s="986">
        <v>0</v>
      </c>
      <c r="J336" s="986">
        <v>0</v>
      </c>
      <c r="K336" s="986">
        <v>0</v>
      </c>
      <c r="L336" s="986">
        <v>0</v>
      </c>
      <c r="M336" s="986">
        <v>0</v>
      </c>
      <c r="N336" s="986">
        <v>0</v>
      </c>
      <c r="O336" s="986">
        <v>0</v>
      </c>
      <c r="P336" s="2011">
        <v>0</v>
      </c>
      <c r="Q336"/>
      <c r="R336" s="986">
        <v>0</v>
      </c>
      <c r="S336" s="986">
        <v>0</v>
      </c>
      <c r="T336" s="986">
        <v>0</v>
      </c>
      <c r="U336" s="986">
        <v>0</v>
      </c>
      <c r="V336" s="986">
        <v>0</v>
      </c>
      <c r="W336" s="986">
        <v>0</v>
      </c>
      <c r="X336" s="986">
        <v>0</v>
      </c>
      <c r="Y336" s="986">
        <v>0</v>
      </c>
      <c r="Z336" s="986">
        <v>0</v>
      </c>
      <c r="AA336" s="986">
        <v>0</v>
      </c>
      <c r="AB336" s="986">
        <v>80000</v>
      </c>
      <c r="AC336" s="986">
        <v>80000</v>
      </c>
      <c r="AD336" s="2011">
        <v>160000</v>
      </c>
      <c r="AE336"/>
      <c r="AF336" s="986">
        <v>0</v>
      </c>
      <c r="AG336" s="986">
        <v>0</v>
      </c>
      <c r="AH336" s="986">
        <v>0</v>
      </c>
      <c r="AI336" s="986">
        <v>0</v>
      </c>
      <c r="AJ336" s="986">
        <v>0</v>
      </c>
      <c r="AK336" s="986">
        <v>0</v>
      </c>
      <c r="AL336" s="986">
        <v>0</v>
      </c>
      <c r="AM336" s="986">
        <v>0</v>
      </c>
      <c r="AN336" s="986">
        <v>0</v>
      </c>
      <c r="AO336" s="986">
        <v>0</v>
      </c>
      <c r="AP336" s="986">
        <v>0</v>
      </c>
      <c r="AQ336" s="986">
        <v>0</v>
      </c>
      <c r="AR336" s="2011">
        <v>0</v>
      </c>
      <c r="AS336"/>
      <c r="AT336" s="986">
        <v>0</v>
      </c>
      <c r="AU336" s="986">
        <v>0</v>
      </c>
      <c r="AV336" s="986">
        <v>0</v>
      </c>
      <c r="AW336" s="986">
        <v>0</v>
      </c>
      <c r="AX336" s="986">
        <v>0</v>
      </c>
      <c r="AY336" s="986">
        <v>0</v>
      </c>
      <c r="AZ336" s="986">
        <v>0</v>
      </c>
      <c r="BA336" s="986">
        <v>0</v>
      </c>
      <c r="BB336" s="986">
        <v>0</v>
      </c>
      <c r="BC336" s="986">
        <v>0</v>
      </c>
      <c r="BD336" s="986">
        <v>0</v>
      </c>
      <c r="BE336" s="986">
        <v>0</v>
      </c>
      <c r="BF336" s="2011">
        <v>0</v>
      </c>
      <c r="BG336"/>
      <c r="BH336" s="986">
        <v>0</v>
      </c>
      <c r="BI336" s="986">
        <v>0</v>
      </c>
      <c r="BJ336" s="986">
        <v>0</v>
      </c>
      <c r="BK336" s="986">
        <v>0</v>
      </c>
      <c r="BL336" s="986">
        <v>0</v>
      </c>
      <c r="BM336" s="986">
        <v>0</v>
      </c>
      <c r="BN336" s="986">
        <v>0</v>
      </c>
      <c r="BO336" s="986">
        <v>0</v>
      </c>
      <c r="BP336" s="986">
        <v>0</v>
      </c>
      <c r="BQ336" s="986">
        <v>0</v>
      </c>
      <c r="BR336" s="986">
        <v>0</v>
      </c>
      <c r="BS336" s="986">
        <v>0</v>
      </c>
      <c r="BT336" s="2025">
        <v>0</v>
      </c>
      <c r="BU336"/>
      <c r="BV336" s="986">
        <v>0</v>
      </c>
      <c r="BW336" s="986">
        <v>0</v>
      </c>
      <c r="BX336" s="986">
        <v>0</v>
      </c>
      <c r="BY336" s="2025">
        <v>0</v>
      </c>
      <c r="BZ336" s="2025">
        <v>160000</v>
      </c>
    </row>
    <row r="337" spans="1:87" s="153" customFormat="1" ht="45" hidden="1" customHeight="1" outlineLevel="3">
      <c r="A337" s="159"/>
      <c r="B337" s="702" t="s">
        <v>958</v>
      </c>
      <c r="C337" s="1643"/>
      <c r="D337" s="1745" t="s">
        <v>959</v>
      </c>
      <c r="E337"/>
      <c r="F337" s="986">
        <v>0</v>
      </c>
      <c r="G337" s="986">
        <v>0</v>
      </c>
      <c r="H337" s="986">
        <v>0</v>
      </c>
      <c r="I337" s="986">
        <v>0</v>
      </c>
      <c r="J337" s="986">
        <v>0</v>
      </c>
      <c r="K337" s="986">
        <v>0</v>
      </c>
      <c r="L337" s="986">
        <v>0</v>
      </c>
      <c r="M337" s="986">
        <v>0</v>
      </c>
      <c r="N337" s="986">
        <v>0</v>
      </c>
      <c r="O337" s="986">
        <v>0</v>
      </c>
      <c r="P337" s="996">
        <v>0</v>
      </c>
      <c r="Q337"/>
      <c r="R337" s="986">
        <v>0</v>
      </c>
      <c r="S337" s="986">
        <v>0</v>
      </c>
      <c r="T337" s="986">
        <v>0</v>
      </c>
      <c r="U337" s="986">
        <v>0</v>
      </c>
      <c r="V337" s="986">
        <v>0</v>
      </c>
      <c r="W337" s="986">
        <v>0</v>
      </c>
      <c r="X337" s="986">
        <v>0</v>
      </c>
      <c r="Y337" s="986">
        <v>0</v>
      </c>
      <c r="Z337" s="986">
        <v>0</v>
      </c>
      <c r="AA337" s="986">
        <v>0</v>
      </c>
      <c r="AB337" s="986">
        <v>0</v>
      </c>
      <c r="AC337" s="1001">
        <v>86400</v>
      </c>
      <c r="AD337" s="996">
        <v>86400</v>
      </c>
      <c r="AE337"/>
      <c r="AF337" s="986">
        <v>0</v>
      </c>
      <c r="AG337" s="986">
        <v>0</v>
      </c>
      <c r="AH337" s="986">
        <v>0</v>
      </c>
      <c r="AI337" s="986">
        <v>86400</v>
      </c>
      <c r="AJ337" s="986">
        <v>0</v>
      </c>
      <c r="AK337" s="986">
        <v>0</v>
      </c>
      <c r="AL337" s="986">
        <v>0</v>
      </c>
      <c r="AM337" s="986">
        <v>0</v>
      </c>
      <c r="AN337" s="986">
        <v>43200</v>
      </c>
      <c r="AO337" s="986">
        <v>0</v>
      </c>
      <c r="AP337" s="986">
        <v>0</v>
      </c>
      <c r="AQ337" s="986">
        <v>0</v>
      </c>
      <c r="AR337" s="996">
        <v>129600</v>
      </c>
      <c r="AS337"/>
      <c r="AT337" s="986">
        <v>0</v>
      </c>
      <c r="AU337" s="986">
        <v>0</v>
      </c>
      <c r="AV337" s="986">
        <v>0</v>
      </c>
      <c r="AW337" s="986">
        <v>0</v>
      </c>
      <c r="AX337" s="986">
        <v>0</v>
      </c>
      <c r="AY337" s="986">
        <v>0</v>
      </c>
      <c r="AZ337" s="986">
        <v>0</v>
      </c>
      <c r="BA337" s="986">
        <v>0</v>
      </c>
      <c r="BB337" s="986">
        <v>0</v>
      </c>
      <c r="BC337" s="986">
        <v>0</v>
      </c>
      <c r="BD337" s="986">
        <v>0</v>
      </c>
      <c r="BE337" s="986">
        <v>0</v>
      </c>
      <c r="BF337" s="997">
        <v>0</v>
      </c>
      <c r="BG337"/>
      <c r="BH337" s="986">
        <v>0</v>
      </c>
      <c r="BI337" s="986">
        <v>0</v>
      </c>
      <c r="BJ337" s="986">
        <v>0</v>
      </c>
      <c r="BK337" s="986">
        <v>0</v>
      </c>
      <c r="BL337" s="986">
        <v>0</v>
      </c>
      <c r="BM337" s="986">
        <v>0</v>
      </c>
      <c r="BN337" s="986">
        <v>0</v>
      </c>
      <c r="BO337" s="986">
        <v>0</v>
      </c>
      <c r="BP337" s="986">
        <v>0</v>
      </c>
      <c r="BQ337" s="986">
        <v>0</v>
      </c>
      <c r="BR337" s="986">
        <v>0</v>
      </c>
      <c r="BS337" s="986">
        <v>0</v>
      </c>
      <c r="BT337" s="995">
        <v>0</v>
      </c>
      <c r="BU337"/>
      <c r="BV337" s="986">
        <v>0</v>
      </c>
      <c r="BW337" s="986">
        <v>0</v>
      </c>
      <c r="BX337" s="986">
        <v>0</v>
      </c>
      <c r="BY337" s="995">
        <v>0</v>
      </c>
      <c r="BZ337" s="995">
        <v>216000</v>
      </c>
    </row>
    <row r="338" spans="1:87" s="148" customFormat="1" ht="33.5" hidden="1" customHeight="1" outlineLevel="3">
      <c r="A338" s="159"/>
      <c r="B338" s="702" t="s">
        <v>960</v>
      </c>
      <c r="C338" s="1643"/>
      <c r="D338" s="1745" t="s">
        <v>961</v>
      </c>
      <c r="E338"/>
      <c r="F338" s="986">
        <v>0</v>
      </c>
      <c r="G338" s="986">
        <v>0</v>
      </c>
      <c r="H338" s="986">
        <v>0</v>
      </c>
      <c r="I338" s="986">
        <v>0</v>
      </c>
      <c r="J338" s="986">
        <v>0</v>
      </c>
      <c r="K338" s="986">
        <v>0</v>
      </c>
      <c r="L338" s="986">
        <v>0</v>
      </c>
      <c r="M338" s="986">
        <v>0</v>
      </c>
      <c r="N338" s="986">
        <v>0</v>
      </c>
      <c r="O338" s="986">
        <v>0</v>
      </c>
      <c r="P338" s="2011">
        <v>0</v>
      </c>
      <c r="Q338"/>
      <c r="R338" s="986">
        <v>0</v>
      </c>
      <c r="S338" s="986">
        <v>0</v>
      </c>
      <c r="T338" s="986">
        <v>0</v>
      </c>
      <c r="U338" s="986">
        <v>0</v>
      </c>
      <c r="V338" s="986">
        <v>0</v>
      </c>
      <c r="W338" s="986">
        <v>0</v>
      </c>
      <c r="X338" s="986">
        <v>0</v>
      </c>
      <c r="Y338" s="986">
        <v>0</v>
      </c>
      <c r="Z338" s="986">
        <v>0</v>
      </c>
      <c r="AA338" s="986">
        <v>0</v>
      </c>
      <c r="AB338" s="986">
        <v>0</v>
      </c>
      <c r="AC338" s="986">
        <v>0</v>
      </c>
      <c r="AD338" s="2011">
        <v>0</v>
      </c>
      <c r="AE338"/>
      <c r="AF338" s="986">
        <v>0</v>
      </c>
      <c r="AG338" s="986">
        <v>0</v>
      </c>
      <c r="AH338" s="986">
        <v>0</v>
      </c>
      <c r="AI338" s="986">
        <v>0</v>
      </c>
      <c r="AJ338" s="986">
        <v>0</v>
      </c>
      <c r="AK338" s="986">
        <v>0</v>
      </c>
      <c r="AL338" s="986">
        <v>0</v>
      </c>
      <c r="AM338" s="986">
        <v>0</v>
      </c>
      <c r="AN338" s="986">
        <v>0</v>
      </c>
      <c r="AO338" s="986">
        <v>57600</v>
      </c>
      <c r="AP338" s="986">
        <v>0</v>
      </c>
      <c r="AQ338" s="986">
        <v>0</v>
      </c>
      <c r="AR338" s="2011">
        <v>57600</v>
      </c>
      <c r="AS338"/>
      <c r="AT338" s="986">
        <v>0</v>
      </c>
      <c r="AU338" s="986">
        <v>57600</v>
      </c>
      <c r="AV338" s="986">
        <v>0</v>
      </c>
      <c r="AW338" s="986">
        <v>0</v>
      </c>
      <c r="AX338" s="986">
        <v>0</v>
      </c>
      <c r="AY338" s="986">
        <v>28800</v>
      </c>
      <c r="AZ338" s="986">
        <v>0</v>
      </c>
      <c r="BA338" s="986">
        <v>0</v>
      </c>
      <c r="BB338" s="986">
        <v>0</v>
      </c>
      <c r="BC338" s="986">
        <v>0</v>
      </c>
      <c r="BD338" s="986">
        <v>0</v>
      </c>
      <c r="BE338" s="986">
        <v>0</v>
      </c>
      <c r="BF338" s="2011">
        <v>86400</v>
      </c>
      <c r="BG338"/>
      <c r="BH338" s="986">
        <v>0</v>
      </c>
      <c r="BI338" s="986">
        <v>0</v>
      </c>
      <c r="BJ338" s="986">
        <v>0</v>
      </c>
      <c r="BK338" s="986">
        <v>0</v>
      </c>
      <c r="BL338" s="986">
        <v>0</v>
      </c>
      <c r="BM338" s="986">
        <v>0</v>
      </c>
      <c r="BN338" s="986">
        <v>0</v>
      </c>
      <c r="BO338" s="986">
        <v>0</v>
      </c>
      <c r="BP338" s="986">
        <v>0</v>
      </c>
      <c r="BQ338" s="986">
        <v>0</v>
      </c>
      <c r="BR338" s="986">
        <v>0</v>
      </c>
      <c r="BS338" s="986">
        <v>0</v>
      </c>
      <c r="BT338" s="2024">
        <v>0</v>
      </c>
      <c r="BU338"/>
      <c r="BV338" s="986">
        <v>0</v>
      </c>
      <c r="BW338" s="986">
        <v>0</v>
      </c>
      <c r="BX338" s="986">
        <v>0</v>
      </c>
      <c r="BY338" s="2024">
        <v>0</v>
      </c>
      <c r="BZ338" s="2024">
        <v>144000</v>
      </c>
    </row>
    <row r="339" spans="1:87" s="148" customFormat="1" ht="32" hidden="1" customHeight="1" outlineLevel="3">
      <c r="A339" s="159"/>
      <c r="B339" s="702" t="s">
        <v>962</v>
      </c>
      <c r="C339" s="1643"/>
      <c r="D339" s="1745" t="s">
        <v>963</v>
      </c>
      <c r="E339"/>
      <c r="F339" s="986">
        <v>0</v>
      </c>
      <c r="G339" s="986">
        <v>0</v>
      </c>
      <c r="H339" s="986">
        <v>0</v>
      </c>
      <c r="I339" s="986">
        <v>0</v>
      </c>
      <c r="J339" s="986">
        <v>0</v>
      </c>
      <c r="K339" s="986">
        <v>0</v>
      </c>
      <c r="L339" s="986">
        <v>0</v>
      </c>
      <c r="M339" s="986">
        <v>0</v>
      </c>
      <c r="N339" s="986">
        <v>0</v>
      </c>
      <c r="O339" s="986">
        <v>0</v>
      </c>
      <c r="P339" s="2011">
        <v>0</v>
      </c>
      <c r="Q339"/>
      <c r="R339" s="986">
        <v>0</v>
      </c>
      <c r="S339" s="986">
        <v>0</v>
      </c>
      <c r="T339" s="986">
        <v>0</v>
      </c>
      <c r="U339" s="986">
        <v>0</v>
      </c>
      <c r="V339" s="986">
        <v>0</v>
      </c>
      <c r="W339" s="986">
        <v>0</v>
      </c>
      <c r="X339" s="986">
        <v>0</v>
      </c>
      <c r="Y339" s="986">
        <v>0</v>
      </c>
      <c r="Z339" s="986">
        <v>0</v>
      </c>
      <c r="AA339" s="986">
        <v>0</v>
      </c>
      <c r="AB339" s="986">
        <v>0</v>
      </c>
      <c r="AC339" s="986">
        <v>0</v>
      </c>
      <c r="AD339" s="2011">
        <v>0</v>
      </c>
      <c r="AE339"/>
      <c r="AF339" s="986">
        <v>0</v>
      </c>
      <c r="AG339" s="986">
        <v>0</v>
      </c>
      <c r="AH339" s="986">
        <v>0</v>
      </c>
      <c r="AI339" s="986">
        <v>0</v>
      </c>
      <c r="AJ339" s="986">
        <v>0</v>
      </c>
      <c r="AK339" s="986">
        <v>0</v>
      </c>
      <c r="AL339" s="986">
        <v>0</v>
      </c>
      <c r="AM339" s="986">
        <v>0</v>
      </c>
      <c r="AN339" s="986">
        <v>0</v>
      </c>
      <c r="AO339" s="986">
        <v>0</v>
      </c>
      <c r="AP339" s="986">
        <v>0</v>
      </c>
      <c r="AQ339" s="986">
        <v>0</v>
      </c>
      <c r="AR339" s="2011">
        <v>0</v>
      </c>
      <c r="AS339"/>
      <c r="AT339" s="986">
        <v>0</v>
      </c>
      <c r="AU339" s="986">
        <v>0</v>
      </c>
      <c r="AV339" s="986">
        <v>0</v>
      </c>
      <c r="AW339" s="986">
        <v>0</v>
      </c>
      <c r="AX339" s="986">
        <v>0</v>
      </c>
      <c r="AY339" s="986">
        <v>0</v>
      </c>
      <c r="AZ339" s="986">
        <v>12000</v>
      </c>
      <c r="BA339" s="986">
        <v>0</v>
      </c>
      <c r="BB339" s="986">
        <v>0</v>
      </c>
      <c r="BC339" s="986">
        <v>0</v>
      </c>
      <c r="BD339" s="986">
        <v>12000</v>
      </c>
      <c r="BE339" s="986">
        <v>0</v>
      </c>
      <c r="BF339" s="2011">
        <v>24000</v>
      </c>
      <c r="BG339"/>
      <c r="BH339" s="986">
        <v>0</v>
      </c>
      <c r="BI339" s="986">
        <v>0</v>
      </c>
      <c r="BJ339" s="986">
        <v>6000</v>
      </c>
      <c r="BK339" s="986">
        <v>0</v>
      </c>
      <c r="BL339" s="986">
        <v>0</v>
      </c>
      <c r="BM339" s="986">
        <v>0</v>
      </c>
      <c r="BN339" s="986">
        <v>0</v>
      </c>
      <c r="BO339" s="986">
        <v>0</v>
      </c>
      <c r="BP339" s="986">
        <v>0</v>
      </c>
      <c r="BQ339" s="986">
        <v>0</v>
      </c>
      <c r="BR339" s="986">
        <v>0</v>
      </c>
      <c r="BS339" s="986">
        <v>0</v>
      </c>
      <c r="BT339" s="2024">
        <v>6000</v>
      </c>
      <c r="BU339"/>
      <c r="BV339" s="986">
        <v>0</v>
      </c>
      <c r="BW339" s="986">
        <v>0</v>
      </c>
      <c r="BX339" s="986">
        <v>0</v>
      </c>
      <c r="BY339" s="2024">
        <v>0</v>
      </c>
      <c r="BZ339" s="2024">
        <v>30000</v>
      </c>
    </row>
    <row r="340" spans="1:87" s="148" customFormat="1" ht="27.5" hidden="1" customHeight="1" outlineLevel="3">
      <c r="A340" s="159"/>
      <c r="B340" s="702" t="s">
        <v>964</v>
      </c>
      <c r="C340" s="1643"/>
      <c r="D340" s="1912" t="s">
        <v>965</v>
      </c>
      <c r="E340"/>
      <c r="F340" s="986">
        <v>0</v>
      </c>
      <c r="G340" s="986">
        <v>0</v>
      </c>
      <c r="H340" s="986">
        <v>0</v>
      </c>
      <c r="I340" s="986">
        <v>0</v>
      </c>
      <c r="J340" s="986">
        <v>0</v>
      </c>
      <c r="K340" s="986">
        <v>0</v>
      </c>
      <c r="L340" s="986">
        <v>0</v>
      </c>
      <c r="M340" s="986">
        <v>0</v>
      </c>
      <c r="N340" s="986">
        <v>0</v>
      </c>
      <c r="O340" s="986">
        <v>0</v>
      </c>
      <c r="P340" s="2011">
        <v>0</v>
      </c>
      <c r="Q340"/>
      <c r="R340" s="986">
        <v>0</v>
      </c>
      <c r="S340" s="986">
        <v>0</v>
      </c>
      <c r="T340" s="986">
        <v>0</v>
      </c>
      <c r="U340" s="986">
        <v>0</v>
      </c>
      <c r="V340" s="986">
        <v>0</v>
      </c>
      <c r="W340" s="986">
        <v>0</v>
      </c>
      <c r="X340" s="986">
        <v>0</v>
      </c>
      <c r="Y340" s="986">
        <v>0</v>
      </c>
      <c r="Z340" s="986">
        <v>0</v>
      </c>
      <c r="AA340" s="986">
        <v>0</v>
      </c>
      <c r="AB340" s="986">
        <v>0</v>
      </c>
      <c r="AC340" s="986">
        <v>0</v>
      </c>
      <c r="AD340" s="2011">
        <v>0</v>
      </c>
      <c r="AE340"/>
      <c r="AF340" s="986">
        <v>0</v>
      </c>
      <c r="AG340" s="986">
        <v>0</v>
      </c>
      <c r="AH340" s="986">
        <v>0</v>
      </c>
      <c r="AI340" s="986">
        <v>0</v>
      </c>
      <c r="AJ340" s="986">
        <v>0</v>
      </c>
      <c r="AK340" s="986">
        <v>11750</v>
      </c>
      <c r="AL340" s="986">
        <v>11750</v>
      </c>
      <c r="AM340" s="986">
        <v>11750</v>
      </c>
      <c r="AN340" s="986">
        <v>11750</v>
      </c>
      <c r="AO340" s="986">
        <v>0</v>
      </c>
      <c r="AP340" s="986">
        <v>0</v>
      </c>
      <c r="AQ340" s="986">
        <v>0</v>
      </c>
      <c r="AR340" s="2011">
        <v>47000</v>
      </c>
      <c r="AS340"/>
      <c r="AT340" s="986">
        <v>0</v>
      </c>
      <c r="AU340" s="986">
        <v>0</v>
      </c>
      <c r="AV340" s="986">
        <v>0</v>
      </c>
      <c r="AW340" s="986">
        <v>0</v>
      </c>
      <c r="AX340" s="986">
        <v>0</v>
      </c>
      <c r="AY340" s="986">
        <v>0</v>
      </c>
      <c r="AZ340" s="986">
        <v>0</v>
      </c>
      <c r="BA340" s="986">
        <v>0</v>
      </c>
      <c r="BB340" s="986">
        <v>0</v>
      </c>
      <c r="BC340" s="986">
        <v>0</v>
      </c>
      <c r="BD340" s="986">
        <v>0</v>
      </c>
      <c r="BE340" s="986">
        <v>0</v>
      </c>
      <c r="BF340" s="2011">
        <v>0</v>
      </c>
      <c r="BG340"/>
      <c r="BH340" s="986">
        <v>0</v>
      </c>
      <c r="BI340" s="986">
        <v>0</v>
      </c>
      <c r="BJ340" s="986">
        <v>0</v>
      </c>
      <c r="BK340" s="986">
        <v>0</v>
      </c>
      <c r="BL340" s="986">
        <v>0</v>
      </c>
      <c r="BM340" s="986">
        <v>0</v>
      </c>
      <c r="BN340" s="986">
        <v>0</v>
      </c>
      <c r="BO340" s="986">
        <v>0</v>
      </c>
      <c r="BP340" s="986">
        <v>0</v>
      </c>
      <c r="BQ340" s="986">
        <v>0</v>
      </c>
      <c r="BR340" s="986">
        <v>0</v>
      </c>
      <c r="BS340" s="986">
        <v>0</v>
      </c>
      <c r="BT340" s="2024">
        <v>0</v>
      </c>
      <c r="BU340"/>
      <c r="BV340" s="986">
        <v>0</v>
      </c>
      <c r="BW340" s="986">
        <v>0</v>
      </c>
      <c r="BX340" s="986">
        <v>0</v>
      </c>
      <c r="BY340" s="2024">
        <v>0</v>
      </c>
      <c r="BZ340" s="2024">
        <v>47000</v>
      </c>
    </row>
    <row r="341" spans="1:87" s="148" customFormat="1" ht="14" hidden="1" customHeight="1" outlineLevel="3">
      <c r="A341" s="159"/>
      <c r="B341" s="702"/>
      <c r="C341" s="1643"/>
      <c r="D341" s="533"/>
      <c r="E341"/>
      <c r="F341" s="986"/>
      <c r="G341" s="986"/>
      <c r="H341" s="986"/>
      <c r="I341" s="986"/>
      <c r="J341" s="986"/>
      <c r="K341" s="986"/>
      <c r="L341" s="986"/>
      <c r="M341" s="986"/>
      <c r="N341" s="986"/>
      <c r="O341" s="986"/>
      <c r="P341" s="2011">
        <v>0</v>
      </c>
      <c r="Q341"/>
      <c r="R341" s="986"/>
      <c r="S341" s="986"/>
      <c r="T341" s="986"/>
      <c r="U341" s="986"/>
      <c r="V341" s="986"/>
      <c r="W341" s="986"/>
      <c r="X341" s="986"/>
      <c r="Y341" s="986"/>
      <c r="Z341" s="986"/>
      <c r="AA341" s="986"/>
      <c r="AB341" s="986"/>
      <c r="AC341" s="986"/>
      <c r="AD341" s="2011">
        <v>0</v>
      </c>
      <c r="AE341"/>
      <c r="AF341" s="986"/>
      <c r="AG341" s="986"/>
      <c r="AH341" s="986"/>
      <c r="AI341" s="986"/>
      <c r="AJ341" s="986"/>
      <c r="AK341" s="986"/>
      <c r="AL341" s="986"/>
      <c r="AM341" s="986"/>
      <c r="AN341" s="986"/>
      <c r="AO341" s="986"/>
      <c r="AP341" s="986"/>
      <c r="AQ341" s="986"/>
      <c r="AR341" s="2011">
        <v>0</v>
      </c>
      <c r="AS341"/>
      <c r="AT341" s="986"/>
      <c r="AU341" s="986"/>
      <c r="AV341" s="986"/>
      <c r="AW341" s="986"/>
      <c r="AX341" s="986"/>
      <c r="AY341" s="986"/>
      <c r="AZ341" s="986"/>
      <c r="BA341" s="986"/>
      <c r="BB341" s="986"/>
      <c r="BC341" s="986"/>
      <c r="BD341" s="986"/>
      <c r="BE341" s="986"/>
      <c r="BF341" s="2011">
        <v>0</v>
      </c>
      <c r="BG341"/>
      <c r="BH341" s="986"/>
      <c r="BI341" s="986"/>
      <c r="BJ341" s="986"/>
      <c r="BK341" s="986"/>
      <c r="BL341" s="986"/>
      <c r="BM341" s="986"/>
      <c r="BN341" s="986"/>
      <c r="BO341" s="986"/>
      <c r="BP341" s="986"/>
      <c r="BQ341" s="986"/>
      <c r="BR341" s="986"/>
      <c r="BS341" s="986"/>
      <c r="BT341" s="2024">
        <v>0</v>
      </c>
      <c r="BU341"/>
      <c r="BV341" s="986"/>
      <c r="BW341" s="986"/>
      <c r="BX341" s="986"/>
      <c r="BY341" s="2024">
        <v>0</v>
      </c>
      <c r="BZ341" s="2024">
        <v>0</v>
      </c>
    </row>
    <row r="342" spans="1:87" s="153" customFormat="1" ht="29" customHeight="1" outlineLevel="2" collapsed="1">
      <c r="A342" s="172"/>
      <c r="B342" s="171" t="s">
        <v>559</v>
      </c>
      <c r="C342" s="1642"/>
      <c r="D342" s="1652" t="s">
        <v>43</v>
      </c>
      <c r="E342"/>
      <c r="F342" s="176">
        <v>0</v>
      </c>
      <c r="G342" s="176">
        <v>0</v>
      </c>
      <c r="H342" s="176">
        <v>0</v>
      </c>
      <c r="I342" s="176">
        <v>0</v>
      </c>
      <c r="J342" s="176">
        <v>0</v>
      </c>
      <c r="K342" s="176">
        <v>0</v>
      </c>
      <c r="L342" s="176">
        <v>0</v>
      </c>
      <c r="M342" s="176">
        <v>0</v>
      </c>
      <c r="N342" s="176">
        <v>0</v>
      </c>
      <c r="O342" s="176">
        <v>0</v>
      </c>
      <c r="P342" s="176">
        <v>0</v>
      </c>
      <c r="Q342"/>
      <c r="R342" s="176">
        <v>0</v>
      </c>
      <c r="S342" s="176">
        <v>0</v>
      </c>
      <c r="T342" s="176">
        <v>0</v>
      </c>
      <c r="U342" s="176">
        <v>0</v>
      </c>
      <c r="V342" s="176">
        <v>0</v>
      </c>
      <c r="W342" s="176">
        <v>0</v>
      </c>
      <c r="X342" s="176">
        <v>0</v>
      </c>
      <c r="Y342" s="176">
        <v>0</v>
      </c>
      <c r="Z342" s="176">
        <v>0</v>
      </c>
      <c r="AA342" s="176">
        <v>0</v>
      </c>
      <c r="AB342" s="176">
        <v>0</v>
      </c>
      <c r="AC342" s="176">
        <v>0</v>
      </c>
      <c r="AD342" s="176">
        <v>0</v>
      </c>
      <c r="AE342"/>
      <c r="AF342" s="176">
        <v>0</v>
      </c>
      <c r="AG342" s="176">
        <v>0</v>
      </c>
      <c r="AH342" s="176">
        <v>0</v>
      </c>
      <c r="AI342" s="176">
        <v>0</v>
      </c>
      <c r="AJ342" s="176">
        <v>0</v>
      </c>
      <c r="AK342" s="176">
        <v>0</v>
      </c>
      <c r="AL342" s="176">
        <v>32000</v>
      </c>
      <c r="AM342" s="176">
        <v>0</v>
      </c>
      <c r="AN342" s="176">
        <v>0</v>
      </c>
      <c r="AO342" s="176">
        <v>0</v>
      </c>
      <c r="AP342" s="176">
        <v>32000</v>
      </c>
      <c r="AQ342" s="176">
        <v>0</v>
      </c>
      <c r="AR342" s="176">
        <v>64000</v>
      </c>
      <c r="AS342"/>
      <c r="AT342" s="176">
        <v>0</v>
      </c>
      <c r="AU342" s="176">
        <v>16000</v>
      </c>
      <c r="AV342" s="176">
        <v>0</v>
      </c>
      <c r="AW342" s="176">
        <v>0</v>
      </c>
      <c r="AX342" s="176">
        <v>0</v>
      </c>
      <c r="AY342" s="176">
        <v>0</v>
      </c>
      <c r="AZ342" s="176">
        <v>0</v>
      </c>
      <c r="BA342" s="176">
        <v>0</v>
      </c>
      <c r="BB342" s="176">
        <v>0</v>
      </c>
      <c r="BC342" s="176">
        <v>0</v>
      </c>
      <c r="BD342" s="176">
        <v>0</v>
      </c>
      <c r="BE342" s="176">
        <v>0</v>
      </c>
      <c r="BF342" s="176">
        <v>16000</v>
      </c>
      <c r="BG342"/>
      <c r="BH342" s="176">
        <v>0</v>
      </c>
      <c r="BI342" s="176">
        <v>0</v>
      </c>
      <c r="BJ342" s="176">
        <v>0</v>
      </c>
      <c r="BK342" s="176">
        <v>0</v>
      </c>
      <c r="BL342" s="176">
        <v>0</v>
      </c>
      <c r="BM342" s="176">
        <v>0</v>
      </c>
      <c r="BN342" s="176">
        <v>0</v>
      </c>
      <c r="BO342" s="176">
        <v>0</v>
      </c>
      <c r="BP342" s="176">
        <v>0</v>
      </c>
      <c r="BQ342" s="176">
        <v>0</v>
      </c>
      <c r="BR342" s="176">
        <v>0</v>
      </c>
      <c r="BS342" s="176">
        <v>0</v>
      </c>
      <c r="BT342" s="176">
        <v>0</v>
      </c>
      <c r="BU342"/>
      <c r="BV342" s="176">
        <v>0</v>
      </c>
      <c r="BW342" s="176">
        <v>0</v>
      </c>
      <c r="BX342" s="176">
        <v>0</v>
      </c>
      <c r="BY342" s="176">
        <v>0</v>
      </c>
      <c r="BZ342" s="176">
        <v>80000</v>
      </c>
    </row>
    <row r="343" spans="1:87" s="148" customFormat="1" ht="110.5" hidden="1" customHeight="1" outlineLevel="3">
      <c r="A343" s="159"/>
      <c r="B343" s="702" t="s">
        <v>982</v>
      </c>
      <c r="C343" s="1643"/>
      <c r="D343" s="533" t="s">
        <v>2611</v>
      </c>
      <c r="E343"/>
      <c r="F343" s="986">
        <v>0</v>
      </c>
      <c r="G343" s="986">
        <v>0</v>
      </c>
      <c r="H343" s="986">
        <v>0</v>
      </c>
      <c r="I343" s="986">
        <v>0</v>
      </c>
      <c r="J343" s="986">
        <v>0</v>
      </c>
      <c r="K343" s="986">
        <v>0</v>
      </c>
      <c r="L343" s="986">
        <v>0</v>
      </c>
      <c r="M343" s="986">
        <v>0</v>
      </c>
      <c r="N343" s="986">
        <v>0</v>
      </c>
      <c r="O343" s="986">
        <v>0</v>
      </c>
      <c r="P343" s="2011">
        <v>0</v>
      </c>
      <c r="Q343"/>
      <c r="R343" s="986">
        <v>0</v>
      </c>
      <c r="S343" s="986">
        <v>0</v>
      </c>
      <c r="T343" s="986">
        <v>0</v>
      </c>
      <c r="U343" s="986">
        <v>0</v>
      </c>
      <c r="V343" s="986">
        <v>0</v>
      </c>
      <c r="W343" s="986">
        <v>0</v>
      </c>
      <c r="X343" s="986">
        <v>0</v>
      </c>
      <c r="Y343" s="986">
        <v>0</v>
      </c>
      <c r="Z343" s="986">
        <v>0</v>
      </c>
      <c r="AA343" s="986">
        <v>0</v>
      </c>
      <c r="AB343" s="986">
        <v>0</v>
      </c>
      <c r="AC343" s="986">
        <v>0</v>
      </c>
      <c r="AD343" s="2011">
        <v>0</v>
      </c>
      <c r="AE343"/>
      <c r="AF343" s="986">
        <v>0</v>
      </c>
      <c r="AG343" s="986">
        <v>0</v>
      </c>
      <c r="AH343" s="986">
        <v>0</v>
      </c>
      <c r="AI343" s="986">
        <v>0</v>
      </c>
      <c r="AJ343" s="986">
        <v>0</v>
      </c>
      <c r="AK343" s="986">
        <v>0</v>
      </c>
      <c r="AL343" s="986">
        <v>32000</v>
      </c>
      <c r="AM343" s="986">
        <v>0</v>
      </c>
      <c r="AN343" s="986">
        <v>0</v>
      </c>
      <c r="AO343" s="986">
        <v>0</v>
      </c>
      <c r="AP343" s="986">
        <v>32000</v>
      </c>
      <c r="AQ343" s="986">
        <v>0</v>
      </c>
      <c r="AR343" s="2011">
        <v>64000</v>
      </c>
      <c r="AS343"/>
      <c r="AT343" s="986">
        <v>0</v>
      </c>
      <c r="AU343" s="986">
        <v>16000</v>
      </c>
      <c r="AV343" s="986">
        <v>0</v>
      </c>
      <c r="AW343" s="986">
        <v>0</v>
      </c>
      <c r="AX343" s="986">
        <v>0</v>
      </c>
      <c r="AY343" s="986">
        <v>0</v>
      </c>
      <c r="AZ343" s="986">
        <v>0</v>
      </c>
      <c r="BA343" s="986">
        <v>0</v>
      </c>
      <c r="BB343" s="986">
        <v>0</v>
      </c>
      <c r="BC343" s="986">
        <v>0</v>
      </c>
      <c r="BD343" s="986">
        <v>0</v>
      </c>
      <c r="BE343" s="986">
        <v>0</v>
      </c>
      <c r="BF343" s="2011">
        <v>16000</v>
      </c>
      <c r="BG343"/>
      <c r="BH343" s="986">
        <v>0</v>
      </c>
      <c r="BI343" s="986">
        <v>0</v>
      </c>
      <c r="BJ343" s="986">
        <v>0</v>
      </c>
      <c r="BK343" s="986">
        <v>0</v>
      </c>
      <c r="BL343" s="986">
        <v>0</v>
      </c>
      <c r="BM343" s="986">
        <v>0</v>
      </c>
      <c r="BN343" s="986">
        <v>0</v>
      </c>
      <c r="BO343" s="986">
        <v>0</v>
      </c>
      <c r="BP343" s="986">
        <v>0</v>
      </c>
      <c r="BQ343" s="986">
        <v>0</v>
      </c>
      <c r="BR343" s="986">
        <v>0</v>
      </c>
      <c r="BS343" s="986">
        <v>0</v>
      </c>
      <c r="BT343" s="2025">
        <v>0</v>
      </c>
      <c r="BU343"/>
      <c r="BV343" s="986">
        <v>0</v>
      </c>
      <c r="BW343" s="986">
        <v>0</v>
      </c>
      <c r="BX343" s="986">
        <v>0</v>
      </c>
      <c r="BY343" s="2025">
        <v>0</v>
      </c>
      <c r="BZ343" s="2025">
        <v>80000</v>
      </c>
    </row>
    <row r="344" spans="1:87" s="153" customFormat="1" ht="39.5" customHeight="1" outlineLevel="2" collapsed="1">
      <c r="A344" s="172"/>
      <c r="B344" s="171" t="s">
        <v>561</v>
      </c>
      <c r="C344" s="1642"/>
      <c r="D344" s="1652" t="s">
        <v>44</v>
      </c>
      <c r="E344"/>
      <c r="F344" s="980">
        <v>0</v>
      </c>
      <c r="G344" s="980">
        <v>0</v>
      </c>
      <c r="H344" s="980">
        <v>0</v>
      </c>
      <c r="I344" s="980">
        <v>0</v>
      </c>
      <c r="J344" s="980">
        <v>0</v>
      </c>
      <c r="K344" s="980">
        <v>0</v>
      </c>
      <c r="L344" s="980">
        <v>0</v>
      </c>
      <c r="M344" s="980">
        <v>0</v>
      </c>
      <c r="N344" s="980">
        <v>0</v>
      </c>
      <c r="O344" s="980">
        <v>0</v>
      </c>
      <c r="P344" s="980">
        <v>0</v>
      </c>
      <c r="Q344"/>
      <c r="R344" s="980">
        <v>0</v>
      </c>
      <c r="S344" s="980">
        <v>0</v>
      </c>
      <c r="T344" s="980">
        <v>0</v>
      </c>
      <c r="U344" s="980">
        <v>0</v>
      </c>
      <c r="V344" s="980">
        <v>0</v>
      </c>
      <c r="W344" s="980">
        <v>0</v>
      </c>
      <c r="X344" s="980">
        <v>0</v>
      </c>
      <c r="Y344" s="980">
        <v>0</v>
      </c>
      <c r="Z344" s="980">
        <v>0</v>
      </c>
      <c r="AA344" s="980">
        <v>0</v>
      </c>
      <c r="AB344" s="980">
        <v>0</v>
      </c>
      <c r="AC344" s="980">
        <v>0</v>
      </c>
      <c r="AD344" s="980">
        <v>0</v>
      </c>
      <c r="AE344"/>
      <c r="AF344" s="980">
        <v>0</v>
      </c>
      <c r="AG344" s="980">
        <v>0</v>
      </c>
      <c r="AH344" s="980">
        <v>60000</v>
      </c>
      <c r="AI344" s="980">
        <v>0</v>
      </c>
      <c r="AJ344" s="980">
        <v>0</v>
      </c>
      <c r="AK344" s="980">
        <v>0</v>
      </c>
      <c r="AL344" s="980">
        <v>30000</v>
      </c>
      <c r="AM344" s="980">
        <v>0</v>
      </c>
      <c r="AN344" s="980">
        <v>0</v>
      </c>
      <c r="AO344" s="980">
        <v>0</v>
      </c>
      <c r="AP344" s="980">
        <v>30000</v>
      </c>
      <c r="AQ344" s="980">
        <v>0</v>
      </c>
      <c r="AR344" s="980">
        <v>120000</v>
      </c>
      <c r="AS344"/>
      <c r="AT344" s="980">
        <v>0</v>
      </c>
      <c r="AU344" s="980">
        <v>0</v>
      </c>
      <c r="AV344" s="980">
        <v>30000</v>
      </c>
      <c r="AW344" s="980">
        <v>0</v>
      </c>
      <c r="AX344" s="980">
        <v>0</v>
      </c>
      <c r="AY344" s="980">
        <v>0</v>
      </c>
      <c r="AZ344" s="980">
        <v>18000</v>
      </c>
      <c r="BA344" s="980">
        <v>0</v>
      </c>
      <c r="BB344" s="980">
        <v>0</v>
      </c>
      <c r="BC344" s="980">
        <v>0</v>
      </c>
      <c r="BD344" s="980">
        <v>12000</v>
      </c>
      <c r="BE344" s="980">
        <v>0</v>
      </c>
      <c r="BF344" s="981">
        <v>60000</v>
      </c>
      <c r="BG344"/>
      <c r="BH344" s="980">
        <v>0</v>
      </c>
      <c r="BI344" s="980">
        <v>0</v>
      </c>
      <c r="BJ344" s="980">
        <v>0</v>
      </c>
      <c r="BK344" s="980">
        <v>0</v>
      </c>
      <c r="BL344" s="980">
        <v>0</v>
      </c>
      <c r="BM344" s="980">
        <v>0</v>
      </c>
      <c r="BN344" s="980">
        <v>0</v>
      </c>
      <c r="BO344" s="980">
        <v>0</v>
      </c>
      <c r="BP344" s="980">
        <v>0</v>
      </c>
      <c r="BQ344" s="980">
        <v>0</v>
      </c>
      <c r="BR344" s="980">
        <v>0</v>
      </c>
      <c r="BS344" s="980">
        <v>0</v>
      </c>
      <c r="BT344" s="979">
        <v>0</v>
      </c>
      <c r="BU344"/>
      <c r="BV344" s="980">
        <v>0</v>
      </c>
      <c r="BW344" s="980">
        <v>0</v>
      </c>
      <c r="BX344" s="980">
        <v>0</v>
      </c>
      <c r="BY344" s="979">
        <v>0</v>
      </c>
      <c r="BZ344" s="979">
        <v>180000</v>
      </c>
    </row>
    <row r="345" spans="1:87" s="84" customFormat="1" ht="193.25" hidden="1" customHeight="1" outlineLevel="3">
      <c r="A345" s="159"/>
      <c r="B345" s="702" t="s">
        <v>985</v>
      </c>
      <c r="C345" s="1643" t="s">
        <v>1279</v>
      </c>
      <c r="D345" s="703" t="s">
        <v>969</v>
      </c>
      <c r="E345"/>
      <c r="F345" s="986">
        <v>0</v>
      </c>
      <c r="G345" s="986">
        <v>0</v>
      </c>
      <c r="H345" s="986">
        <v>0</v>
      </c>
      <c r="I345" s="986">
        <v>0</v>
      </c>
      <c r="J345" s="986">
        <v>0</v>
      </c>
      <c r="K345" s="986">
        <v>0</v>
      </c>
      <c r="L345" s="986">
        <v>0</v>
      </c>
      <c r="M345" s="986">
        <v>0</v>
      </c>
      <c r="N345" s="986">
        <v>0</v>
      </c>
      <c r="O345" s="986">
        <v>0</v>
      </c>
      <c r="P345" s="2011">
        <v>0</v>
      </c>
      <c r="Q345"/>
      <c r="R345" s="986">
        <v>0</v>
      </c>
      <c r="S345" s="986">
        <v>0</v>
      </c>
      <c r="T345" s="986">
        <v>0</v>
      </c>
      <c r="U345" s="986">
        <v>0</v>
      </c>
      <c r="V345" s="986">
        <v>0</v>
      </c>
      <c r="W345" s="986">
        <v>0</v>
      </c>
      <c r="X345" s="986">
        <v>0</v>
      </c>
      <c r="Y345" s="986">
        <v>0</v>
      </c>
      <c r="Z345" s="986">
        <v>0</v>
      </c>
      <c r="AA345" s="986">
        <v>0</v>
      </c>
      <c r="AB345" s="986">
        <v>0</v>
      </c>
      <c r="AC345" s="986">
        <v>0</v>
      </c>
      <c r="AD345" s="2011">
        <v>0</v>
      </c>
      <c r="AE345"/>
      <c r="AF345" s="986">
        <v>0</v>
      </c>
      <c r="AG345" s="986">
        <v>0</v>
      </c>
      <c r="AH345" s="986">
        <v>60000</v>
      </c>
      <c r="AI345" s="986">
        <v>0</v>
      </c>
      <c r="AJ345" s="986">
        <v>0</v>
      </c>
      <c r="AK345" s="986">
        <v>0</v>
      </c>
      <c r="AL345" s="986">
        <v>30000</v>
      </c>
      <c r="AM345" s="986">
        <v>0</v>
      </c>
      <c r="AN345" s="986">
        <v>0</v>
      </c>
      <c r="AO345" s="986">
        <v>0</v>
      </c>
      <c r="AP345" s="986">
        <v>30000</v>
      </c>
      <c r="AQ345" s="986">
        <v>0</v>
      </c>
      <c r="AR345" s="2011">
        <v>120000</v>
      </c>
      <c r="AS345"/>
      <c r="AT345" s="986">
        <v>0</v>
      </c>
      <c r="AU345" s="986">
        <v>0</v>
      </c>
      <c r="AV345" s="986">
        <v>30000</v>
      </c>
      <c r="AW345" s="986">
        <v>0</v>
      </c>
      <c r="AX345" s="986">
        <v>0</v>
      </c>
      <c r="AY345" s="986">
        <v>0</v>
      </c>
      <c r="AZ345" s="986">
        <v>0</v>
      </c>
      <c r="BA345" s="986">
        <v>0</v>
      </c>
      <c r="BB345" s="986">
        <v>0</v>
      </c>
      <c r="BC345" s="986">
        <v>0</v>
      </c>
      <c r="BD345" s="986">
        <v>0</v>
      </c>
      <c r="BE345" s="986">
        <v>0</v>
      </c>
      <c r="BF345" s="2011">
        <v>30000</v>
      </c>
      <c r="BG345"/>
      <c r="BH345" s="986">
        <v>0</v>
      </c>
      <c r="BI345" s="986">
        <v>0</v>
      </c>
      <c r="BJ345" s="986">
        <v>0</v>
      </c>
      <c r="BK345" s="986">
        <v>0</v>
      </c>
      <c r="BL345" s="986">
        <v>0</v>
      </c>
      <c r="BM345" s="986">
        <v>0</v>
      </c>
      <c r="BN345" s="986">
        <v>0</v>
      </c>
      <c r="BO345" s="986">
        <v>0</v>
      </c>
      <c r="BP345" s="986">
        <v>0</v>
      </c>
      <c r="BQ345" s="986">
        <v>0</v>
      </c>
      <c r="BR345" s="986">
        <v>0</v>
      </c>
      <c r="BS345" s="986">
        <v>0</v>
      </c>
      <c r="BT345" s="2024">
        <v>0</v>
      </c>
      <c r="BU345"/>
      <c r="BV345" s="986">
        <v>0</v>
      </c>
      <c r="BW345" s="986">
        <v>0</v>
      </c>
      <c r="BX345" s="986">
        <v>0</v>
      </c>
      <c r="BY345" s="2024">
        <v>0</v>
      </c>
      <c r="BZ345" s="2024">
        <v>150000</v>
      </c>
      <c r="CA345" s="148"/>
      <c r="CB345" s="148"/>
      <c r="CC345" s="148"/>
      <c r="CD345" s="148"/>
      <c r="CE345" s="148"/>
      <c r="CF345" s="148"/>
      <c r="CG345" s="148"/>
      <c r="CH345" s="148"/>
      <c r="CI345" s="148"/>
    </row>
    <row r="346" spans="1:87" s="84" customFormat="1" ht="41.5" hidden="1" customHeight="1" outlineLevel="3">
      <c r="A346" s="159"/>
      <c r="B346" s="702" t="s">
        <v>988</v>
      </c>
      <c r="C346" s="1643"/>
      <c r="D346" s="703" t="s">
        <v>971</v>
      </c>
      <c r="E346"/>
      <c r="F346" s="986">
        <v>0</v>
      </c>
      <c r="G346" s="986">
        <v>0</v>
      </c>
      <c r="H346" s="986">
        <v>0</v>
      </c>
      <c r="I346" s="986">
        <v>0</v>
      </c>
      <c r="J346" s="986">
        <v>0</v>
      </c>
      <c r="K346" s="986">
        <v>0</v>
      </c>
      <c r="L346" s="986">
        <v>0</v>
      </c>
      <c r="M346" s="986">
        <v>0</v>
      </c>
      <c r="N346" s="986">
        <v>0</v>
      </c>
      <c r="O346" s="986">
        <v>0</v>
      </c>
      <c r="P346" s="2011">
        <v>0</v>
      </c>
      <c r="Q346"/>
      <c r="R346" s="986">
        <v>0</v>
      </c>
      <c r="S346" s="986">
        <v>0</v>
      </c>
      <c r="T346" s="986">
        <v>0</v>
      </c>
      <c r="U346" s="986">
        <v>0</v>
      </c>
      <c r="V346" s="986">
        <v>0</v>
      </c>
      <c r="W346" s="986">
        <v>0</v>
      </c>
      <c r="X346" s="986">
        <v>0</v>
      </c>
      <c r="Y346" s="986">
        <v>0</v>
      </c>
      <c r="Z346" s="986">
        <v>0</v>
      </c>
      <c r="AA346" s="986">
        <v>0</v>
      </c>
      <c r="AB346" s="986">
        <v>0</v>
      </c>
      <c r="AC346" s="986">
        <v>0</v>
      </c>
      <c r="AD346" s="2011">
        <v>0</v>
      </c>
      <c r="AE346"/>
      <c r="AF346" s="986">
        <v>0</v>
      </c>
      <c r="AG346" s="986">
        <v>0</v>
      </c>
      <c r="AH346" s="986">
        <v>0</v>
      </c>
      <c r="AI346" s="986">
        <v>0</v>
      </c>
      <c r="AJ346" s="986">
        <v>0</v>
      </c>
      <c r="AK346" s="986">
        <v>0</v>
      </c>
      <c r="AL346" s="986">
        <v>0</v>
      </c>
      <c r="AM346" s="986">
        <v>0</v>
      </c>
      <c r="AN346" s="986">
        <v>0</v>
      </c>
      <c r="AO346" s="986">
        <v>0</v>
      </c>
      <c r="AP346" s="986">
        <v>0</v>
      </c>
      <c r="AQ346" s="986">
        <v>0</v>
      </c>
      <c r="AR346" s="2011">
        <v>0</v>
      </c>
      <c r="AS346"/>
      <c r="AT346" s="986">
        <v>0</v>
      </c>
      <c r="AU346" s="986">
        <v>0</v>
      </c>
      <c r="AV346" s="986">
        <v>0</v>
      </c>
      <c r="AW346" s="986">
        <v>0</v>
      </c>
      <c r="AX346" s="986">
        <v>0</v>
      </c>
      <c r="AY346" s="986">
        <v>0</v>
      </c>
      <c r="AZ346" s="986">
        <v>18000</v>
      </c>
      <c r="BA346" s="986">
        <v>0</v>
      </c>
      <c r="BB346" s="986">
        <v>0</v>
      </c>
      <c r="BC346" s="986">
        <v>0</v>
      </c>
      <c r="BD346" s="986">
        <v>12000</v>
      </c>
      <c r="BE346" s="986">
        <v>0</v>
      </c>
      <c r="BF346" s="2011">
        <v>30000</v>
      </c>
      <c r="BG346"/>
      <c r="BH346" s="986">
        <v>0</v>
      </c>
      <c r="BI346" s="986">
        <v>0</v>
      </c>
      <c r="BJ346" s="986">
        <v>0</v>
      </c>
      <c r="BK346" s="986">
        <v>0</v>
      </c>
      <c r="BL346" s="986">
        <v>0</v>
      </c>
      <c r="BM346" s="986">
        <v>0</v>
      </c>
      <c r="BN346" s="986">
        <v>0</v>
      </c>
      <c r="BO346" s="986">
        <v>0</v>
      </c>
      <c r="BP346" s="986">
        <v>0</v>
      </c>
      <c r="BQ346" s="986">
        <v>0</v>
      </c>
      <c r="BR346" s="986">
        <v>0</v>
      </c>
      <c r="BS346" s="986">
        <v>0</v>
      </c>
      <c r="BT346" s="2024">
        <v>0</v>
      </c>
      <c r="BU346"/>
      <c r="BV346" s="986">
        <v>0</v>
      </c>
      <c r="BW346" s="986">
        <v>0</v>
      </c>
      <c r="BX346" s="986">
        <v>0</v>
      </c>
      <c r="BY346" s="2024">
        <v>0</v>
      </c>
      <c r="BZ346" s="2024">
        <v>30000</v>
      </c>
      <c r="CA346" s="148"/>
      <c r="CB346" s="148"/>
      <c r="CC346" s="148"/>
      <c r="CD346" s="148"/>
      <c r="CE346" s="148"/>
      <c r="CF346" s="148"/>
      <c r="CG346" s="148"/>
      <c r="CH346" s="148"/>
      <c r="CI346" s="148"/>
    </row>
    <row r="347" spans="1:87" s="153" customFormat="1" ht="27.5" customHeight="1" outlineLevel="2" collapsed="1">
      <c r="A347" s="172"/>
      <c r="B347" s="171" t="s">
        <v>562</v>
      </c>
      <c r="C347" s="1642"/>
      <c r="D347" s="1652" t="s">
        <v>46</v>
      </c>
      <c r="E347"/>
      <c r="F347" s="980">
        <v>0</v>
      </c>
      <c r="G347" s="980">
        <v>0</v>
      </c>
      <c r="H347" s="980">
        <v>0</v>
      </c>
      <c r="I347" s="980">
        <v>0</v>
      </c>
      <c r="J347" s="980">
        <v>0</v>
      </c>
      <c r="K347" s="980">
        <v>0</v>
      </c>
      <c r="L347" s="980">
        <v>0</v>
      </c>
      <c r="M347" s="980">
        <v>0</v>
      </c>
      <c r="N347" s="980">
        <v>0</v>
      </c>
      <c r="O347" s="980">
        <v>0</v>
      </c>
      <c r="P347" s="980">
        <v>0</v>
      </c>
      <c r="Q347"/>
      <c r="R347" s="980">
        <v>3000</v>
      </c>
      <c r="S347" s="980">
        <v>3000</v>
      </c>
      <c r="T347" s="980">
        <v>3000</v>
      </c>
      <c r="U347" s="980">
        <v>3000</v>
      </c>
      <c r="V347" s="980">
        <v>3000</v>
      </c>
      <c r="W347" s="980">
        <v>3000</v>
      </c>
      <c r="X347" s="980">
        <v>3000</v>
      </c>
      <c r="Y347" s="980">
        <v>3000</v>
      </c>
      <c r="Z347" s="980">
        <v>3000</v>
      </c>
      <c r="AA347" s="980">
        <v>3000</v>
      </c>
      <c r="AB347" s="980">
        <v>3000</v>
      </c>
      <c r="AC347" s="980">
        <v>3000</v>
      </c>
      <c r="AD347" s="980">
        <v>36000</v>
      </c>
      <c r="AE347"/>
      <c r="AF347" s="980">
        <v>3000</v>
      </c>
      <c r="AG347" s="980">
        <v>3000</v>
      </c>
      <c r="AH347" s="980">
        <v>84000</v>
      </c>
      <c r="AI347" s="980">
        <v>3000</v>
      </c>
      <c r="AJ347" s="980">
        <v>3000</v>
      </c>
      <c r="AK347" s="980">
        <v>3000</v>
      </c>
      <c r="AL347" s="980">
        <v>54000</v>
      </c>
      <c r="AM347" s="980">
        <v>10000</v>
      </c>
      <c r="AN347" s="980">
        <v>0</v>
      </c>
      <c r="AO347" s="980">
        <v>0</v>
      </c>
      <c r="AP347" s="980">
        <v>64000</v>
      </c>
      <c r="AQ347" s="980">
        <v>0</v>
      </c>
      <c r="AR347" s="980">
        <v>227000</v>
      </c>
      <c r="AS347"/>
      <c r="AT347" s="980">
        <v>0</v>
      </c>
      <c r="AU347" s="980">
        <v>10000</v>
      </c>
      <c r="AV347" s="980">
        <v>81000</v>
      </c>
      <c r="AW347" s="980">
        <v>0</v>
      </c>
      <c r="AX347" s="980">
        <v>10000</v>
      </c>
      <c r="AY347" s="980">
        <v>0</v>
      </c>
      <c r="AZ347" s="980">
        <v>15000</v>
      </c>
      <c r="BA347" s="980">
        <v>10000</v>
      </c>
      <c r="BB347" s="980">
        <v>0</v>
      </c>
      <c r="BC347" s="980">
        <v>0</v>
      </c>
      <c r="BD347" s="980">
        <v>10000</v>
      </c>
      <c r="BE347" s="980">
        <v>15000</v>
      </c>
      <c r="BF347" s="981">
        <v>151000</v>
      </c>
      <c r="BG347"/>
      <c r="BH347" s="980">
        <v>0</v>
      </c>
      <c r="BI347" s="980">
        <v>0</v>
      </c>
      <c r="BJ347" s="980">
        <v>0</v>
      </c>
      <c r="BK347" s="980">
        <v>0</v>
      </c>
      <c r="BL347" s="980">
        <v>0</v>
      </c>
      <c r="BM347" s="980">
        <v>0</v>
      </c>
      <c r="BN347" s="980">
        <v>0</v>
      </c>
      <c r="BO347" s="980">
        <v>0</v>
      </c>
      <c r="BP347" s="980">
        <v>0</v>
      </c>
      <c r="BQ347" s="980">
        <v>0</v>
      </c>
      <c r="BR347" s="980">
        <v>0</v>
      </c>
      <c r="BS347" s="980">
        <v>0</v>
      </c>
      <c r="BT347" s="979">
        <v>0</v>
      </c>
      <c r="BU347"/>
      <c r="BV347" s="980">
        <v>0</v>
      </c>
      <c r="BW347" s="980">
        <v>0</v>
      </c>
      <c r="BX347" s="980">
        <v>0</v>
      </c>
      <c r="BY347" s="979">
        <v>0</v>
      </c>
      <c r="BZ347" s="979">
        <v>414000</v>
      </c>
    </row>
    <row r="348" spans="1:87" s="108" customFormat="1" ht="14" hidden="1" customHeight="1" outlineLevel="4">
      <c r="A348" s="580"/>
      <c r="B348" s="107" t="s">
        <v>2612</v>
      </c>
      <c r="C348" s="1872" t="s">
        <v>1279</v>
      </c>
      <c r="D348" s="703" t="s">
        <v>1594</v>
      </c>
      <c r="E348"/>
      <c r="F348" s="986"/>
      <c r="G348" s="986"/>
      <c r="H348" s="986"/>
      <c r="I348" s="986"/>
      <c r="J348" s="986"/>
      <c r="K348" s="986"/>
      <c r="L348" s="986"/>
      <c r="M348" s="986"/>
      <c r="N348" s="986"/>
      <c r="O348" s="986"/>
      <c r="P348" s="2011">
        <v>0</v>
      </c>
      <c r="Q348"/>
      <c r="R348" s="986"/>
      <c r="S348" s="986"/>
      <c r="T348" s="986"/>
      <c r="U348" s="986"/>
      <c r="V348" s="986"/>
      <c r="W348" s="986"/>
      <c r="X348" s="986"/>
      <c r="Y348" s="986"/>
      <c r="Z348" s="986"/>
      <c r="AA348" s="986"/>
      <c r="AB348" s="986"/>
      <c r="AC348" s="986"/>
      <c r="AD348" s="2011">
        <v>0</v>
      </c>
      <c r="AE348"/>
      <c r="AF348" s="986"/>
      <c r="AG348" s="986"/>
      <c r="AH348" s="986"/>
      <c r="AI348" s="986"/>
      <c r="AJ348" s="986"/>
      <c r="AK348" s="986"/>
      <c r="AL348" s="986"/>
      <c r="AM348" s="986"/>
      <c r="AN348" s="986"/>
      <c r="AO348" s="986"/>
      <c r="AP348" s="986"/>
      <c r="AQ348" s="986"/>
      <c r="AR348" s="2011">
        <v>0</v>
      </c>
      <c r="AS348"/>
      <c r="AT348" s="986"/>
      <c r="AU348" s="986"/>
      <c r="AV348" s="986"/>
      <c r="AW348" s="986"/>
      <c r="AX348" s="986"/>
      <c r="AY348" s="986"/>
      <c r="AZ348" s="986"/>
      <c r="BA348" s="986"/>
      <c r="BB348" s="986"/>
      <c r="BC348" s="986"/>
      <c r="BD348" s="986"/>
      <c r="BE348" s="986"/>
      <c r="BF348" s="2014">
        <v>0</v>
      </c>
      <c r="BG348"/>
      <c r="BH348" s="986"/>
      <c r="BI348" s="986"/>
      <c r="BJ348" s="986"/>
      <c r="BK348" s="986"/>
      <c r="BL348" s="986"/>
      <c r="BM348" s="986"/>
      <c r="BN348" s="986"/>
      <c r="BO348" s="986"/>
      <c r="BP348" s="986"/>
      <c r="BQ348" s="986"/>
      <c r="BR348" s="986"/>
      <c r="BS348" s="986"/>
      <c r="BT348" s="1498">
        <v>0</v>
      </c>
      <c r="BU348"/>
      <c r="BV348" s="986"/>
      <c r="BW348" s="986"/>
      <c r="BX348" s="986"/>
      <c r="BY348" s="1498">
        <v>0</v>
      </c>
      <c r="BZ348" s="1498">
        <v>0</v>
      </c>
    </row>
    <row r="349" spans="1:87" s="108" customFormat="1" ht="54" hidden="1" customHeight="1" outlineLevel="4">
      <c r="A349" s="580"/>
      <c r="B349" s="107" t="s">
        <v>2613</v>
      </c>
      <c r="C349" s="1753" t="s">
        <v>1279</v>
      </c>
      <c r="D349" s="703" t="s">
        <v>986</v>
      </c>
      <c r="E349"/>
      <c r="F349" s="986">
        <v>0</v>
      </c>
      <c r="G349" s="986">
        <v>0</v>
      </c>
      <c r="H349" s="986">
        <v>0</v>
      </c>
      <c r="I349" s="986">
        <v>0</v>
      </c>
      <c r="J349" s="986">
        <v>0</v>
      </c>
      <c r="K349" s="986">
        <v>0</v>
      </c>
      <c r="L349" s="986">
        <v>0</v>
      </c>
      <c r="M349" s="986">
        <v>0</v>
      </c>
      <c r="N349" s="986">
        <v>0</v>
      </c>
      <c r="O349" s="986">
        <v>0</v>
      </c>
      <c r="P349" s="2011">
        <v>0</v>
      </c>
      <c r="Q349"/>
      <c r="R349" s="986">
        <v>3000</v>
      </c>
      <c r="S349" s="986">
        <v>3000</v>
      </c>
      <c r="T349" s="986">
        <v>3000</v>
      </c>
      <c r="U349" s="986">
        <v>3000</v>
      </c>
      <c r="V349" s="986">
        <v>3000</v>
      </c>
      <c r="W349" s="986">
        <v>3000</v>
      </c>
      <c r="X349" s="986">
        <v>3000</v>
      </c>
      <c r="Y349" s="986">
        <v>3000</v>
      </c>
      <c r="Z349" s="986">
        <v>3000</v>
      </c>
      <c r="AA349" s="986">
        <v>3000</v>
      </c>
      <c r="AB349" s="986">
        <v>3000</v>
      </c>
      <c r="AC349" s="986">
        <v>3000</v>
      </c>
      <c r="AD349" s="2011">
        <v>36000</v>
      </c>
      <c r="AE349"/>
      <c r="AF349" s="986">
        <v>3000</v>
      </c>
      <c r="AG349" s="986">
        <v>3000</v>
      </c>
      <c r="AH349" s="986">
        <v>3000</v>
      </c>
      <c r="AI349" s="986">
        <v>3000</v>
      </c>
      <c r="AJ349" s="986">
        <v>3000</v>
      </c>
      <c r="AK349" s="986">
        <v>3000</v>
      </c>
      <c r="AL349" s="986">
        <v>0</v>
      </c>
      <c r="AM349" s="986">
        <v>0</v>
      </c>
      <c r="AN349" s="986">
        <v>0</v>
      </c>
      <c r="AO349" s="986">
        <v>0</v>
      </c>
      <c r="AP349" s="986">
        <v>0</v>
      </c>
      <c r="AQ349" s="986">
        <v>0</v>
      </c>
      <c r="AR349" s="2011">
        <v>18000</v>
      </c>
      <c r="AS349"/>
      <c r="AT349" s="986">
        <v>0</v>
      </c>
      <c r="AU349" s="986">
        <v>0</v>
      </c>
      <c r="AV349" s="986">
        <v>0</v>
      </c>
      <c r="AW349" s="986">
        <v>0</v>
      </c>
      <c r="AX349" s="986">
        <v>0</v>
      </c>
      <c r="AY349" s="986">
        <v>0</v>
      </c>
      <c r="AZ349" s="986">
        <v>0</v>
      </c>
      <c r="BA349" s="986">
        <v>0</v>
      </c>
      <c r="BB349" s="986">
        <v>0</v>
      </c>
      <c r="BC349" s="986">
        <v>0</v>
      </c>
      <c r="BD349" s="986">
        <v>0</v>
      </c>
      <c r="BE349" s="986">
        <v>0</v>
      </c>
      <c r="BF349" s="2014">
        <v>0</v>
      </c>
      <c r="BG349"/>
      <c r="BH349" s="986">
        <v>0</v>
      </c>
      <c r="BI349" s="986">
        <v>0</v>
      </c>
      <c r="BJ349" s="986">
        <v>0</v>
      </c>
      <c r="BK349" s="986">
        <v>0</v>
      </c>
      <c r="BL349" s="986">
        <v>0</v>
      </c>
      <c r="BM349" s="986">
        <v>0</v>
      </c>
      <c r="BN349" s="986">
        <v>0</v>
      </c>
      <c r="BO349" s="986">
        <v>0</v>
      </c>
      <c r="BP349" s="986">
        <v>0</v>
      </c>
      <c r="BQ349" s="986">
        <v>0</v>
      </c>
      <c r="BR349" s="986">
        <v>0</v>
      </c>
      <c r="BS349" s="986">
        <v>0</v>
      </c>
      <c r="BT349" s="1498">
        <v>0</v>
      </c>
      <c r="BU349"/>
      <c r="BV349" s="986">
        <v>0</v>
      </c>
      <c r="BW349" s="986">
        <v>0</v>
      </c>
      <c r="BX349" s="986">
        <v>0</v>
      </c>
      <c r="BY349" s="1498">
        <v>0</v>
      </c>
      <c r="BZ349" s="1498">
        <v>54000</v>
      </c>
    </row>
    <row r="350" spans="1:87" s="108" customFormat="1" ht="27.5" hidden="1" customHeight="1" outlineLevel="4">
      <c r="A350" s="580"/>
      <c r="B350" s="107" t="s">
        <v>2614</v>
      </c>
      <c r="C350" s="1753"/>
      <c r="D350" s="703" t="s">
        <v>989</v>
      </c>
      <c r="E350"/>
      <c r="F350" s="986">
        <v>0</v>
      </c>
      <c r="G350" s="986">
        <v>0</v>
      </c>
      <c r="H350" s="986">
        <v>0</v>
      </c>
      <c r="I350" s="986">
        <v>0</v>
      </c>
      <c r="J350" s="986">
        <v>0</v>
      </c>
      <c r="K350" s="986">
        <v>0</v>
      </c>
      <c r="L350" s="986">
        <v>0</v>
      </c>
      <c r="M350" s="986">
        <v>0</v>
      </c>
      <c r="N350" s="986">
        <v>0</v>
      </c>
      <c r="O350" s="986">
        <v>0</v>
      </c>
      <c r="P350" s="2011">
        <v>0</v>
      </c>
      <c r="Q350"/>
      <c r="R350" s="986">
        <v>0</v>
      </c>
      <c r="S350" s="986">
        <v>0</v>
      </c>
      <c r="T350" s="986">
        <v>0</v>
      </c>
      <c r="U350" s="986">
        <v>0</v>
      </c>
      <c r="V350" s="986">
        <v>0</v>
      </c>
      <c r="W350" s="986">
        <v>0</v>
      </c>
      <c r="X350" s="986">
        <v>0</v>
      </c>
      <c r="Y350" s="986">
        <v>0</v>
      </c>
      <c r="Z350" s="986">
        <v>0</v>
      </c>
      <c r="AA350" s="986">
        <v>0</v>
      </c>
      <c r="AB350" s="986">
        <v>0</v>
      </c>
      <c r="AC350" s="986">
        <v>0</v>
      </c>
      <c r="AD350" s="2011">
        <v>0</v>
      </c>
      <c r="AE350"/>
      <c r="AF350" s="986">
        <v>0</v>
      </c>
      <c r="AG350" s="986">
        <v>0</v>
      </c>
      <c r="AH350" s="986">
        <v>0</v>
      </c>
      <c r="AI350" s="986">
        <v>0</v>
      </c>
      <c r="AJ350" s="986">
        <v>0</v>
      </c>
      <c r="AK350" s="986">
        <v>0</v>
      </c>
      <c r="AL350" s="986">
        <v>0</v>
      </c>
      <c r="AM350" s="986">
        <v>10000</v>
      </c>
      <c r="AN350" s="986">
        <v>0</v>
      </c>
      <c r="AO350" s="986">
        <v>0</v>
      </c>
      <c r="AP350" s="986">
        <v>10000</v>
      </c>
      <c r="AQ350" s="986">
        <v>0</v>
      </c>
      <c r="AR350" s="2011">
        <v>20000</v>
      </c>
      <c r="AS350"/>
      <c r="AT350" s="986">
        <v>0</v>
      </c>
      <c r="AU350" s="986">
        <v>10000</v>
      </c>
      <c r="AV350" s="986">
        <v>0</v>
      </c>
      <c r="AW350" s="986">
        <v>0</v>
      </c>
      <c r="AX350" s="986">
        <v>10000</v>
      </c>
      <c r="AY350" s="986">
        <v>0</v>
      </c>
      <c r="AZ350" s="986">
        <v>0</v>
      </c>
      <c r="BA350" s="986">
        <v>10000</v>
      </c>
      <c r="BB350" s="986">
        <v>0</v>
      </c>
      <c r="BC350" s="986">
        <v>0</v>
      </c>
      <c r="BD350" s="986">
        <v>10000</v>
      </c>
      <c r="BE350" s="986">
        <v>0</v>
      </c>
      <c r="BF350" s="2014">
        <v>40000</v>
      </c>
      <c r="BG350"/>
      <c r="BH350" s="986">
        <v>0</v>
      </c>
      <c r="BI350" s="986">
        <v>0</v>
      </c>
      <c r="BJ350" s="986">
        <v>0</v>
      </c>
      <c r="BK350" s="986">
        <v>0</v>
      </c>
      <c r="BL350" s="986">
        <v>0</v>
      </c>
      <c r="BM350" s="986">
        <v>0</v>
      </c>
      <c r="BN350" s="986">
        <v>0</v>
      </c>
      <c r="BO350" s="986">
        <v>0</v>
      </c>
      <c r="BP350" s="986">
        <v>0</v>
      </c>
      <c r="BQ350" s="986">
        <v>0</v>
      </c>
      <c r="BR350" s="986">
        <v>0</v>
      </c>
      <c r="BS350" s="986">
        <v>0</v>
      </c>
      <c r="BT350" s="1498">
        <v>0</v>
      </c>
      <c r="BU350"/>
      <c r="BV350" s="986">
        <v>0</v>
      </c>
      <c r="BW350" s="986">
        <v>0</v>
      </c>
      <c r="BX350" s="986">
        <v>0</v>
      </c>
      <c r="BY350" s="1498">
        <v>0</v>
      </c>
      <c r="BZ350" s="1498">
        <v>60000</v>
      </c>
    </row>
    <row r="351" spans="1:87" s="108" customFormat="1" ht="63" hidden="1" customHeight="1" outlineLevel="4">
      <c r="A351" s="580"/>
      <c r="B351" s="107" t="s">
        <v>2615</v>
      </c>
      <c r="C351" s="1753" t="s">
        <v>1279</v>
      </c>
      <c r="D351" s="1745" t="s">
        <v>991</v>
      </c>
      <c r="E351"/>
      <c r="F351" s="986">
        <v>0</v>
      </c>
      <c r="G351" s="986">
        <v>0</v>
      </c>
      <c r="H351" s="986">
        <v>0</v>
      </c>
      <c r="I351" s="986">
        <v>0</v>
      </c>
      <c r="J351" s="986">
        <v>0</v>
      </c>
      <c r="K351" s="986">
        <v>0</v>
      </c>
      <c r="L351" s="986">
        <v>0</v>
      </c>
      <c r="M351" s="986">
        <v>0</v>
      </c>
      <c r="N351" s="986">
        <v>0</v>
      </c>
      <c r="O351" s="986">
        <v>0</v>
      </c>
      <c r="P351" s="2011">
        <v>0</v>
      </c>
      <c r="Q351"/>
      <c r="R351" s="986">
        <v>0</v>
      </c>
      <c r="S351" s="986">
        <v>0</v>
      </c>
      <c r="T351" s="986">
        <v>0</v>
      </c>
      <c r="U351" s="986">
        <v>0</v>
      </c>
      <c r="V351" s="986">
        <v>0</v>
      </c>
      <c r="W351" s="986">
        <v>0</v>
      </c>
      <c r="X351" s="986">
        <v>0</v>
      </c>
      <c r="Y351" s="986">
        <v>0</v>
      </c>
      <c r="Z351" s="986">
        <v>0</v>
      </c>
      <c r="AA351" s="986">
        <v>0</v>
      </c>
      <c r="AB351" s="986">
        <v>0</v>
      </c>
      <c r="AC351" s="986">
        <v>0</v>
      </c>
      <c r="AD351" s="2011">
        <v>0</v>
      </c>
      <c r="AE351"/>
      <c r="AF351" s="986">
        <v>0</v>
      </c>
      <c r="AG351" s="986">
        <v>0</v>
      </c>
      <c r="AH351" s="986">
        <v>81000</v>
      </c>
      <c r="AI351" s="986">
        <v>0</v>
      </c>
      <c r="AJ351" s="986">
        <v>0</v>
      </c>
      <c r="AK351" s="986">
        <v>0</v>
      </c>
      <c r="AL351" s="986">
        <v>54000</v>
      </c>
      <c r="AM351" s="986">
        <v>0</v>
      </c>
      <c r="AN351" s="986">
        <v>0</v>
      </c>
      <c r="AO351" s="986">
        <v>0</v>
      </c>
      <c r="AP351" s="986">
        <v>54000</v>
      </c>
      <c r="AQ351" s="986">
        <v>0</v>
      </c>
      <c r="AR351" s="2011">
        <v>189000</v>
      </c>
      <c r="AS351"/>
      <c r="AT351" s="986">
        <v>0</v>
      </c>
      <c r="AU351" s="986">
        <v>0</v>
      </c>
      <c r="AV351" s="986">
        <v>81000</v>
      </c>
      <c r="AW351" s="986">
        <v>0</v>
      </c>
      <c r="AX351" s="986">
        <v>0</v>
      </c>
      <c r="AY351" s="986">
        <v>0</v>
      </c>
      <c r="AZ351" s="986">
        <v>0</v>
      </c>
      <c r="BA351" s="986">
        <v>0</v>
      </c>
      <c r="BB351" s="986">
        <v>0</v>
      </c>
      <c r="BC351" s="986">
        <v>0</v>
      </c>
      <c r="BD351" s="986">
        <v>0</v>
      </c>
      <c r="BE351" s="986">
        <v>0</v>
      </c>
      <c r="BF351" s="2014">
        <v>81000</v>
      </c>
      <c r="BG351"/>
      <c r="BH351" s="986">
        <v>0</v>
      </c>
      <c r="BI351" s="986">
        <v>0</v>
      </c>
      <c r="BJ351" s="986">
        <v>0</v>
      </c>
      <c r="BK351" s="986">
        <v>0</v>
      </c>
      <c r="BL351" s="986">
        <v>0</v>
      </c>
      <c r="BM351" s="986">
        <v>0</v>
      </c>
      <c r="BN351" s="986">
        <v>0</v>
      </c>
      <c r="BO351" s="986">
        <v>0</v>
      </c>
      <c r="BP351" s="986">
        <v>0</v>
      </c>
      <c r="BQ351" s="986">
        <v>0</v>
      </c>
      <c r="BR351" s="986">
        <v>0</v>
      </c>
      <c r="BS351" s="986">
        <v>0</v>
      </c>
      <c r="BT351" s="1498">
        <v>0</v>
      </c>
      <c r="BU351"/>
      <c r="BV351" s="986">
        <v>0</v>
      </c>
      <c r="BW351" s="986">
        <v>0</v>
      </c>
      <c r="BX351" s="986">
        <v>0</v>
      </c>
      <c r="BY351" s="1498">
        <v>0</v>
      </c>
      <c r="BZ351" s="1498">
        <v>270000</v>
      </c>
    </row>
    <row r="352" spans="1:87" s="108" customFormat="1" ht="59.5" hidden="1" customHeight="1" outlineLevel="4">
      <c r="A352" s="580"/>
      <c r="B352" s="107" t="s">
        <v>2616</v>
      </c>
      <c r="C352" s="1645"/>
      <c r="D352" s="703" t="s">
        <v>993</v>
      </c>
      <c r="E352"/>
      <c r="F352" s="986">
        <v>0</v>
      </c>
      <c r="G352" s="986">
        <v>0</v>
      </c>
      <c r="H352" s="986">
        <v>0</v>
      </c>
      <c r="I352" s="986">
        <v>0</v>
      </c>
      <c r="J352" s="986">
        <v>0</v>
      </c>
      <c r="K352" s="986">
        <v>0</v>
      </c>
      <c r="L352" s="986">
        <v>0</v>
      </c>
      <c r="M352" s="986">
        <v>0</v>
      </c>
      <c r="N352" s="986">
        <v>0</v>
      </c>
      <c r="O352" s="986">
        <v>0</v>
      </c>
      <c r="P352" s="2011">
        <v>0</v>
      </c>
      <c r="Q352"/>
      <c r="R352" s="986">
        <v>0</v>
      </c>
      <c r="S352" s="986">
        <v>0</v>
      </c>
      <c r="T352" s="986">
        <v>0</v>
      </c>
      <c r="U352" s="986">
        <v>0</v>
      </c>
      <c r="V352" s="986">
        <v>0</v>
      </c>
      <c r="W352" s="986">
        <v>0</v>
      </c>
      <c r="X352" s="986">
        <v>0</v>
      </c>
      <c r="Y352" s="986">
        <v>0</v>
      </c>
      <c r="Z352" s="986">
        <v>0</v>
      </c>
      <c r="AA352" s="986">
        <v>0</v>
      </c>
      <c r="AB352" s="986">
        <v>0</v>
      </c>
      <c r="AC352" s="986">
        <v>0</v>
      </c>
      <c r="AD352" s="2011">
        <v>0</v>
      </c>
      <c r="AE352"/>
      <c r="AF352" s="986">
        <v>0</v>
      </c>
      <c r="AG352" s="986">
        <v>0</v>
      </c>
      <c r="AH352" s="986">
        <v>0</v>
      </c>
      <c r="AI352" s="986">
        <v>0</v>
      </c>
      <c r="AJ352" s="986">
        <v>0</v>
      </c>
      <c r="AK352" s="986">
        <v>0</v>
      </c>
      <c r="AL352" s="986">
        <v>0</v>
      </c>
      <c r="AM352" s="986">
        <v>0</v>
      </c>
      <c r="AN352" s="986">
        <v>0</v>
      </c>
      <c r="AO352" s="986">
        <v>0</v>
      </c>
      <c r="AP352" s="986">
        <v>0</v>
      </c>
      <c r="AQ352" s="986">
        <v>0</v>
      </c>
      <c r="AR352" s="2011">
        <v>0</v>
      </c>
      <c r="AS352"/>
      <c r="AT352" s="986">
        <v>0</v>
      </c>
      <c r="AU352" s="986">
        <v>0</v>
      </c>
      <c r="AV352" s="986">
        <v>0</v>
      </c>
      <c r="AW352" s="986">
        <v>0</v>
      </c>
      <c r="AX352" s="986">
        <v>0</v>
      </c>
      <c r="AY352" s="986">
        <v>0</v>
      </c>
      <c r="AZ352" s="986">
        <v>15000</v>
      </c>
      <c r="BA352" s="986">
        <v>0</v>
      </c>
      <c r="BB352" s="986">
        <v>0</v>
      </c>
      <c r="BC352" s="986">
        <v>0</v>
      </c>
      <c r="BD352" s="986">
        <v>0</v>
      </c>
      <c r="BE352" s="986">
        <v>15000</v>
      </c>
      <c r="BF352" s="2014">
        <v>30000</v>
      </c>
      <c r="BG352"/>
      <c r="BH352" s="986">
        <v>0</v>
      </c>
      <c r="BI352" s="986">
        <v>0</v>
      </c>
      <c r="BJ352" s="986">
        <v>0</v>
      </c>
      <c r="BK352" s="986">
        <v>0</v>
      </c>
      <c r="BL352" s="986">
        <v>0</v>
      </c>
      <c r="BM352" s="986">
        <v>0</v>
      </c>
      <c r="BN352" s="986">
        <v>0</v>
      </c>
      <c r="BO352" s="986">
        <v>0</v>
      </c>
      <c r="BP352" s="986">
        <v>0</v>
      </c>
      <c r="BQ352" s="986">
        <v>0</v>
      </c>
      <c r="BR352" s="986">
        <v>0</v>
      </c>
      <c r="BS352" s="986">
        <v>0</v>
      </c>
      <c r="BT352" s="1498">
        <v>0</v>
      </c>
      <c r="BU352"/>
      <c r="BV352" s="986">
        <v>0</v>
      </c>
      <c r="BW352" s="986">
        <v>0</v>
      </c>
      <c r="BX352" s="986">
        <v>0</v>
      </c>
      <c r="BY352" s="1498">
        <v>0</v>
      </c>
      <c r="BZ352" s="1498">
        <v>30000</v>
      </c>
    </row>
    <row r="353" spans="1:87" s="878" customFormat="1" ht="55.25" customHeight="1" outlineLevel="2" collapsed="1">
      <c r="A353" s="172"/>
      <c r="B353" s="171" t="s">
        <v>564</v>
      </c>
      <c r="C353" s="1642"/>
      <c r="D353" s="1652" t="s">
        <v>47</v>
      </c>
      <c r="E353"/>
      <c r="F353" s="176">
        <v>0</v>
      </c>
      <c r="G353" s="176">
        <v>0</v>
      </c>
      <c r="H353" s="176">
        <v>0</v>
      </c>
      <c r="I353" s="176">
        <v>0</v>
      </c>
      <c r="J353" s="176">
        <v>0</v>
      </c>
      <c r="K353" s="176">
        <v>0</v>
      </c>
      <c r="L353" s="176">
        <v>0</v>
      </c>
      <c r="M353" s="176">
        <v>0</v>
      </c>
      <c r="N353" s="176">
        <v>0</v>
      </c>
      <c r="O353" s="176">
        <v>0</v>
      </c>
      <c r="P353" s="176">
        <v>0</v>
      </c>
      <c r="Q353"/>
      <c r="R353" s="176">
        <v>5000</v>
      </c>
      <c r="S353" s="176">
        <v>9000</v>
      </c>
      <c r="T353" s="176">
        <v>9000</v>
      </c>
      <c r="U353" s="176">
        <v>9000</v>
      </c>
      <c r="V353" s="176">
        <v>5000</v>
      </c>
      <c r="W353" s="176">
        <v>5000</v>
      </c>
      <c r="X353" s="176">
        <v>5000</v>
      </c>
      <c r="Y353" s="176">
        <v>5000</v>
      </c>
      <c r="Z353" s="176">
        <v>5000</v>
      </c>
      <c r="AA353" s="176">
        <v>0</v>
      </c>
      <c r="AB353" s="176">
        <v>0</v>
      </c>
      <c r="AC353" s="176">
        <v>0</v>
      </c>
      <c r="AD353" s="176">
        <v>57000</v>
      </c>
      <c r="AE353"/>
      <c r="AF353" s="176">
        <v>0</v>
      </c>
      <c r="AG353" s="176">
        <v>0</v>
      </c>
      <c r="AH353" s="176">
        <v>45000</v>
      </c>
      <c r="AI353" s="176">
        <v>0</v>
      </c>
      <c r="AJ353" s="176">
        <v>0</v>
      </c>
      <c r="AK353" s="176">
        <v>0</v>
      </c>
      <c r="AL353" s="176">
        <v>30000</v>
      </c>
      <c r="AM353" s="176">
        <v>0</v>
      </c>
      <c r="AN353" s="176">
        <v>0</v>
      </c>
      <c r="AO353" s="176">
        <v>0</v>
      </c>
      <c r="AP353" s="176">
        <v>30000</v>
      </c>
      <c r="AQ353" s="176">
        <v>0</v>
      </c>
      <c r="AR353" s="176">
        <v>105000</v>
      </c>
      <c r="AS353"/>
      <c r="AT353" s="176">
        <v>0</v>
      </c>
      <c r="AU353" s="176">
        <v>0</v>
      </c>
      <c r="AV353" s="176">
        <v>45000</v>
      </c>
      <c r="AW353" s="176">
        <v>0</v>
      </c>
      <c r="AX353" s="176">
        <v>0</v>
      </c>
      <c r="AY353" s="176">
        <v>0</v>
      </c>
      <c r="AZ353" s="176">
        <v>18000</v>
      </c>
      <c r="BA353" s="176">
        <v>0</v>
      </c>
      <c r="BB353" s="176">
        <v>0</v>
      </c>
      <c r="BC353" s="176">
        <v>0</v>
      </c>
      <c r="BD353" s="176">
        <v>12000</v>
      </c>
      <c r="BE353" s="176">
        <v>0</v>
      </c>
      <c r="BF353" s="176">
        <v>75000</v>
      </c>
      <c r="BG353"/>
      <c r="BH353" s="176">
        <v>0</v>
      </c>
      <c r="BI353" s="176">
        <v>0</v>
      </c>
      <c r="BJ353" s="176">
        <v>0</v>
      </c>
      <c r="BK353" s="176">
        <v>0</v>
      </c>
      <c r="BL353" s="176">
        <v>0</v>
      </c>
      <c r="BM353" s="176">
        <v>0</v>
      </c>
      <c r="BN353" s="176">
        <v>0</v>
      </c>
      <c r="BO353" s="176">
        <v>0</v>
      </c>
      <c r="BP353" s="176">
        <v>0</v>
      </c>
      <c r="BQ353" s="176">
        <v>0</v>
      </c>
      <c r="BR353" s="176">
        <v>0</v>
      </c>
      <c r="BS353" s="176">
        <v>0</v>
      </c>
      <c r="BT353" s="176">
        <v>0</v>
      </c>
      <c r="BU353"/>
      <c r="BV353" s="176">
        <v>0</v>
      </c>
      <c r="BW353" s="176">
        <v>0</v>
      </c>
      <c r="BX353" s="176">
        <v>0</v>
      </c>
      <c r="BY353" s="176">
        <v>0</v>
      </c>
      <c r="BZ353" s="176">
        <v>237000</v>
      </c>
      <c r="CA353" s="153"/>
      <c r="CB353" s="153"/>
      <c r="CC353" s="153"/>
      <c r="CD353" s="153"/>
      <c r="CE353" s="153"/>
      <c r="CF353" s="153"/>
      <c r="CG353" s="153"/>
      <c r="CH353" s="153"/>
      <c r="CI353" s="153"/>
    </row>
    <row r="354" spans="1:87" ht="148.25" hidden="1" customHeight="1" outlineLevel="3">
      <c r="A354" s="159"/>
      <c r="B354" s="702" t="s">
        <v>2617</v>
      </c>
      <c r="C354" s="702" t="s">
        <v>1279</v>
      </c>
      <c r="D354" s="703" t="s">
        <v>975</v>
      </c>
      <c r="F354" s="986">
        <v>0</v>
      </c>
      <c r="G354" s="986">
        <v>0</v>
      </c>
      <c r="H354" s="986">
        <v>0</v>
      </c>
      <c r="I354" s="986">
        <v>0</v>
      </c>
      <c r="J354" s="986">
        <v>0</v>
      </c>
      <c r="K354" s="986">
        <v>0</v>
      </c>
      <c r="L354" s="986">
        <v>0</v>
      </c>
      <c r="M354" s="986">
        <v>0</v>
      </c>
      <c r="N354" s="986">
        <v>0</v>
      </c>
      <c r="O354" s="986">
        <v>0</v>
      </c>
      <c r="P354" s="2011">
        <v>0</v>
      </c>
      <c r="R354" s="986">
        <v>5000</v>
      </c>
      <c r="S354" s="986">
        <v>5000</v>
      </c>
      <c r="T354" s="986">
        <v>5000</v>
      </c>
      <c r="U354" s="986">
        <v>5000</v>
      </c>
      <c r="V354" s="986">
        <v>5000</v>
      </c>
      <c r="W354" s="986">
        <v>5000</v>
      </c>
      <c r="X354" s="986">
        <v>5000</v>
      </c>
      <c r="Y354" s="986">
        <v>5000</v>
      </c>
      <c r="Z354" s="986">
        <v>5000</v>
      </c>
      <c r="AA354" s="986">
        <v>0</v>
      </c>
      <c r="AB354" s="986">
        <v>0</v>
      </c>
      <c r="AC354" s="986">
        <v>0</v>
      </c>
      <c r="AD354" s="2011">
        <v>45000</v>
      </c>
      <c r="AF354" s="986">
        <v>0</v>
      </c>
      <c r="AG354" s="986">
        <v>0</v>
      </c>
      <c r="AH354" s="986">
        <v>0</v>
      </c>
      <c r="AI354" s="986">
        <v>0</v>
      </c>
      <c r="AJ354" s="986">
        <v>0</v>
      </c>
      <c r="AK354" s="986">
        <v>0</v>
      </c>
      <c r="AL354" s="986">
        <v>0</v>
      </c>
      <c r="AM354" s="986">
        <v>0</v>
      </c>
      <c r="AN354" s="986">
        <v>0</v>
      </c>
      <c r="AO354" s="986">
        <v>0</v>
      </c>
      <c r="AP354" s="986">
        <v>0</v>
      </c>
      <c r="AQ354" s="986">
        <v>0</v>
      </c>
      <c r="AR354" s="2011">
        <v>0</v>
      </c>
      <c r="AT354" s="986">
        <v>0</v>
      </c>
      <c r="AU354" s="986">
        <v>0</v>
      </c>
      <c r="AV354" s="986">
        <v>0</v>
      </c>
      <c r="AW354" s="986">
        <v>0</v>
      </c>
      <c r="AX354" s="986">
        <v>0</v>
      </c>
      <c r="AY354" s="986">
        <v>0</v>
      </c>
      <c r="AZ354" s="986">
        <v>0</v>
      </c>
      <c r="BA354" s="986">
        <v>0</v>
      </c>
      <c r="BB354" s="986">
        <v>0</v>
      </c>
      <c r="BC354" s="986">
        <v>0</v>
      </c>
      <c r="BD354" s="986">
        <v>0</v>
      </c>
      <c r="BE354" s="986">
        <v>0</v>
      </c>
      <c r="BF354" s="2011">
        <v>0</v>
      </c>
      <c r="BH354" s="986">
        <v>0</v>
      </c>
      <c r="BI354" s="986">
        <v>0</v>
      </c>
      <c r="BJ354" s="986">
        <v>0</v>
      </c>
      <c r="BK354" s="986">
        <v>0</v>
      </c>
      <c r="BL354" s="986">
        <v>0</v>
      </c>
      <c r="BM354" s="986">
        <v>0</v>
      </c>
      <c r="BN354" s="986">
        <v>0</v>
      </c>
      <c r="BO354" s="986">
        <v>0</v>
      </c>
      <c r="BP354" s="986">
        <v>0</v>
      </c>
      <c r="BQ354" s="986">
        <v>0</v>
      </c>
      <c r="BR354" s="986">
        <v>0</v>
      </c>
      <c r="BS354" s="986">
        <v>0</v>
      </c>
      <c r="BT354" s="2011">
        <v>0</v>
      </c>
      <c r="BV354" s="986">
        <v>0</v>
      </c>
      <c r="BW354" s="986">
        <v>0</v>
      </c>
      <c r="BX354" s="986">
        <v>0</v>
      </c>
      <c r="BY354" s="2011">
        <v>0</v>
      </c>
      <c r="BZ354" s="2011">
        <v>45000</v>
      </c>
      <c r="CA354" s="108"/>
      <c r="CB354" s="108"/>
      <c r="CC354" s="108"/>
      <c r="CD354" s="108"/>
      <c r="CE354" s="108"/>
      <c r="CF354" s="108"/>
      <c r="CG354" s="108"/>
      <c r="CH354" s="108"/>
      <c r="CI354" s="108"/>
    </row>
    <row r="355" spans="1:87" ht="110.5" hidden="1" customHeight="1" outlineLevel="3">
      <c r="A355" s="159"/>
      <c r="B355" s="702" t="s">
        <v>2618</v>
      </c>
      <c r="C355" s="702" t="s">
        <v>1279</v>
      </c>
      <c r="D355" s="703" t="s">
        <v>977</v>
      </c>
      <c r="F355" s="986">
        <v>0</v>
      </c>
      <c r="G355" s="986">
        <v>0</v>
      </c>
      <c r="H355" s="986">
        <v>0</v>
      </c>
      <c r="I355" s="986">
        <v>0</v>
      </c>
      <c r="J355" s="986">
        <v>0</v>
      </c>
      <c r="K355" s="986">
        <v>0</v>
      </c>
      <c r="L355" s="986">
        <v>0</v>
      </c>
      <c r="M355" s="986">
        <v>0</v>
      </c>
      <c r="N355" s="986">
        <v>0</v>
      </c>
      <c r="O355" s="986">
        <v>0</v>
      </c>
      <c r="P355" s="2011">
        <v>0</v>
      </c>
      <c r="R355" s="986">
        <v>0</v>
      </c>
      <c r="S355" s="986">
        <v>4000</v>
      </c>
      <c r="T355" s="986">
        <v>4000</v>
      </c>
      <c r="U355" s="986">
        <v>4000</v>
      </c>
      <c r="V355" s="986">
        <v>0</v>
      </c>
      <c r="W355" s="986">
        <v>0</v>
      </c>
      <c r="X355" s="986">
        <v>0</v>
      </c>
      <c r="Y355" s="986">
        <v>0</v>
      </c>
      <c r="Z355" s="986">
        <v>0</v>
      </c>
      <c r="AA355" s="986">
        <v>0</v>
      </c>
      <c r="AB355" s="986">
        <v>0</v>
      </c>
      <c r="AC355" s="986">
        <v>0</v>
      </c>
      <c r="AD355" s="2011">
        <v>12000</v>
      </c>
      <c r="AF355" s="986">
        <v>0</v>
      </c>
      <c r="AG355" s="986">
        <v>0</v>
      </c>
      <c r="AH355" s="986">
        <v>0</v>
      </c>
      <c r="AI355" s="986">
        <v>0</v>
      </c>
      <c r="AJ355" s="986">
        <v>0</v>
      </c>
      <c r="AK355" s="986">
        <v>0</v>
      </c>
      <c r="AL355" s="986">
        <v>0</v>
      </c>
      <c r="AM355" s="986">
        <v>0</v>
      </c>
      <c r="AN355" s="986">
        <v>0</v>
      </c>
      <c r="AO355" s="986">
        <v>0</v>
      </c>
      <c r="AP355" s="986">
        <v>0</v>
      </c>
      <c r="AQ355" s="986">
        <v>0</v>
      </c>
      <c r="AR355" s="2011">
        <v>0</v>
      </c>
      <c r="AT355" s="986">
        <v>0</v>
      </c>
      <c r="AU355" s="986">
        <v>0</v>
      </c>
      <c r="AV355" s="986">
        <v>0</v>
      </c>
      <c r="AW355" s="986">
        <v>0</v>
      </c>
      <c r="AX355" s="986">
        <v>0</v>
      </c>
      <c r="AY355" s="986">
        <v>0</v>
      </c>
      <c r="AZ355" s="986">
        <v>0</v>
      </c>
      <c r="BA355" s="986">
        <v>0</v>
      </c>
      <c r="BB355" s="986">
        <v>0</v>
      </c>
      <c r="BC355" s="986">
        <v>0</v>
      </c>
      <c r="BD355" s="986">
        <v>0</v>
      </c>
      <c r="BE355" s="986">
        <v>0</v>
      </c>
      <c r="BF355" s="2011">
        <v>0</v>
      </c>
      <c r="BH355" s="986">
        <v>0</v>
      </c>
      <c r="BI355" s="986">
        <v>0</v>
      </c>
      <c r="BJ355" s="986">
        <v>0</v>
      </c>
      <c r="BK355" s="986">
        <v>0</v>
      </c>
      <c r="BL355" s="986">
        <v>0</v>
      </c>
      <c r="BM355" s="986">
        <v>0</v>
      </c>
      <c r="BN355" s="986">
        <v>0</v>
      </c>
      <c r="BO355" s="986">
        <v>0</v>
      </c>
      <c r="BP355" s="986">
        <v>0</v>
      </c>
      <c r="BQ355" s="986">
        <v>0</v>
      </c>
      <c r="BR355" s="986">
        <v>0</v>
      </c>
      <c r="BS355" s="986">
        <v>0</v>
      </c>
      <c r="BT355" s="2011">
        <v>0</v>
      </c>
      <c r="BV355" s="986">
        <v>0</v>
      </c>
      <c r="BW355" s="986">
        <v>0</v>
      </c>
      <c r="BX355" s="986">
        <v>0</v>
      </c>
      <c r="BY355" s="2011">
        <v>0</v>
      </c>
      <c r="BZ355" s="2011">
        <v>12000</v>
      </c>
      <c r="CA355" s="108"/>
      <c r="CB355" s="108"/>
      <c r="CC355" s="108"/>
      <c r="CD355" s="108"/>
      <c r="CE355" s="108"/>
      <c r="CF355" s="108"/>
      <c r="CG355" s="108"/>
      <c r="CH355" s="108"/>
      <c r="CI355" s="108"/>
    </row>
    <row r="356" spans="1:87" ht="41.5" hidden="1" customHeight="1" outlineLevel="3">
      <c r="A356" s="159"/>
      <c r="B356" s="702" t="s">
        <v>2619</v>
      </c>
      <c r="C356" s="702" t="s">
        <v>1279</v>
      </c>
      <c r="D356" s="703" t="s">
        <v>979</v>
      </c>
      <c r="F356" s="986">
        <v>0</v>
      </c>
      <c r="G356" s="986">
        <v>0</v>
      </c>
      <c r="H356" s="986">
        <v>0</v>
      </c>
      <c r="I356" s="986">
        <v>0</v>
      </c>
      <c r="J356" s="986">
        <v>0</v>
      </c>
      <c r="K356" s="986">
        <v>0</v>
      </c>
      <c r="L356" s="986">
        <v>0</v>
      </c>
      <c r="M356" s="986">
        <v>0</v>
      </c>
      <c r="N356" s="986">
        <v>0</v>
      </c>
      <c r="O356" s="986">
        <v>0</v>
      </c>
      <c r="P356" s="2011">
        <v>0</v>
      </c>
      <c r="R356" s="986">
        <v>0</v>
      </c>
      <c r="S356" s="986">
        <v>0</v>
      </c>
      <c r="T356" s="986">
        <v>0</v>
      </c>
      <c r="U356" s="986">
        <v>0</v>
      </c>
      <c r="V356" s="986">
        <v>0</v>
      </c>
      <c r="W356" s="986">
        <v>0</v>
      </c>
      <c r="X356" s="986">
        <v>0</v>
      </c>
      <c r="Y356" s="986">
        <v>0</v>
      </c>
      <c r="Z356" s="986">
        <v>0</v>
      </c>
      <c r="AA356" s="986">
        <v>0</v>
      </c>
      <c r="AB356" s="986">
        <v>0</v>
      </c>
      <c r="AC356" s="986">
        <v>0</v>
      </c>
      <c r="AD356" s="2011">
        <v>0</v>
      </c>
      <c r="AF356" s="986">
        <v>0</v>
      </c>
      <c r="AG356" s="986">
        <v>0</v>
      </c>
      <c r="AH356" s="986">
        <v>45000</v>
      </c>
      <c r="AI356" s="986">
        <v>0</v>
      </c>
      <c r="AJ356" s="986">
        <v>0</v>
      </c>
      <c r="AK356" s="986">
        <v>0</v>
      </c>
      <c r="AL356" s="986">
        <v>30000</v>
      </c>
      <c r="AM356" s="986">
        <v>0</v>
      </c>
      <c r="AN356" s="986">
        <v>0</v>
      </c>
      <c r="AO356" s="986">
        <v>0</v>
      </c>
      <c r="AP356" s="986">
        <v>30000</v>
      </c>
      <c r="AQ356" s="986">
        <v>0</v>
      </c>
      <c r="AR356" s="2011">
        <v>105000</v>
      </c>
      <c r="AT356" s="986">
        <v>0</v>
      </c>
      <c r="AU356" s="986">
        <v>0</v>
      </c>
      <c r="AV356" s="986">
        <v>45000</v>
      </c>
      <c r="AW356" s="986">
        <v>0</v>
      </c>
      <c r="AX356" s="986">
        <v>0</v>
      </c>
      <c r="AY356" s="986">
        <v>0</v>
      </c>
      <c r="AZ356" s="986">
        <v>0</v>
      </c>
      <c r="BA356" s="986">
        <v>0</v>
      </c>
      <c r="BB356" s="986">
        <v>0</v>
      </c>
      <c r="BC356" s="986">
        <v>0</v>
      </c>
      <c r="BD356" s="986">
        <v>0</v>
      </c>
      <c r="BE356" s="986">
        <v>0</v>
      </c>
      <c r="BF356" s="2011">
        <v>45000</v>
      </c>
      <c r="BH356" s="986">
        <v>0</v>
      </c>
      <c r="BI356" s="986">
        <v>0</v>
      </c>
      <c r="BJ356" s="986">
        <v>0</v>
      </c>
      <c r="BK356" s="986">
        <v>0</v>
      </c>
      <c r="BL356" s="986">
        <v>0</v>
      </c>
      <c r="BM356" s="986">
        <v>0</v>
      </c>
      <c r="BN356" s="986">
        <v>0</v>
      </c>
      <c r="BO356" s="986">
        <v>0</v>
      </c>
      <c r="BP356" s="986">
        <v>0</v>
      </c>
      <c r="BQ356" s="986">
        <v>0</v>
      </c>
      <c r="BR356" s="986">
        <v>0</v>
      </c>
      <c r="BS356" s="986">
        <v>0</v>
      </c>
      <c r="BT356" s="2011">
        <v>0</v>
      </c>
      <c r="BV356" s="986">
        <v>0</v>
      </c>
      <c r="BW356" s="986">
        <v>0</v>
      </c>
      <c r="BX356" s="986">
        <v>0</v>
      </c>
      <c r="BY356" s="2011">
        <v>0</v>
      </c>
      <c r="BZ356" s="2011">
        <v>150000</v>
      </c>
      <c r="CA356" s="108"/>
      <c r="CB356" s="108"/>
      <c r="CC356" s="108"/>
      <c r="CD356" s="108"/>
      <c r="CE356" s="108"/>
      <c r="CF356" s="108"/>
      <c r="CG356" s="108"/>
      <c r="CH356" s="108"/>
      <c r="CI356" s="108"/>
    </row>
    <row r="357" spans="1:87" ht="27.5" hidden="1" customHeight="1" outlineLevel="3">
      <c r="A357" s="159"/>
      <c r="B357" s="702" t="s">
        <v>2620</v>
      </c>
      <c r="C357" s="702"/>
      <c r="D357" s="703" t="s">
        <v>971</v>
      </c>
      <c r="F357" s="986">
        <v>0</v>
      </c>
      <c r="G357" s="986">
        <v>0</v>
      </c>
      <c r="H357" s="986">
        <v>0</v>
      </c>
      <c r="I357" s="986">
        <v>0</v>
      </c>
      <c r="J357" s="986">
        <v>0</v>
      </c>
      <c r="K357" s="986">
        <v>0</v>
      </c>
      <c r="L357" s="986">
        <v>0</v>
      </c>
      <c r="M357" s="986">
        <v>0</v>
      </c>
      <c r="N357" s="986">
        <v>0</v>
      </c>
      <c r="O357" s="986">
        <v>0</v>
      </c>
      <c r="P357" s="2011">
        <v>0</v>
      </c>
      <c r="R357" s="986">
        <v>0</v>
      </c>
      <c r="S357" s="986">
        <v>0</v>
      </c>
      <c r="T357" s="986">
        <v>0</v>
      </c>
      <c r="U357" s="986">
        <v>0</v>
      </c>
      <c r="V357" s="986">
        <v>0</v>
      </c>
      <c r="W357" s="986">
        <v>0</v>
      </c>
      <c r="X357" s="986">
        <v>0</v>
      </c>
      <c r="Y357" s="986">
        <v>0</v>
      </c>
      <c r="Z357" s="986">
        <v>0</v>
      </c>
      <c r="AA357" s="986">
        <v>0</v>
      </c>
      <c r="AB357" s="986">
        <v>0</v>
      </c>
      <c r="AC357" s="986">
        <v>0</v>
      </c>
      <c r="AD357" s="2011">
        <v>0</v>
      </c>
      <c r="AF357" s="986">
        <v>0</v>
      </c>
      <c r="AG357" s="986">
        <v>0</v>
      </c>
      <c r="AH357" s="986">
        <v>0</v>
      </c>
      <c r="AI357" s="986">
        <v>0</v>
      </c>
      <c r="AJ357" s="986">
        <v>0</v>
      </c>
      <c r="AK357" s="986">
        <v>0</v>
      </c>
      <c r="AL357" s="986">
        <v>0</v>
      </c>
      <c r="AM357" s="986">
        <v>0</v>
      </c>
      <c r="AN357" s="986">
        <v>0</v>
      </c>
      <c r="AO357" s="986">
        <v>0</v>
      </c>
      <c r="AP357" s="986">
        <v>0</v>
      </c>
      <c r="AQ357" s="986">
        <v>0</v>
      </c>
      <c r="AR357" s="2011">
        <v>0</v>
      </c>
      <c r="AT357" s="986">
        <v>0</v>
      </c>
      <c r="AU357" s="986">
        <v>0</v>
      </c>
      <c r="AV357" s="986">
        <v>0</v>
      </c>
      <c r="AW357" s="986">
        <v>0</v>
      </c>
      <c r="AX357" s="986">
        <v>0</v>
      </c>
      <c r="AY357" s="986">
        <v>0</v>
      </c>
      <c r="AZ357" s="986">
        <v>18000</v>
      </c>
      <c r="BA357" s="986">
        <v>0</v>
      </c>
      <c r="BB357" s="986">
        <v>0</v>
      </c>
      <c r="BC357" s="986">
        <v>0</v>
      </c>
      <c r="BD357" s="986">
        <v>12000</v>
      </c>
      <c r="BE357" s="986">
        <v>0</v>
      </c>
      <c r="BF357" s="2011">
        <v>30000</v>
      </c>
      <c r="BH357" s="986">
        <v>0</v>
      </c>
      <c r="BI357" s="986">
        <v>0</v>
      </c>
      <c r="BJ357" s="986">
        <v>0</v>
      </c>
      <c r="BK357" s="986">
        <v>0</v>
      </c>
      <c r="BL357" s="986">
        <v>0</v>
      </c>
      <c r="BM357" s="986">
        <v>0</v>
      </c>
      <c r="BN357" s="986">
        <v>0</v>
      </c>
      <c r="BO357" s="986">
        <v>0</v>
      </c>
      <c r="BP357" s="986">
        <v>0</v>
      </c>
      <c r="BQ357" s="986">
        <v>0</v>
      </c>
      <c r="BR357" s="986">
        <v>0</v>
      </c>
      <c r="BS357" s="986">
        <v>0</v>
      </c>
      <c r="BT357" s="2011">
        <v>0</v>
      </c>
      <c r="BV357" s="986">
        <v>0</v>
      </c>
      <c r="BW357" s="986">
        <v>0</v>
      </c>
      <c r="BX357" s="986">
        <v>0</v>
      </c>
      <c r="BY357" s="2011">
        <v>0</v>
      </c>
      <c r="BZ357" s="2011">
        <v>30000</v>
      </c>
      <c r="CA357" s="108"/>
      <c r="CB357" s="108"/>
      <c r="CC357" s="108"/>
      <c r="CD357" s="108"/>
      <c r="CE357" s="108"/>
      <c r="CF357" s="108"/>
      <c r="CG357" s="108"/>
      <c r="CH357" s="108"/>
      <c r="CI357" s="108"/>
    </row>
    <row r="358" spans="1:87" s="883" customFormat="1" ht="14" customHeight="1" outlineLevel="2" collapsed="1">
      <c r="A358" s="184"/>
      <c r="B358" s="441"/>
      <c r="C358" s="441"/>
      <c r="D358" s="941"/>
      <c r="E358"/>
      <c r="F358" s="1011"/>
      <c r="G358" s="1011"/>
      <c r="H358" s="1011"/>
      <c r="I358" s="1011"/>
      <c r="J358" s="1011"/>
      <c r="K358" s="1011"/>
      <c r="L358" s="1011"/>
      <c r="M358" s="1011"/>
      <c r="N358" s="1011"/>
      <c r="O358" s="1011"/>
      <c r="P358" s="1011">
        <v>0</v>
      </c>
      <c r="Q358"/>
      <c r="R358" s="1011"/>
      <c r="S358" s="1011"/>
      <c r="T358" s="1011"/>
      <c r="U358" s="1011"/>
      <c r="V358" s="1011"/>
      <c r="W358" s="1011"/>
      <c r="X358" s="1011"/>
      <c r="Y358" s="1011"/>
      <c r="Z358" s="1011"/>
      <c r="AA358" s="1011"/>
      <c r="AB358" s="1011"/>
      <c r="AC358" s="1011"/>
      <c r="AD358" s="1011">
        <v>0</v>
      </c>
      <c r="AE358"/>
      <c r="AF358" s="1011"/>
      <c r="AG358" s="1011"/>
      <c r="AH358" s="1011"/>
      <c r="AI358" s="1011"/>
      <c r="AJ358" s="1011"/>
      <c r="AK358" s="1011"/>
      <c r="AL358" s="1011"/>
      <c r="AM358" s="1011"/>
      <c r="AN358" s="1011"/>
      <c r="AO358" s="1011"/>
      <c r="AP358" s="1011"/>
      <c r="AQ358" s="1011"/>
      <c r="AR358" s="1011">
        <v>0</v>
      </c>
      <c r="AS358"/>
      <c r="AT358" s="1011"/>
      <c r="AU358" s="1011"/>
      <c r="AV358" s="1011"/>
      <c r="AW358" s="1011"/>
      <c r="AX358" s="1011"/>
      <c r="AY358" s="1011"/>
      <c r="AZ358" s="1011"/>
      <c r="BA358" s="1011"/>
      <c r="BB358" s="1011"/>
      <c r="BC358" s="1011"/>
      <c r="BD358" s="1011"/>
      <c r="BE358" s="1011"/>
      <c r="BF358" s="1012">
        <v>0</v>
      </c>
      <c r="BG358"/>
      <c r="BH358" s="1011"/>
      <c r="BI358" s="1011"/>
      <c r="BJ358" s="1011"/>
      <c r="BK358" s="1011"/>
      <c r="BL358" s="1011"/>
      <c r="BM358" s="1011"/>
      <c r="BN358" s="1011"/>
      <c r="BO358" s="1011"/>
      <c r="BP358" s="1011"/>
      <c r="BQ358" s="1011"/>
      <c r="BR358" s="1011"/>
      <c r="BS358" s="1011"/>
      <c r="BT358" s="1013">
        <v>0</v>
      </c>
      <c r="BU358"/>
      <c r="BV358" s="1011"/>
      <c r="BW358" s="1011"/>
      <c r="BX358" s="1011"/>
      <c r="BY358" s="1013">
        <v>0</v>
      </c>
      <c r="BZ358" s="1013">
        <v>0</v>
      </c>
      <c r="CA358" s="153"/>
    </row>
    <row r="359" spans="1:87" s="153" customFormat="1" ht="30" outlineLevel="1">
      <c r="A359" s="578"/>
      <c r="B359" s="428" t="s">
        <v>566</v>
      </c>
      <c r="C359" s="428"/>
      <c r="D359" s="545" t="s">
        <v>49</v>
      </c>
      <c r="E359"/>
      <c r="F359" s="977">
        <v>0</v>
      </c>
      <c r="G359" s="977">
        <v>0</v>
      </c>
      <c r="H359" s="977">
        <v>0</v>
      </c>
      <c r="I359" s="977">
        <v>0</v>
      </c>
      <c r="J359" s="977">
        <v>0</v>
      </c>
      <c r="K359" s="977">
        <v>0</v>
      </c>
      <c r="L359" s="977">
        <v>0</v>
      </c>
      <c r="M359" s="977">
        <v>0</v>
      </c>
      <c r="N359" s="977">
        <v>0</v>
      </c>
      <c r="O359" s="977">
        <v>0</v>
      </c>
      <c r="P359" s="977">
        <v>0</v>
      </c>
      <c r="Q359"/>
      <c r="R359" s="977">
        <v>0</v>
      </c>
      <c r="S359" s="977">
        <v>15000</v>
      </c>
      <c r="T359" s="977">
        <v>15000</v>
      </c>
      <c r="U359" s="977">
        <v>51000</v>
      </c>
      <c r="V359" s="977">
        <v>15000</v>
      </c>
      <c r="W359" s="977">
        <v>15000</v>
      </c>
      <c r="X359" s="977">
        <v>15000</v>
      </c>
      <c r="Y359" s="977">
        <v>42000</v>
      </c>
      <c r="Z359" s="977">
        <v>15000</v>
      </c>
      <c r="AA359" s="977">
        <v>15000</v>
      </c>
      <c r="AB359" s="977">
        <v>15000</v>
      </c>
      <c r="AC359" s="977">
        <v>42000</v>
      </c>
      <c r="AD359" s="977">
        <v>255000</v>
      </c>
      <c r="AE359"/>
      <c r="AF359" s="977">
        <v>15000</v>
      </c>
      <c r="AG359" s="977">
        <v>0</v>
      </c>
      <c r="AH359" s="977">
        <v>54000</v>
      </c>
      <c r="AI359" s="977">
        <v>27000</v>
      </c>
      <c r="AJ359" s="977">
        <v>0</v>
      </c>
      <c r="AK359" s="977">
        <v>0</v>
      </c>
      <c r="AL359" s="977">
        <v>27000</v>
      </c>
      <c r="AM359" s="977">
        <v>27000</v>
      </c>
      <c r="AN359" s="977">
        <v>0</v>
      </c>
      <c r="AO359" s="977">
        <v>36000</v>
      </c>
      <c r="AP359" s="977">
        <v>108000</v>
      </c>
      <c r="AQ359" s="977">
        <v>0</v>
      </c>
      <c r="AR359" s="977">
        <v>294000</v>
      </c>
      <c r="AS359"/>
      <c r="AT359" s="977">
        <v>0</v>
      </c>
      <c r="AU359" s="977">
        <v>90000</v>
      </c>
      <c r="AV359" s="977">
        <v>40500</v>
      </c>
      <c r="AW359" s="977">
        <v>0</v>
      </c>
      <c r="AX359" s="977">
        <v>0</v>
      </c>
      <c r="AY359" s="977">
        <v>30000</v>
      </c>
      <c r="AZ359" s="977">
        <v>40500</v>
      </c>
      <c r="BA359" s="977">
        <v>0</v>
      </c>
      <c r="BB359" s="977">
        <v>0</v>
      </c>
      <c r="BC359" s="977">
        <v>30000</v>
      </c>
      <c r="BD359" s="977">
        <v>40500</v>
      </c>
      <c r="BE359" s="977">
        <v>0</v>
      </c>
      <c r="BF359" s="978">
        <v>271500</v>
      </c>
      <c r="BG359"/>
      <c r="BH359" s="977">
        <v>0</v>
      </c>
      <c r="BI359" s="977">
        <v>0</v>
      </c>
      <c r="BJ359" s="977">
        <v>40500</v>
      </c>
      <c r="BK359" s="977">
        <v>0</v>
      </c>
      <c r="BL359" s="977">
        <v>54000</v>
      </c>
      <c r="BM359" s="977">
        <v>0</v>
      </c>
      <c r="BN359" s="977">
        <v>0</v>
      </c>
      <c r="BO359" s="977">
        <v>0</v>
      </c>
      <c r="BP359" s="977">
        <v>0</v>
      </c>
      <c r="BQ359" s="977">
        <v>0</v>
      </c>
      <c r="BR359" s="977">
        <v>0</v>
      </c>
      <c r="BS359" s="977">
        <v>0</v>
      </c>
      <c r="BT359" s="976">
        <v>94500</v>
      </c>
      <c r="BU359"/>
      <c r="BV359" s="977">
        <v>0</v>
      </c>
      <c r="BW359" s="977">
        <v>0</v>
      </c>
      <c r="BX359" s="977">
        <v>0</v>
      </c>
      <c r="BY359" s="976">
        <v>0</v>
      </c>
      <c r="BZ359" s="976">
        <v>915000</v>
      </c>
    </row>
    <row r="360" spans="1:87" s="878" customFormat="1" ht="38.5" customHeight="1" outlineLevel="2">
      <c r="A360" s="172"/>
      <c r="B360" s="171" t="s">
        <v>567</v>
      </c>
      <c r="C360" s="171"/>
      <c r="D360" s="1652" t="s">
        <v>51</v>
      </c>
      <c r="E360"/>
      <c r="F360" s="176">
        <v>0</v>
      </c>
      <c r="G360" s="176">
        <v>0</v>
      </c>
      <c r="H360" s="176">
        <v>0</v>
      </c>
      <c r="I360" s="176">
        <v>0</v>
      </c>
      <c r="J360" s="176">
        <v>0</v>
      </c>
      <c r="K360" s="176">
        <v>0</v>
      </c>
      <c r="L360" s="176">
        <v>0</v>
      </c>
      <c r="M360" s="176">
        <v>0</v>
      </c>
      <c r="N360" s="176">
        <v>0</v>
      </c>
      <c r="O360" s="176">
        <v>0</v>
      </c>
      <c r="P360" s="980">
        <v>0</v>
      </c>
      <c r="Q360"/>
      <c r="R360" s="176">
        <v>0</v>
      </c>
      <c r="S360" s="176">
        <v>0</v>
      </c>
      <c r="T360" s="176">
        <v>0</v>
      </c>
      <c r="U360" s="176">
        <v>36000</v>
      </c>
      <c r="V360" s="176">
        <v>0</v>
      </c>
      <c r="W360" s="176">
        <v>0</v>
      </c>
      <c r="X360" s="176">
        <v>0</v>
      </c>
      <c r="Y360" s="176">
        <v>27000</v>
      </c>
      <c r="Z360" s="176">
        <v>0</v>
      </c>
      <c r="AA360" s="176">
        <v>0</v>
      </c>
      <c r="AB360" s="176">
        <v>0</v>
      </c>
      <c r="AC360" s="176">
        <v>27000</v>
      </c>
      <c r="AD360" s="980">
        <v>90000</v>
      </c>
      <c r="AE360"/>
      <c r="AF360" s="176">
        <v>0</v>
      </c>
      <c r="AG360" s="176">
        <v>0</v>
      </c>
      <c r="AH360" s="176">
        <v>0</v>
      </c>
      <c r="AI360" s="176">
        <v>27000</v>
      </c>
      <c r="AJ360" s="176">
        <v>0</v>
      </c>
      <c r="AK360" s="176">
        <v>0</v>
      </c>
      <c r="AL360" s="176">
        <v>0</v>
      </c>
      <c r="AM360" s="176">
        <v>27000</v>
      </c>
      <c r="AN360" s="176">
        <v>0</v>
      </c>
      <c r="AO360" s="176">
        <v>36000</v>
      </c>
      <c r="AP360" s="176">
        <v>54000</v>
      </c>
      <c r="AQ360" s="176">
        <v>0</v>
      </c>
      <c r="AR360" s="980">
        <v>144000</v>
      </c>
      <c r="AS360"/>
      <c r="AT360" s="176">
        <v>0</v>
      </c>
      <c r="AU360" s="176">
        <v>0</v>
      </c>
      <c r="AV360" s="176">
        <v>40500</v>
      </c>
      <c r="AW360" s="176">
        <v>0</v>
      </c>
      <c r="AX360" s="176">
        <v>0</v>
      </c>
      <c r="AY360" s="176">
        <v>0</v>
      </c>
      <c r="AZ360" s="176">
        <v>40500</v>
      </c>
      <c r="BA360" s="176">
        <v>0</v>
      </c>
      <c r="BB360" s="176">
        <v>0</v>
      </c>
      <c r="BC360" s="176">
        <v>0</v>
      </c>
      <c r="BD360" s="176">
        <v>40500</v>
      </c>
      <c r="BE360" s="176">
        <v>0</v>
      </c>
      <c r="BF360" s="981">
        <v>121500</v>
      </c>
      <c r="BG360"/>
      <c r="BH360" s="176">
        <v>0</v>
      </c>
      <c r="BI360" s="176">
        <v>0</v>
      </c>
      <c r="BJ360" s="176">
        <v>40500</v>
      </c>
      <c r="BK360" s="176">
        <v>0</v>
      </c>
      <c r="BL360" s="176">
        <v>54000</v>
      </c>
      <c r="BM360" s="176">
        <v>0</v>
      </c>
      <c r="BN360" s="176">
        <v>0</v>
      </c>
      <c r="BO360" s="176">
        <v>0</v>
      </c>
      <c r="BP360" s="176">
        <v>0</v>
      </c>
      <c r="BQ360" s="176">
        <v>0</v>
      </c>
      <c r="BR360" s="176">
        <v>0</v>
      </c>
      <c r="BS360" s="176">
        <v>0</v>
      </c>
      <c r="BT360" s="979">
        <v>94500</v>
      </c>
      <c r="BU360"/>
      <c r="BV360" s="176">
        <v>0</v>
      </c>
      <c r="BW360" s="176">
        <v>0</v>
      </c>
      <c r="BX360" s="176">
        <v>0</v>
      </c>
      <c r="BY360" s="979">
        <v>0</v>
      </c>
      <c r="BZ360" s="979">
        <v>450000</v>
      </c>
      <c r="CA360" s="153"/>
      <c r="CB360" s="153"/>
      <c r="CC360" s="153"/>
      <c r="CD360" s="153"/>
      <c r="CE360" s="153"/>
      <c r="CF360" s="153"/>
      <c r="CG360" s="153"/>
      <c r="CH360" s="153"/>
      <c r="CI360" s="153"/>
    </row>
    <row r="361" spans="1:87" ht="96.5" hidden="1" customHeight="1" outlineLevel="4">
      <c r="A361" s="159"/>
      <c r="B361" s="702" t="s">
        <v>995</v>
      </c>
      <c r="C361" s="702" t="s">
        <v>1279</v>
      </c>
      <c r="D361" s="703" t="s">
        <v>2621</v>
      </c>
      <c r="F361" s="1455">
        <v>0</v>
      </c>
      <c r="G361" s="1455">
        <v>0</v>
      </c>
      <c r="H361" s="1455">
        <v>0</v>
      </c>
      <c r="I361" s="1455">
        <v>0</v>
      </c>
      <c r="J361" s="1455">
        <v>0</v>
      </c>
      <c r="K361" s="1455">
        <v>0</v>
      </c>
      <c r="L361" s="1455">
        <v>0</v>
      </c>
      <c r="M361" s="1455">
        <v>0</v>
      </c>
      <c r="N361" s="1455">
        <v>0</v>
      </c>
      <c r="O361" s="1455">
        <v>0</v>
      </c>
      <c r="P361" s="1455">
        <v>0</v>
      </c>
      <c r="R361" s="1455">
        <v>0</v>
      </c>
      <c r="S361" s="1455">
        <v>0</v>
      </c>
      <c r="T361" s="1455">
        <v>0</v>
      </c>
      <c r="U361" s="1455">
        <v>36000</v>
      </c>
      <c r="V361" s="1455">
        <v>0</v>
      </c>
      <c r="W361" s="1455">
        <v>0</v>
      </c>
      <c r="X361" s="1455">
        <v>0</v>
      </c>
      <c r="Y361" s="1455">
        <v>27000</v>
      </c>
      <c r="Z361" s="1455">
        <v>0</v>
      </c>
      <c r="AA361" s="1455">
        <v>0</v>
      </c>
      <c r="AB361" s="1455">
        <v>0</v>
      </c>
      <c r="AC361" s="1455">
        <v>27000</v>
      </c>
      <c r="AD361" s="1455">
        <v>90000</v>
      </c>
      <c r="AF361" s="1455">
        <v>0</v>
      </c>
      <c r="AG361" s="1455">
        <v>0</v>
      </c>
      <c r="AH361" s="1455">
        <v>0</v>
      </c>
      <c r="AI361" s="1455">
        <v>27000</v>
      </c>
      <c r="AJ361" s="1455">
        <v>0</v>
      </c>
      <c r="AK361" s="1455">
        <v>0</v>
      </c>
      <c r="AL361" s="1455">
        <v>0</v>
      </c>
      <c r="AM361" s="1455">
        <v>27000</v>
      </c>
      <c r="AN361" s="1455">
        <v>0</v>
      </c>
      <c r="AO361" s="1455">
        <v>36000</v>
      </c>
      <c r="AP361" s="1455">
        <v>0</v>
      </c>
      <c r="AQ361" s="1455">
        <v>0</v>
      </c>
      <c r="AR361" s="1455">
        <v>90000</v>
      </c>
      <c r="AT361" s="1455">
        <v>0</v>
      </c>
      <c r="AU361" s="1455">
        <v>0</v>
      </c>
      <c r="AV361" s="1455">
        <v>0</v>
      </c>
      <c r="AW361" s="1455">
        <v>0</v>
      </c>
      <c r="AX361" s="1455">
        <v>0</v>
      </c>
      <c r="AY361" s="1455">
        <v>0</v>
      </c>
      <c r="AZ361" s="1455">
        <v>0</v>
      </c>
      <c r="BA361" s="1455">
        <v>0</v>
      </c>
      <c r="BB361" s="1455">
        <v>0</v>
      </c>
      <c r="BC361" s="1455">
        <v>0</v>
      </c>
      <c r="BD361" s="1455">
        <v>0</v>
      </c>
      <c r="BE361" s="1455">
        <v>0</v>
      </c>
      <c r="BF361" s="1455">
        <v>0</v>
      </c>
      <c r="BH361" s="1455">
        <v>0</v>
      </c>
      <c r="BI361" s="1455">
        <v>0</v>
      </c>
      <c r="BJ361" s="1455">
        <v>0</v>
      </c>
      <c r="BK361" s="1455">
        <v>0</v>
      </c>
      <c r="BL361" s="1455">
        <v>0</v>
      </c>
      <c r="BM361" s="1455">
        <v>0</v>
      </c>
      <c r="BN361" s="1455">
        <v>0</v>
      </c>
      <c r="BO361" s="1455">
        <v>0</v>
      </c>
      <c r="BP361" s="1455">
        <v>0</v>
      </c>
      <c r="BQ361" s="1455">
        <v>0</v>
      </c>
      <c r="BR361" s="1455">
        <v>0</v>
      </c>
      <c r="BS361" s="1455">
        <v>0</v>
      </c>
      <c r="BT361" s="1455">
        <v>0</v>
      </c>
      <c r="BV361" s="1455">
        <v>0</v>
      </c>
      <c r="BW361" s="1455">
        <v>0</v>
      </c>
      <c r="BX361" s="1455">
        <v>0</v>
      </c>
      <c r="BY361" s="1455">
        <v>0</v>
      </c>
      <c r="BZ361" s="1455">
        <v>180000</v>
      </c>
      <c r="CA361" s="108"/>
      <c r="CB361" s="108"/>
      <c r="CC361" s="108"/>
      <c r="CD361" s="108"/>
      <c r="CE361" s="108"/>
      <c r="CF361" s="108"/>
      <c r="CG361" s="108"/>
      <c r="CH361" s="108"/>
      <c r="CI361" s="108"/>
    </row>
    <row r="362" spans="1:87" ht="14.5" hidden="1" customHeight="1" outlineLevel="4">
      <c r="A362" s="159"/>
      <c r="B362" s="702" t="s">
        <v>1004</v>
      </c>
      <c r="C362" s="702"/>
      <c r="D362" s="703" t="s">
        <v>1001</v>
      </c>
      <c r="F362" s="1455"/>
      <c r="G362" s="1455"/>
      <c r="H362" s="1455"/>
      <c r="I362" s="1455"/>
      <c r="J362" s="1455"/>
      <c r="K362" s="1455"/>
      <c r="L362" s="1455"/>
      <c r="M362" s="1455"/>
      <c r="N362" s="1455"/>
      <c r="O362" s="1455"/>
      <c r="P362" s="1455">
        <v>0</v>
      </c>
      <c r="R362" s="1455"/>
      <c r="S362" s="1455"/>
      <c r="T362" s="1455"/>
      <c r="U362" s="1455"/>
      <c r="V362" s="1455"/>
      <c r="W362" s="1455"/>
      <c r="X362" s="1455"/>
      <c r="Y362" s="1455"/>
      <c r="Z362" s="1455"/>
      <c r="AA362" s="1455"/>
      <c r="AB362" s="1455"/>
      <c r="AC362" s="1455"/>
      <c r="AD362" s="1455">
        <v>0</v>
      </c>
      <c r="AF362" s="1455"/>
      <c r="AG362" s="1455"/>
      <c r="AH362" s="1455"/>
      <c r="AI362" s="1455"/>
      <c r="AJ362" s="1455"/>
      <c r="AK362" s="1455"/>
      <c r="AL362" s="1455"/>
      <c r="AM362" s="1455"/>
      <c r="AN362" s="1455"/>
      <c r="AO362" s="1455"/>
      <c r="AP362" s="1455"/>
      <c r="AQ362" s="1455"/>
      <c r="AR362" s="1455">
        <v>0</v>
      </c>
      <c r="AT362" s="1455"/>
      <c r="AU362" s="1455"/>
      <c r="AV362" s="1455"/>
      <c r="AW362" s="1455"/>
      <c r="AX362" s="1455"/>
      <c r="AY362" s="1455"/>
      <c r="AZ362" s="1455"/>
      <c r="BA362" s="1455"/>
      <c r="BB362" s="1455"/>
      <c r="BC362" s="1455"/>
      <c r="BD362" s="1455"/>
      <c r="BE362" s="1455"/>
      <c r="BF362" s="1455">
        <v>0</v>
      </c>
      <c r="BH362" s="1455"/>
      <c r="BI362" s="1455"/>
      <c r="BJ362" s="1455"/>
      <c r="BK362" s="1455"/>
      <c r="BL362" s="1455"/>
      <c r="BM362" s="1455"/>
      <c r="BN362" s="1455"/>
      <c r="BO362" s="1455"/>
      <c r="BP362" s="1455"/>
      <c r="BQ362" s="1455"/>
      <c r="BR362" s="1455"/>
      <c r="BS362" s="1455"/>
      <c r="BT362" s="1455">
        <v>0</v>
      </c>
      <c r="BV362" s="1455"/>
      <c r="BW362" s="1455"/>
      <c r="BX362" s="1455"/>
      <c r="BY362" s="1455">
        <v>0</v>
      </c>
      <c r="BZ362" s="1455">
        <v>0</v>
      </c>
      <c r="CA362" s="108"/>
      <c r="CB362" s="108"/>
      <c r="CC362" s="108"/>
      <c r="CD362" s="108"/>
      <c r="CE362" s="108"/>
      <c r="CF362" s="108"/>
      <c r="CG362" s="108"/>
      <c r="CH362" s="108"/>
      <c r="CI362" s="108"/>
    </row>
    <row r="363" spans="1:87" ht="55.25" hidden="1" customHeight="1" outlineLevel="4">
      <c r="A363" s="159"/>
      <c r="B363" s="702" t="s">
        <v>1002</v>
      </c>
      <c r="C363" s="702" t="s">
        <v>1279</v>
      </c>
      <c r="D363" s="703" t="s">
        <v>1003</v>
      </c>
      <c r="F363" s="1455">
        <v>0</v>
      </c>
      <c r="G363" s="1455">
        <v>0</v>
      </c>
      <c r="H363" s="1455">
        <v>0</v>
      </c>
      <c r="I363" s="1455">
        <v>0</v>
      </c>
      <c r="J363" s="1455">
        <v>0</v>
      </c>
      <c r="K363" s="1455">
        <v>0</v>
      </c>
      <c r="L363" s="1455">
        <v>0</v>
      </c>
      <c r="M363" s="1455">
        <v>0</v>
      </c>
      <c r="N363" s="1455">
        <v>0</v>
      </c>
      <c r="O363" s="1455">
        <v>0</v>
      </c>
      <c r="P363" s="1455">
        <v>0</v>
      </c>
      <c r="R363" s="1455">
        <v>0</v>
      </c>
      <c r="S363" s="1455">
        <v>0</v>
      </c>
      <c r="T363" s="1455">
        <v>0</v>
      </c>
      <c r="U363" s="1455">
        <v>0</v>
      </c>
      <c r="V363" s="1455">
        <v>0</v>
      </c>
      <c r="W363" s="1455">
        <v>0</v>
      </c>
      <c r="X363" s="1455">
        <v>0</v>
      </c>
      <c r="Y363" s="1455">
        <v>0</v>
      </c>
      <c r="Z363" s="1455">
        <v>0</v>
      </c>
      <c r="AA363" s="1455">
        <v>0</v>
      </c>
      <c r="AB363" s="1455">
        <v>0</v>
      </c>
      <c r="AC363" s="1455">
        <v>0</v>
      </c>
      <c r="AD363" s="1455">
        <v>0</v>
      </c>
      <c r="AF363" s="1455">
        <v>0</v>
      </c>
      <c r="AG363" s="1455">
        <v>0</v>
      </c>
      <c r="AH363" s="1455">
        <v>0</v>
      </c>
      <c r="AI363" s="1455">
        <v>0</v>
      </c>
      <c r="AJ363" s="1455">
        <v>0</v>
      </c>
      <c r="AK363" s="1455">
        <v>0</v>
      </c>
      <c r="AL363" s="1455">
        <v>0</v>
      </c>
      <c r="AM363" s="1455">
        <v>0</v>
      </c>
      <c r="AN363" s="1455">
        <v>0</v>
      </c>
      <c r="AO363" s="1455">
        <v>0</v>
      </c>
      <c r="AP363" s="1455">
        <v>54000</v>
      </c>
      <c r="AQ363" s="1455">
        <v>0</v>
      </c>
      <c r="AR363" s="1455">
        <v>54000</v>
      </c>
      <c r="AT363" s="1455">
        <v>0</v>
      </c>
      <c r="AU363" s="1455">
        <v>0</v>
      </c>
      <c r="AV363" s="1455">
        <v>40500</v>
      </c>
      <c r="AW363" s="1455">
        <v>0</v>
      </c>
      <c r="AX363" s="1455">
        <v>0</v>
      </c>
      <c r="AY363" s="1455">
        <v>0</v>
      </c>
      <c r="AZ363" s="1455">
        <v>40500</v>
      </c>
      <c r="BA363" s="1455">
        <v>0</v>
      </c>
      <c r="BB363" s="1455">
        <v>0</v>
      </c>
      <c r="BC363" s="1455">
        <v>0</v>
      </c>
      <c r="BD363" s="1455">
        <v>40500</v>
      </c>
      <c r="BE363" s="1455">
        <v>0</v>
      </c>
      <c r="BF363" s="1455">
        <v>121500</v>
      </c>
      <c r="BH363" s="1455">
        <v>0</v>
      </c>
      <c r="BI363" s="1455">
        <v>0</v>
      </c>
      <c r="BJ363" s="1455">
        <v>40500</v>
      </c>
      <c r="BK363" s="1455">
        <v>0</v>
      </c>
      <c r="BL363" s="1455">
        <v>54000</v>
      </c>
      <c r="BM363" s="1455">
        <v>0</v>
      </c>
      <c r="BN363" s="1455">
        <v>0</v>
      </c>
      <c r="BO363" s="1455">
        <v>0</v>
      </c>
      <c r="BP363" s="1455">
        <v>0</v>
      </c>
      <c r="BQ363" s="1455">
        <v>0</v>
      </c>
      <c r="BR363" s="1455">
        <v>0</v>
      </c>
      <c r="BS363" s="1455">
        <v>0</v>
      </c>
      <c r="BT363" s="1455">
        <v>94500</v>
      </c>
      <c r="BV363" s="1455">
        <v>0</v>
      </c>
      <c r="BW363" s="1455">
        <v>0</v>
      </c>
      <c r="BX363" s="1455">
        <v>0</v>
      </c>
      <c r="BY363" s="1455">
        <v>0</v>
      </c>
      <c r="BZ363" s="1455">
        <v>270000</v>
      </c>
      <c r="CA363" s="108"/>
      <c r="CB363" s="108"/>
      <c r="CC363" s="108"/>
      <c r="CD363" s="108"/>
      <c r="CE363" s="108"/>
      <c r="CF363" s="108"/>
      <c r="CG363" s="108"/>
      <c r="CH363" s="108"/>
      <c r="CI363" s="108"/>
    </row>
    <row r="364" spans="1:87" s="878" customFormat="1" ht="41.5" customHeight="1" outlineLevel="2" collapsed="1">
      <c r="A364" s="172"/>
      <c r="B364" s="171" t="s">
        <v>569</v>
      </c>
      <c r="C364" s="171"/>
      <c r="D364" s="1652" t="s">
        <v>52</v>
      </c>
      <c r="E364"/>
      <c r="F364" s="176">
        <v>0</v>
      </c>
      <c r="G364" s="176">
        <v>0</v>
      </c>
      <c r="H364" s="176">
        <v>0</v>
      </c>
      <c r="I364" s="176">
        <v>0</v>
      </c>
      <c r="J364" s="176">
        <v>0</v>
      </c>
      <c r="K364" s="176">
        <v>0</v>
      </c>
      <c r="L364" s="176">
        <v>0</v>
      </c>
      <c r="M364" s="176">
        <v>0</v>
      </c>
      <c r="N364" s="176">
        <v>0</v>
      </c>
      <c r="O364" s="176">
        <v>0</v>
      </c>
      <c r="P364" s="176">
        <v>0</v>
      </c>
      <c r="Q364"/>
      <c r="R364" s="176">
        <v>0</v>
      </c>
      <c r="S364" s="176">
        <v>15000</v>
      </c>
      <c r="T364" s="176">
        <v>15000</v>
      </c>
      <c r="U364" s="176">
        <v>15000</v>
      </c>
      <c r="V364" s="176">
        <v>15000</v>
      </c>
      <c r="W364" s="176">
        <v>15000</v>
      </c>
      <c r="X364" s="176">
        <v>15000</v>
      </c>
      <c r="Y364" s="176">
        <v>15000</v>
      </c>
      <c r="Z364" s="176">
        <v>15000</v>
      </c>
      <c r="AA364" s="176">
        <v>15000</v>
      </c>
      <c r="AB364" s="176">
        <v>15000</v>
      </c>
      <c r="AC364" s="176">
        <v>15000</v>
      </c>
      <c r="AD364" s="176">
        <v>165000</v>
      </c>
      <c r="AE364"/>
      <c r="AF364" s="176">
        <v>15000</v>
      </c>
      <c r="AG364" s="176">
        <v>0</v>
      </c>
      <c r="AH364" s="176">
        <v>54000</v>
      </c>
      <c r="AI364" s="176">
        <v>0</v>
      </c>
      <c r="AJ364" s="176">
        <v>0</v>
      </c>
      <c r="AK364" s="176">
        <v>0</v>
      </c>
      <c r="AL364" s="176">
        <v>27000</v>
      </c>
      <c r="AM364" s="176">
        <v>0</v>
      </c>
      <c r="AN364" s="176">
        <v>0</v>
      </c>
      <c r="AO364" s="176">
        <v>0</v>
      </c>
      <c r="AP364" s="176">
        <v>54000</v>
      </c>
      <c r="AQ364" s="176">
        <v>0</v>
      </c>
      <c r="AR364" s="176">
        <v>150000</v>
      </c>
      <c r="AS364"/>
      <c r="AT364" s="176">
        <v>0</v>
      </c>
      <c r="AU364" s="176">
        <v>90000</v>
      </c>
      <c r="AV364" s="176">
        <v>0</v>
      </c>
      <c r="AW364" s="176">
        <v>0</v>
      </c>
      <c r="AX364" s="176">
        <v>0</v>
      </c>
      <c r="AY364" s="176">
        <v>30000</v>
      </c>
      <c r="AZ364" s="176">
        <v>0</v>
      </c>
      <c r="BA364" s="176">
        <v>0</v>
      </c>
      <c r="BB364" s="176">
        <v>0</v>
      </c>
      <c r="BC364" s="176">
        <v>30000</v>
      </c>
      <c r="BD364" s="176">
        <v>0</v>
      </c>
      <c r="BE364" s="176">
        <v>0</v>
      </c>
      <c r="BF364" s="176">
        <v>150000</v>
      </c>
      <c r="BG364"/>
      <c r="BH364" s="176">
        <v>0</v>
      </c>
      <c r="BI364" s="176">
        <v>0</v>
      </c>
      <c r="BJ364" s="176">
        <v>0</v>
      </c>
      <c r="BK364" s="176">
        <v>0</v>
      </c>
      <c r="BL364" s="176">
        <v>0</v>
      </c>
      <c r="BM364" s="176">
        <v>0</v>
      </c>
      <c r="BN364" s="176">
        <v>0</v>
      </c>
      <c r="BO364" s="176">
        <v>0</v>
      </c>
      <c r="BP364" s="176">
        <v>0</v>
      </c>
      <c r="BQ364" s="176">
        <v>0</v>
      </c>
      <c r="BR364" s="176">
        <v>0</v>
      </c>
      <c r="BS364" s="176">
        <v>0</v>
      </c>
      <c r="BT364" s="176">
        <v>0</v>
      </c>
      <c r="BU364"/>
      <c r="BV364" s="176">
        <v>0</v>
      </c>
      <c r="BW364" s="176">
        <v>0</v>
      </c>
      <c r="BX364" s="176">
        <v>0</v>
      </c>
      <c r="BY364" s="176">
        <v>0</v>
      </c>
      <c r="BZ364" s="176">
        <v>465000</v>
      </c>
      <c r="CA364" s="153"/>
      <c r="CB364" s="153"/>
      <c r="CC364" s="153"/>
      <c r="CD364" s="153"/>
      <c r="CE364" s="153"/>
      <c r="CF364" s="153"/>
      <c r="CG364" s="153"/>
      <c r="CH364" s="153"/>
      <c r="CI364" s="153"/>
    </row>
    <row r="365" spans="1:87" s="881" customFormat="1" ht="92" hidden="1" customHeight="1" outlineLevel="3">
      <c r="A365" s="580"/>
      <c r="B365" s="107" t="s">
        <v>1609</v>
      </c>
      <c r="C365" s="107" t="s">
        <v>1279</v>
      </c>
      <c r="D365" s="611" t="s">
        <v>1610</v>
      </c>
      <c r="E365"/>
      <c r="F365" s="1032">
        <v>0</v>
      </c>
      <c r="G365" s="1032">
        <v>0</v>
      </c>
      <c r="H365" s="1032">
        <v>0</v>
      </c>
      <c r="I365" s="1032">
        <v>0</v>
      </c>
      <c r="J365" s="1032">
        <v>0</v>
      </c>
      <c r="K365" s="1032">
        <v>0</v>
      </c>
      <c r="L365" s="1032">
        <v>0</v>
      </c>
      <c r="M365" s="1032">
        <v>0</v>
      </c>
      <c r="N365" s="1032">
        <v>0</v>
      </c>
      <c r="O365" s="1032">
        <v>0</v>
      </c>
      <c r="P365" s="2011">
        <v>0</v>
      </c>
      <c r="Q365"/>
      <c r="R365" s="1032">
        <v>0</v>
      </c>
      <c r="S365" s="1032">
        <v>15000</v>
      </c>
      <c r="T365" s="1032">
        <v>15000</v>
      </c>
      <c r="U365" s="1032">
        <v>15000</v>
      </c>
      <c r="V365" s="1032">
        <v>15000</v>
      </c>
      <c r="W365" s="1032">
        <v>15000</v>
      </c>
      <c r="X365" s="1032">
        <v>15000</v>
      </c>
      <c r="Y365" s="1032">
        <v>15000</v>
      </c>
      <c r="Z365" s="1032">
        <v>15000</v>
      </c>
      <c r="AA365" s="1032">
        <v>15000</v>
      </c>
      <c r="AB365" s="1032">
        <v>15000</v>
      </c>
      <c r="AC365" s="1032">
        <v>15000</v>
      </c>
      <c r="AD365" s="2011">
        <v>165000</v>
      </c>
      <c r="AE365"/>
      <c r="AF365" s="1032">
        <v>15000</v>
      </c>
      <c r="AG365" s="1032">
        <v>0</v>
      </c>
      <c r="AH365" s="1032">
        <v>0</v>
      </c>
      <c r="AI365" s="1032">
        <v>0</v>
      </c>
      <c r="AJ365" s="1032">
        <v>0</v>
      </c>
      <c r="AK365" s="1032">
        <v>0</v>
      </c>
      <c r="AL365" s="1032">
        <v>0</v>
      </c>
      <c r="AM365" s="1032">
        <v>0</v>
      </c>
      <c r="AN365" s="1032">
        <v>0</v>
      </c>
      <c r="AO365" s="1032">
        <v>0</v>
      </c>
      <c r="AP365" s="1032">
        <v>0</v>
      </c>
      <c r="AQ365" s="1032">
        <v>0</v>
      </c>
      <c r="AR365" s="2011">
        <v>15000</v>
      </c>
      <c r="AS365"/>
      <c r="AT365" s="1032">
        <v>0</v>
      </c>
      <c r="AU365" s="1032">
        <v>0</v>
      </c>
      <c r="AV365" s="1032">
        <v>0</v>
      </c>
      <c r="AW365" s="1032">
        <v>0</v>
      </c>
      <c r="AX365" s="1032">
        <v>0</v>
      </c>
      <c r="AY365" s="1032">
        <v>0</v>
      </c>
      <c r="AZ365" s="1032">
        <v>0</v>
      </c>
      <c r="BA365" s="1032">
        <v>0</v>
      </c>
      <c r="BB365" s="1032">
        <v>0</v>
      </c>
      <c r="BC365" s="1032">
        <v>0</v>
      </c>
      <c r="BD365" s="1032">
        <v>0</v>
      </c>
      <c r="BE365" s="1032">
        <v>0</v>
      </c>
      <c r="BF365" s="2014">
        <v>0</v>
      </c>
      <c r="BG365"/>
      <c r="BH365" s="1032">
        <v>0</v>
      </c>
      <c r="BI365" s="1032">
        <v>0</v>
      </c>
      <c r="BJ365" s="1032">
        <v>0</v>
      </c>
      <c r="BK365" s="1032">
        <v>0</v>
      </c>
      <c r="BL365" s="1032">
        <v>0</v>
      </c>
      <c r="BM365" s="1032">
        <v>0</v>
      </c>
      <c r="BN365" s="1032">
        <v>0</v>
      </c>
      <c r="BO365" s="1032">
        <v>0</v>
      </c>
      <c r="BP365" s="1032">
        <v>0</v>
      </c>
      <c r="BQ365" s="1032">
        <v>0</v>
      </c>
      <c r="BR365" s="1032">
        <v>0</v>
      </c>
      <c r="BS365" s="1032">
        <v>0</v>
      </c>
      <c r="BT365" s="995">
        <v>0</v>
      </c>
      <c r="BU365"/>
      <c r="BV365" s="1032">
        <v>0</v>
      </c>
      <c r="BW365" s="1032">
        <v>0</v>
      </c>
      <c r="BX365" s="1032">
        <v>0</v>
      </c>
      <c r="BY365" s="995">
        <v>0</v>
      </c>
      <c r="BZ365" s="995">
        <v>180000</v>
      </c>
      <c r="CA365" s="108"/>
    </row>
    <row r="366" spans="1:87" s="881" customFormat="1" ht="30" hidden="1" customHeight="1" outlineLevel="3">
      <c r="A366" s="580"/>
      <c r="B366" s="107" t="s">
        <v>1006</v>
      </c>
      <c r="C366" s="107" t="s">
        <v>1279</v>
      </c>
      <c r="D366" s="611" t="s">
        <v>1007</v>
      </c>
      <c r="E366"/>
      <c r="F366" s="986"/>
      <c r="G366" s="986"/>
      <c r="H366" s="986"/>
      <c r="I366" s="986"/>
      <c r="J366" s="986"/>
      <c r="K366" s="986"/>
      <c r="L366" s="986"/>
      <c r="M366" s="986"/>
      <c r="N366" s="986"/>
      <c r="O366" s="986"/>
      <c r="P366" s="2011">
        <v>0</v>
      </c>
      <c r="Q366"/>
      <c r="R366" s="986"/>
      <c r="S366" s="986"/>
      <c r="T366" s="986"/>
      <c r="U366" s="986"/>
      <c r="V366" s="986"/>
      <c r="W366" s="986"/>
      <c r="X366" s="986"/>
      <c r="Y366" s="986"/>
      <c r="Z366" s="986"/>
      <c r="AA366" s="986"/>
      <c r="AB366" s="986"/>
      <c r="AC366" s="986"/>
      <c r="AD366" s="2011">
        <v>0</v>
      </c>
      <c r="AE366"/>
      <c r="AF366" s="986"/>
      <c r="AG366" s="986"/>
      <c r="AH366" s="986"/>
      <c r="AI366" s="986"/>
      <c r="AJ366" s="986"/>
      <c r="AK366" s="986"/>
      <c r="AL366" s="986"/>
      <c r="AM366" s="986"/>
      <c r="AN366" s="986"/>
      <c r="AO366" s="986"/>
      <c r="AP366" s="986"/>
      <c r="AQ366" s="986"/>
      <c r="AR366" s="2011">
        <v>0</v>
      </c>
      <c r="AS366"/>
      <c r="AT366" s="986"/>
      <c r="AU366" s="986"/>
      <c r="AV366" s="986"/>
      <c r="AW366" s="986"/>
      <c r="AX366" s="986"/>
      <c r="AY366" s="986"/>
      <c r="AZ366" s="986"/>
      <c r="BA366" s="986"/>
      <c r="BB366" s="986"/>
      <c r="BC366" s="986"/>
      <c r="BD366" s="986"/>
      <c r="BE366" s="986"/>
      <c r="BF366" s="2014">
        <v>0</v>
      </c>
      <c r="BG366"/>
      <c r="BH366" s="986"/>
      <c r="BI366" s="986"/>
      <c r="BJ366" s="986"/>
      <c r="BK366" s="986"/>
      <c r="BL366" s="986"/>
      <c r="BM366" s="986"/>
      <c r="BN366" s="986"/>
      <c r="BO366" s="986"/>
      <c r="BP366" s="986"/>
      <c r="BQ366" s="986"/>
      <c r="BR366" s="986"/>
      <c r="BS366" s="986"/>
      <c r="BT366" s="995">
        <v>0</v>
      </c>
      <c r="BU366"/>
      <c r="BV366" s="986"/>
      <c r="BW366" s="986"/>
      <c r="BX366" s="986"/>
      <c r="BY366" s="995">
        <v>0</v>
      </c>
      <c r="BZ366" s="995">
        <v>0</v>
      </c>
      <c r="CA366" s="108"/>
    </row>
    <row r="367" spans="1:87" s="881" customFormat="1" ht="20.5" hidden="1" customHeight="1" outlineLevel="3">
      <c r="A367" s="580"/>
      <c r="B367" s="107" t="s">
        <v>1008</v>
      </c>
      <c r="C367" s="107" t="s">
        <v>1279</v>
      </c>
      <c r="D367" s="611" t="s">
        <v>2622</v>
      </c>
      <c r="E367"/>
      <c r="F367" s="986">
        <v>0</v>
      </c>
      <c r="G367" s="986">
        <v>0</v>
      </c>
      <c r="H367" s="986">
        <v>0</v>
      </c>
      <c r="I367" s="986">
        <v>0</v>
      </c>
      <c r="J367" s="986">
        <v>0</v>
      </c>
      <c r="K367" s="986">
        <v>0</v>
      </c>
      <c r="L367" s="986">
        <v>0</v>
      </c>
      <c r="M367" s="986">
        <v>0</v>
      </c>
      <c r="N367" s="986">
        <v>0</v>
      </c>
      <c r="O367" s="986">
        <v>0</v>
      </c>
      <c r="P367" s="2011">
        <v>0</v>
      </c>
      <c r="Q367"/>
      <c r="R367" s="986">
        <v>0</v>
      </c>
      <c r="S367" s="986">
        <v>5000</v>
      </c>
      <c r="T367" s="986">
        <v>5000</v>
      </c>
      <c r="U367" s="986">
        <v>5000</v>
      </c>
      <c r="V367" s="986">
        <v>5000</v>
      </c>
      <c r="W367" s="986">
        <v>5000</v>
      </c>
      <c r="X367" s="986">
        <v>5000</v>
      </c>
      <c r="Y367" s="986">
        <v>5000</v>
      </c>
      <c r="Z367" s="986">
        <v>5000</v>
      </c>
      <c r="AA367" s="986">
        <v>5000</v>
      </c>
      <c r="AB367" s="986">
        <v>5000</v>
      </c>
      <c r="AC367" s="986">
        <v>5000</v>
      </c>
      <c r="AD367" s="2011">
        <v>55000</v>
      </c>
      <c r="AE367"/>
      <c r="AF367" s="986">
        <v>5000</v>
      </c>
      <c r="AG367" s="986">
        <v>0</v>
      </c>
      <c r="AH367" s="986">
        <v>0</v>
      </c>
      <c r="AI367" s="986">
        <v>0</v>
      </c>
      <c r="AJ367" s="986">
        <v>0</v>
      </c>
      <c r="AK367" s="986">
        <v>0</v>
      </c>
      <c r="AL367" s="986">
        <v>0</v>
      </c>
      <c r="AM367" s="986">
        <v>0</v>
      </c>
      <c r="AN367" s="986">
        <v>0</v>
      </c>
      <c r="AO367" s="986">
        <v>0</v>
      </c>
      <c r="AP367" s="986">
        <v>0</v>
      </c>
      <c r="AQ367" s="986">
        <v>0</v>
      </c>
      <c r="AR367" s="2011">
        <v>5000</v>
      </c>
      <c r="AS367"/>
      <c r="AT367" s="986">
        <v>0</v>
      </c>
      <c r="AU367" s="986">
        <v>0</v>
      </c>
      <c r="AV367" s="986">
        <v>0</v>
      </c>
      <c r="AW367" s="986">
        <v>0</v>
      </c>
      <c r="AX367" s="986">
        <v>0</v>
      </c>
      <c r="AY367" s="986">
        <v>0</v>
      </c>
      <c r="AZ367" s="986">
        <v>0</v>
      </c>
      <c r="BA367" s="986">
        <v>0</v>
      </c>
      <c r="BB367" s="986">
        <v>0</v>
      </c>
      <c r="BC367" s="986">
        <v>0</v>
      </c>
      <c r="BD367" s="986">
        <v>0</v>
      </c>
      <c r="BE367" s="986">
        <v>0</v>
      </c>
      <c r="BF367" s="2014">
        <v>0</v>
      </c>
      <c r="BG367"/>
      <c r="BH367" s="986">
        <v>0</v>
      </c>
      <c r="BI367" s="986">
        <v>0</v>
      </c>
      <c r="BJ367" s="986">
        <v>0</v>
      </c>
      <c r="BK367" s="986">
        <v>0</v>
      </c>
      <c r="BL367" s="986">
        <v>0</v>
      </c>
      <c r="BM367" s="986">
        <v>0</v>
      </c>
      <c r="BN367" s="986">
        <v>0</v>
      </c>
      <c r="BO367" s="986">
        <v>0</v>
      </c>
      <c r="BP367" s="986">
        <v>0</v>
      </c>
      <c r="BQ367" s="986">
        <v>0</v>
      </c>
      <c r="BR367" s="986">
        <v>0</v>
      </c>
      <c r="BS367" s="986">
        <v>0</v>
      </c>
      <c r="BT367" s="995">
        <v>0</v>
      </c>
      <c r="BU367"/>
      <c r="BV367" s="986">
        <v>0</v>
      </c>
      <c r="BW367" s="986">
        <v>0</v>
      </c>
      <c r="BX367" s="986">
        <v>0</v>
      </c>
      <c r="BY367" s="995">
        <v>0</v>
      </c>
      <c r="BZ367" s="995">
        <v>60000</v>
      </c>
      <c r="CA367" s="108"/>
    </row>
    <row r="368" spans="1:87" s="881" customFormat="1" ht="20.5" hidden="1" customHeight="1" outlineLevel="3">
      <c r="A368" s="580"/>
      <c r="B368" s="107" t="s">
        <v>1010</v>
      </c>
      <c r="C368" s="107" t="s">
        <v>1279</v>
      </c>
      <c r="D368" s="611" t="s">
        <v>2623</v>
      </c>
      <c r="E368"/>
      <c r="F368" s="986">
        <v>0</v>
      </c>
      <c r="G368" s="986">
        <v>0</v>
      </c>
      <c r="H368" s="986">
        <v>0</v>
      </c>
      <c r="I368" s="986">
        <v>0</v>
      </c>
      <c r="J368" s="986">
        <v>0</v>
      </c>
      <c r="K368" s="986">
        <v>0</v>
      </c>
      <c r="L368" s="986">
        <v>0</v>
      </c>
      <c r="M368" s="986">
        <v>0</v>
      </c>
      <c r="N368" s="986">
        <v>0</v>
      </c>
      <c r="O368" s="986">
        <v>0</v>
      </c>
      <c r="P368" s="2011">
        <v>0</v>
      </c>
      <c r="Q368"/>
      <c r="R368" s="986">
        <v>0</v>
      </c>
      <c r="S368" s="986">
        <v>5000</v>
      </c>
      <c r="T368" s="986">
        <v>5000</v>
      </c>
      <c r="U368" s="986">
        <v>5000</v>
      </c>
      <c r="V368" s="986">
        <v>5000</v>
      </c>
      <c r="W368" s="986">
        <v>5000</v>
      </c>
      <c r="X368" s="986">
        <v>5000</v>
      </c>
      <c r="Y368" s="986">
        <v>5000</v>
      </c>
      <c r="Z368" s="986">
        <v>5000</v>
      </c>
      <c r="AA368" s="986">
        <v>5000</v>
      </c>
      <c r="AB368" s="986">
        <v>5000</v>
      </c>
      <c r="AC368" s="986">
        <v>5000</v>
      </c>
      <c r="AD368" s="2011">
        <v>55000</v>
      </c>
      <c r="AE368"/>
      <c r="AF368" s="986">
        <v>5000</v>
      </c>
      <c r="AG368" s="986">
        <v>0</v>
      </c>
      <c r="AH368" s="986">
        <v>0</v>
      </c>
      <c r="AI368" s="986">
        <v>0</v>
      </c>
      <c r="AJ368" s="986">
        <v>0</v>
      </c>
      <c r="AK368" s="986">
        <v>0</v>
      </c>
      <c r="AL368" s="986">
        <v>0</v>
      </c>
      <c r="AM368" s="986">
        <v>0</v>
      </c>
      <c r="AN368" s="986">
        <v>0</v>
      </c>
      <c r="AO368" s="986">
        <v>0</v>
      </c>
      <c r="AP368" s="986">
        <v>0</v>
      </c>
      <c r="AQ368" s="986">
        <v>0</v>
      </c>
      <c r="AR368" s="2011">
        <v>5000</v>
      </c>
      <c r="AS368"/>
      <c r="AT368" s="986">
        <v>0</v>
      </c>
      <c r="AU368" s="986">
        <v>0</v>
      </c>
      <c r="AV368" s="986">
        <v>0</v>
      </c>
      <c r="AW368" s="986">
        <v>0</v>
      </c>
      <c r="AX368" s="986">
        <v>0</v>
      </c>
      <c r="AY368" s="986">
        <v>0</v>
      </c>
      <c r="AZ368" s="986">
        <v>0</v>
      </c>
      <c r="BA368" s="986">
        <v>0</v>
      </c>
      <c r="BB368" s="986">
        <v>0</v>
      </c>
      <c r="BC368" s="986">
        <v>0</v>
      </c>
      <c r="BD368" s="986">
        <v>0</v>
      </c>
      <c r="BE368" s="986">
        <v>0</v>
      </c>
      <c r="BF368" s="2014">
        <v>0</v>
      </c>
      <c r="BG368"/>
      <c r="BH368" s="986">
        <v>0</v>
      </c>
      <c r="BI368" s="986">
        <v>0</v>
      </c>
      <c r="BJ368" s="986">
        <v>0</v>
      </c>
      <c r="BK368" s="986">
        <v>0</v>
      </c>
      <c r="BL368" s="986">
        <v>0</v>
      </c>
      <c r="BM368" s="986">
        <v>0</v>
      </c>
      <c r="BN368" s="986">
        <v>0</v>
      </c>
      <c r="BO368" s="986">
        <v>0</v>
      </c>
      <c r="BP368" s="986">
        <v>0</v>
      </c>
      <c r="BQ368" s="986">
        <v>0</v>
      </c>
      <c r="BR368" s="986">
        <v>0</v>
      </c>
      <c r="BS368" s="986">
        <v>0</v>
      </c>
      <c r="BT368" s="995">
        <v>0</v>
      </c>
      <c r="BU368"/>
      <c r="BV368" s="986">
        <v>0</v>
      </c>
      <c r="BW368" s="986">
        <v>0</v>
      </c>
      <c r="BX368" s="986">
        <v>0</v>
      </c>
      <c r="BY368" s="995">
        <v>0</v>
      </c>
      <c r="BZ368" s="995">
        <v>60000</v>
      </c>
      <c r="CA368" s="108"/>
    </row>
    <row r="369" spans="1:87" s="881" customFormat="1" ht="20.5" hidden="1" customHeight="1" outlineLevel="3">
      <c r="A369" s="580"/>
      <c r="B369" s="107" t="s">
        <v>1012</v>
      </c>
      <c r="C369" s="107" t="s">
        <v>1279</v>
      </c>
      <c r="D369" s="611" t="s">
        <v>2624</v>
      </c>
      <c r="E369"/>
      <c r="F369" s="986">
        <v>0</v>
      </c>
      <c r="G369" s="986">
        <v>0</v>
      </c>
      <c r="H369" s="986">
        <v>0</v>
      </c>
      <c r="I369" s="986">
        <v>0</v>
      </c>
      <c r="J369" s="986">
        <v>0</v>
      </c>
      <c r="K369" s="986">
        <v>0</v>
      </c>
      <c r="L369" s="986">
        <v>0</v>
      </c>
      <c r="M369" s="986">
        <v>0</v>
      </c>
      <c r="N369" s="986">
        <v>0</v>
      </c>
      <c r="O369" s="986">
        <v>0</v>
      </c>
      <c r="P369" s="2011">
        <v>0</v>
      </c>
      <c r="Q369"/>
      <c r="R369" s="986">
        <v>0</v>
      </c>
      <c r="S369" s="986">
        <v>5000</v>
      </c>
      <c r="T369" s="986">
        <v>5000</v>
      </c>
      <c r="U369" s="986">
        <v>5000</v>
      </c>
      <c r="V369" s="986">
        <v>5000</v>
      </c>
      <c r="W369" s="986">
        <v>5000</v>
      </c>
      <c r="X369" s="986">
        <v>5000</v>
      </c>
      <c r="Y369" s="986">
        <v>5000</v>
      </c>
      <c r="Z369" s="986">
        <v>5000</v>
      </c>
      <c r="AA369" s="986">
        <v>5000</v>
      </c>
      <c r="AB369" s="986">
        <v>5000</v>
      </c>
      <c r="AC369" s="986">
        <v>5000</v>
      </c>
      <c r="AD369" s="2011">
        <v>55000</v>
      </c>
      <c r="AE369"/>
      <c r="AF369" s="986">
        <v>5000</v>
      </c>
      <c r="AG369" s="986">
        <v>0</v>
      </c>
      <c r="AH369" s="986">
        <v>0</v>
      </c>
      <c r="AI369" s="986">
        <v>0</v>
      </c>
      <c r="AJ369" s="986">
        <v>0</v>
      </c>
      <c r="AK369" s="986">
        <v>0</v>
      </c>
      <c r="AL369" s="986">
        <v>0</v>
      </c>
      <c r="AM369" s="986">
        <v>0</v>
      </c>
      <c r="AN369" s="986">
        <v>0</v>
      </c>
      <c r="AO369" s="986">
        <v>0</v>
      </c>
      <c r="AP369" s="986">
        <v>0</v>
      </c>
      <c r="AQ369" s="986">
        <v>0</v>
      </c>
      <c r="AR369" s="2011">
        <v>5000</v>
      </c>
      <c r="AS369"/>
      <c r="AT369" s="986">
        <v>0</v>
      </c>
      <c r="AU369" s="986">
        <v>0</v>
      </c>
      <c r="AV369" s="986">
        <v>0</v>
      </c>
      <c r="AW369" s="986">
        <v>0</v>
      </c>
      <c r="AX369" s="986">
        <v>0</v>
      </c>
      <c r="AY369" s="986">
        <v>0</v>
      </c>
      <c r="AZ369" s="986">
        <v>0</v>
      </c>
      <c r="BA369" s="986">
        <v>0</v>
      </c>
      <c r="BB369" s="986">
        <v>0</v>
      </c>
      <c r="BC369" s="986">
        <v>0</v>
      </c>
      <c r="BD369" s="986">
        <v>0</v>
      </c>
      <c r="BE369" s="986">
        <v>0</v>
      </c>
      <c r="BF369" s="2014">
        <v>0</v>
      </c>
      <c r="BG369"/>
      <c r="BH369" s="986">
        <v>0</v>
      </c>
      <c r="BI369" s="986">
        <v>0</v>
      </c>
      <c r="BJ369" s="986">
        <v>0</v>
      </c>
      <c r="BK369" s="986">
        <v>0</v>
      </c>
      <c r="BL369" s="986">
        <v>0</v>
      </c>
      <c r="BM369" s="986">
        <v>0</v>
      </c>
      <c r="BN369" s="986">
        <v>0</v>
      </c>
      <c r="BO369" s="986">
        <v>0</v>
      </c>
      <c r="BP369" s="986">
        <v>0</v>
      </c>
      <c r="BQ369" s="986">
        <v>0</v>
      </c>
      <c r="BR369" s="986">
        <v>0</v>
      </c>
      <c r="BS369" s="986">
        <v>0</v>
      </c>
      <c r="BT369" s="995">
        <v>0</v>
      </c>
      <c r="BU369"/>
      <c r="BV369" s="986">
        <v>0</v>
      </c>
      <c r="BW369" s="986">
        <v>0</v>
      </c>
      <c r="BX369" s="986">
        <v>0</v>
      </c>
      <c r="BY369" s="995">
        <v>0</v>
      </c>
      <c r="BZ369" s="995">
        <v>60000</v>
      </c>
      <c r="CA369" s="108"/>
    </row>
    <row r="370" spans="1:87" s="881" customFormat="1" ht="83" hidden="1" customHeight="1" outlineLevel="3">
      <c r="A370" s="580"/>
      <c r="B370" s="107" t="s">
        <v>1014</v>
      </c>
      <c r="C370" s="107" t="s">
        <v>1279</v>
      </c>
      <c r="D370" s="611" t="s">
        <v>1015</v>
      </c>
      <c r="E370"/>
      <c r="F370" s="986">
        <v>0</v>
      </c>
      <c r="G370" s="986">
        <v>0</v>
      </c>
      <c r="H370" s="986">
        <v>0</v>
      </c>
      <c r="I370" s="986">
        <v>0</v>
      </c>
      <c r="J370" s="986">
        <v>0</v>
      </c>
      <c r="K370" s="986">
        <v>0</v>
      </c>
      <c r="L370" s="986">
        <v>0</v>
      </c>
      <c r="M370" s="986">
        <v>0</v>
      </c>
      <c r="N370" s="986">
        <v>0</v>
      </c>
      <c r="O370" s="986">
        <v>0</v>
      </c>
      <c r="P370" s="2011">
        <v>0</v>
      </c>
      <c r="Q370"/>
      <c r="R370" s="986">
        <v>0</v>
      </c>
      <c r="S370" s="986">
        <v>0</v>
      </c>
      <c r="T370" s="986">
        <v>0</v>
      </c>
      <c r="U370" s="986">
        <v>0</v>
      </c>
      <c r="V370" s="986">
        <v>0</v>
      </c>
      <c r="W370" s="986">
        <v>0</v>
      </c>
      <c r="X370" s="986">
        <v>0</v>
      </c>
      <c r="Y370" s="986">
        <v>0</v>
      </c>
      <c r="Z370" s="986">
        <v>0</v>
      </c>
      <c r="AA370" s="986">
        <v>0</v>
      </c>
      <c r="AB370" s="986">
        <v>0</v>
      </c>
      <c r="AC370" s="986">
        <v>0</v>
      </c>
      <c r="AD370" s="2011">
        <v>0</v>
      </c>
      <c r="AE370"/>
      <c r="AF370" s="986">
        <v>0</v>
      </c>
      <c r="AG370" s="986">
        <v>0</v>
      </c>
      <c r="AH370" s="986">
        <v>54000</v>
      </c>
      <c r="AI370" s="986">
        <v>0</v>
      </c>
      <c r="AJ370" s="986">
        <v>0</v>
      </c>
      <c r="AK370" s="986">
        <v>0</v>
      </c>
      <c r="AL370" s="986">
        <v>27000</v>
      </c>
      <c r="AM370" s="986">
        <v>0</v>
      </c>
      <c r="AN370" s="986">
        <v>0</v>
      </c>
      <c r="AO370" s="986">
        <v>0</v>
      </c>
      <c r="AP370" s="986">
        <v>54000</v>
      </c>
      <c r="AQ370" s="986">
        <v>0</v>
      </c>
      <c r="AR370" s="2011">
        <v>135000</v>
      </c>
      <c r="AS370"/>
      <c r="AT370" s="986">
        <v>0</v>
      </c>
      <c r="AU370" s="986">
        <v>0</v>
      </c>
      <c r="AV370" s="986">
        <v>0</v>
      </c>
      <c r="AW370" s="986">
        <v>0</v>
      </c>
      <c r="AX370" s="986">
        <v>0</v>
      </c>
      <c r="AY370" s="986">
        <v>0</v>
      </c>
      <c r="AZ370" s="986">
        <v>0</v>
      </c>
      <c r="BA370" s="986">
        <v>0</v>
      </c>
      <c r="BB370" s="986">
        <v>0</v>
      </c>
      <c r="BC370" s="986">
        <v>0</v>
      </c>
      <c r="BD370" s="986">
        <v>0</v>
      </c>
      <c r="BE370" s="986">
        <v>0</v>
      </c>
      <c r="BF370" s="2014">
        <v>0</v>
      </c>
      <c r="BG370"/>
      <c r="BH370" s="986">
        <v>0</v>
      </c>
      <c r="BI370" s="986">
        <v>0</v>
      </c>
      <c r="BJ370" s="986">
        <v>0</v>
      </c>
      <c r="BK370" s="986">
        <v>0</v>
      </c>
      <c r="BL370" s="986">
        <v>0</v>
      </c>
      <c r="BM370" s="986">
        <v>0</v>
      </c>
      <c r="BN370" s="986">
        <v>0</v>
      </c>
      <c r="BO370" s="986">
        <v>0</v>
      </c>
      <c r="BP370" s="986">
        <v>0</v>
      </c>
      <c r="BQ370" s="986">
        <v>0</v>
      </c>
      <c r="BR370" s="986">
        <v>0</v>
      </c>
      <c r="BS370" s="986">
        <v>0</v>
      </c>
      <c r="BT370" s="995">
        <v>0</v>
      </c>
      <c r="BU370"/>
      <c r="BV370" s="986">
        <v>0</v>
      </c>
      <c r="BW370" s="986">
        <v>0</v>
      </c>
      <c r="BX370" s="986">
        <v>0</v>
      </c>
      <c r="BY370" s="995">
        <v>0</v>
      </c>
      <c r="BZ370" s="995">
        <v>135000</v>
      </c>
      <c r="CA370" s="108"/>
    </row>
    <row r="371" spans="1:87" s="881" customFormat="1" ht="55.25" hidden="1" customHeight="1" outlineLevel="3">
      <c r="A371" s="580"/>
      <c r="B371" s="107" t="s">
        <v>1016</v>
      </c>
      <c r="C371" s="107"/>
      <c r="D371" s="611" t="s">
        <v>1017</v>
      </c>
      <c r="E371"/>
      <c r="F371" s="986">
        <v>0</v>
      </c>
      <c r="G371" s="986">
        <v>0</v>
      </c>
      <c r="H371" s="986">
        <v>0</v>
      </c>
      <c r="I371" s="986">
        <v>0</v>
      </c>
      <c r="J371" s="986">
        <v>0</v>
      </c>
      <c r="K371" s="986">
        <v>0</v>
      </c>
      <c r="L371" s="986">
        <v>0</v>
      </c>
      <c r="M371" s="986">
        <v>0</v>
      </c>
      <c r="N371" s="986">
        <v>0</v>
      </c>
      <c r="O371" s="986">
        <v>0</v>
      </c>
      <c r="P371" s="2011">
        <v>0</v>
      </c>
      <c r="Q371"/>
      <c r="R371" s="986">
        <v>0</v>
      </c>
      <c r="S371" s="986">
        <v>0</v>
      </c>
      <c r="T371" s="986">
        <v>0</v>
      </c>
      <c r="U371" s="986">
        <v>0</v>
      </c>
      <c r="V371" s="986">
        <v>0</v>
      </c>
      <c r="W371" s="986">
        <v>0</v>
      </c>
      <c r="X371" s="986">
        <v>0</v>
      </c>
      <c r="Y371" s="986">
        <v>0</v>
      </c>
      <c r="Z371" s="986">
        <v>0</v>
      </c>
      <c r="AA371" s="986">
        <v>0</v>
      </c>
      <c r="AB371" s="986">
        <v>0</v>
      </c>
      <c r="AC371" s="986">
        <v>0</v>
      </c>
      <c r="AD371" s="2011">
        <v>0</v>
      </c>
      <c r="AE371"/>
      <c r="AF371" s="986">
        <v>0</v>
      </c>
      <c r="AG371" s="986">
        <v>0</v>
      </c>
      <c r="AH371" s="986">
        <v>0</v>
      </c>
      <c r="AI371" s="986">
        <v>0</v>
      </c>
      <c r="AJ371" s="986">
        <v>0</v>
      </c>
      <c r="AK371" s="986">
        <v>0</v>
      </c>
      <c r="AL371" s="986">
        <v>0</v>
      </c>
      <c r="AM371" s="986">
        <v>0</v>
      </c>
      <c r="AN371" s="986">
        <v>0</v>
      </c>
      <c r="AO371" s="986">
        <v>0</v>
      </c>
      <c r="AP371" s="986">
        <v>0</v>
      </c>
      <c r="AQ371" s="986">
        <v>0</v>
      </c>
      <c r="AR371" s="2011">
        <v>0</v>
      </c>
      <c r="AS371"/>
      <c r="AT371" s="986">
        <v>0</v>
      </c>
      <c r="AU371" s="986">
        <v>90000</v>
      </c>
      <c r="AV371" s="986">
        <v>0</v>
      </c>
      <c r="AW371" s="986">
        <v>0</v>
      </c>
      <c r="AX371" s="986">
        <v>0</v>
      </c>
      <c r="AY371" s="986">
        <v>30000</v>
      </c>
      <c r="AZ371" s="986">
        <v>0</v>
      </c>
      <c r="BA371" s="986">
        <v>0</v>
      </c>
      <c r="BB371" s="986">
        <v>0</v>
      </c>
      <c r="BC371" s="986">
        <v>30000</v>
      </c>
      <c r="BD371" s="986">
        <v>0</v>
      </c>
      <c r="BE371" s="986">
        <v>0</v>
      </c>
      <c r="BF371" s="2014">
        <v>150000</v>
      </c>
      <c r="BG371"/>
      <c r="BH371" s="986">
        <v>0</v>
      </c>
      <c r="BI371" s="986">
        <v>0</v>
      </c>
      <c r="BJ371" s="986">
        <v>0</v>
      </c>
      <c r="BK371" s="986">
        <v>0</v>
      </c>
      <c r="BL371" s="986">
        <v>0</v>
      </c>
      <c r="BM371" s="986">
        <v>0</v>
      </c>
      <c r="BN371" s="986">
        <v>0</v>
      </c>
      <c r="BO371" s="986">
        <v>0</v>
      </c>
      <c r="BP371" s="986">
        <v>0</v>
      </c>
      <c r="BQ371" s="986">
        <v>0</v>
      </c>
      <c r="BR371" s="986">
        <v>0</v>
      </c>
      <c r="BS371" s="986">
        <v>0</v>
      </c>
      <c r="BT371" s="995">
        <v>0</v>
      </c>
      <c r="BU371"/>
      <c r="BV371" s="986">
        <v>0</v>
      </c>
      <c r="BW371" s="986">
        <v>0</v>
      </c>
      <c r="BX371" s="986">
        <v>0</v>
      </c>
      <c r="BY371" s="995">
        <v>0</v>
      </c>
      <c r="BZ371" s="995">
        <v>150000</v>
      </c>
      <c r="CA371" s="108"/>
    </row>
    <row r="372" spans="1:87" s="881" customFormat="1" ht="14" customHeight="1" outlineLevel="2" collapsed="1">
      <c r="A372" s="580"/>
      <c r="B372" s="107"/>
      <c r="C372" s="107"/>
      <c r="D372" s="611"/>
      <c r="E372"/>
      <c r="F372" s="986"/>
      <c r="G372" s="986"/>
      <c r="H372" s="986"/>
      <c r="I372" s="986"/>
      <c r="J372" s="986"/>
      <c r="K372" s="986"/>
      <c r="L372" s="986"/>
      <c r="M372" s="986"/>
      <c r="N372" s="986"/>
      <c r="O372" s="986"/>
      <c r="P372" s="2011">
        <v>0</v>
      </c>
      <c r="Q372"/>
      <c r="R372" s="986"/>
      <c r="S372" s="986"/>
      <c r="T372" s="986"/>
      <c r="U372" s="986"/>
      <c r="V372" s="986"/>
      <c r="W372" s="986"/>
      <c r="X372" s="986"/>
      <c r="Y372" s="986"/>
      <c r="Z372" s="986"/>
      <c r="AA372" s="986"/>
      <c r="AB372" s="986"/>
      <c r="AC372" s="986"/>
      <c r="AD372" s="2011">
        <v>0</v>
      </c>
      <c r="AE372"/>
      <c r="AF372" s="986"/>
      <c r="AG372" s="986"/>
      <c r="AH372" s="986"/>
      <c r="AI372" s="986"/>
      <c r="AJ372" s="986"/>
      <c r="AK372" s="986"/>
      <c r="AL372" s="986"/>
      <c r="AM372" s="986"/>
      <c r="AN372" s="986"/>
      <c r="AO372" s="986"/>
      <c r="AP372" s="986"/>
      <c r="AQ372" s="986"/>
      <c r="AR372" s="2011">
        <v>0</v>
      </c>
      <c r="AS372"/>
      <c r="AT372" s="986"/>
      <c r="AU372" s="986"/>
      <c r="AV372" s="986"/>
      <c r="AW372" s="986"/>
      <c r="AX372" s="986"/>
      <c r="AY372" s="986"/>
      <c r="AZ372" s="986"/>
      <c r="BA372" s="986"/>
      <c r="BB372" s="986"/>
      <c r="BC372" s="986"/>
      <c r="BD372" s="986"/>
      <c r="BE372" s="986"/>
      <c r="BF372" s="2014">
        <v>0</v>
      </c>
      <c r="BG372"/>
      <c r="BH372" s="986"/>
      <c r="BI372" s="986"/>
      <c r="BJ372" s="986"/>
      <c r="BK372" s="986"/>
      <c r="BL372" s="986"/>
      <c r="BM372" s="986"/>
      <c r="BN372" s="986"/>
      <c r="BO372" s="986"/>
      <c r="BP372" s="986"/>
      <c r="BQ372" s="986"/>
      <c r="BR372" s="986"/>
      <c r="BS372" s="986"/>
      <c r="BT372" s="995">
        <v>0</v>
      </c>
      <c r="BU372"/>
      <c r="BV372" s="986"/>
      <c r="BW372" s="986"/>
      <c r="BX372" s="986"/>
      <c r="BY372" s="995">
        <v>0</v>
      </c>
      <c r="BZ372" s="995">
        <v>0</v>
      </c>
      <c r="CA372" s="108"/>
    </row>
    <row r="373" spans="1:87" s="153" customFormat="1" ht="30" outlineLevel="1">
      <c r="A373" s="578"/>
      <c r="B373" s="428" t="s">
        <v>570</v>
      </c>
      <c r="C373" s="428"/>
      <c r="D373" s="545" t="s">
        <v>54</v>
      </c>
      <c r="E373"/>
      <c r="F373" s="977">
        <v>0</v>
      </c>
      <c r="G373" s="977">
        <v>0</v>
      </c>
      <c r="H373" s="977">
        <v>0</v>
      </c>
      <c r="I373" s="977">
        <v>0</v>
      </c>
      <c r="J373" s="977">
        <v>0</v>
      </c>
      <c r="K373" s="977">
        <v>0</v>
      </c>
      <c r="L373" s="977">
        <v>0</v>
      </c>
      <c r="M373" s="977">
        <v>0</v>
      </c>
      <c r="N373" s="977">
        <v>0</v>
      </c>
      <c r="O373" s="977">
        <v>0</v>
      </c>
      <c r="P373" s="977">
        <v>0</v>
      </c>
      <c r="Q373"/>
      <c r="R373" s="977">
        <v>0</v>
      </c>
      <c r="S373" s="977">
        <v>0</v>
      </c>
      <c r="T373" s="977">
        <v>0</v>
      </c>
      <c r="U373" s="977">
        <v>0</v>
      </c>
      <c r="V373" s="977">
        <v>5000</v>
      </c>
      <c r="W373" s="977">
        <v>5000</v>
      </c>
      <c r="X373" s="977">
        <v>5000</v>
      </c>
      <c r="Y373" s="977">
        <v>5000</v>
      </c>
      <c r="Z373" s="977">
        <v>5000</v>
      </c>
      <c r="AA373" s="977">
        <v>5000</v>
      </c>
      <c r="AB373" s="977">
        <v>5000</v>
      </c>
      <c r="AC373" s="977">
        <v>5000</v>
      </c>
      <c r="AD373" s="977">
        <v>40000</v>
      </c>
      <c r="AE373"/>
      <c r="AF373" s="977">
        <v>0</v>
      </c>
      <c r="AG373" s="977">
        <v>0</v>
      </c>
      <c r="AH373" s="977">
        <v>489000</v>
      </c>
      <c r="AI373" s="977">
        <v>0</v>
      </c>
      <c r="AJ373" s="977">
        <v>0</v>
      </c>
      <c r="AK373" s="977">
        <v>0</v>
      </c>
      <c r="AL373" s="977">
        <v>351000</v>
      </c>
      <c r="AM373" s="977">
        <v>0</v>
      </c>
      <c r="AN373" s="977">
        <v>0</v>
      </c>
      <c r="AO373" s="977">
        <v>0</v>
      </c>
      <c r="AP373" s="977">
        <v>326000</v>
      </c>
      <c r="AQ373" s="977">
        <v>0</v>
      </c>
      <c r="AR373" s="977">
        <v>1166000</v>
      </c>
      <c r="AS373"/>
      <c r="AT373" s="977">
        <v>0</v>
      </c>
      <c r="AU373" s="977">
        <v>0</v>
      </c>
      <c r="AV373" s="977">
        <v>326000</v>
      </c>
      <c r="AW373" s="977">
        <v>0</v>
      </c>
      <c r="AX373" s="977">
        <v>0</v>
      </c>
      <c r="AY373" s="977">
        <v>0</v>
      </c>
      <c r="AZ373" s="977">
        <v>326000</v>
      </c>
      <c r="BA373" s="977">
        <v>0</v>
      </c>
      <c r="BB373" s="977">
        <v>0</v>
      </c>
      <c r="BC373" s="977">
        <v>0</v>
      </c>
      <c r="BD373" s="977">
        <v>326000</v>
      </c>
      <c r="BE373" s="977">
        <v>0</v>
      </c>
      <c r="BF373" s="978">
        <v>978000</v>
      </c>
      <c r="BG373"/>
      <c r="BH373" s="977">
        <v>0</v>
      </c>
      <c r="BI373" s="977">
        <v>0</v>
      </c>
      <c r="BJ373" s="977">
        <v>326000</v>
      </c>
      <c r="BK373" s="977">
        <v>0</v>
      </c>
      <c r="BL373" s="977">
        <v>0</v>
      </c>
      <c r="BM373" s="977">
        <v>0</v>
      </c>
      <c r="BN373" s="977">
        <v>326000</v>
      </c>
      <c r="BO373" s="977">
        <v>0</v>
      </c>
      <c r="BP373" s="977">
        <v>0</v>
      </c>
      <c r="BQ373" s="977">
        <v>0</v>
      </c>
      <c r="BR373" s="977">
        <v>326000</v>
      </c>
      <c r="BS373" s="977">
        <v>0</v>
      </c>
      <c r="BT373" s="976">
        <v>978000</v>
      </c>
      <c r="BU373"/>
      <c r="BV373" s="977">
        <v>163000</v>
      </c>
      <c r="BW373" s="977">
        <v>0</v>
      </c>
      <c r="BX373" s="977">
        <v>0</v>
      </c>
      <c r="BY373" s="976">
        <v>163000</v>
      </c>
      <c r="BZ373" s="976">
        <v>3325000</v>
      </c>
    </row>
    <row r="374" spans="1:87" s="878" customFormat="1" ht="41.5" customHeight="1" outlineLevel="2">
      <c r="A374" s="172"/>
      <c r="B374" s="171" t="s">
        <v>571</v>
      </c>
      <c r="C374" s="171"/>
      <c r="D374" s="1652" t="s">
        <v>56</v>
      </c>
      <c r="E374"/>
      <c r="F374" s="176">
        <v>0</v>
      </c>
      <c r="G374" s="176">
        <v>0</v>
      </c>
      <c r="H374" s="176">
        <v>0</v>
      </c>
      <c r="I374" s="176">
        <v>0</v>
      </c>
      <c r="J374" s="176">
        <v>0</v>
      </c>
      <c r="K374" s="176">
        <v>0</v>
      </c>
      <c r="L374" s="176">
        <v>0</v>
      </c>
      <c r="M374" s="176">
        <v>0</v>
      </c>
      <c r="N374" s="176">
        <v>0</v>
      </c>
      <c r="O374" s="176">
        <v>0</v>
      </c>
      <c r="P374" s="176">
        <v>0</v>
      </c>
      <c r="Q374"/>
      <c r="R374" s="176">
        <v>0</v>
      </c>
      <c r="S374" s="176">
        <v>0</v>
      </c>
      <c r="T374" s="176">
        <v>0</v>
      </c>
      <c r="U374" s="176">
        <v>0</v>
      </c>
      <c r="V374" s="176">
        <v>5000</v>
      </c>
      <c r="W374" s="176">
        <v>5000</v>
      </c>
      <c r="X374" s="176">
        <v>5000</v>
      </c>
      <c r="Y374" s="176">
        <v>5000</v>
      </c>
      <c r="Z374" s="176">
        <v>5000</v>
      </c>
      <c r="AA374" s="176">
        <v>5000</v>
      </c>
      <c r="AB374" s="176">
        <v>5000</v>
      </c>
      <c r="AC374" s="176">
        <v>5000</v>
      </c>
      <c r="AD374" s="176">
        <v>40000</v>
      </c>
      <c r="AE374"/>
      <c r="AF374" s="176">
        <v>0</v>
      </c>
      <c r="AG374" s="176">
        <v>0</v>
      </c>
      <c r="AH374" s="176">
        <v>489000</v>
      </c>
      <c r="AI374" s="176">
        <v>0</v>
      </c>
      <c r="AJ374" s="176">
        <v>0</v>
      </c>
      <c r="AK374" s="176">
        <v>0</v>
      </c>
      <c r="AL374" s="176">
        <v>351000</v>
      </c>
      <c r="AM374" s="176">
        <v>0</v>
      </c>
      <c r="AN374" s="176">
        <v>0</v>
      </c>
      <c r="AO374" s="176">
        <v>0</v>
      </c>
      <c r="AP374" s="176">
        <v>326000</v>
      </c>
      <c r="AQ374" s="176">
        <v>0</v>
      </c>
      <c r="AR374" s="176">
        <v>1166000</v>
      </c>
      <c r="AS374"/>
      <c r="AT374" s="176">
        <v>0</v>
      </c>
      <c r="AU374" s="176">
        <v>0</v>
      </c>
      <c r="AV374" s="176">
        <v>326000</v>
      </c>
      <c r="AW374" s="176">
        <v>0</v>
      </c>
      <c r="AX374" s="176">
        <v>0</v>
      </c>
      <c r="AY374" s="176">
        <v>0</v>
      </c>
      <c r="AZ374" s="176">
        <v>326000</v>
      </c>
      <c r="BA374" s="176">
        <v>0</v>
      </c>
      <c r="BB374" s="176">
        <v>0</v>
      </c>
      <c r="BC374" s="176">
        <v>0</v>
      </c>
      <c r="BD374" s="176">
        <v>326000</v>
      </c>
      <c r="BE374" s="176">
        <v>0</v>
      </c>
      <c r="BF374" s="176">
        <v>978000</v>
      </c>
      <c r="BG374"/>
      <c r="BH374" s="176">
        <v>0</v>
      </c>
      <c r="BI374" s="176">
        <v>0</v>
      </c>
      <c r="BJ374" s="176">
        <v>326000</v>
      </c>
      <c r="BK374" s="176">
        <v>0</v>
      </c>
      <c r="BL374" s="176">
        <v>0</v>
      </c>
      <c r="BM374" s="176">
        <v>0</v>
      </c>
      <c r="BN374" s="176">
        <v>326000</v>
      </c>
      <c r="BO374" s="176">
        <v>0</v>
      </c>
      <c r="BP374" s="176">
        <v>0</v>
      </c>
      <c r="BQ374" s="176">
        <v>0</v>
      </c>
      <c r="BR374" s="176">
        <v>326000</v>
      </c>
      <c r="BS374" s="176">
        <v>0</v>
      </c>
      <c r="BT374" s="176">
        <v>978000</v>
      </c>
      <c r="BU374"/>
      <c r="BV374" s="176">
        <v>163000</v>
      </c>
      <c r="BW374" s="176">
        <v>0</v>
      </c>
      <c r="BX374" s="176">
        <v>0</v>
      </c>
      <c r="BY374" s="176">
        <v>163000</v>
      </c>
      <c r="BZ374" s="176">
        <v>3325000</v>
      </c>
      <c r="CA374" s="153"/>
      <c r="CB374" s="153"/>
      <c r="CC374" s="153"/>
      <c r="CD374" s="153"/>
      <c r="CE374" s="153"/>
      <c r="CF374" s="153"/>
      <c r="CG374" s="153"/>
      <c r="CH374" s="153"/>
      <c r="CI374" s="153"/>
    </row>
    <row r="375" spans="1:87" s="108" customFormat="1" ht="41.5" hidden="1" customHeight="1" outlineLevel="3">
      <c r="A375" s="580"/>
      <c r="B375" s="107" t="s">
        <v>1019</v>
      </c>
      <c r="C375" s="107" t="s">
        <v>1279</v>
      </c>
      <c r="D375" s="533" t="s">
        <v>1020</v>
      </c>
      <c r="E375"/>
      <c r="F375" s="986">
        <v>0</v>
      </c>
      <c r="G375" s="986">
        <v>0</v>
      </c>
      <c r="H375" s="986">
        <v>0</v>
      </c>
      <c r="I375" s="986">
        <v>0</v>
      </c>
      <c r="J375" s="986">
        <v>0</v>
      </c>
      <c r="K375" s="986">
        <v>0</v>
      </c>
      <c r="L375" s="986">
        <v>0</v>
      </c>
      <c r="M375" s="986">
        <v>0</v>
      </c>
      <c r="N375" s="986">
        <v>0</v>
      </c>
      <c r="O375" s="986">
        <v>0</v>
      </c>
      <c r="P375" s="2011">
        <v>0</v>
      </c>
      <c r="Q375"/>
      <c r="R375" s="986">
        <v>0</v>
      </c>
      <c r="S375" s="986">
        <v>0</v>
      </c>
      <c r="T375" s="986">
        <v>0</v>
      </c>
      <c r="U375" s="986">
        <v>0</v>
      </c>
      <c r="V375" s="986">
        <v>5000</v>
      </c>
      <c r="W375" s="986">
        <v>5000</v>
      </c>
      <c r="X375" s="986">
        <v>5000</v>
      </c>
      <c r="Y375" s="986">
        <v>5000</v>
      </c>
      <c r="Z375" s="986">
        <v>5000</v>
      </c>
      <c r="AA375" s="986">
        <v>5000</v>
      </c>
      <c r="AB375" s="986">
        <v>5000</v>
      </c>
      <c r="AC375" s="986">
        <v>5000</v>
      </c>
      <c r="AD375" s="2011">
        <v>40000</v>
      </c>
      <c r="AE375"/>
      <c r="AF375" s="986">
        <v>0</v>
      </c>
      <c r="AG375" s="986">
        <v>0</v>
      </c>
      <c r="AH375" s="986">
        <v>0</v>
      </c>
      <c r="AI375" s="986">
        <v>0</v>
      </c>
      <c r="AJ375" s="986">
        <v>0</v>
      </c>
      <c r="AK375" s="986">
        <v>0</v>
      </c>
      <c r="AL375" s="986">
        <v>0</v>
      </c>
      <c r="AM375" s="986">
        <v>0</v>
      </c>
      <c r="AN375" s="986">
        <v>0</v>
      </c>
      <c r="AO375" s="986">
        <v>0</v>
      </c>
      <c r="AP375" s="986">
        <v>0</v>
      </c>
      <c r="AQ375" s="986">
        <v>0</v>
      </c>
      <c r="AR375" s="2011">
        <v>0</v>
      </c>
      <c r="AS375"/>
      <c r="AT375" s="986">
        <v>0</v>
      </c>
      <c r="AU375" s="986">
        <v>0</v>
      </c>
      <c r="AV375" s="986">
        <v>0</v>
      </c>
      <c r="AW375" s="986">
        <v>0</v>
      </c>
      <c r="AX375" s="986">
        <v>0</v>
      </c>
      <c r="AY375" s="986">
        <v>0</v>
      </c>
      <c r="AZ375" s="986">
        <v>0</v>
      </c>
      <c r="BA375" s="986">
        <v>0</v>
      </c>
      <c r="BB375" s="986">
        <v>0</v>
      </c>
      <c r="BC375" s="986">
        <v>0</v>
      </c>
      <c r="BD375" s="986">
        <v>0</v>
      </c>
      <c r="BE375" s="986">
        <v>0</v>
      </c>
      <c r="BF375" s="2014">
        <v>0</v>
      </c>
      <c r="BG375"/>
      <c r="BH375" s="986">
        <v>0</v>
      </c>
      <c r="BI375" s="986">
        <v>0</v>
      </c>
      <c r="BJ375" s="986">
        <v>0</v>
      </c>
      <c r="BK375" s="986">
        <v>0</v>
      </c>
      <c r="BL375" s="986">
        <v>0</v>
      </c>
      <c r="BM375" s="986">
        <v>0</v>
      </c>
      <c r="BN375" s="986">
        <v>0</v>
      </c>
      <c r="BO375" s="986">
        <v>0</v>
      </c>
      <c r="BP375" s="986">
        <v>0</v>
      </c>
      <c r="BQ375" s="986">
        <v>0</v>
      </c>
      <c r="BR375" s="986">
        <v>0</v>
      </c>
      <c r="BS375" s="986">
        <v>0</v>
      </c>
      <c r="BT375" s="1498">
        <v>0</v>
      </c>
      <c r="BU375"/>
      <c r="BV375" s="986">
        <v>0</v>
      </c>
      <c r="BW375" s="986">
        <v>0</v>
      </c>
      <c r="BX375" s="986">
        <v>0</v>
      </c>
      <c r="BY375" s="1498">
        <v>0</v>
      </c>
      <c r="BZ375" s="1498">
        <v>40000</v>
      </c>
    </row>
    <row r="376" spans="1:87" s="153" customFormat="1" ht="27.5" hidden="1" customHeight="1" outlineLevel="3">
      <c r="A376" s="581"/>
      <c r="B376" s="395" t="s">
        <v>1021</v>
      </c>
      <c r="C376" s="395"/>
      <c r="D376" s="1249" t="s">
        <v>1022</v>
      </c>
      <c r="E376"/>
      <c r="F376" s="1458">
        <v>0</v>
      </c>
      <c r="G376" s="1458">
        <v>0</v>
      </c>
      <c r="H376" s="1458">
        <v>0</v>
      </c>
      <c r="I376" s="1458">
        <v>0</v>
      </c>
      <c r="J376" s="1458">
        <v>0</v>
      </c>
      <c r="K376" s="1458">
        <v>0</v>
      </c>
      <c r="L376" s="1458">
        <v>0</v>
      </c>
      <c r="M376" s="1458">
        <v>0</v>
      </c>
      <c r="N376" s="1458">
        <v>0</v>
      </c>
      <c r="O376" s="1458">
        <v>0</v>
      </c>
      <c r="P376" s="398">
        <v>0</v>
      </c>
      <c r="Q376"/>
      <c r="R376" s="1458">
        <v>0</v>
      </c>
      <c r="S376" s="1458">
        <v>0</v>
      </c>
      <c r="T376" s="1458">
        <v>0</v>
      </c>
      <c r="U376" s="1458">
        <v>0</v>
      </c>
      <c r="V376" s="1458">
        <v>0</v>
      </c>
      <c r="W376" s="1458">
        <v>0</v>
      </c>
      <c r="X376" s="1458">
        <v>0</v>
      </c>
      <c r="Y376" s="1458">
        <v>0</v>
      </c>
      <c r="Z376" s="1458">
        <v>0</v>
      </c>
      <c r="AA376" s="1458">
        <v>0</v>
      </c>
      <c r="AB376" s="1458">
        <v>0</v>
      </c>
      <c r="AC376" s="1458">
        <v>0</v>
      </c>
      <c r="AD376" s="398">
        <v>0</v>
      </c>
      <c r="AE376"/>
      <c r="AF376" s="1458">
        <v>0</v>
      </c>
      <c r="AG376" s="1458">
        <v>0</v>
      </c>
      <c r="AH376" s="1458">
        <v>489000</v>
      </c>
      <c r="AI376" s="1458">
        <v>0</v>
      </c>
      <c r="AJ376" s="1458">
        <v>0</v>
      </c>
      <c r="AK376" s="1458">
        <v>0</v>
      </c>
      <c r="AL376" s="1458">
        <v>326000</v>
      </c>
      <c r="AM376" s="1458">
        <v>0</v>
      </c>
      <c r="AN376" s="1458">
        <v>0</v>
      </c>
      <c r="AO376" s="1458">
        <v>0</v>
      </c>
      <c r="AP376" s="1458">
        <v>326000</v>
      </c>
      <c r="AQ376" s="1458">
        <v>0</v>
      </c>
      <c r="AR376" s="398">
        <v>1141000</v>
      </c>
      <c r="AS376"/>
      <c r="AT376" s="1458">
        <v>0</v>
      </c>
      <c r="AU376" s="1458">
        <v>0</v>
      </c>
      <c r="AV376" s="1458">
        <v>326000</v>
      </c>
      <c r="AW376" s="1458">
        <v>0</v>
      </c>
      <c r="AX376" s="1458">
        <v>0</v>
      </c>
      <c r="AY376" s="1458">
        <v>0</v>
      </c>
      <c r="AZ376" s="1458">
        <v>326000</v>
      </c>
      <c r="BA376" s="1458">
        <v>0</v>
      </c>
      <c r="BB376" s="1458">
        <v>0</v>
      </c>
      <c r="BC376" s="1458">
        <v>0</v>
      </c>
      <c r="BD376" s="1458">
        <v>326000</v>
      </c>
      <c r="BE376" s="1458">
        <v>0</v>
      </c>
      <c r="BF376" s="398">
        <v>978000</v>
      </c>
      <c r="BG376"/>
      <c r="BH376" s="1458">
        <v>0</v>
      </c>
      <c r="BI376" s="1458">
        <v>0</v>
      </c>
      <c r="BJ376" s="1458">
        <v>326000</v>
      </c>
      <c r="BK376" s="1458">
        <v>0</v>
      </c>
      <c r="BL376" s="1458">
        <v>0</v>
      </c>
      <c r="BM376" s="1458">
        <v>0</v>
      </c>
      <c r="BN376" s="1458">
        <v>326000</v>
      </c>
      <c r="BO376" s="1458">
        <v>0</v>
      </c>
      <c r="BP376" s="1458">
        <v>0</v>
      </c>
      <c r="BQ376" s="1458">
        <v>0</v>
      </c>
      <c r="BR376" s="1458">
        <v>326000</v>
      </c>
      <c r="BS376" s="1458">
        <v>0</v>
      </c>
      <c r="BT376" s="398">
        <v>978000</v>
      </c>
      <c r="BU376"/>
      <c r="BV376" s="1458">
        <v>163000</v>
      </c>
      <c r="BW376" s="1458">
        <v>0</v>
      </c>
      <c r="BX376" s="1458">
        <v>0</v>
      </c>
      <c r="BY376" s="398">
        <v>163000</v>
      </c>
      <c r="BZ376" s="398">
        <v>3260000</v>
      </c>
    </row>
    <row r="377" spans="1:87" s="108" customFormat="1" ht="41.5" hidden="1" customHeight="1" outlineLevel="4">
      <c r="A377" s="580"/>
      <c r="B377" s="107" t="s">
        <v>1023</v>
      </c>
      <c r="C377" s="107" t="s">
        <v>1279</v>
      </c>
      <c r="D377" s="533" t="s">
        <v>1024</v>
      </c>
      <c r="E377"/>
      <c r="F377" s="986">
        <v>0</v>
      </c>
      <c r="G377" s="986">
        <v>0</v>
      </c>
      <c r="H377" s="986">
        <v>0</v>
      </c>
      <c r="I377" s="986">
        <v>0</v>
      </c>
      <c r="J377" s="986">
        <v>0</v>
      </c>
      <c r="K377" s="986">
        <v>0</v>
      </c>
      <c r="L377" s="986">
        <v>0</v>
      </c>
      <c r="M377" s="986">
        <v>0</v>
      </c>
      <c r="N377" s="986">
        <v>0</v>
      </c>
      <c r="O377" s="986">
        <v>0</v>
      </c>
      <c r="P377" s="2011">
        <v>0</v>
      </c>
      <c r="Q377"/>
      <c r="R377" s="986">
        <v>0</v>
      </c>
      <c r="S377" s="986">
        <v>0</v>
      </c>
      <c r="T377" s="986">
        <v>0</v>
      </c>
      <c r="U377" s="986">
        <v>0</v>
      </c>
      <c r="V377" s="986">
        <v>0</v>
      </c>
      <c r="W377" s="986">
        <v>0</v>
      </c>
      <c r="X377" s="986">
        <v>0</v>
      </c>
      <c r="Y377" s="986">
        <v>0</v>
      </c>
      <c r="Z377" s="986">
        <v>0</v>
      </c>
      <c r="AA377" s="986">
        <v>0</v>
      </c>
      <c r="AB377" s="986">
        <v>0</v>
      </c>
      <c r="AC377" s="986">
        <v>0</v>
      </c>
      <c r="AD377" s="2011">
        <v>0</v>
      </c>
      <c r="AE377"/>
      <c r="AF377" s="986">
        <v>0</v>
      </c>
      <c r="AG377" s="986">
        <v>0</v>
      </c>
      <c r="AH377" s="986">
        <v>60000</v>
      </c>
      <c r="AI377" s="986">
        <v>0</v>
      </c>
      <c r="AJ377" s="986">
        <v>0</v>
      </c>
      <c r="AK377" s="986">
        <v>0</v>
      </c>
      <c r="AL377" s="986">
        <v>40000</v>
      </c>
      <c r="AM377" s="986">
        <v>0</v>
      </c>
      <c r="AN377" s="986">
        <v>0</v>
      </c>
      <c r="AO377" s="986">
        <v>0</v>
      </c>
      <c r="AP377" s="986">
        <v>40000</v>
      </c>
      <c r="AQ377" s="986">
        <v>0</v>
      </c>
      <c r="AR377" s="2011">
        <v>140000</v>
      </c>
      <c r="AS377"/>
      <c r="AT377" s="986">
        <v>0</v>
      </c>
      <c r="AU377" s="986">
        <v>0</v>
      </c>
      <c r="AV377" s="986">
        <v>40000</v>
      </c>
      <c r="AW377" s="986">
        <v>0</v>
      </c>
      <c r="AX377" s="986">
        <v>0</v>
      </c>
      <c r="AY377" s="986">
        <v>0</v>
      </c>
      <c r="AZ377" s="986">
        <v>40000</v>
      </c>
      <c r="BA377" s="986">
        <v>0</v>
      </c>
      <c r="BB377" s="986">
        <v>0</v>
      </c>
      <c r="BC377" s="986">
        <v>0</v>
      </c>
      <c r="BD377" s="986">
        <v>40000</v>
      </c>
      <c r="BE377" s="986">
        <v>0</v>
      </c>
      <c r="BF377" s="2014">
        <v>120000</v>
      </c>
      <c r="BG377"/>
      <c r="BH377" s="986">
        <v>0</v>
      </c>
      <c r="BI377" s="986">
        <v>0</v>
      </c>
      <c r="BJ377" s="986">
        <v>40000</v>
      </c>
      <c r="BK377" s="986">
        <v>0</v>
      </c>
      <c r="BL377" s="986">
        <v>0</v>
      </c>
      <c r="BM377" s="986">
        <v>0</v>
      </c>
      <c r="BN377" s="986">
        <v>40000</v>
      </c>
      <c r="BO377" s="986">
        <v>0</v>
      </c>
      <c r="BP377" s="986">
        <v>0</v>
      </c>
      <c r="BQ377" s="986">
        <v>0</v>
      </c>
      <c r="BR377" s="986">
        <v>40000</v>
      </c>
      <c r="BS377" s="986">
        <v>0</v>
      </c>
      <c r="BT377" s="1498">
        <v>120000</v>
      </c>
      <c r="BU377"/>
      <c r="BV377" s="986">
        <v>20000</v>
      </c>
      <c r="BW377" s="986">
        <v>0</v>
      </c>
      <c r="BX377" s="986">
        <v>0</v>
      </c>
      <c r="BY377" s="1498">
        <v>20000</v>
      </c>
      <c r="BZ377" s="1498">
        <v>400000</v>
      </c>
    </row>
    <row r="378" spans="1:87" s="108" customFormat="1" ht="27.5" hidden="1" customHeight="1" outlineLevel="4">
      <c r="A378" s="580"/>
      <c r="B378" s="107" t="s">
        <v>1025</v>
      </c>
      <c r="C378" s="107" t="s">
        <v>1279</v>
      </c>
      <c r="D378" s="533" t="s">
        <v>1026</v>
      </c>
      <c r="E378"/>
      <c r="F378" s="986">
        <v>0</v>
      </c>
      <c r="G378" s="986">
        <v>0</v>
      </c>
      <c r="H378" s="986">
        <v>0</v>
      </c>
      <c r="I378" s="986">
        <v>0</v>
      </c>
      <c r="J378" s="986">
        <v>0</v>
      </c>
      <c r="K378" s="986">
        <v>0</v>
      </c>
      <c r="L378" s="986">
        <v>0</v>
      </c>
      <c r="M378" s="986">
        <v>0</v>
      </c>
      <c r="N378" s="986">
        <v>0</v>
      </c>
      <c r="O378" s="986">
        <v>0</v>
      </c>
      <c r="P378" s="2011">
        <v>0</v>
      </c>
      <c r="Q378"/>
      <c r="R378" s="986">
        <v>0</v>
      </c>
      <c r="S378" s="986">
        <v>0</v>
      </c>
      <c r="T378" s="986">
        <v>0</v>
      </c>
      <c r="U378" s="986">
        <v>0</v>
      </c>
      <c r="V378" s="986">
        <v>0</v>
      </c>
      <c r="W378" s="986">
        <v>0</v>
      </c>
      <c r="X378" s="986">
        <v>0</v>
      </c>
      <c r="Y378" s="986">
        <v>0</v>
      </c>
      <c r="Z378" s="986">
        <v>0</v>
      </c>
      <c r="AA378" s="986">
        <v>0</v>
      </c>
      <c r="AB378" s="986">
        <v>0</v>
      </c>
      <c r="AC378" s="986">
        <v>0</v>
      </c>
      <c r="AD378" s="2011">
        <v>0</v>
      </c>
      <c r="AE378"/>
      <c r="AF378" s="986">
        <v>0</v>
      </c>
      <c r="AG378" s="986">
        <v>0</v>
      </c>
      <c r="AH378" s="986">
        <v>30000</v>
      </c>
      <c r="AI378" s="986">
        <v>0</v>
      </c>
      <c r="AJ378" s="986">
        <v>0</v>
      </c>
      <c r="AK378" s="986">
        <v>0</v>
      </c>
      <c r="AL378" s="986">
        <v>20000</v>
      </c>
      <c r="AM378" s="986">
        <v>0</v>
      </c>
      <c r="AN378" s="986">
        <v>0</v>
      </c>
      <c r="AO378" s="986">
        <v>0</v>
      </c>
      <c r="AP378" s="986">
        <v>20000</v>
      </c>
      <c r="AQ378" s="986">
        <v>0</v>
      </c>
      <c r="AR378" s="2011">
        <v>70000</v>
      </c>
      <c r="AS378"/>
      <c r="AT378" s="986">
        <v>0</v>
      </c>
      <c r="AU378" s="986">
        <v>0</v>
      </c>
      <c r="AV378" s="986">
        <v>20000</v>
      </c>
      <c r="AW378" s="986">
        <v>0</v>
      </c>
      <c r="AX378" s="986">
        <v>0</v>
      </c>
      <c r="AY378" s="986">
        <v>0</v>
      </c>
      <c r="AZ378" s="986">
        <v>20000</v>
      </c>
      <c r="BA378" s="986">
        <v>0</v>
      </c>
      <c r="BB378" s="986">
        <v>0</v>
      </c>
      <c r="BC378" s="986">
        <v>0</v>
      </c>
      <c r="BD378" s="986">
        <v>20000</v>
      </c>
      <c r="BE378" s="986">
        <v>0</v>
      </c>
      <c r="BF378" s="2014">
        <v>60000</v>
      </c>
      <c r="BG378"/>
      <c r="BH378" s="986">
        <v>0</v>
      </c>
      <c r="BI378" s="986">
        <v>0</v>
      </c>
      <c r="BJ378" s="986">
        <v>20000</v>
      </c>
      <c r="BK378" s="986">
        <v>0</v>
      </c>
      <c r="BL378" s="986">
        <v>0</v>
      </c>
      <c r="BM378" s="986">
        <v>0</v>
      </c>
      <c r="BN378" s="986">
        <v>20000</v>
      </c>
      <c r="BO378" s="986">
        <v>0</v>
      </c>
      <c r="BP378" s="986">
        <v>0</v>
      </c>
      <c r="BQ378" s="986">
        <v>0</v>
      </c>
      <c r="BR378" s="986">
        <v>20000</v>
      </c>
      <c r="BS378" s="986">
        <v>0</v>
      </c>
      <c r="BT378" s="1498">
        <v>60000</v>
      </c>
      <c r="BU378"/>
      <c r="BV378" s="986">
        <v>10000</v>
      </c>
      <c r="BW378" s="986">
        <v>0</v>
      </c>
      <c r="BX378" s="986">
        <v>0</v>
      </c>
      <c r="BY378" s="1498">
        <v>10000</v>
      </c>
      <c r="BZ378" s="1498">
        <v>200000</v>
      </c>
    </row>
    <row r="379" spans="1:87" s="108" customFormat="1" ht="138" hidden="1" customHeight="1" outlineLevel="4">
      <c r="A379" s="580"/>
      <c r="B379" s="107" t="s">
        <v>1027</v>
      </c>
      <c r="C379" s="107" t="s">
        <v>1279</v>
      </c>
      <c r="D379" s="533" t="s">
        <v>1028</v>
      </c>
      <c r="E379"/>
      <c r="F379" s="986">
        <v>0</v>
      </c>
      <c r="G379" s="986">
        <v>0</v>
      </c>
      <c r="H379" s="986">
        <v>0</v>
      </c>
      <c r="I379" s="986">
        <v>0</v>
      </c>
      <c r="J379" s="986">
        <v>0</v>
      </c>
      <c r="K379" s="986">
        <v>0</v>
      </c>
      <c r="L379" s="986">
        <v>0</v>
      </c>
      <c r="M379" s="986">
        <v>0</v>
      </c>
      <c r="N379" s="986">
        <v>0</v>
      </c>
      <c r="O379" s="986">
        <v>0</v>
      </c>
      <c r="P379" s="2011">
        <v>0</v>
      </c>
      <c r="Q379"/>
      <c r="R379" s="986">
        <v>0</v>
      </c>
      <c r="S379" s="986">
        <v>0</v>
      </c>
      <c r="T379" s="986">
        <v>0</v>
      </c>
      <c r="U379" s="986">
        <v>0</v>
      </c>
      <c r="V379" s="986">
        <v>0</v>
      </c>
      <c r="W379" s="986">
        <v>0</v>
      </c>
      <c r="X379" s="986">
        <v>0</v>
      </c>
      <c r="Y379" s="986">
        <v>0</v>
      </c>
      <c r="Z379" s="986">
        <v>0</v>
      </c>
      <c r="AA379" s="986">
        <v>0</v>
      </c>
      <c r="AB379" s="986">
        <v>0</v>
      </c>
      <c r="AC379" s="986">
        <v>0</v>
      </c>
      <c r="AD379" s="2011">
        <v>0</v>
      </c>
      <c r="AE379"/>
      <c r="AF379" s="986">
        <v>0</v>
      </c>
      <c r="AG379" s="986">
        <v>0</v>
      </c>
      <c r="AH379" s="986">
        <v>22500</v>
      </c>
      <c r="AI379" s="986">
        <v>0</v>
      </c>
      <c r="AJ379" s="986">
        <v>0</v>
      </c>
      <c r="AK379" s="986">
        <v>0</v>
      </c>
      <c r="AL379" s="986">
        <v>15000</v>
      </c>
      <c r="AM379" s="986">
        <v>0</v>
      </c>
      <c r="AN379" s="986">
        <v>0</v>
      </c>
      <c r="AO379" s="986">
        <v>0</v>
      </c>
      <c r="AP379" s="986">
        <v>15000</v>
      </c>
      <c r="AQ379" s="986">
        <v>0</v>
      </c>
      <c r="AR379" s="2011">
        <v>52500</v>
      </c>
      <c r="AS379"/>
      <c r="AT379" s="986">
        <v>0</v>
      </c>
      <c r="AU379" s="986">
        <v>0</v>
      </c>
      <c r="AV379" s="986">
        <v>15000</v>
      </c>
      <c r="AW379" s="986">
        <v>0</v>
      </c>
      <c r="AX379" s="986">
        <v>0</v>
      </c>
      <c r="AY379" s="986">
        <v>0</v>
      </c>
      <c r="AZ379" s="986">
        <v>15000</v>
      </c>
      <c r="BA379" s="986">
        <v>0</v>
      </c>
      <c r="BB379" s="986">
        <v>0</v>
      </c>
      <c r="BC379" s="986">
        <v>0</v>
      </c>
      <c r="BD379" s="986">
        <v>15000</v>
      </c>
      <c r="BE379" s="986">
        <v>0</v>
      </c>
      <c r="BF379" s="2014">
        <v>45000</v>
      </c>
      <c r="BG379"/>
      <c r="BH379" s="986">
        <v>0</v>
      </c>
      <c r="BI379" s="986">
        <v>0</v>
      </c>
      <c r="BJ379" s="986">
        <v>15000</v>
      </c>
      <c r="BK379" s="986">
        <v>0</v>
      </c>
      <c r="BL379" s="986">
        <v>0</v>
      </c>
      <c r="BM379" s="986">
        <v>0</v>
      </c>
      <c r="BN379" s="986">
        <v>15000</v>
      </c>
      <c r="BO379" s="986">
        <v>0</v>
      </c>
      <c r="BP379" s="986">
        <v>0</v>
      </c>
      <c r="BQ379" s="986">
        <v>0</v>
      </c>
      <c r="BR379" s="986">
        <v>15000</v>
      </c>
      <c r="BS379" s="986">
        <v>0</v>
      </c>
      <c r="BT379" s="1498">
        <v>45000</v>
      </c>
      <c r="BU379"/>
      <c r="BV379" s="986">
        <v>7500</v>
      </c>
      <c r="BW379" s="986">
        <v>0</v>
      </c>
      <c r="BX379" s="986">
        <v>0</v>
      </c>
      <c r="BY379" s="1498">
        <v>7500</v>
      </c>
      <c r="BZ379" s="1498">
        <v>150000</v>
      </c>
    </row>
    <row r="380" spans="1:87" s="108" customFormat="1" ht="27.5" hidden="1" customHeight="1" outlineLevel="4">
      <c r="A380" s="580"/>
      <c r="B380" s="107" t="s">
        <v>1029</v>
      </c>
      <c r="C380" s="107" t="s">
        <v>1279</v>
      </c>
      <c r="D380" s="533" t="s">
        <v>1030</v>
      </c>
      <c r="E380"/>
      <c r="F380" s="986">
        <v>0</v>
      </c>
      <c r="G380" s="986">
        <v>0</v>
      </c>
      <c r="H380" s="986">
        <v>0</v>
      </c>
      <c r="I380" s="986">
        <v>0</v>
      </c>
      <c r="J380" s="986">
        <v>0</v>
      </c>
      <c r="K380" s="986">
        <v>0</v>
      </c>
      <c r="L380" s="986">
        <v>0</v>
      </c>
      <c r="M380" s="986">
        <v>0</v>
      </c>
      <c r="N380" s="986">
        <v>0</v>
      </c>
      <c r="O380" s="986">
        <v>0</v>
      </c>
      <c r="P380" s="2011">
        <v>0</v>
      </c>
      <c r="Q380"/>
      <c r="R380" s="986">
        <v>0</v>
      </c>
      <c r="S380" s="986">
        <v>0</v>
      </c>
      <c r="T380" s="986">
        <v>0</v>
      </c>
      <c r="U380" s="986">
        <v>0</v>
      </c>
      <c r="V380" s="986">
        <v>0</v>
      </c>
      <c r="W380" s="986">
        <v>0</v>
      </c>
      <c r="X380" s="986">
        <v>0</v>
      </c>
      <c r="Y380" s="986">
        <v>0</v>
      </c>
      <c r="Z380" s="986">
        <v>0</v>
      </c>
      <c r="AA380" s="986">
        <v>0</v>
      </c>
      <c r="AB380" s="986">
        <v>0</v>
      </c>
      <c r="AC380" s="986">
        <v>0</v>
      </c>
      <c r="AD380" s="2011">
        <v>0</v>
      </c>
      <c r="AE380"/>
      <c r="AF380" s="986">
        <v>0</v>
      </c>
      <c r="AG380" s="986">
        <v>0</v>
      </c>
      <c r="AH380" s="986">
        <v>120000</v>
      </c>
      <c r="AI380" s="986">
        <v>0</v>
      </c>
      <c r="AJ380" s="986">
        <v>0</v>
      </c>
      <c r="AK380" s="986">
        <v>0</v>
      </c>
      <c r="AL380" s="986">
        <v>80000</v>
      </c>
      <c r="AM380" s="986">
        <v>0</v>
      </c>
      <c r="AN380" s="986">
        <v>0</v>
      </c>
      <c r="AO380" s="986">
        <v>0</v>
      </c>
      <c r="AP380" s="986">
        <v>80000</v>
      </c>
      <c r="AQ380" s="986">
        <v>0</v>
      </c>
      <c r="AR380" s="2011">
        <v>280000</v>
      </c>
      <c r="AS380"/>
      <c r="AT380" s="986">
        <v>0</v>
      </c>
      <c r="AU380" s="986">
        <v>0</v>
      </c>
      <c r="AV380" s="986">
        <v>80000</v>
      </c>
      <c r="AW380" s="986">
        <v>0</v>
      </c>
      <c r="AX380" s="986">
        <v>0</v>
      </c>
      <c r="AY380" s="986">
        <v>0</v>
      </c>
      <c r="AZ380" s="986">
        <v>80000</v>
      </c>
      <c r="BA380" s="986">
        <v>0</v>
      </c>
      <c r="BB380" s="986">
        <v>0</v>
      </c>
      <c r="BC380" s="986">
        <v>0</v>
      </c>
      <c r="BD380" s="986">
        <v>80000</v>
      </c>
      <c r="BE380" s="986">
        <v>0</v>
      </c>
      <c r="BF380" s="2014">
        <v>240000</v>
      </c>
      <c r="BG380"/>
      <c r="BH380" s="986">
        <v>0</v>
      </c>
      <c r="BI380" s="986">
        <v>0</v>
      </c>
      <c r="BJ380" s="986">
        <v>80000</v>
      </c>
      <c r="BK380" s="986">
        <v>0</v>
      </c>
      <c r="BL380" s="986">
        <v>0</v>
      </c>
      <c r="BM380" s="986">
        <v>0</v>
      </c>
      <c r="BN380" s="986">
        <v>80000</v>
      </c>
      <c r="BO380" s="986">
        <v>0</v>
      </c>
      <c r="BP380" s="986">
        <v>0</v>
      </c>
      <c r="BQ380" s="986">
        <v>0</v>
      </c>
      <c r="BR380" s="986">
        <v>80000</v>
      </c>
      <c r="BS380" s="986">
        <v>0</v>
      </c>
      <c r="BT380" s="1498">
        <v>240000</v>
      </c>
      <c r="BU380"/>
      <c r="BV380" s="986">
        <v>40000</v>
      </c>
      <c r="BW380" s="986">
        <v>0</v>
      </c>
      <c r="BX380" s="986">
        <v>0</v>
      </c>
      <c r="BY380" s="1498">
        <v>40000</v>
      </c>
      <c r="BZ380" s="1498">
        <v>800000</v>
      </c>
    </row>
    <row r="381" spans="1:87" s="108" customFormat="1" ht="41.5" hidden="1" customHeight="1" outlineLevel="4">
      <c r="A381" s="580"/>
      <c r="B381" s="107" t="s">
        <v>1031</v>
      </c>
      <c r="C381" s="107" t="s">
        <v>1279</v>
      </c>
      <c r="D381" s="533" t="s">
        <v>1032</v>
      </c>
      <c r="E381"/>
      <c r="F381" s="986">
        <v>0</v>
      </c>
      <c r="G381" s="986">
        <v>0</v>
      </c>
      <c r="H381" s="986">
        <v>0</v>
      </c>
      <c r="I381" s="986">
        <v>0</v>
      </c>
      <c r="J381" s="986">
        <v>0</v>
      </c>
      <c r="K381" s="986">
        <v>0</v>
      </c>
      <c r="L381" s="986">
        <v>0</v>
      </c>
      <c r="M381" s="986">
        <v>0</v>
      </c>
      <c r="N381" s="986">
        <v>0</v>
      </c>
      <c r="O381" s="986">
        <v>0</v>
      </c>
      <c r="P381" s="2011">
        <v>0</v>
      </c>
      <c r="Q381"/>
      <c r="R381" s="986">
        <v>0</v>
      </c>
      <c r="S381" s="986">
        <v>0</v>
      </c>
      <c r="T381" s="986">
        <v>0</v>
      </c>
      <c r="U381" s="986">
        <v>0</v>
      </c>
      <c r="V381" s="986">
        <v>0</v>
      </c>
      <c r="W381" s="986">
        <v>0</v>
      </c>
      <c r="X381" s="986">
        <v>0</v>
      </c>
      <c r="Y381" s="986">
        <v>0</v>
      </c>
      <c r="Z381" s="986">
        <v>0</v>
      </c>
      <c r="AA381" s="986">
        <v>0</v>
      </c>
      <c r="AB381" s="986">
        <v>0</v>
      </c>
      <c r="AC381" s="986">
        <v>0</v>
      </c>
      <c r="AD381" s="2011">
        <v>0</v>
      </c>
      <c r="AE381"/>
      <c r="AF381" s="986">
        <v>0</v>
      </c>
      <c r="AG381" s="986">
        <v>0</v>
      </c>
      <c r="AH381" s="986">
        <v>45000</v>
      </c>
      <c r="AI381" s="986">
        <v>0</v>
      </c>
      <c r="AJ381" s="986">
        <v>0</v>
      </c>
      <c r="AK381" s="986">
        <v>0</v>
      </c>
      <c r="AL381" s="986">
        <v>30000</v>
      </c>
      <c r="AM381" s="986">
        <v>0</v>
      </c>
      <c r="AN381" s="986">
        <v>0</v>
      </c>
      <c r="AO381" s="986">
        <v>0</v>
      </c>
      <c r="AP381" s="986">
        <v>30000</v>
      </c>
      <c r="AQ381" s="986">
        <v>0</v>
      </c>
      <c r="AR381" s="2011">
        <v>105000</v>
      </c>
      <c r="AS381"/>
      <c r="AT381" s="986">
        <v>0</v>
      </c>
      <c r="AU381" s="986">
        <v>0</v>
      </c>
      <c r="AV381" s="986">
        <v>30000</v>
      </c>
      <c r="AW381" s="986">
        <v>0</v>
      </c>
      <c r="AX381" s="986">
        <v>0</v>
      </c>
      <c r="AY381" s="986">
        <v>0</v>
      </c>
      <c r="AZ381" s="986">
        <v>30000</v>
      </c>
      <c r="BA381" s="986">
        <v>0</v>
      </c>
      <c r="BB381" s="986">
        <v>0</v>
      </c>
      <c r="BC381" s="986">
        <v>0</v>
      </c>
      <c r="BD381" s="986">
        <v>30000</v>
      </c>
      <c r="BE381" s="986">
        <v>0</v>
      </c>
      <c r="BF381" s="2014">
        <v>90000</v>
      </c>
      <c r="BG381"/>
      <c r="BH381" s="986">
        <v>0</v>
      </c>
      <c r="BI381" s="986">
        <v>0</v>
      </c>
      <c r="BJ381" s="986">
        <v>30000</v>
      </c>
      <c r="BK381" s="986">
        <v>0</v>
      </c>
      <c r="BL381" s="986">
        <v>0</v>
      </c>
      <c r="BM381" s="986">
        <v>0</v>
      </c>
      <c r="BN381" s="986">
        <v>30000</v>
      </c>
      <c r="BO381" s="986">
        <v>0</v>
      </c>
      <c r="BP381" s="986">
        <v>0</v>
      </c>
      <c r="BQ381" s="986">
        <v>0</v>
      </c>
      <c r="BR381" s="986">
        <v>30000</v>
      </c>
      <c r="BS381" s="986">
        <v>0</v>
      </c>
      <c r="BT381" s="1498">
        <v>90000</v>
      </c>
      <c r="BU381"/>
      <c r="BV381" s="986">
        <v>15000</v>
      </c>
      <c r="BW381" s="986">
        <v>0</v>
      </c>
      <c r="BX381" s="986">
        <v>0</v>
      </c>
      <c r="BY381" s="1498">
        <v>15000</v>
      </c>
      <c r="BZ381" s="1498">
        <v>300000</v>
      </c>
    </row>
    <row r="382" spans="1:87" s="108" customFormat="1" ht="27.5" hidden="1" customHeight="1" outlineLevel="4">
      <c r="A382" s="580"/>
      <c r="B382" s="107" t="s">
        <v>1033</v>
      </c>
      <c r="C382" s="107" t="s">
        <v>1279</v>
      </c>
      <c r="D382" s="533" t="s">
        <v>1034</v>
      </c>
      <c r="E382"/>
      <c r="F382" s="986">
        <v>0</v>
      </c>
      <c r="G382" s="986">
        <v>0</v>
      </c>
      <c r="H382" s="986">
        <v>0</v>
      </c>
      <c r="I382" s="986">
        <v>0</v>
      </c>
      <c r="J382" s="986">
        <v>0</v>
      </c>
      <c r="K382" s="986">
        <v>0</v>
      </c>
      <c r="L382" s="986">
        <v>0</v>
      </c>
      <c r="M382" s="986">
        <v>0</v>
      </c>
      <c r="N382" s="986">
        <v>0</v>
      </c>
      <c r="O382" s="986">
        <v>0</v>
      </c>
      <c r="P382" s="2011">
        <v>0</v>
      </c>
      <c r="Q382"/>
      <c r="R382" s="986">
        <v>0</v>
      </c>
      <c r="S382" s="986">
        <v>0</v>
      </c>
      <c r="T382" s="986">
        <v>0</v>
      </c>
      <c r="U382" s="986">
        <v>0</v>
      </c>
      <c r="V382" s="986">
        <v>0</v>
      </c>
      <c r="W382" s="986">
        <v>0</v>
      </c>
      <c r="X382" s="986">
        <v>0</v>
      </c>
      <c r="Y382" s="986">
        <v>0</v>
      </c>
      <c r="Z382" s="986">
        <v>0</v>
      </c>
      <c r="AA382" s="986">
        <v>0</v>
      </c>
      <c r="AB382" s="986">
        <v>0</v>
      </c>
      <c r="AC382" s="986">
        <v>0</v>
      </c>
      <c r="AD382" s="2011">
        <v>0</v>
      </c>
      <c r="AE382"/>
      <c r="AF382" s="986">
        <v>0</v>
      </c>
      <c r="AG382" s="986">
        <v>0</v>
      </c>
      <c r="AH382" s="986">
        <v>60000</v>
      </c>
      <c r="AI382" s="986">
        <v>0</v>
      </c>
      <c r="AJ382" s="986">
        <v>0</v>
      </c>
      <c r="AK382" s="986">
        <v>0</v>
      </c>
      <c r="AL382" s="986">
        <v>40000</v>
      </c>
      <c r="AM382" s="986">
        <v>0</v>
      </c>
      <c r="AN382" s="986">
        <v>0</v>
      </c>
      <c r="AO382" s="986">
        <v>0</v>
      </c>
      <c r="AP382" s="986">
        <v>40000</v>
      </c>
      <c r="AQ382" s="986">
        <v>0</v>
      </c>
      <c r="AR382" s="2011">
        <v>140000</v>
      </c>
      <c r="AS382"/>
      <c r="AT382" s="986">
        <v>0</v>
      </c>
      <c r="AU382" s="986">
        <v>0</v>
      </c>
      <c r="AV382" s="986">
        <v>40000</v>
      </c>
      <c r="AW382" s="986">
        <v>0</v>
      </c>
      <c r="AX382" s="986">
        <v>0</v>
      </c>
      <c r="AY382" s="986">
        <v>0</v>
      </c>
      <c r="AZ382" s="986">
        <v>40000</v>
      </c>
      <c r="BA382" s="986">
        <v>0</v>
      </c>
      <c r="BB382" s="986">
        <v>0</v>
      </c>
      <c r="BC382" s="986">
        <v>0</v>
      </c>
      <c r="BD382" s="986">
        <v>40000</v>
      </c>
      <c r="BE382" s="986">
        <v>0</v>
      </c>
      <c r="BF382" s="2014">
        <v>120000</v>
      </c>
      <c r="BG382"/>
      <c r="BH382" s="986">
        <v>0</v>
      </c>
      <c r="BI382" s="986">
        <v>0</v>
      </c>
      <c r="BJ382" s="986">
        <v>40000</v>
      </c>
      <c r="BK382" s="986">
        <v>0</v>
      </c>
      <c r="BL382" s="986">
        <v>0</v>
      </c>
      <c r="BM382" s="986">
        <v>0</v>
      </c>
      <c r="BN382" s="986">
        <v>40000</v>
      </c>
      <c r="BO382" s="986">
        <v>0</v>
      </c>
      <c r="BP382" s="986">
        <v>0</v>
      </c>
      <c r="BQ382" s="986">
        <v>0</v>
      </c>
      <c r="BR382" s="986">
        <v>40000</v>
      </c>
      <c r="BS382" s="986">
        <v>0</v>
      </c>
      <c r="BT382" s="1498">
        <v>120000</v>
      </c>
      <c r="BU382"/>
      <c r="BV382" s="986">
        <v>20000</v>
      </c>
      <c r="BW382" s="986">
        <v>0</v>
      </c>
      <c r="BX382" s="986">
        <v>0</v>
      </c>
      <c r="BY382" s="1498">
        <v>20000</v>
      </c>
      <c r="BZ382" s="1498">
        <v>400000</v>
      </c>
    </row>
    <row r="383" spans="1:87" s="108" customFormat="1" ht="41.5" hidden="1" customHeight="1" outlineLevel="4">
      <c r="A383" s="580"/>
      <c r="B383" s="107" t="s">
        <v>1035</v>
      </c>
      <c r="C383" s="107" t="s">
        <v>1279</v>
      </c>
      <c r="D383" s="533" t="s">
        <v>1036</v>
      </c>
      <c r="E383"/>
      <c r="F383" s="986">
        <v>0</v>
      </c>
      <c r="G383" s="986">
        <v>0</v>
      </c>
      <c r="H383" s="986">
        <v>0</v>
      </c>
      <c r="I383" s="986">
        <v>0</v>
      </c>
      <c r="J383" s="986">
        <v>0</v>
      </c>
      <c r="K383" s="986">
        <v>0</v>
      </c>
      <c r="L383" s="986">
        <v>0</v>
      </c>
      <c r="M383" s="986">
        <v>0</v>
      </c>
      <c r="N383" s="986">
        <v>0</v>
      </c>
      <c r="O383" s="986">
        <v>0</v>
      </c>
      <c r="P383" s="2011">
        <v>0</v>
      </c>
      <c r="Q383"/>
      <c r="R383" s="986">
        <v>0</v>
      </c>
      <c r="S383" s="986">
        <v>0</v>
      </c>
      <c r="T383" s="986">
        <v>0</v>
      </c>
      <c r="U383" s="986">
        <v>0</v>
      </c>
      <c r="V383" s="986">
        <v>0</v>
      </c>
      <c r="W383" s="986">
        <v>0</v>
      </c>
      <c r="X383" s="986">
        <v>0</v>
      </c>
      <c r="Y383" s="986">
        <v>0</v>
      </c>
      <c r="Z383" s="986">
        <v>0</v>
      </c>
      <c r="AA383" s="986">
        <v>0</v>
      </c>
      <c r="AB383" s="986">
        <v>0</v>
      </c>
      <c r="AC383" s="986">
        <v>0</v>
      </c>
      <c r="AD383" s="2011">
        <v>0</v>
      </c>
      <c r="AE383"/>
      <c r="AF383" s="986">
        <v>0</v>
      </c>
      <c r="AG383" s="986">
        <v>0</v>
      </c>
      <c r="AH383" s="986">
        <v>7500</v>
      </c>
      <c r="AI383" s="986">
        <v>0</v>
      </c>
      <c r="AJ383" s="986">
        <v>0</v>
      </c>
      <c r="AK383" s="986">
        <v>0</v>
      </c>
      <c r="AL383" s="986">
        <v>5000</v>
      </c>
      <c r="AM383" s="986">
        <v>0</v>
      </c>
      <c r="AN383" s="986">
        <v>0</v>
      </c>
      <c r="AO383" s="986">
        <v>0</v>
      </c>
      <c r="AP383" s="986">
        <v>5000</v>
      </c>
      <c r="AQ383" s="986">
        <v>0</v>
      </c>
      <c r="AR383" s="2011">
        <v>17500</v>
      </c>
      <c r="AS383"/>
      <c r="AT383" s="986">
        <v>0</v>
      </c>
      <c r="AU383" s="986">
        <v>0</v>
      </c>
      <c r="AV383" s="986">
        <v>5000</v>
      </c>
      <c r="AW383" s="986">
        <v>0</v>
      </c>
      <c r="AX383" s="986">
        <v>0</v>
      </c>
      <c r="AY383" s="986">
        <v>0</v>
      </c>
      <c r="AZ383" s="986">
        <v>5000</v>
      </c>
      <c r="BA383" s="986">
        <v>0</v>
      </c>
      <c r="BB383" s="986">
        <v>0</v>
      </c>
      <c r="BC383" s="986">
        <v>0</v>
      </c>
      <c r="BD383" s="986">
        <v>5000</v>
      </c>
      <c r="BE383" s="986">
        <v>0</v>
      </c>
      <c r="BF383" s="2014">
        <v>15000</v>
      </c>
      <c r="BG383"/>
      <c r="BH383" s="986">
        <v>0</v>
      </c>
      <c r="BI383" s="986">
        <v>0</v>
      </c>
      <c r="BJ383" s="986">
        <v>5000</v>
      </c>
      <c r="BK383" s="986">
        <v>0</v>
      </c>
      <c r="BL383" s="986">
        <v>0</v>
      </c>
      <c r="BM383" s="986">
        <v>0</v>
      </c>
      <c r="BN383" s="986">
        <v>5000</v>
      </c>
      <c r="BO383" s="986">
        <v>0</v>
      </c>
      <c r="BP383" s="986">
        <v>0</v>
      </c>
      <c r="BQ383" s="986">
        <v>0</v>
      </c>
      <c r="BR383" s="986">
        <v>5000</v>
      </c>
      <c r="BS383" s="986">
        <v>0</v>
      </c>
      <c r="BT383" s="1498">
        <v>15000</v>
      </c>
      <c r="BU383"/>
      <c r="BV383" s="986">
        <v>2500</v>
      </c>
      <c r="BW383" s="986">
        <v>0</v>
      </c>
      <c r="BX383" s="986">
        <v>0</v>
      </c>
      <c r="BY383" s="1498">
        <v>2500</v>
      </c>
      <c r="BZ383" s="1498">
        <v>50000</v>
      </c>
    </row>
    <row r="384" spans="1:87" s="108" customFormat="1" ht="27.5" hidden="1" customHeight="1" outlineLevel="4">
      <c r="A384" s="580"/>
      <c r="B384" s="107" t="s">
        <v>1037</v>
      </c>
      <c r="C384" s="107" t="s">
        <v>1279</v>
      </c>
      <c r="D384" s="533" t="s">
        <v>1038</v>
      </c>
      <c r="E384"/>
      <c r="F384" s="986">
        <v>0</v>
      </c>
      <c r="G384" s="986">
        <v>0</v>
      </c>
      <c r="H384" s="986">
        <v>0</v>
      </c>
      <c r="I384" s="986">
        <v>0</v>
      </c>
      <c r="J384" s="986">
        <v>0</v>
      </c>
      <c r="K384" s="986">
        <v>0</v>
      </c>
      <c r="L384" s="986">
        <v>0</v>
      </c>
      <c r="M384" s="986">
        <v>0</v>
      </c>
      <c r="N384" s="986">
        <v>0</v>
      </c>
      <c r="O384" s="986">
        <v>0</v>
      </c>
      <c r="P384" s="2011">
        <v>0</v>
      </c>
      <c r="Q384"/>
      <c r="R384" s="986">
        <v>0</v>
      </c>
      <c r="S384" s="986">
        <v>0</v>
      </c>
      <c r="T384" s="986">
        <v>0</v>
      </c>
      <c r="U384" s="986">
        <v>0</v>
      </c>
      <c r="V384" s="986">
        <v>0</v>
      </c>
      <c r="W384" s="986">
        <v>0</v>
      </c>
      <c r="X384" s="986">
        <v>0</v>
      </c>
      <c r="Y384" s="986">
        <v>0</v>
      </c>
      <c r="Z384" s="986">
        <v>0</v>
      </c>
      <c r="AA384" s="986">
        <v>0</v>
      </c>
      <c r="AB384" s="986">
        <v>0</v>
      </c>
      <c r="AC384" s="986">
        <v>0</v>
      </c>
      <c r="AD384" s="2011">
        <v>0</v>
      </c>
      <c r="AE384"/>
      <c r="AF384" s="986">
        <v>0</v>
      </c>
      <c r="AG384" s="986">
        <v>0</v>
      </c>
      <c r="AH384" s="986">
        <v>15000</v>
      </c>
      <c r="AI384" s="986">
        <v>0</v>
      </c>
      <c r="AJ384" s="986">
        <v>0</v>
      </c>
      <c r="AK384" s="986">
        <v>0</v>
      </c>
      <c r="AL384" s="986">
        <v>10000</v>
      </c>
      <c r="AM384" s="986">
        <v>0</v>
      </c>
      <c r="AN384" s="986">
        <v>0</v>
      </c>
      <c r="AO384" s="986">
        <v>0</v>
      </c>
      <c r="AP384" s="986">
        <v>10000</v>
      </c>
      <c r="AQ384" s="986">
        <v>0</v>
      </c>
      <c r="AR384" s="2011">
        <v>35000</v>
      </c>
      <c r="AS384"/>
      <c r="AT384" s="986">
        <v>0</v>
      </c>
      <c r="AU384" s="986">
        <v>0</v>
      </c>
      <c r="AV384" s="986">
        <v>10000</v>
      </c>
      <c r="AW384" s="986">
        <v>0</v>
      </c>
      <c r="AX384" s="986">
        <v>0</v>
      </c>
      <c r="AY384" s="986">
        <v>0</v>
      </c>
      <c r="AZ384" s="986">
        <v>10000</v>
      </c>
      <c r="BA384" s="986">
        <v>0</v>
      </c>
      <c r="BB384" s="986">
        <v>0</v>
      </c>
      <c r="BC384" s="986">
        <v>0</v>
      </c>
      <c r="BD384" s="986">
        <v>10000</v>
      </c>
      <c r="BE384" s="986">
        <v>0</v>
      </c>
      <c r="BF384" s="2014">
        <v>30000</v>
      </c>
      <c r="BG384"/>
      <c r="BH384" s="986">
        <v>0</v>
      </c>
      <c r="BI384" s="986">
        <v>0</v>
      </c>
      <c r="BJ384" s="986">
        <v>10000</v>
      </c>
      <c r="BK384" s="986">
        <v>0</v>
      </c>
      <c r="BL384" s="986">
        <v>0</v>
      </c>
      <c r="BM384" s="986">
        <v>0</v>
      </c>
      <c r="BN384" s="986">
        <v>10000</v>
      </c>
      <c r="BO384" s="986">
        <v>0</v>
      </c>
      <c r="BP384" s="986">
        <v>0</v>
      </c>
      <c r="BQ384" s="986">
        <v>0</v>
      </c>
      <c r="BR384" s="986">
        <v>10000</v>
      </c>
      <c r="BS384" s="986">
        <v>0</v>
      </c>
      <c r="BT384" s="1498">
        <v>30000</v>
      </c>
      <c r="BU384"/>
      <c r="BV384" s="986">
        <v>5000</v>
      </c>
      <c r="BW384" s="986">
        <v>0</v>
      </c>
      <c r="BX384" s="986">
        <v>0</v>
      </c>
      <c r="BY384" s="1498">
        <v>5000</v>
      </c>
      <c r="BZ384" s="1498">
        <v>100000</v>
      </c>
    </row>
    <row r="385" spans="1:78" s="108" customFormat="1" ht="69" hidden="1" customHeight="1" outlineLevel="4">
      <c r="A385" s="580"/>
      <c r="B385" s="107" t="s">
        <v>1039</v>
      </c>
      <c r="C385" s="107" t="s">
        <v>1279</v>
      </c>
      <c r="D385" s="533" t="s">
        <v>1040</v>
      </c>
      <c r="E385"/>
      <c r="F385" s="986">
        <v>0</v>
      </c>
      <c r="G385" s="986">
        <v>0</v>
      </c>
      <c r="H385" s="986">
        <v>0</v>
      </c>
      <c r="I385" s="986">
        <v>0</v>
      </c>
      <c r="J385" s="986">
        <v>0</v>
      </c>
      <c r="K385" s="986">
        <v>0</v>
      </c>
      <c r="L385" s="986">
        <v>0</v>
      </c>
      <c r="M385" s="986">
        <v>0</v>
      </c>
      <c r="N385" s="986">
        <v>0</v>
      </c>
      <c r="O385" s="986">
        <v>0</v>
      </c>
      <c r="P385" s="2011">
        <v>0</v>
      </c>
      <c r="Q385"/>
      <c r="R385" s="986">
        <v>0</v>
      </c>
      <c r="S385" s="986">
        <v>0</v>
      </c>
      <c r="T385" s="986">
        <v>0</v>
      </c>
      <c r="U385" s="986">
        <v>0</v>
      </c>
      <c r="V385" s="986">
        <v>0</v>
      </c>
      <c r="W385" s="986">
        <v>0</v>
      </c>
      <c r="X385" s="986">
        <v>0</v>
      </c>
      <c r="Y385" s="986">
        <v>0</v>
      </c>
      <c r="Z385" s="986">
        <v>0</v>
      </c>
      <c r="AA385" s="986">
        <v>0</v>
      </c>
      <c r="AB385" s="986">
        <v>0</v>
      </c>
      <c r="AC385" s="986">
        <v>0</v>
      </c>
      <c r="AD385" s="2011">
        <v>0</v>
      </c>
      <c r="AE385"/>
      <c r="AF385" s="986">
        <v>0</v>
      </c>
      <c r="AG385" s="986">
        <v>0</v>
      </c>
      <c r="AH385" s="986">
        <v>25500</v>
      </c>
      <c r="AI385" s="986">
        <v>0</v>
      </c>
      <c r="AJ385" s="986">
        <v>0</v>
      </c>
      <c r="AK385" s="986">
        <v>0</v>
      </c>
      <c r="AL385" s="986">
        <v>17000</v>
      </c>
      <c r="AM385" s="986">
        <v>0</v>
      </c>
      <c r="AN385" s="986">
        <v>0</v>
      </c>
      <c r="AO385" s="986">
        <v>0</v>
      </c>
      <c r="AP385" s="986">
        <v>17000</v>
      </c>
      <c r="AQ385" s="986">
        <v>0</v>
      </c>
      <c r="AR385" s="2011">
        <v>59500</v>
      </c>
      <c r="AS385"/>
      <c r="AT385" s="986">
        <v>0</v>
      </c>
      <c r="AU385" s="986">
        <v>0</v>
      </c>
      <c r="AV385" s="986">
        <v>17000</v>
      </c>
      <c r="AW385" s="986">
        <v>0</v>
      </c>
      <c r="AX385" s="986">
        <v>0</v>
      </c>
      <c r="AY385" s="986">
        <v>0</v>
      </c>
      <c r="AZ385" s="986">
        <v>17000</v>
      </c>
      <c r="BA385" s="986">
        <v>0</v>
      </c>
      <c r="BB385" s="986">
        <v>0</v>
      </c>
      <c r="BC385" s="986">
        <v>0</v>
      </c>
      <c r="BD385" s="986">
        <v>17000</v>
      </c>
      <c r="BE385" s="986">
        <v>0</v>
      </c>
      <c r="BF385" s="2014">
        <v>51000</v>
      </c>
      <c r="BG385"/>
      <c r="BH385" s="986">
        <v>0</v>
      </c>
      <c r="BI385" s="986">
        <v>0</v>
      </c>
      <c r="BJ385" s="986">
        <v>17000</v>
      </c>
      <c r="BK385" s="986">
        <v>0</v>
      </c>
      <c r="BL385" s="986">
        <v>0</v>
      </c>
      <c r="BM385" s="986">
        <v>0</v>
      </c>
      <c r="BN385" s="986">
        <v>17000</v>
      </c>
      <c r="BO385" s="986">
        <v>0</v>
      </c>
      <c r="BP385" s="986">
        <v>0</v>
      </c>
      <c r="BQ385" s="986">
        <v>0</v>
      </c>
      <c r="BR385" s="986">
        <v>17000</v>
      </c>
      <c r="BS385" s="986">
        <v>0</v>
      </c>
      <c r="BT385" s="1498">
        <v>51000</v>
      </c>
      <c r="BU385"/>
      <c r="BV385" s="986">
        <v>8500</v>
      </c>
      <c r="BW385" s="986">
        <v>0</v>
      </c>
      <c r="BX385" s="986">
        <v>0</v>
      </c>
      <c r="BY385" s="1498">
        <v>8500</v>
      </c>
      <c r="BZ385" s="1498">
        <v>170000</v>
      </c>
    </row>
    <row r="386" spans="1:78" s="108" customFormat="1" ht="14.5" hidden="1" customHeight="1" outlineLevel="4">
      <c r="A386" s="580"/>
      <c r="B386" s="107" t="s">
        <v>1041</v>
      </c>
      <c r="C386" s="107" t="s">
        <v>1279</v>
      </c>
      <c r="D386" s="533" t="s">
        <v>1042</v>
      </c>
      <c r="E386"/>
      <c r="F386" s="986">
        <v>0</v>
      </c>
      <c r="G386" s="986">
        <v>0</v>
      </c>
      <c r="H386" s="986">
        <v>0</v>
      </c>
      <c r="I386" s="986">
        <v>0</v>
      </c>
      <c r="J386" s="986">
        <v>0</v>
      </c>
      <c r="K386" s="986">
        <v>0</v>
      </c>
      <c r="L386" s="986">
        <v>0</v>
      </c>
      <c r="M386" s="986">
        <v>0</v>
      </c>
      <c r="N386" s="986">
        <v>0</v>
      </c>
      <c r="O386" s="986">
        <v>0</v>
      </c>
      <c r="P386" s="2011">
        <v>0</v>
      </c>
      <c r="Q386"/>
      <c r="R386" s="986">
        <v>0</v>
      </c>
      <c r="S386" s="986">
        <v>0</v>
      </c>
      <c r="T386" s="986">
        <v>0</v>
      </c>
      <c r="U386" s="986">
        <v>0</v>
      </c>
      <c r="V386" s="986">
        <v>0</v>
      </c>
      <c r="W386" s="986">
        <v>0</v>
      </c>
      <c r="X386" s="986">
        <v>0</v>
      </c>
      <c r="Y386" s="986">
        <v>0</v>
      </c>
      <c r="Z386" s="986">
        <v>0</v>
      </c>
      <c r="AA386" s="986">
        <v>0</v>
      </c>
      <c r="AB386" s="986">
        <v>0</v>
      </c>
      <c r="AC386" s="986">
        <v>0</v>
      </c>
      <c r="AD386" s="2011">
        <v>0</v>
      </c>
      <c r="AE386"/>
      <c r="AF386" s="986">
        <v>0</v>
      </c>
      <c r="AG386" s="986">
        <v>0</v>
      </c>
      <c r="AH386" s="986">
        <v>15000</v>
      </c>
      <c r="AI386" s="986">
        <v>0</v>
      </c>
      <c r="AJ386" s="986">
        <v>0</v>
      </c>
      <c r="AK386" s="986">
        <v>0</v>
      </c>
      <c r="AL386" s="986">
        <v>10000</v>
      </c>
      <c r="AM386" s="986">
        <v>0</v>
      </c>
      <c r="AN386" s="986">
        <v>0</v>
      </c>
      <c r="AO386" s="986">
        <v>0</v>
      </c>
      <c r="AP386" s="986">
        <v>10000</v>
      </c>
      <c r="AQ386" s="986">
        <v>0</v>
      </c>
      <c r="AR386" s="2011">
        <v>35000</v>
      </c>
      <c r="AS386"/>
      <c r="AT386" s="986">
        <v>0</v>
      </c>
      <c r="AU386" s="986">
        <v>0</v>
      </c>
      <c r="AV386" s="986">
        <v>10000</v>
      </c>
      <c r="AW386" s="986">
        <v>0</v>
      </c>
      <c r="AX386" s="986">
        <v>0</v>
      </c>
      <c r="AY386" s="986">
        <v>0</v>
      </c>
      <c r="AZ386" s="986">
        <v>10000</v>
      </c>
      <c r="BA386" s="986">
        <v>0</v>
      </c>
      <c r="BB386" s="986">
        <v>0</v>
      </c>
      <c r="BC386" s="986">
        <v>0</v>
      </c>
      <c r="BD386" s="986">
        <v>10000</v>
      </c>
      <c r="BE386" s="986">
        <v>0</v>
      </c>
      <c r="BF386" s="2014">
        <v>30000</v>
      </c>
      <c r="BG386"/>
      <c r="BH386" s="986">
        <v>0</v>
      </c>
      <c r="BI386" s="986">
        <v>0</v>
      </c>
      <c r="BJ386" s="986">
        <v>10000</v>
      </c>
      <c r="BK386" s="986">
        <v>0</v>
      </c>
      <c r="BL386" s="986">
        <v>0</v>
      </c>
      <c r="BM386" s="986">
        <v>0</v>
      </c>
      <c r="BN386" s="986">
        <v>10000</v>
      </c>
      <c r="BO386" s="986">
        <v>0</v>
      </c>
      <c r="BP386" s="986">
        <v>0</v>
      </c>
      <c r="BQ386" s="986">
        <v>0</v>
      </c>
      <c r="BR386" s="986">
        <v>10000</v>
      </c>
      <c r="BS386" s="986">
        <v>0</v>
      </c>
      <c r="BT386" s="1498">
        <v>30000</v>
      </c>
      <c r="BU386"/>
      <c r="BV386" s="986">
        <v>5000</v>
      </c>
      <c r="BW386" s="986">
        <v>0</v>
      </c>
      <c r="BX386" s="986">
        <v>0</v>
      </c>
      <c r="BY386" s="1498">
        <v>5000</v>
      </c>
      <c r="BZ386" s="1498">
        <v>100000</v>
      </c>
    </row>
    <row r="387" spans="1:78" s="108" customFormat="1" ht="27.5" hidden="1" customHeight="1" outlineLevel="4">
      <c r="A387" s="580"/>
      <c r="B387" s="107" t="s">
        <v>1043</v>
      </c>
      <c r="C387" s="107" t="s">
        <v>1279</v>
      </c>
      <c r="D387" s="533" t="s">
        <v>1044</v>
      </c>
      <c r="E387"/>
      <c r="F387" s="986">
        <v>0</v>
      </c>
      <c r="G387" s="986">
        <v>0</v>
      </c>
      <c r="H387" s="986">
        <v>0</v>
      </c>
      <c r="I387" s="986">
        <v>0</v>
      </c>
      <c r="J387" s="986">
        <v>0</v>
      </c>
      <c r="K387" s="986">
        <v>0</v>
      </c>
      <c r="L387" s="986">
        <v>0</v>
      </c>
      <c r="M387" s="986">
        <v>0</v>
      </c>
      <c r="N387" s="986">
        <v>0</v>
      </c>
      <c r="O387" s="986">
        <v>0</v>
      </c>
      <c r="P387" s="2011">
        <v>0</v>
      </c>
      <c r="Q387"/>
      <c r="R387" s="986">
        <v>0</v>
      </c>
      <c r="S387" s="986">
        <v>0</v>
      </c>
      <c r="T387" s="986">
        <v>0</v>
      </c>
      <c r="U387" s="986">
        <v>0</v>
      </c>
      <c r="V387" s="986">
        <v>0</v>
      </c>
      <c r="W387" s="986">
        <v>0</v>
      </c>
      <c r="X387" s="986">
        <v>0</v>
      </c>
      <c r="Y387" s="986">
        <v>0</v>
      </c>
      <c r="Z387" s="986">
        <v>0</v>
      </c>
      <c r="AA387" s="986">
        <v>0</v>
      </c>
      <c r="AB387" s="986">
        <v>0</v>
      </c>
      <c r="AC387" s="986">
        <v>0</v>
      </c>
      <c r="AD387" s="2011">
        <v>0</v>
      </c>
      <c r="AE387"/>
      <c r="AF387" s="986">
        <v>0</v>
      </c>
      <c r="AG387" s="986">
        <v>0</v>
      </c>
      <c r="AH387" s="986">
        <v>6000</v>
      </c>
      <c r="AI387" s="986">
        <v>0</v>
      </c>
      <c r="AJ387" s="986">
        <v>0</v>
      </c>
      <c r="AK387" s="986">
        <v>0</v>
      </c>
      <c r="AL387" s="986">
        <v>4000</v>
      </c>
      <c r="AM387" s="986">
        <v>0</v>
      </c>
      <c r="AN387" s="986">
        <v>0</v>
      </c>
      <c r="AO387" s="986">
        <v>0</v>
      </c>
      <c r="AP387" s="986">
        <v>4000</v>
      </c>
      <c r="AQ387" s="986">
        <v>0</v>
      </c>
      <c r="AR387" s="2011">
        <v>14000</v>
      </c>
      <c r="AS387"/>
      <c r="AT387" s="986">
        <v>0</v>
      </c>
      <c r="AU387" s="986">
        <v>0</v>
      </c>
      <c r="AV387" s="986">
        <v>4000</v>
      </c>
      <c r="AW387" s="986">
        <v>0</v>
      </c>
      <c r="AX387" s="986">
        <v>0</v>
      </c>
      <c r="AY387" s="986">
        <v>0</v>
      </c>
      <c r="AZ387" s="986">
        <v>4000</v>
      </c>
      <c r="BA387" s="986">
        <v>0</v>
      </c>
      <c r="BB387" s="986">
        <v>0</v>
      </c>
      <c r="BC387" s="986">
        <v>0</v>
      </c>
      <c r="BD387" s="986">
        <v>4000</v>
      </c>
      <c r="BE387" s="986">
        <v>0</v>
      </c>
      <c r="BF387" s="2014">
        <v>12000</v>
      </c>
      <c r="BG387"/>
      <c r="BH387" s="986">
        <v>0</v>
      </c>
      <c r="BI387" s="986">
        <v>0</v>
      </c>
      <c r="BJ387" s="986">
        <v>4000</v>
      </c>
      <c r="BK387" s="986">
        <v>0</v>
      </c>
      <c r="BL387" s="986">
        <v>0</v>
      </c>
      <c r="BM387" s="986">
        <v>0</v>
      </c>
      <c r="BN387" s="986">
        <v>4000</v>
      </c>
      <c r="BO387" s="986">
        <v>0</v>
      </c>
      <c r="BP387" s="986">
        <v>0</v>
      </c>
      <c r="BQ387" s="986">
        <v>0</v>
      </c>
      <c r="BR387" s="986">
        <v>4000</v>
      </c>
      <c r="BS387" s="986">
        <v>0</v>
      </c>
      <c r="BT387" s="1498">
        <v>12000</v>
      </c>
      <c r="BU387"/>
      <c r="BV387" s="986">
        <v>2000</v>
      </c>
      <c r="BW387" s="986">
        <v>0</v>
      </c>
      <c r="BX387" s="986">
        <v>0</v>
      </c>
      <c r="BY387" s="1498">
        <v>2000</v>
      </c>
      <c r="BZ387" s="1498">
        <v>40000</v>
      </c>
    </row>
    <row r="388" spans="1:78" s="108" customFormat="1" ht="41.5" hidden="1" customHeight="1" outlineLevel="4">
      <c r="A388" s="580"/>
      <c r="B388" s="107" t="s">
        <v>1045</v>
      </c>
      <c r="C388" s="107" t="s">
        <v>1279</v>
      </c>
      <c r="D388" s="533" t="s">
        <v>1046</v>
      </c>
      <c r="E388"/>
      <c r="F388" s="986">
        <v>0</v>
      </c>
      <c r="G388" s="986">
        <v>0</v>
      </c>
      <c r="H388" s="986">
        <v>0</v>
      </c>
      <c r="I388" s="986">
        <v>0</v>
      </c>
      <c r="J388" s="986">
        <v>0</v>
      </c>
      <c r="K388" s="986">
        <v>0</v>
      </c>
      <c r="L388" s="986">
        <v>0</v>
      </c>
      <c r="M388" s="986">
        <v>0</v>
      </c>
      <c r="N388" s="986">
        <v>0</v>
      </c>
      <c r="O388" s="986">
        <v>0</v>
      </c>
      <c r="P388" s="2011">
        <v>0</v>
      </c>
      <c r="Q388"/>
      <c r="R388" s="986">
        <v>0</v>
      </c>
      <c r="S388" s="986">
        <v>0</v>
      </c>
      <c r="T388" s="986">
        <v>0</v>
      </c>
      <c r="U388" s="986">
        <v>0</v>
      </c>
      <c r="V388" s="986">
        <v>0</v>
      </c>
      <c r="W388" s="986">
        <v>0</v>
      </c>
      <c r="X388" s="986">
        <v>0</v>
      </c>
      <c r="Y388" s="986">
        <v>0</v>
      </c>
      <c r="Z388" s="986">
        <v>0</v>
      </c>
      <c r="AA388" s="986">
        <v>0</v>
      </c>
      <c r="AB388" s="986">
        <v>0</v>
      </c>
      <c r="AC388" s="986">
        <v>0</v>
      </c>
      <c r="AD388" s="2011">
        <v>0</v>
      </c>
      <c r="AE388"/>
      <c r="AF388" s="986">
        <v>0</v>
      </c>
      <c r="AG388" s="986">
        <v>0</v>
      </c>
      <c r="AH388" s="986">
        <v>82500</v>
      </c>
      <c r="AI388" s="986">
        <v>0</v>
      </c>
      <c r="AJ388" s="986">
        <v>0</v>
      </c>
      <c r="AK388" s="986">
        <v>0</v>
      </c>
      <c r="AL388" s="986">
        <v>55000</v>
      </c>
      <c r="AM388" s="986">
        <v>0</v>
      </c>
      <c r="AN388" s="986">
        <v>0</v>
      </c>
      <c r="AO388" s="986">
        <v>0</v>
      </c>
      <c r="AP388" s="986">
        <v>55000</v>
      </c>
      <c r="AQ388" s="986">
        <v>0</v>
      </c>
      <c r="AR388" s="2011">
        <v>192500</v>
      </c>
      <c r="AS388"/>
      <c r="AT388" s="986">
        <v>0</v>
      </c>
      <c r="AU388" s="986">
        <v>0</v>
      </c>
      <c r="AV388" s="986">
        <v>55000</v>
      </c>
      <c r="AW388" s="986">
        <v>0</v>
      </c>
      <c r="AX388" s="986">
        <v>0</v>
      </c>
      <c r="AY388" s="986">
        <v>0</v>
      </c>
      <c r="AZ388" s="986">
        <v>55000</v>
      </c>
      <c r="BA388" s="986">
        <v>0</v>
      </c>
      <c r="BB388" s="986">
        <v>0</v>
      </c>
      <c r="BC388" s="986">
        <v>0</v>
      </c>
      <c r="BD388" s="986">
        <v>55000</v>
      </c>
      <c r="BE388" s="986">
        <v>0</v>
      </c>
      <c r="BF388" s="2014">
        <v>165000</v>
      </c>
      <c r="BG388"/>
      <c r="BH388" s="986">
        <v>0</v>
      </c>
      <c r="BI388" s="986">
        <v>0</v>
      </c>
      <c r="BJ388" s="986">
        <v>55000</v>
      </c>
      <c r="BK388" s="986">
        <v>0</v>
      </c>
      <c r="BL388" s="986">
        <v>0</v>
      </c>
      <c r="BM388" s="986">
        <v>0</v>
      </c>
      <c r="BN388" s="986">
        <v>55000</v>
      </c>
      <c r="BO388" s="986">
        <v>0</v>
      </c>
      <c r="BP388" s="986">
        <v>0</v>
      </c>
      <c r="BQ388" s="986">
        <v>0</v>
      </c>
      <c r="BR388" s="986">
        <v>55000</v>
      </c>
      <c r="BS388" s="986">
        <v>0</v>
      </c>
      <c r="BT388" s="1498">
        <v>165000</v>
      </c>
      <c r="BU388"/>
      <c r="BV388" s="986">
        <v>27500</v>
      </c>
      <c r="BW388" s="986">
        <v>0</v>
      </c>
      <c r="BX388" s="986">
        <v>0</v>
      </c>
      <c r="BY388" s="1498">
        <v>27500</v>
      </c>
      <c r="BZ388" s="1498">
        <v>550000</v>
      </c>
    </row>
    <row r="389" spans="1:78" s="108" customFormat="1" ht="14.5" hidden="1" customHeight="1" outlineLevel="3" collapsed="1">
      <c r="A389" s="580"/>
      <c r="B389" s="107" t="s">
        <v>1047</v>
      </c>
      <c r="C389" s="107"/>
      <c r="D389" s="1911" t="s">
        <v>965</v>
      </c>
      <c r="E389"/>
      <c r="F389" s="986">
        <v>0</v>
      </c>
      <c r="G389" s="986">
        <v>0</v>
      </c>
      <c r="H389" s="986">
        <v>0</v>
      </c>
      <c r="I389" s="986">
        <v>0</v>
      </c>
      <c r="J389" s="986">
        <v>0</v>
      </c>
      <c r="K389" s="986">
        <v>0</v>
      </c>
      <c r="L389" s="986">
        <v>0</v>
      </c>
      <c r="M389" s="986">
        <v>0</v>
      </c>
      <c r="N389" s="986">
        <v>0</v>
      </c>
      <c r="O389" s="986">
        <v>0</v>
      </c>
      <c r="P389" s="2011">
        <v>0</v>
      </c>
      <c r="Q389"/>
      <c r="R389" s="986">
        <v>0</v>
      </c>
      <c r="S389" s="986">
        <v>0</v>
      </c>
      <c r="T389" s="986">
        <v>0</v>
      </c>
      <c r="U389" s="986">
        <v>0</v>
      </c>
      <c r="V389" s="986">
        <v>0</v>
      </c>
      <c r="W389" s="986">
        <v>0</v>
      </c>
      <c r="X389" s="986">
        <v>0</v>
      </c>
      <c r="Y389" s="986">
        <v>0</v>
      </c>
      <c r="Z389" s="986">
        <v>0</v>
      </c>
      <c r="AA389" s="986">
        <v>0</v>
      </c>
      <c r="AB389" s="986">
        <v>0</v>
      </c>
      <c r="AC389" s="986">
        <v>0</v>
      </c>
      <c r="AD389" s="2011">
        <v>0</v>
      </c>
      <c r="AE389"/>
      <c r="AF389" s="986">
        <v>0</v>
      </c>
      <c r="AG389" s="986">
        <v>0</v>
      </c>
      <c r="AH389" s="986">
        <v>0</v>
      </c>
      <c r="AI389" s="986">
        <v>0</v>
      </c>
      <c r="AJ389" s="986">
        <v>0</v>
      </c>
      <c r="AK389" s="986">
        <v>0</v>
      </c>
      <c r="AL389" s="986">
        <v>25000</v>
      </c>
      <c r="AM389" s="986">
        <v>0</v>
      </c>
      <c r="AN389" s="986">
        <v>0</v>
      </c>
      <c r="AO389" s="986">
        <v>0</v>
      </c>
      <c r="AP389" s="986">
        <v>0</v>
      </c>
      <c r="AQ389" s="986">
        <v>0</v>
      </c>
      <c r="AR389" s="2011">
        <v>25000</v>
      </c>
      <c r="AS389"/>
      <c r="AT389" s="986">
        <v>0</v>
      </c>
      <c r="AU389" s="986">
        <v>0</v>
      </c>
      <c r="AV389" s="986">
        <v>0</v>
      </c>
      <c r="AW389" s="986">
        <v>0</v>
      </c>
      <c r="AX389" s="986">
        <v>0</v>
      </c>
      <c r="AY389" s="986">
        <v>0</v>
      </c>
      <c r="AZ389" s="986">
        <v>0</v>
      </c>
      <c r="BA389" s="986">
        <v>0</v>
      </c>
      <c r="BB389" s="986">
        <v>0</v>
      </c>
      <c r="BC389" s="986">
        <v>0</v>
      </c>
      <c r="BD389" s="986">
        <v>0</v>
      </c>
      <c r="BE389" s="986">
        <v>0</v>
      </c>
      <c r="BF389" s="2014">
        <v>0</v>
      </c>
      <c r="BG389"/>
      <c r="BH389" s="986">
        <v>0</v>
      </c>
      <c r="BI389" s="986">
        <v>0</v>
      </c>
      <c r="BJ389" s="986">
        <v>0</v>
      </c>
      <c r="BK389" s="986">
        <v>0</v>
      </c>
      <c r="BL389" s="986">
        <v>0</v>
      </c>
      <c r="BM389" s="986">
        <v>0</v>
      </c>
      <c r="BN389" s="986">
        <v>0</v>
      </c>
      <c r="BO389" s="986">
        <v>0</v>
      </c>
      <c r="BP389" s="986">
        <v>0</v>
      </c>
      <c r="BQ389" s="986">
        <v>0</v>
      </c>
      <c r="BR389" s="986">
        <v>0</v>
      </c>
      <c r="BS389" s="986">
        <v>0</v>
      </c>
      <c r="BT389" s="1498">
        <v>0</v>
      </c>
      <c r="BU389"/>
      <c r="BV389" s="986">
        <v>0</v>
      </c>
      <c r="BW389" s="986">
        <v>0</v>
      </c>
      <c r="BX389" s="986">
        <v>0</v>
      </c>
      <c r="BY389" s="1498">
        <v>0</v>
      </c>
      <c r="BZ389" s="1498">
        <v>25000</v>
      </c>
    </row>
    <row r="390" spans="1:78" s="108" customFormat="1" ht="14" customHeight="1" outlineLevel="2" collapsed="1">
      <c r="A390" s="580"/>
      <c r="B390" s="107"/>
      <c r="C390" s="107"/>
      <c r="D390" s="533"/>
      <c r="E390"/>
      <c r="F390" s="986"/>
      <c r="G390" s="986"/>
      <c r="H390" s="986"/>
      <c r="I390" s="986"/>
      <c r="J390" s="986"/>
      <c r="K390" s="986"/>
      <c r="L390" s="986"/>
      <c r="M390" s="986"/>
      <c r="N390" s="986"/>
      <c r="O390" s="986"/>
      <c r="P390" s="2011">
        <v>0</v>
      </c>
      <c r="Q390"/>
      <c r="R390" s="986"/>
      <c r="S390" s="986"/>
      <c r="T390" s="986"/>
      <c r="U390" s="986"/>
      <c r="V390" s="986"/>
      <c r="W390" s="986"/>
      <c r="X390" s="986"/>
      <c r="Y390" s="986"/>
      <c r="Z390" s="986"/>
      <c r="AA390" s="986"/>
      <c r="AB390" s="986"/>
      <c r="AC390" s="986"/>
      <c r="AD390" s="2011">
        <v>0</v>
      </c>
      <c r="AE390"/>
      <c r="AF390" s="986"/>
      <c r="AG390" s="986"/>
      <c r="AH390" s="986"/>
      <c r="AI390" s="986"/>
      <c r="AJ390" s="986"/>
      <c r="AK390" s="986"/>
      <c r="AL390" s="986"/>
      <c r="AM390" s="986"/>
      <c r="AN390" s="986"/>
      <c r="AO390" s="986"/>
      <c r="AP390" s="986"/>
      <c r="AQ390" s="986"/>
      <c r="AR390" s="2011">
        <v>0</v>
      </c>
      <c r="AS390"/>
      <c r="AT390" s="986"/>
      <c r="AU390" s="986"/>
      <c r="AV390" s="986"/>
      <c r="AW390" s="986"/>
      <c r="AX390" s="986"/>
      <c r="AY390" s="986"/>
      <c r="AZ390" s="986"/>
      <c r="BA390" s="986"/>
      <c r="BB390" s="986"/>
      <c r="BC390" s="986"/>
      <c r="BD390" s="986"/>
      <c r="BE390" s="986"/>
      <c r="BF390" s="2014">
        <v>0</v>
      </c>
      <c r="BG390"/>
      <c r="BH390" s="986"/>
      <c r="BI390" s="986"/>
      <c r="BJ390" s="986"/>
      <c r="BK390" s="986"/>
      <c r="BL390" s="986"/>
      <c r="BM390" s="986"/>
      <c r="BN390" s="986"/>
      <c r="BO390" s="986"/>
      <c r="BP390" s="986"/>
      <c r="BQ390" s="986"/>
      <c r="BR390" s="986"/>
      <c r="BS390" s="986"/>
      <c r="BT390" s="1498">
        <v>0</v>
      </c>
      <c r="BU390"/>
      <c r="BV390" s="986"/>
      <c r="BW390" s="986"/>
      <c r="BX390" s="986"/>
      <c r="BY390" s="1498">
        <v>0</v>
      </c>
      <c r="BZ390" s="1498">
        <v>0</v>
      </c>
    </row>
    <row r="391" spans="1:78" s="153" customFormat="1" ht="30" outlineLevel="1">
      <c r="A391" s="578"/>
      <c r="B391" s="428" t="s">
        <v>572</v>
      </c>
      <c r="C391" s="428"/>
      <c r="D391" s="545" t="s">
        <v>58</v>
      </c>
      <c r="E391"/>
      <c r="F391" s="977">
        <v>0</v>
      </c>
      <c r="G391" s="977">
        <v>0</v>
      </c>
      <c r="H391" s="977">
        <v>0</v>
      </c>
      <c r="I391" s="977">
        <v>0</v>
      </c>
      <c r="J391" s="977">
        <v>0</v>
      </c>
      <c r="K391" s="977">
        <v>0</v>
      </c>
      <c r="L391" s="977">
        <v>0</v>
      </c>
      <c r="M391" s="977">
        <v>0</v>
      </c>
      <c r="N391" s="977">
        <v>0</v>
      </c>
      <c r="O391" s="977">
        <v>0</v>
      </c>
      <c r="P391" s="977">
        <v>0</v>
      </c>
      <c r="Q391"/>
      <c r="R391" s="977">
        <v>0</v>
      </c>
      <c r="S391" s="977">
        <v>0</v>
      </c>
      <c r="T391" s="977">
        <v>0</v>
      </c>
      <c r="U391" s="977">
        <v>3000</v>
      </c>
      <c r="V391" s="977">
        <v>3000</v>
      </c>
      <c r="W391" s="977">
        <v>3000</v>
      </c>
      <c r="X391" s="977">
        <v>3000</v>
      </c>
      <c r="Y391" s="977">
        <v>3000</v>
      </c>
      <c r="Z391" s="977">
        <v>96450</v>
      </c>
      <c r="AA391" s="977">
        <v>3000</v>
      </c>
      <c r="AB391" s="977">
        <v>3000</v>
      </c>
      <c r="AC391" s="977">
        <v>3000</v>
      </c>
      <c r="AD391" s="977">
        <v>120450</v>
      </c>
      <c r="AE391"/>
      <c r="AF391" s="977">
        <v>65300</v>
      </c>
      <c r="AG391" s="977">
        <v>3000</v>
      </c>
      <c r="AH391" s="977">
        <v>60000</v>
      </c>
      <c r="AI391" s="977">
        <v>3000</v>
      </c>
      <c r="AJ391" s="977">
        <v>65300</v>
      </c>
      <c r="AK391" s="977">
        <v>3000</v>
      </c>
      <c r="AL391" s="977">
        <v>41000</v>
      </c>
      <c r="AM391" s="977">
        <v>3000</v>
      </c>
      <c r="AN391" s="977">
        <v>65300</v>
      </c>
      <c r="AO391" s="977">
        <v>0</v>
      </c>
      <c r="AP391" s="977">
        <v>38000</v>
      </c>
      <c r="AQ391" s="977">
        <v>0</v>
      </c>
      <c r="AR391" s="977">
        <v>346900</v>
      </c>
      <c r="AS391"/>
      <c r="AT391" s="977">
        <v>62300</v>
      </c>
      <c r="AU391" s="977">
        <v>0</v>
      </c>
      <c r="AV391" s="977">
        <v>38000</v>
      </c>
      <c r="AW391" s="977">
        <v>0</v>
      </c>
      <c r="AX391" s="977">
        <v>62300</v>
      </c>
      <c r="AY391" s="977">
        <v>0</v>
      </c>
      <c r="AZ391" s="977">
        <v>38000</v>
      </c>
      <c r="BA391" s="977">
        <v>0</v>
      </c>
      <c r="BB391" s="977">
        <v>62300</v>
      </c>
      <c r="BC391" s="977">
        <v>0</v>
      </c>
      <c r="BD391" s="977">
        <v>38000</v>
      </c>
      <c r="BE391" s="977">
        <v>0</v>
      </c>
      <c r="BF391" s="978">
        <v>300900</v>
      </c>
      <c r="BG391"/>
      <c r="BH391" s="977">
        <v>62300</v>
      </c>
      <c r="BI391" s="977">
        <v>0</v>
      </c>
      <c r="BJ391" s="977">
        <v>38000</v>
      </c>
      <c r="BK391" s="977">
        <v>0</v>
      </c>
      <c r="BL391" s="977">
        <v>62300</v>
      </c>
      <c r="BM391" s="977">
        <v>0</v>
      </c>
      <c r="BN391" s="977">
        <v>38000</v>
      </c>
      <c r="BO391" s="977">
        <v>0</v>
      </c>
      <c r="BP391" s="977">
        <v>31150</v>
      </c>
      <c r="BQ391" s="977">
        <v>0</v>
      </c>
      <c r="BR391" s="977">
        <v>57000</v>
      </c>
      <c r="BS391" s="977">
        <v>0</v>
      </c>
      <c r="BT391" s="976">
        <v>288750</v>
      </c>
      <c r="BU391"/>
      <c r="BV391" s="977">
        <v>0</v>
      </c>
      <c r="BW391" s="977">
        <v>0</v>
      </c>
      <c r="BX391" s="977">
        <v>0</v>
      </c>
      <c r="BY391" s="976">
        <v>0</v>
      </c>
      <c r="BZ391" s="976">
        <v>1057000</v>
      </c>
    </row>
    <row r="392" spans="1:78" s="153" customFormat="1" ht="41.5" customHeight="1" outlineLevel="2">
      <c r="A392" s="172"/>
      <c r="B392" s="171" t="s">
        <v>573</v>
      </c>
      <c r="C392" s="171"/>
      <c r="D392" s="1652" t="s">
        <v>60</v>
      </c>
      <c r="E392"/>
      <c r="F392" s="176">
        <v>0</v>
      </c>
      <c r="G392" s="176">
        <v>0</v>
      </c>
      <c r="H392" s="176">
        <v>0</v>
      </c>
      <c r="I392" s="176">
        <v>0</v>
      </c>
      <c r="J392" s="176">
        <v>0</v>
      </c>
      <c r="K392" s="176">
        <v>0</v>
      </c>
      <c r="L392" s="176">
        <v>0</v>
      </c>
      <c r="M392" s="176">
        <v>0</v>
      </c>
      <c r="N392" s="176">
        <v>0</v>
      </c>
      <c r="O392" s="176">
        <v>0</v>
      </c>
      <c r="P392" s="176">
        <v>0</v>
      </c>
      <c r="Q392"/>
      <c r="R392" s="176">
        <v>0</v>
      </c>
      <c r="S392" s="176">
        <v>0</v>
      </c>
      <c r="T392" s="176">
        <v>0</v>
      </c>
      <c r="U392" s="176">
        <v>0</v>
      </c>
      <c r="V392" s="176">
        <v>0</v>
      </c>
      <c r="W392" s="176">
        <v>0</v>
      </c>
      <c r="X392" s="176">
        <v>0</v>
      </c>
      <c r="Y392" s="176">
        <v>0</v>
      </c>
      <c r="Z392" s="176">
        <v>93450</v>
      </c>
      <c r="AA392" s="176">
        <v>0</v>
      </c>
      <c r="AB392" s="176">
        <v>0</v>
      </c>
      <c r="AC392" s="176">
        <v>0</v>
      </c>
      <c r="AD392" s="176">
        <v>93450</v>
      </c>
      <c r="AE392"/>
      <c r="AF392" s="176">
        <v>62300</v>
      </c>
      <c r="AG392" s="176">
        <v>0</v>
      </c>
      <c r="AH392" s="176">
        <v>0</v>
      </c>
      <c r="AI392" s="176">
        <v>0</v>
      </c>
      <c r="AJ392" s="176">
        <v>62300</v>
      </c>
      <c r="AK392" s="176">
        <v>0</v>
      </c>
      <c r="AL392" s="176">
        <v>0</v>
      </c>
      <c r="AM392" s="176">
        <v>0</v>
      </c>
      <c r="AN392" s="176">
        <v>62300</v>
      </c>
      <c r="AO392" s="176">
        <v>0</v>
      </c>
      <c r="AP392" s="176">
        <v>0</v>
      </c>
      <c r="AQ392" s="176">
        <v>0</v>
      </c>
      <c r="AR392" s="176">
        <v>186900</v>
      </c>
      <c r="AS392"/>
      <c r="AT392" s="176">
        <v>62300</v>
      </c>
      <c r="AU392" s="176">
        <v>0</v>
      </c>
      <c r="AV392" s="176">
        <v>0</v>
      </c>
      <c r="AW392" s="176">
        <v>0</v>
      </c>
      <c r="AX392" s="176">
        <v>62300</v>
      </c>
      <c r="AY392" s="176">
        <v>0</v>
      </c>
      <c r="AZ392" s="176">
        <v>0</v>
      </c>
      <c r="BA392" s="176">
        <v>0</v>
      </c>
      <c r="BB392" s="176">
        <v>62300</v>
      </c>
      <c r="BC392" s="176">
        <v>0</v>
      </c>
      <c r="BD392" s="176">
        <v>0</v>
      </c>
      <c r="BE392" s="176">
        <v>0</v>
      </c>
      <c r="BF392" s="176">
        <v>186900</v>
      </c>
      <c r="BG392"/>
      <c r="BH392" s="176">
        <v>62300</v>
      </c>
      <c r="BI392" s="176">
        <v>0</v>
      </c>
      <c r="BJ392" s="176">
        <v>0</v>
      </c>
      <c r="BK392" s="176">
        <v>0</v>
      </c>
      <c r="BL392" s="176">
        <v>62300</v>
      </c>
      <c r="BM392" s="176">
        <v>0</v>
      </c>
      <c r="BN392" s="176">
        <v>0</v>
      </c>
      <c r="BO392" s="176">
        <v>0</v>
      </c>
      <c r="BP392" s="176">
        <v>31150</v>
      </c>
      <c r="BQ392" s="176">
        <v>0</v>
      </c>
      <c r="BR392" s="176">
        <v>0</v>
      </c>
      <c r="BS392" s="176">
        <v>0</v>
      </c>
      <c r="BT392" s="176">
        <v>155750</v>
      </c>
      <c r="BU392"/>
      <c r="BV392" s="176">
        <v>0</v>
      </c>
      <c r="BW392" s="176">
        <v>0</v>
      </c>
      <c r="BX392" s="176">
        <v>0</v>
      </c>
      <c r="BY392" s="176">
        <v>0</v>
      </c>
      <c r="BZ392" s="176">
        <v>623000</v>
      </c>
    </row>
    <row r="393" spans="1:78" s="108" customFormat="1" ht="62" hidden="1" customHeight="1" outlineLevel="3">
      <c r="A393" s="159"/>
      <c r="B393" s="702" t="s">
        <v>1049</v>
      </c>
      <c r="C393" s="702"/>
      <c r="D393" s="1750" t="s">
        <v>1052</v>
      </c>
      <c r="E393"/>
      <c r="F393" s="1001">
        <v>0</v>
      </c>
      <c r="G393" s="1001">
        <v>0</v>
      </c>
      <c r="H393" s="1001">
        <v>0</v>
      </c>
      <c r="I393" s="1001">
        <v>0</v>
      </c>
      <c r="J393" s="1001">
        <v>0</v>
      </c>
      <c r="K393" s="1001">
        <v>0</v>
      </c>
      <c r="L393" s="1001">
        <v>0</v>
      </c>
      <c r="M393" s="1001">
        <v>0</v>
      </c>
      <c r="N393" s="1001">
        <v>0</v>
      </c>
      <c r="O393" s="1001">
        <v>0</v>
      </c>
      <c r="P393" s="996">
        <v>0</v>
      </c>
      <c r="Q393"/>
      <c r="R393" s="1001">
        <v>0</v>
      </c>
      <c r="S393" s="1001">
        <v>0</v>
      </c>
      <c r="T393" s="1001">
        <v>0</v>
      </c>
      <c r="U393" s="1001">
        <v>0</v>
      </c>
      <c r="V393" s="1001">
        <v>0</v>
      </c>
      <c r="W393" s="1001"/>
      <c r="X393" s="1001">
        <v>0</v>
      </c>
      <c r="Y393" s="1001">
        <v>0</v>
      </c>
      <c r="Z393" s="1001">
        <v>93450</v>
      </c>
      <c r="AA393" s="1001">
        <v>0</v>
      </c>
      <c r="AB393" s="1001">
        <v>0</v>
      </c>
      <c r="AC393" s="1001">
        <v>0</v>
      </c>
      <c r="AD393" s="996">
        <v>93450</v>
      </c>
      <c r="AE393"/>
      <c r="AF393" s="1001">
        <v>62300</v>
      </c>
      <c r="AG393" s="1001">
        <v>0</v>
      </c>
      <c r="AH393" s="1001">
        <v>0</v>
      </c>
      <c r="AI393" s="1001">
        <v>0</v>
      </c>
      <c r="AJ393" s="1001">
        <v>62300</v>
      </c>
      <c r="AK393" s="1001">
        <v>0</v>
      </c>
      <c r="AL393" s="1001">
        <v>0</v>
      </c>
      <c r="AM393" s="1001">
        <v>0</v>
      </c>
      <c r="AN393" s="1001">
        <v>62300</v>
      </c>
      <c r="AO393" s="1001">
        <v>0</v>
      </c>
      <c r="AP393" s="1001">
        <v>0</v>
      </c>
      <c r="AQ393" s="1001">
        <v>0</v>
      </c>
      <c r="AR393" s="996">
        <v>186900</v>
      </c>
      <c r="AS393"/>
      <c r="AT393" s="1001">
        <v>62300</v>
      </c>
      <c r="AU393" s="1001">
        <v>0</v>
      </c>
      <c r="AV393" s="1001">
        <v>0</v>
      </c>
      <c r="AW393" s="1001">
        <v>0</v>
      </c>
      <c r="AX393" s="1001">
        <v>62300</v>
      </c>
      <c r="AY393" s="1001">
        <v>0</v>
      </c>
      <c r="AZ393" s="1001">
        <v>0</v>
      </c>
      <c r="BA393" s="1001">
        <v>0</v>
      </c>
      <c r="BB393" s="1001">
        <v>62300</v>
      </c>
      <c r="BC393" s="1001">
        <v>0</v>
      </c>
      <c r="BD393" s="1001">
        <v>0</v>
      </c>
      <c r="BE393" s="1001">
        <v>0</v>
      </c>
      <c r="BF393" s="997">
        <v>186900</v>
      </c>
      <c r="BG393"/>
      <c r="BH393" s="1001">
        <v>62300</v>
      </c>
      <c r="BI393" s="1001">
        <v>0</v>
      </c>
      <c r="BJ393" s="1001">
        <v>0</v>
      </c>
      <c r="BK393" s="1001">
        <v>0</v>
      </c>
      <c r="BL393" s="1001">
        <v>62300</v>
      </c>
      <c r="BM393" s="1001">
        <v>0</v>
      </c>
      <c r="BN393" s="1001">
        <v>0</v>
      </c>
      <c r="BO393" s="1001">
        <v>0</v>
      </c>
      <c r="BP393" s="1001">
        <v>31150</v>
      </c>
      <c r="BQ393" s="1001">
        <v>0</v>
      </c>
      <c r="BR393" s="1001">
        <v>0</v>
      </c>
      <c r="BS393" s="1001">
        <v>0</v>
      </c>
      <c r="BT393" s="995">
        <v>155750</v>
      </c>
      <c r="BU393"/>
      <c r="BV393" s="1001">
        <v>0</v>
      </c>
      <c r="BW393" s="1001">
        <v>0</v>
      </c>
      <c r="BX393" s="1001">
        <v>0</v>
      </c>
      <c r="BY393" s="995">
        <v>0</v>
      </c>
      <c r="BZ393" s="995">
        <v>623000</v>
      </c>
    </row>
    <row r="394" spans="1:78" s="153" customFormat="1" ht="47.5" customHeight="1" outlineLevel="2" collapsed="1">
      <c r="A394" s="172"/>
      <c r="B394" s="171" t="s">
        <v>575</v>
      </c>
      <c r="C394" s="171"/>
      <c r="D394" s="1652" t="s">
        <v>62</v>
      </c>
      <c r="E394"/>
      <c r="F394" s="176">
        <v>0</v>
      </c>
      <c r="G394" s="176">
        <v>0</v>
      </c>
      <c r="H394" s="176">
        <v>0</v>
      </c>
      <c r="I394" s="176">
        <v>0</v>
      </c>
      <c r="J394" s="176">
        <v>0</v>
      </c>
      <c r="K394" s="176">
        <v>0</v>
      </c>
      <c r="L394" s="176">
        <v>0</v>
      </c>
      <c r="M394" s="176">
        <v>0</v>
      </c>
      <c r="N394" s="176">
        <v>0</v>
      </c>
      <c r="O394" s="176">
        <v>0</v>
      </c>
      <c r="P394" s="176">
        <v>0</v>
      </c>
      <c r="Q394"/>
      <c r="R394" s="176">
        <v>0</v>
      </c>
      <c r="S394" s="176">
        <v>0</v>
      </c>
      <c r="T394" s="176">
        <v>0</v>
      </c>
      <c r="U394" s="176">
        <v>3000</v>
      </c>
      <c r="V394" s="176">
        <v>3000</v>
      </c>
      <c r="W394" s="176">
        <v>3000</v>
      </c>
      <c r="X394" s="176">
        <v>3000</v>
      </c>
      <c r="Y394" s="176">
        <v>3000</v>
      </c>
      <c r="Z394" s="176">
        <v>3000</v>
      </c>
      <c r="AA394" s="176">
        <v>3000</v>
      </c>
      <c r="AB394" s="176">
        <v>3000</v>
      </c>
      <c r="AC394" s="176">
        <v>3000</v>
      </c>
      <c r="AD394" s="176">
        <v>27000</v>
      </c>
      <c r="AE394"/>
      <c r="AF394" s="176">
        <v>3000</v>
      </c>
      <c r="AG394" s="176">
        <v>3000</v>
      </c>
      <c r="AH394" s="176">
        <v>60000</v>
      </c>
      <c r="AI394" s="176">
        <v>3000</v>
      </c>
      <c r="AJ394" s="176">
        <v>3000</v>
      </c>
      <c r="AK394" s="176">
        <v>3000</v>
      </c>
      <c r="AL394" s="176">
        <v>41000</v>
      </c>
      <c r="AM394" s="176">
        <v>3000</v>
      </c>
      <c r="AN394" s="176">
        <v>3000</v>
      </c>
      <c r="AO394" s="176">
        <v>0</v>
      </c>
      <c r="AP394" s="176">
        <v>38000</v>
      </c>
      <c r="AQ394" s="176">
        <v>0</v>
      </c>
      <c r="AR394" s="176">
        <v>160000</v>
      </c>
      <c r="AS394"/>
      <c r="AT394" s="176">
        <v>0</v>
      </c>
      <c r="AU394" s="176">
        <v>0</v>
      </c>
      <c r="AV394" s="176">
        <v>38000</v>
      </c>
      <c r="AW394" s="176">
        <v>0</v>
      </c>
      <c r="AX394" s="176">
        <v>0</v>
      </c>
      <c r="AY394" s="176">
        <v>0</v>
      </c>
      <c r="AZ394" s="176">
        <v>38000</v>
      </c>
      <c r="BA394" s="176">
        <v>0</v>
      </c>
      <c r="BB394" s="176">
        <v>0</v>
      </c>
      <c r="BC394" s="176">
        <v>0</v>
      </c>
      <c r="BD394" s="176">
        <v>38000</v>
      </c>
      <c r="BE394" s="176">
        <v>0</v>
      </c>
      <c r="BF394" s="176">
        <v>114000</v>
      </c>
      <c r="BG394"/>
      <c r="BH394" s="176">
        <v>0</v>
      </c>
      <c r="BI394" s="176">
        <v>0</v>
      </c>
      <c r="BJ394" s="176">
        <v>38000</v>
      </c>
      <c r="BK394" s="176">
        <v>0</v>
      </c>
      <c r="BL394" s="176">
        <v>0</v>
      </c>
      <c r="BM394" s="176">
        <v>0</v>
      </c>
      <c r="BN394" s="176">
        <v>38000</v>
      </c>
      <c r="BO394" s="176">
        <v>0</v>
      </c>
      <c r="BP394" s="176">
        <v>0</v>
      </c>
      <c r="BQ394" s="176">
        <v>0</v>
      </c>
      <c r="BR394" s="176">
        <v>57000</v>
      </c>
      <c r="BS394" s="176">
        <v>0</v>
      </c>
      <c r="BT394" s="176">
        <v>133000</v>
      </c>
      <c r="BU394"/>
      <c r="BV394" s="176">
        <v>0</v>
      </c>
      <c r="BW394" s="176">
        <v>0</v>
      </c>
      <c r="BX394" s="176">
        <v>0</v>
      </c>
      <c r="BY394" s="176">
        <v>0</v>
      </c>
      <c r="BZ394" s="176">
        <v>434000</v>
      </c>
    </row>
    <row r="395" spans="1:78" s="108" customFormat="1" ht="66.5" hidden="1" customHeight="1" outlineLevel="3">
      <c r="A395" s="580"/>
      <c r="B395" s="107" t="s">
        <v>2625</v>
      </c>
      <c r="C395" s="107"/>
      <c r="D395" s="533" t="s">
        <v>1057</v>
      </c>
      <c r="E395"/>
      <c r="F395" s="986">
        <v>0</v>
      </c>
      <c r="G395" s="986">
        <v>0</v>
      </c>
      <c r="H395" s="986">
        <v>0</v>
      </c>
      <c r="I395" s="986">
        <v>0</v>
      </c>
      <c r="J395" s="986">
        <v>0</v>
      </c>
      <c r="K395" s="986">
        <v>0</v>
      </c>
      <c r="L395" s="986">
        <v>0</v>
      </c>
      <c r="M395" s="986">
        <v>0</v>
      </c>
      <c r="N395" s="986">
        <v>0</v>
      </c>
      <c r="O395" s="986">
        <v>0</v>
      </c>
      <c r="P395" s="2011">
        <v>0</v>
      </c>
      <c r="Q395"/>
      <c r="R395" s="986">
        <v>0</v>
      </c>
      <c r="S395" s="986">
        <v>0</v>
      </c>
      <c r="T395" s="986">
        <v>0</v>
      </c>
      <c r="U395" s="986">
        <v>3000</v>
      </c>
      <c r="V395" s="986">
        <v>3000</v>
      </c>
      <c r="W395" s="986">
        <v>3000</v>
      </c>
      <c r="X395" s="986">
        <v>3000</v>
      </c>
      <c r="Y395" s="986">
        <v>3000</v>
      </c>
      <c r="Z395" s="986">
        <v>3000</v>
      </c>
      <c r="AA395" s="986">
        <v>3000</v>
      </c>
      <c r="AB395" s="986">
        <v>3000</v>
      </c>
      <c r="AC395" s="986">
        <v>3000</v>
      </c>
      <c r="AD395" s="2011">
        <v>27000</v>
      </c>
      <c r="AE395"/>
      <c r="AF395" s="986">
        <v>3000</v>
      </c>
      <c r="AG395" s="986">
        <v>3000</v>
      </c>
      <c r="AH395" s="986">
        <v>3000</v>
      </c>
      <c r="AI395" s="986">
        <v>3000</v>
      </c>
      <c r="AJ395" s="986">
        <v>3000</v>
      </c>
      <c r="AK395" s="986">
        <v>3000</v>
      </c>
      <c r="AL395" s="986">
        <v>3000</v>
      </c>
      <c r="AM395" s="986">
        <v>3000</v>
      </c>
      <c r="AN395" s="986">
        <v>3000</v>
      </c>
      <c r="AO395" s="986">
        <v>0</v>
      </c>
      <c r="AP395" s="986">
        <v>0</v>
      </c>
      <c r="AQ395" s="986">
        <v>0</v>
      </c>
      <c r="AR395" s="2011">
        <v>27000</v>
      </c>
      <c r="AS395"/>
      <c r="AT395" s="986">
        <v>0</v>
      </c>
      <c r="AU395" s="986">
        <v>0</v>
      </c>
      <c r="AV395" s="986">
        <v>0</v>
      </c>
      <c r="AW395" s="986">
        <v>0</v>
      </c>
      <c r="AX395" s="986">
        <v>0</v>
      </c>
      <c r="AY395" s="986">
        <v>0</v>
      </c>
      <c r="AZ395" s="986">
        <v>0</v>
      </c>
      <c r="BA395" s="986">
        <v>0</v>
      </c>
      <c r="BB395" s="986">
        <v>0</v>
      </c>
      <c r="BC395" s="986">
        <v>0</v>
      </c>
      <c r="BD395" s="986">
        <v>0</v>
      </c>
      <c r="BE395" s="986">
        <v>0</v>
      </c>
      <c r="BF395" s="2014">
        <v>0</v>
      </c>
      <c r="BG395"/>
      <c r="BH395" s="986">
        <v>0</v>
      </c>
      <c r="BI395" s="986">
        <v>0</v>
      </c>
      <c r="BJ395" s="986">
        <v>0</v>
      </c>
      <c r="BK395" s="986">
        <v>0</v>
      </c>
      <c r="BL395" s="986">
        <v>0</v>
      </c>
      <c r="BM395" s="986">
        <v>0</v>
      </c>
      <c r="BN395" s="986">
        <v>0</v>
      </c>
      <c r="BO395" s="986">
        <v>0</v>
      </c>
      <c r="BP395" s="986">
        <v>0</v>
      </c>
      <c r="BQ395" s="986">
        <v>0</v>
      </c>
      <c r="BR395" s="986">
        <v>0</v>
      </c>
      <c r="BS395" s="986">
        <v>0</v>
      </c>
      <c r="BT395" s="1498">
        <v>0</v>
      </c>
      <c r="BU395"/>
      <c r="BV395" s="986">
        <v>0</v>
      </c>
      <c r="BW395" s="986">
        <v>0</v>
      </c>
      <c r="BX395" s="986">
        <v>0</v>
      </c>
      <c r="BY395" s="1498">
        <v>0</v>
      </c>
      <c r="BZ395" s="1498">
        <v>54000</v>
      </c>
    </row>
    <row r="396" spans="1:78" s="108" customFormat="1" ht="45" hidden="1" customHeight="1" outlineLevel="3">
      <c r="A396" s="580"/>
      <c r="B396" s="107" t="s">
        <v>2626</v>
      </c>
      <c r="C396" s="107"/>
      <c r="D396" s="533" t="s">
        <v>1059</v>
      </c>
      <c r="E396"/>
      <c r="F396" s="986">
        <v>0</v>
      </c>
      <c r="G396" s="986">
        <v>0</v>
      </c>
      <c r="H396" s="986">
        <v>0</v>
      </c>
      <c r="I396" s="986">
        <v>0</v>
      </c>
      <c r="J396" s="986">
        <v>0</v>
      </c>
      <c r="K396" s="986">
        <v>0</v>
      </c>
      <c r="L396" s="986">
        <v>0</v>
      </c>
      <c r="M396" s="986">
        <v>0</v>
      </c>
      <c r="N396" s="986">
        <v>0</v>
      </c>
      <c r="O396" s="986">
        <v>0</v>
      </c>
      <c r="P396" s="2011">
        <v>0</v>
      </c>
      <c r="Q396"/>
      <c r="R396" s="986">
        <v>0</v>
      </c>
      <c r="S396" s="986">
        <v>0</v>
      </c>
      <c r="T396" s="986">
        <v>0</v>
      </c>
      <c r="U396" s="986">
        <v>0</v>
      </c>
      <c r="V396" s="986">
        <v>0</v>
      </c>
      <c r="W396" s="986">
        <v>0</v>
      </c>
      <c r="X396" s="986">
        <v>0</v>
      </c>
      <c r="Y396" s="986">
        <v>0</v>
      </c>
      <c r="Z396" s="986">
        <v>0</v>
      </c>
      <c r="AA396" s="986">
        <v>0</v>
      </c>
      <c r="AB396" s="986">
        <v>0</v>
      </c>
      <c r="AC396" s="986">
        <v>0</v>
      </c>
      <c r="AD396" s="2011">
        <v>0</v>
      </c>
      <c r="AE396"/>
      <c r="AF396" s="986">
        <v>0</v>
      </c>
      <c r="AG396" s="986">
        <v>0</v>
      </c>
      <c r="AH396" s="986">
        <v>12000</v>
      </c>
      <c r="AI396" s="986">
        <v>0</v>
      </c>
      <c r="AJ396" s="986">
        <v>0</v>
      </c>
      <c r="AK396" s="986">
        <v>0</v>
      </c>
      <c r="AL396" s="986">
        <v>8000</v>
      </c>
      <c r="AM396" s="986">
        <v>0</v>
      </c>
      <c r="AN396" s="986">
        <v>0</v>
      </c>
      <c r="AO396" s="986">
        <v>0</v>
      </c>
      <c r="AP396" s="986">
        <v>8000</v>
      </c>
      <c r="AQ396" s="986">
        <v>0</v>
      </c>
      <c r="AR396" s="2011">
        <v>28000</v>
      </c>
      <c r="AS396"/>
      <c r="AT396" s="986">
        <v>0</v>
      </c>
      <c r="AU396" s="986">
        <v>0</v>
      </c>
      <c r="AV396" s="986">
        <v>8000</v>
      </c>
      <c r="AW396" s="986">
        <v>0</v>
      </c>
      <c r="AX396" s="986">
        <v>0</v>
      </c>
      <c r="AY396" s="986">
        <v>0</v>
      </c>
      <c r="AZ396" s="986">
        <v>8000</v>
      </c>
      <c r="BA396" s="986">
        <v>0</v>
      </c>
      <c r="BB396" s="986">
        <v>0</v>
      </c>
      <c r="BC396" s="986">
        <v>0</v>
      </c>
      <c r="BD396" s="986">
        <v>8000</v>
      </c>
      <c r="BE396" s="986">
        <v>0</v>
      </c>
      <c r="BF396" s="2011">
        <v>24000</v>
      </c>
      <c r="BG396"/>
      <c r="BH396" s="986">
        <v>0</v>
      </c>
      <c r="BI396" s="986">
        <v>0</v>
      </c>
      <c r="BJ396" s="986">
        <v>8000</v>
      </c>
      <c r="BK396" s="986">
        <v>0</v>
      </c>
      <c r="BL396" s="986">
        <v>0</v>
      </c>
      <c r="BM396" s="986">
        <v>0</v>
      </c>
      <c r="BN396" s="986">
        <v>8000</v>
      </c>
      <c r="BO396" s="986">
        <v>0</v>
      </c>
      <c r="BP396" s="986">
        <v>0</v>
      </c>
      <c r="BQ396" s="986">
        <v>0</v>
      </c>
      <c r="BR396" s="986">
        <v>12000</v>
      </c>
      <c r="BS396" s="986">
        <v>0</v>
      </c>
      <c r="BT396" s="2011">
        <v>28000</v>
      </c>
      <c r="BU396"/>
      <c r="BV396" s="986">
        <v>0</v>
      </c>
      <c r="BW396" s="986">
        <v>0</v>
      </c>
      <c r="BX396" s="986">
        <v>0</v>
      </c>
      <c r="BY396" s="2011">
        <v>0</v>
      </c>
      <c r="BZ396" s="2011">
        <v>80000</v>
      </c>
    </row>
    <row r="397" spans="1:78" s="108" customFormat="1" ht="41.5" hidden="1" customHeight="1" outlineLevel="3">
      <c r="A397" s="580"/>
      <c r="B397" s="107" t="s">
        <v>2627</v>
      </c>
      <c r="C397" s="107"/>
      <c r="D397" s="533" t="s">
        <v>1062</v>
      </c>
      <c r="E397"/>
      <c r="F397" s="986">
        <v>0</v>
      </c>
      <c r="G397" s="986">
        <v>0</v>
      </c>
      <c r="H397" s="986">
        <v>0</v>
      </c>
      <c r="I397" s="986">
        <v>0</v>
      </c>
      <c r="J397" s="986">
        <v>0</v>
      </c>
      <c r="K397" s="986">
        <v>0</v>
      </c>
      <c r="L397" s="986">
        <v>0</v>
      </c>
      <c r="M397" s="986">
        <v>0</v>
      </c>
      <c r="N397" s="986">
        <v>0</v>
      </c>
      <c r="O397" s="986">
        <v>0</v>
      </c>
      <c r="P397" s="2011">
        <v>0</v>
      </c>
      <c r="Q397"/>
      <c r="R397" s="986">
        <v>0</v>
      </c>
      <c r="S397" s="986">
        <v>0</v>
      </c>
      <c r="T397" s="986">
        <v>0</v>
      </c>
      <c r="U397" s="986">
        <v>0</v>
      </c>
      <c r="V397" s="986">
        <v>0</v>
      </c>
      <c r="W397" s="986">
        <v>0</v>
      </c>
      <c r="X397" s="986">
        <v>0</v>
      </c>
      <c r="Y397" s="986">
        <v>0</v>
      </c>
      <c r="Z397" s="986">
        <v>0</v>
      </c>
      <c r="AA397" s="986">
        <v>0</v>
      </c>
      <c r="AB397" s="986">
        <v>0</v>
      </c>
      <c r="AC397" s="986">
        <v>0</v>
      </c>
      <c r="AD397" s="2011">
        <v>0</v>
      </c>
      <c r="AE397"/>
      <c r="AF397" s="986">
        <v>0</v>
      </c>
      <c r="AG397" s="986">
        <v>0</v>
      </c>
      <c r="AH397" s="986">
        <v>30000</v>
      </c>
      <c r="AI397" s="986">
        <v>0</v>
      </c>
      <c r="AJ397" s="986">
        <v>0</v>
      </c>
      <c r="AK397" s="986">
        <v>0</v>
      </c>
      <c r="AL397" s="986">
        <v>20000</v>
      </c>
      <c r="AM397" s="986">
        <v>0</v>
      </c>
      <c r="AN397" s="986">
        <v>0</v>
      </c>
      <c r="AO397" s="986">
        <v>0</v>
      </c>
      <c r="AP397" s="986">
        <v>20000</v>
      </c>
      <c r="AQ397" s="986">
        <v>0</v>
      </c>
      <c r="AR397" s="2011">
        <v>70000</v>
      </c>
      <c r="AS397"/>
      <c r="AT397" s="986">
        <v>0</v>
      </c>
      <c r="AU397" s="986">
        <v>0</v>
      </c>
      <c r="AV397" s="986">
        <v>20000</v>
      </c>
      <c r="AW397" s="986">
        <v>0</v>
      </c>
      <c r="AX397" s="986">
        <v>0</v>
      </c>
      <c r="AY397" s="986">
        <v>0</v>
      </c>
      <c r="AZ397" s="986">
        <v>20000</v>
      </c>
      <c r="BA397" s="986">
        <v>0</v>
      </c>
      <c r="BB397" s="986">
        <v>0</v>
      </c>
      <c r="BC397" s="986">
        <v>0</v>
      </c>
      <c r="BD397" s="986">
        <v>20000</v>
      </c>
      <c r="BE397" s="986">
        <v>0</v>
      </c>
      <c r="BF397" s="2011">
        <v>60000</v>
      </c>
      <c r="BG397"/>
      <c r="BH397" s="986">
        <v>0</v>
      </c>
      <c r="BI397" s="986">
        <v>0</v>
      </c>
      <c r="BJ397" s="986">
        <v>20000</v>
      </c>
      <c r="BK397" s="986">
        <v>0</v>
      </c>
      <c r="BL397" s="986">
        <v>0</v>
      </c>
      <c r="BM397" s="986">
        <v>0</v>
      </c>
      <c r="BN397" s="986">
        <v>20000</v>
      </c>
      <c r="BO397" s="986">
        <v>0</v>
      </c>
      <c r="BP397" s="986">
        <v>0</v>
      </c>
      <c r="BQ397" s="986">
        <v>0</v>
      </c>
      <c r="BR397" s="986">
        <v>30000</v>
      </c>
      <c r="BS397" s="986">
        <v>0</v>
      </c>
      <c r="BT397" s="2011">
        <v>70000</v>
      </c>
      <c r="BU397"/>
      <c r="BV397" s="986">
        <v>0</v>
      </c>
      <c r="BW397" s="986">
        <v>0</v>
      </c>
      <c r="BX397" s="986">
        <v>0</v>
      </c>
      <c r="BY397" s="2011">
        <v>0</v>
      </c>
      <c r="BZ397" s="2011">
        <v>200000</v>
      </c>
    </row>
    <row r="398" spans="1:78" s="108" customFormat="1" ht="42" hidden="1" customHeight="1" outlineLevel="3">
      <c r="A398" s="580"/>
      <c r="B398" s="107" t="s">
        <v>2628</v>
      </c>
      <c r="C398" s="107"/>
      <c r="D398" s="537" t="s">
        <v>1064</v>
      </c>
      <c r="E398"/>
      <c r="F398" s="986">
        <v>0</v>
      </c>
      <c r="G398" s="986">
        <v>0</v>
      </c>
      <c r="H398" s="986">
        <v>0</v>
      </c>
      <c r="I398" s="986">
        <v>0</v>
      </c>
      <c r="J398" s="986">
        <v>0</v>
      </c>
      <c r="K398" s="986">
        <v>0</v>
      </c>
      <c r="L398" s="986">
        <v>0</v>
      </c>
      <c r="M398" s="986">
        <v>0</v>
      </c>
      <c r="N398" s="986">
        <v>0</v>
      </c>
      <c r="O398" s="986">
        <v>0</v>
      </c>
      <c r="P398" s="2011">
        <v>0</v>
      </c>
      <c r="Q398"/>
      <c r="R398" s="986">
        <v>0</v>
      </c>
      <c r="S398" s="986">
        <v>0</v>
      </c>
      <c r="T398" s="986">
        <v>0</v>
      </c>
      <c r="U398" s="986">
        <v>0</v>
      </c>
      <c r="V398" s="986">
        <v>0</v>
      </c>
      <c r="W398" s="986">
        <v>0</v>
      </c>
      <c r="X398" s="986">
        <v>0</v>
      </c>
      <c r="Y398" s="986">
        <v>0</v>
      </c>
      <c r="Z398" s="986">
        <v>0</v>
      </c>
      <c r="AA398" s="986">
        <v>0</v>
      </c>
      <c r="AB398" s="986">
        <v>0</v>
      </c>
      <c r="AC398" s="986">
        <v>0</v>
      </c>
      <c r="AD398" s="2011">
        <v>0</v>
      </c>
      <c r="AE398"/>
      <c r="AF398" s="986">
        <v>0</v>
      </c>
      <c r="AG398" s="986">
        <v>0</v>
      </c>
      <c r="AH398" s="986">
        <v>15000</v>
      </c>
      <c r="AI398" s="986">
        <v>0</v>
      </c>
      <c r="AJ398" s="986">
        <v>0</v>
      </c>
      <c r="AK398" s="986">
        <v>0</v>
      </c>
      <c r="AL398" s="986">
        <v>10000</v>
      </c>
      <c r="AM398" s="986">
        <v>0</v>
      </c>
      <c r="AN398" s="986">
        <v>0</v>
      </c>
      <c r="AO398" s="986">
        <v>0</v>
      </c>
      <c r="AP398" s="986">
        <v>10000</v>
      </c>
      <c r="AQ398" s="986">
        <v>0</v>
      </c>
      <c r="AR398" s="2011">
        <v>35000</v>
      </c>
      <c r="AS398"/>
      <c r="AT398" s="986">
        <v>0</v>
      </c>
      <c r="AU398" s="986">
        <v>0</v>
      </c>
      <c r="AV398" s="986">
        <v>10000</v>
      </c>
      <c r="AW398" s="986">
        <v>0</v>
      </c>
      <c r="AX398" s="986">
        <v>0</v>
      </c>
      <c r="AY398" s="986">
        <v>0</v>
      </c>
      <c r="AZ398" s="986">
        <v>10000</v>
      </c>
      <c r="BA398" s="986">
        <v>0</v>
      </c>
      <c r="BB398" s="986">
        <v>0</v>
      </c>
      <c r="BC398" s="986">
        <v>0</v>
      </c>
      <c r="BD398" s="986">
        <v>10000</v>
      </c>
      <c r="BE398" s="986">
        <v>0</v>
      </c>
      <c r="BF398" s="2011">
        <v>30000</v>
      </c>
      <c r="BG398"/>
      <c r="BH398" s="986">
        <v>0</v>
      </c>
      <c r="BI398" s="986">
        <v>0</v>
      </c>
      <c r="BJ398" s="986">
        <v>10000</v>
      </c>
      <c r="BK398" s="986">
        <v>0</v>
      </c>
      <c r="BL398" s="986">
        <v>0</v>
      </c>
      <c r="BM398" s="986">
        <v>0</v>
      </c>
      <c r="BN398" s="986">
        <v>10000</v>
      </c>
      <c r="BO398" s="986">
        <v>0</v>
      </c>
      <c r="BP398" s="986">
        <v>0</v>
      </c>
      <c r="BQ398" s="986">
        <v>0</v>
      </c>
      <c r="BR398" s="986">
        <v>15000</v>
      </c>
      <c r="BS398" s="986">
        <v>0</v>
      </c>
      <c r="BT398" s="2011">
        <v>35000</v>
      </c>
      <c r="BU398"/>
      <c r="BV398" s="986">
        <v>0</v>
      </c>
      <c r="BW398" s="986">
        <v>0</v>
      </c>
      <c r="BX398" s="986">
        <v>0</v>
      </c>
      <c r="BY398" s="2011">
        <v>0</v>
      </c>
      <c r="BZ398" s="2011">
        <v>100000</v>
      </c>
    </row>
    <row r="399" spans="1:78" s="108" customFormat="1" ht="14" customHeight="1" outlineLevel="2" collapsed="1">
      <c r="A399" s="580"/>
      <c r="B399" s="107"/>
      <c r="C399" s="107"/>
      <c r="D399" s="533"/>
      <c r="E399"/>
      <c r="F399" s="986"/>
      <c r="G399" s="986"/>
      <c r="H399" s="986"/>
      <c r="I399" s="986"/>
      <c r="J399" s="986"/>
      <c r="K399" s="986"/>
      <c r="L399" s="986"/>
      <c r="M399" s="986"/>
      <c r="N399" s="986"/>
      <c r="O399" s="986"/>
      <c r="P399" s="2011"/>
      <c r="Q399"/>
      <c r="R399" s="986"/>
      <c r="S399" s="986"/>
      <c r="T399" s="986"/>
      <c r="U399" s="986"/>
      <c r="V399" s="986"/>
      <c r="W399" s="986"/>
      <c r="X399" s="986"/>
      <c r="Y399" s="986"/>
      <c r="Z399" s="986"/>
      <c r="AA399" s="986"/>
      <c r="AB399" s="986"/>
      <c r="AC399" s="986"/>
      <c r="AD399" s="2011">
        <v>0</v>
      </c>
      <c r="AE399"/>
      <c r="AF399" s="986"/>
      <c r="AG399" s="986"/>
      <c r="AH399" s="986"/>
      <c r="AI399" s="986"/>
      <c r="AJ399" s="986"/>
      <c r="AK399" s="986"/>
      <c r="AL399" s="986"/>
      <c r="AM399" s="986"/>
      <c r="AN399" s="986"/>
      <c r="AO399" s="986"/>
      <c r="AP399" s="986"/>
      <c r="AQ399" s="986"/>
      <c r="AR399" s="2011">
        <v>0</v>
      </c>
      <c r="AS399"/>
      <c r="AT399" s="986"/>
      <c r="AU399" s="986"/>
      <c r="AV399" s="986"/>
      <c r="AW399" s="986"/>
      <c r="AX399" s="986"/>
      <c r="AY399" s="986"/>
      <c r="AZ399" s="986"/>
      <c r="BA399" s="986"/>
      <c r="BB399" s="986"/>
      <c r="BC399" s="986"/>
      <c r="BD399" s="986"/>
      <c r="BE399" s="986"/>
      <c r="BF399" s="2014">
        <v>0</v>
      </c>
      <c r="BG399"/>
      <c r="BH399" s="986"/>
      <c r="BI399" s="986"/>
      <c r="BJ399" s="986"/>
      <c r="BK399" s="986"/>
      <c r="BL399" s="986"/>
      <c r="BM399" s="986"/>
      <c r="BN399" s="986"/>
      <c r="BO399" s="986"/>
      <c r="BP399" s="986"/>
      <c r="BQ399" s="986"/>
      <c r="BR399" s="986"/>
      <c r="BS399" s="986"/>
      <c r="BT399" s="1498">
        <v>0</v>
      </c>
      <c r="BU399"/>
      <c r="BV399" s="986"/>
      <c r="BW399" s="986"/>
      <c r="BX399" s="986"/>
      <c r="BY399" s="1498">
        <v>0</v>
      </c>
      <c r="BZ399" s="1498">
        <v>0</v>
      </c>
    </row>
    <row r="400" spans="1:78" s="108" customFormat="1" outlineLevel="1">
      <c r="A400" s="580"/>
      <c r="B400" s="107"/>
      <c r="C400" s="107"/>
      <c r="D400" s="533"/>
      <c r="E400"/>
      <c r="F400" s="986"/>
      <c r="G400" s="986"/>
      <c r="H400" s="986"/>
      <c r="I400" s="986"/>
      <c r="J400" s="986"/>
      <c r="K400" s="986"/>
      <c r="L400" s="986"/>
      <c r="M400" s="986"/>
      <c r="N400" s="986"/>
      <c r="O400" s="986"/>
      <c r="P400" s="2011"/>
      <c r="Q400"/>
      <c r="R400" s="986"/>
      <c r="S400" s="986"/>
      <c r="T400" s="986"/>
      <c r="U400" s="986"/>
      <c r="V400" s="986"/>
      <c r="W400" s="986"/>
      <c r="X400" s="986"/>
      <c r="Y400" s="986"/>
      <c r="Z400" s="986"/>
      <c r="AA400" s="986"/>
      <c r="AB400" s="986"/>
      <c r="AC400" s="986"/>
      <c r="AD400" s="2011">
        <v>0</v>
      </c>
      <c r="AE400"/>
      <c r="AF400" s="986"/>
      <c r="AG400" s="986"/>
      <c r="AH400" s="986"/>
      <c r="AI400" s="986"/>
      <c r="AJ400" s="986"/>
      <c r="AK400" s="986"/>
      <c r="AL400" s="986"/>
      <c r="AM400" s="986"/>
      <c r="AN400" s="986"/>
      <c r="AO400" s="986"/>
      <c r="AP400" s="986"/>
      <c r="AQ400" s="986"/>
      <c r="AR400" s="2011"/>
      <c r="AS400"/>
      <c r="AT400" s="986"/>
      <c r="AU400" s="986"/>
      <c r="AV400" s="986"/>
      <c r="AW400" s="986"/>
      <c r="AX400" s="986"/>
      <c r="AY400" s="986"/>
      <c r="AZ400" s="986"/>
      <c r="BA400" s="986"/>
      <c r="BB400" s="986"/>
      <c r="BC400" s="986"/>
      <c r="BD400" s="986"/>
      <c r="BE400" s="986"/>
      <c r="BF400" s="2014">
        <v>0</v>
      </c>
      <c r="BG400"/>
      <c r="BH400" s="986"/>
      <c r="BI400" s="986"/>
      <c r="BJ400" s="986"/>
      <c r="BK400" s="986"/>
      <c r="BL400" s="986"/>
      <c r="BM400" s="986"/>
      <c r="BN400" s="986"/>
      <c r="BO400" s="986"/>
      <c r="BP400" s="986"/>
      <c r="BQ400" s="986"/>
      <c r="BR400" s="986"/>
      <c r="BS400" s="986"/>
      <c r="BT400" s="1498"/>
      <c r="BU400"/>
      <c r="BV400" s="986"/>
      <c r="BW400" s="986"/>
      <c r="BX400" s="986"/>
      <c r="BY400" s="1498"/>
      <c r="BZ400" s="1498">
        <v>0</v>
      </c>
    </row>
    <row r="401" spans="1:87" s="878" customFormat="1" ht="21.5" customHeight="1">
      <c r="A401" s="577"/>
      <c r="B401" s="67" t="s">
        <v>576</v>
      </c>
      <c r="C401" s="67"/>
      <c r="D401" s="546" t="s">
        <v>577</v>
      </c>
      <c r="E401"/>
      <c r="F401" s="69">
        <v>0</v>
      </c>
      <c r="G401" s="69">
        <v>0</v>
      </c>
      <c r="H401" s="69">
        <v>0</v>
      </c>
      <c r="I401" s="69">
        <v>0</v>
      </c>
      <c r="J401" s="69">
        <v>0</v>
      </c>
      <c r="K401" s="69">
        <v>32700</v>
      </c>
      <c r="L401" s="69">
        <v>32700</v>
      </c>
      <c r="M401" s="69">
        <v>32700</v>
      </c>
      <c r="N401" s="69">
        <v>32700</v>
      </c>
      <c r="O401" s="69">
        <v>86200</v>
      </c>
      <c r="P401" s="69">
        <v>217000</v>
      </c>
      <c r="Q401"/>
      <c r="R401" s="69">
        <v>86200</v>
      </c>
      <c r="S401" s="69">
        <v>86200</v>
      </c>
      <c r="T401" s="69">
        <v>86200</v>
      </c>
      <c r="U401" s="69">
        <v>86200</v>
      </c>
      <c r="V401" s="69">
        <v>86200</v>
      </c>
      <c r="W401" s="69">
        <v>86200</v>
      </c>
      <c r="X401" s="69">
        <v>206360</v>
      </c>
      <c r="Y401" s="69">
        <v>86200</v>
      </c>
      <c r="Z401" s="69">
        <v>86200</v>
      </c>
      <c r="AA401" s="69">
        <v>86200</v>
      </c>
      <c r="AB401" s="69">
        <v>86200</v>
      </c>
      <c r="AC401" s="69">
        <v>86200</v>
      </c>
      <c r="AD401" s="69">
        <v>1154560</v>
      </c>
      <c r="AE401"/>
      <c r="AF401" s="69">
        <v>146280</v>
      </c>
      <c r="AG401" s="69">
        <v>86200</v>
      </c>
      <c r="AH401" s="69">
        <v>86200</v>
      </c>
      <c r="AI401" s="69">
        <v>86200</v>
      </c>
      <c r="AJ401" s="69">
        <v>86200</v>
      </c>
      <c r="AK401" s="69">
        <v>86200</v>
      </c>
      <c r="AL401" s="69">
        <v>146280</v>
      </c>
      <c r="AM401" s="69">
        <v>86200</v>
      </c>
      <c r="AN401" s="69">
        <v>101200</v>
      </c>
      <c r="AO401" s="69">
        <v>86200</v>
      </c>
      <c r="AP401" s="69">
        <v>86200</v>
      </c>
      <c r="AQ401" s="69">
        <v>101200</v>
      </c>
      <c r="AR401" s="69">
        <v>1184560</v>
      </c>
      <c r="AS401"/>
      <c r="AT401" s="69">
        <v>146280</v>
      </c>
      <c r="AU401" s="69">
        <v>86200</v>
      </c>
      <c r="AV401" s="69">
        <v>86200</v>
      </c>
      <c r="AW401" s="69">
        <v>86200</v>
      </c>
      <c r="AX401" s="69">
        <v>86200</v>
      </c>
      <c r="AY401" s="69">
        <v>86200</v>
      </c>
      <c r="AZ401" s="69">
        <v>146280</v>
      </c>
      <c r="BA401" s="69">
        <v>86200</v>
      </c>
      <c r="BB401" s="69">
        <v>86200</v>
      </c>
      <c r="BC401" s="69">
        <v>86200</v>
      </c>
      <c r="BD401" s="69">
        <v>86200</v>
      </c>
      <c r="BE401" s="69">
        <v>86200</v>
      </c>
      <c r="BF401" s="69">
        <v>1154560</v>
      </c>
      <c r="BG401"/>
      <c r="BH401" s="69">
        <v>146280</v>
      </c>
      <c r="BI401" s="69">
        <v>86200</v>
      </c>
      <c r="BJ401" s="69">
        <v>86200</v>
      </c>
      <c r="BK401" s="69">
        <v>86200</v>
      </c>
      <c r="BL401" s="69">
        <v>86200</v>
      </c>
      <c r="BM401" s="69">
        <v>86200</v>
      </c>
      <c r="BN401" s="69">
        <v>146280</v>
      </c>
      <c r="BO401" s="69">
        <v>86200</v>
      </c>
      <c r="BP401" s="69">
        <v>110200</v>
      </c>
      <c r="BQ401" s="69">
        <v>86200</v>
      </c>
      <c r="BR401" s="69">
        <v>86200</v>
      </c>
      <c r="BS401" s="69">
        <v>129200</v>
      </c>
      <c r="BT401" s="69">
        <v>1221560</v>
      </c>
      <c r="BU401"/>
      <c r="BV401" s="69">
        <v>201360</v>
      </c>
      <c r="BW401" s="69">
        <v>81200</v>
      </c>
      <c r="BX401" s="69">
        <v>233200</v>
      </c>
      <c r="BY401" s="69">
        <v>515760</v>
      </c>
      <c r="BZ401" s="69">
        <v>5448000</v>
      </c>
      <c r="CA401" s="153"/>
      <c r="CB401" s="153"/>
      <c r="CC401" s="153"/>
      <c r="CD401" s="153"/>
      <c r="CE401" s="153"/>
      <c r="CF401" s="153"/>
      <c r="CG401" s="153"/>
      <c r="CH401" s="153"/>
      <c r="CI401" s="153"/>
    </row>
    <row r="402" spans="1:87" s="878" customFormat="1" ht="21.5" customHeight="1" outlineLevel="1" collapsed="1">
      <c r="A402" s="584"/>
      <c r="B402" s="188" t="s">
        <v>578</v>
      </c>
      <c r="C402" s="188"/>
      <c r="D402" s="538" t="s">
        <v>579</v>
      </c>
      <c r="E402"/>
      <c r="F402" s="176">
        <v>0</v>
      </c>
      <c r="G402" s="176">
        <v>0</v>
      </c>
      <c r="H402" s="176">
        <v>0</v>
      </c>
      <c r="I402" s="176">
        <v>0</v>
      </c>
      <c r="J402" s="176">
        <v>0</v>
      </c>
      <c r="K402" s="176">
        <v>32700</v>
      </c>
      <c r="L402" s="176">
        <v>32700</v>
      </c>
      <c r="M402" s="176">
        <v>32700</v>
      </c>
      <c r="N402" s="176">
        <v>32700</v>
      </c>
      <c r="O402" s="176">
        <v>86200</v>
      </c>
      <c r="P402" s="176">
        <v>217000</v>
      </c>
      <c r="Q402"/>
      <c r="R402" s="176">
        <v>86200</v>
      </c>
      <c r="S402" s="176">
        <v>86200</v>
      </c>
      <c r="T402" s="176">
        <v>86200</v>
      </c>
      <c r="U402" s="176">
        <v>86200</v>
      </c>
      <c r="V402" s="176">
        <v>86200</v>
      </c>
      <c r="W402" s="176">
        <v>86200</v>
      </c>
      <c r="X402" s="176">
        <v>156360</v>
      </c>
      <c r="Y402" s="176">
        <v>86200</v>
      </c>
      <c r="Z402" s="176">
        <v>86200</v>
      </c>
      <c r="AA402" s="176">
        <v>86200</v>
      </c>
      <c r="AB402" s="176">
        <v>86200</v>
      </c>
      <c r="AC402" s="176">
        <v>86200</v>
      </c>
      <c r="AD402" s="176">
        <v>1104560</v>
      </c>
      <c r="AE402"/>
      <c r="AF402" s="176">
        <v>121280</v>
      </c>
      <c r="AG402" s="176">
        <v>86200</v>
      </c>
      <c r="AH402" s="176">
        <v>86200</v>
      </c>
      <c r="AI402" s="176">
        <v>86200</v>
      </c>
      <c r="AJ402" s="176">
        <v>86200</v>
      </c>
      <c r="AK402" s="176">
        <v>86200</v>
      </c>
      <c r="AL402" s="176">
        <v>121280</v>
      </c>
      <c r="AM402" s="176">
        <v>86200</v>
      </c>
      <c r="AN402" s="176">
        <v>86200</v>
      </c>
      <c r="AO402" s="176">
        <v>86200</v>
      </c>
      <c r="AP402" s="176">
        <v>86200</v>
      </c>
      <c r="AQ402" s="176">
        <v>86200</v>
      </c>
      <c r="AR402" s="176">
        <v>1104560</v>
      </c>
      <c r="AS402"/>
      <c r="AT402" s="176">
        <v>121280</v>
      </c>
      <c r="AU402" s="176">
        <v>86200</v>
      </c>
      <c r="AV402" s="176">
        <v>86200</v>
      </c>
      <c r="AW402" s="176">
        <v>86200</v>
      </c>
      <c r="AX402" s="176">
        <v>86200</v>
      </c>
      <c r="AY402" s="176">
        <v>86200</v>
      </c>
      <c r="AZ402" s="176">
        <v>121280</v>
      </c>
      <c r="BA402" s="176">
        <v>86200</v>
      </c>
      <c r="BB402" s="176">
        <v>86200</v>
      </c>
      <c r="BC402" s="176">
        <v>86200</v>
      </c>
      <c r="BD402" s="176">
        <v>86200</v>
      </c>
      <c r="BE402" s="176">
        <v>86200</v>
      </c>
      <c r="BF402" s="176">
        <v>1104560</v>
      </c>
      <c r="BG402"/>
      <c r="BH402" s="176">
        <v>121280</v>
      </c>
      <c r="BI402" s="176">
        <v>86200</v>
      </c>
      <c r="BJ402" s="176">
        <v>86200</v>
      </c>
      <c r="BK402" s="176">
        <v>86200</v>
      </c>
      <c r="BL402" s="176">
        <v>86200</v>
      </c>
      <c r="BM402" s="176">
        <v>86200</v>
      </c>
      <c r="BN402" s="176">
        <v>121280</v>
      </c>
      <c r="BO402" s="176">
        <v>86200</v>
      </c>
      <c r="BP402" s="176">
        <v>86200</v>
      </c>
      <c r="BQ402" s="176">
        <v>86200</v>
      </c>
      <c r="BR402" s="176">
        <v>86200</v>
      </c>
      <c r="BS402" s="176">
        <v>81200</v>
      </c>
      <c r="BT402" s="176">
        <v>1099560</v>
      </c>
      <c r="BU402"/>
      <c r="BV402" s="176">
        <v>151360</v>
      </c>
      <c r="BW402" s="176">
        <v>81200</v>
      </c>
      <c r="BX402" s="176">
        <v>185200</v>
      </c>
      <c r="BY402" s="176">
        <v>417760</v>
      </c>
      <c r="BZ402" s="176">
        <v>5048000</v>
      </c>
      <c r="CA402" s="153"/>
      <c r="CB402" s="153"/>
      <c r="CC402" s="153"/>
      <c r="CD402" s="153"/>
      <c r="CE402" s="153"/>
      <c r="CF402" s="153"/>
      <c r="CG402" s="153"/>
      <c r="CH402" s="153"/>
      <c r="CI402" s="153"/>
    </row>
    <row r="403" spans="1:87" s="878" customFormat="1" ht="21.5" customHeight="1" outlineLevel="2">
      <c r="A403" s="1113"/>
      <c r="B403" s="1114" t="s">
        <v>1630</v>
      </c>
      <c r="C403" s="1114"/>
      <c r="D403" s="1115" t="s">
        <v>1631</v>
      </c>
      <c r="E403"/>
      <c r="F403" s="1119">
        <v>0</v>
      </c>
      <c r="G403" s="1119">
        <v>0</v>
      </c>
      <c r="H403" s="1119">
        <v>0</v>
      </c>
      <c r="I403" s="1119">
        <v>0</v>
      </c>
      <c r="J403" s="1119">
        <v>0</v>
      </c>
      <c r="K403" s="1119">
        <v>21700</v>
      </c>
      <c r="L403" s="1119">
        <v>21700</v>
      </c>
      <c r="M403" s="1119">
        <v>21700</v>
      </c>
      <c r="N403" s="1119">
        <v>21700</v>
      </c>
      <c r="O403" s="1119">
        <v>62700</v>
      </c>
      <c r="P403" s="1119">
        <v>149500</v>
      </c>
      <c r="Q403"/>
      <c r="R403" s="1119">
        <v>62700</v>
      </c>
      <c r="S403" s="1119">
        <v>62700</v>
      </c>
      <c r="T403" s="1119">
        <v>62700</v>
      </c>
      <c r="U403" s="1119">
        <v>62700</v>
      </c>
      <c r="V403" s="1119">
        <v>62700</v>
      </c>
      <c r="W403" s="1119">
        <v>62700</v>
      </c>
      <c r="X403" s="1119">
        <v>112860</v>
      </c>
      <c r="Y403" s="1119">
        <v>62700</v>
      </c>
      <c r="Z403" s="1119">
        <v>62700</v>
      </c>
      <c r="AA403" s="1119">
        <v>62700</v>
      </c>
      <c r="AB403" s="1119">
        <v>62700</v>
      </c>
      <c r="AC403" s="1119">
        <v>62700</v>
      </c>
      <c r="AD403" s="1119">
        <v>802560</v>
      </c>
      <c r="AE403"/>
      <c r="AF403" s="1119">
        <v>87780</v>
      </c>
      <c r="AG403" s="1119">
        <v>62700</v>
      </c>
      <c r="AH403" s="1119">
        <v>62700</v>
      </c>
      <c r="AI403" s="1119">
        <v>62700</v>
      </c>
      <c r="AJ403" s="1119">
        <v>62700</v>
      </c>
      <c r="AK403" s="1119">
        <v>62700</v>
      </c>
      <c r="AL403" s="1119">
        <v>87780</v>
      </c>
      <c r="AM403" s="1119">
        <v>62700</v>
      </c>
      <c r="AN403" s="1119">
        <v>62700</v>
      </c>
      <c r="AO403" s="1119">
        <v>62700</v>
      </c>
      <c r="AP403" s="1119">
        <v>62700</v>
      </c>
      <c r="AQ403" s="1119">
        <v>62700</v>
      </c>
      <c r="AR403" s="1119">
        <v>802560</v>
      </c>
      <c r="AS403"/>
      <c r="AT403" s="1119">
        <v>87780</v>
      </c>
      <c r="AU403" s="1119">
        <v>62700</v>
      </c>
      <c r="AV403" s="1119">
        <v>62700</v>
      </c>
      <c r="AW403" s="1119">
        <v>62700</v>
      </c>
      <c r="AX403" s="1119">
        <v>62700</v>
      </c>
      <c r="AY403" s="1119">
        <v>62700</v>
      </c>
      <c r="AZ403" s="1119">
        <v>87780</v>
      </c>
      <c r="BA403" s="1119">
        <v>62700</v>
      </c>
      <c r="BB403" s="1119">
        <v>62700</v>
      </c>
      <c r="BC403" s="1119">
        <v>62700</v>
      </c>
      <c r="BD403" s="1119">
        <v>62700</v>
      </c>
      <c r="BE403" s="1119">
        <v>62700</v>
      </c>
      <c r="BF403" s="1119">
        <v>802560</v>
      </c>
      <c r="BG403"/>
      <c r="BH403" s="1119">
        <v>87780</v>
      </c>
      <c r="BI403" s="1119">
        <v>62700</v>
      </c>
      <c r="BJ403" s="1119">
        <v>62700</v>
      </c>
      <c r="BK403" s="1119">
        <v>62700</v>
      </c>
      <c r="BL403" s="1119">
        <v>62700</v>
      </c>
      <c r="BM403" s="1119">
        <v>62700</v>
      </c>
      <c r="BN403" s="1119">
        <v>87780</v>
      </c>
      <c r="BO403" s="1119">
        <v>62700</v>
      </c>
      <c r="BP403" s="1119">
        <v>62700</v>
      </c>
      <c r="BQ403" s="1119">
        <v>62700</v>
      </c>
      <c r="BR403" s="1119">
        <v>62700</v>
      </c>
      <c r="BS403" s="1119">
        <v>62700</v>
      </c>
      <c r="BT403" s="1119">
        <v>802560</v>
      </c>
      <c r="BU403"/>
      <c r="BV403" s="1119">
        <v>112860</v>
      </c>
      <c r="BW403" s="1119">
        <v>62700</v>
      </c>
      <c r="BX403" s="1119">
        <v>62700</v>
      </c>
      <c r="BY403" s="1119">
        <v>238260</v>
      </c>
      <c r="BZ403" s="1119">
        <v>3598000</v>
      </c>
      <c r="CA403" s="153"/>
      <c r="CB403" s="153"/>
      <c r="CC403" s="153"/>
      <c r="CD403" s="153"/>
      <c r="CE403" s="153"/>
      <c r="CF403" s="153"/>
      <c r="CG403" s="153"/>
      <c r="CH403" s="153"/>
      <c r="CI403" s="153"/>
    </row>
    <row r="404" spans="1:87" s="558" customFormat="1" ht="87.5" hidden="1" customHeight="1" outlineLevel="3">
      <c r="A404" s="585" t="s">
        <v>2629</v>
      </c>
      <c r="B404" s="551" t="s">
        <v>1632</v>
      </c>
      <c r="C404" s="551"/>
      <c r="D404" s="537" t="s">
        <v>2630</v>
      </c>
      <c r="E404"/>
      <c r="F404" s="985"/>
      <c r="G404" s="985"/>
      <c r="H404" s="985"/>
      <c r="I404" s="985"/>
      <c r="J404" s="985"/>
      <c r="K404" s="985"/>
      <c r="L404" s="985"/>
      <c r="M404" s="985"/>
      <c r="N404" s="985"/>
      <c r="O404" s="985"/>
      <c r="P404" s="1013">
        <v>0</v>
      </c>
      <c r="Q404"/>
      <c r="R404" s="985"/>
      <c r="S404" s="985"/>
      <c r="T404" s="985"/>
      <c r="U404" s="985"/>
      <c r="V404" s="985"/>
      <c r="W404" s="985"/>
      <c r="X404" s="985"/>
      <c r="Y404" s="985"/>
      <c r="Z404" s="985"/>
      <c r="AA404" s="985"/>
      <c r="AB404" s="985"/>
      <c r="AC404" s="985"/>
      <c r="AD404" s="2012"/>
      <c r="AE404"/>
      <c r="AF404" s="985"/>
      <c r="AG404" s="985"/>
      <c r="AH404" s="985"/>
      <c r="AI404" s="985"/>
      <c r="AJ404" s="985"/>
      <c r="AK404" s="985"/>
      <c r="AL404" s="985"/>
      <c r="AM404" s="985"/>
      <c r="AN404" s="985"/>
      <c r="AO404" s="985"/>
      <c r="AP404" s="985"/>
      <c r="AQ404" s="985"/>
      <c r="AR404" s="2012"/>
      <c r="AS404"/>
      <c r="AT404" s="985"/>
      <c r="AU404" s="985"/>
      <c r="AV404" s="985"/>
      <c r="AW404" s="985"/>
      <c r="AX404" s="985"/>
      <c r="AY404" s="985"/>
      <c r="AZ404" s="985"/>
      <c r="BA404" s="985"/>
      <c r="BB404" s="985"/>
      <c r="BC404" s="985"/>
      <c r="BD404" s="985"/>
      <c r="BE404" s="985"/>
      <c r="BF404" s="2037"/>
      <c r="BG404"/>
      <c r="BH404" s="985"/>
      <c r="BI404" s="985"/>
      <c r="BJ404" s="985"/>
      <c r="BK404" s="985"/>
      <c r="BL404" s="985"/>
      <c r="BM404" s="985"/>
      <c r="BN404" s="985"/>
      <c r="BO404" s="985"/>
      <c r="BP404" s="985"/>
      <c r="BQ404" s="985"/>
      <c r="BR404" s="985"/>
      <c r="BS404" s="985"/>
      <c r="BT404" s="2012"/>
      <c r="BU404"/>
      <c r="BV404" s="985"/>
      <c r="BW404" s="985"/>
      <c r="BX404" s="985"/>
      <c r="BY404" s="2012"/>
      <c r="BZ404" s="2012">
        <v>0</v>
      </c>
      <c r="CA404" s="879"/>
    </row>
    <row r="405" spans="1:87" s="153" customFormat="1" ht="20.5" hidden="1" customHeight="1" outlineLevel="3">
      <c r="A405" s="586"/>
      <c r="B405" s="189" t="s">
        <v>1634</v>
      </c>
      <c r="C405" s="189"/>
      <c r="D405" s="559" t="s">
        <v>1635</v>
      </c>
      <c r="E405"/>
      <c r="F405" s="1019">
        <v>0</v>
      </c>
      <c r="G405" s="1019">
        <v>0</v>
      </c>
      <c r="H405" s="1019">
        <v>0</v>
      </c>
      <c r="I405" s="1019">
        <v>0</v>
      </c>
      <c r="J405" s="1019">
        <v>0</v>
      </c>
      <c r="K405" s="1019">
        <v>21700</v>
      </c>
      <c r="L405" s="1019">
        <v>21700</v>
      </c>
      <c r="M405" s="1019">
        <v>21700</v>
      </c>
      <c r="N405" s="1019">
        <v>21700</v>
      </c>
      <c r="O405" s="1019">
        <v>41100</v>
      </c>
      <c r="P405" s="1019">
        <v>127900</v>
      </c>
      <c r="Q405"/>
      <c r="R405" s="1019">
        <v>41100</v>
      </c>
      <c r="S405" s="1019">
        <v>41100</v>
      </c>
      <c r="T405" s="1019">
        <v>41100</v>
      </c>
      <c r="U405" s="1019">
        <v>41100</v>
      </c>
      <c r="V405" s="1019">
        <v>41100</v>
      </c>
      <c r="W405" s="1019">
        <v>41100</v>
      </c>
      <c r="X405" s="1019">
        <v>41100</v>
      </c>
      <c r="Y405" s="1019">
        <v>41100</v>
      </c>
      <c r="Z405" s="1019">
        <v>41100</v>
      </c>
      <c r="AA405" s="1019">
        <v>41100</v>
      </c>
      <c r="AB405" s="1019">
        <v>41100</v>
      </c>
      <c r="AC405" s="1019">
        <v>41100</v>
      </c>
      <c r="AD405" s="1019">
        <v>493200</v>
      </c>
      <c r="AE405"/>
      <c r="AF405" s="1019">
        <v>41100</v>
      </c>
      <c r="AG405" s="1019">
        <v>41100</v>
      </c>
      <c r="AH405" s="1019">
        <v>41100</v>
      </c>
      <c r="AI405" s="1019">
        <v>41100</v>
      </c>
      <c r="AJ405" s="1019">
        <v>41100</v>
      </c>
      <c r="AK405" s="1019">
        <v>41100</v>
      </c>
      <c r="AL405" s="1019">
        <v>41100</v>
      </c>
      <c r="AM405" s="1019">
        <v>41100</v>
      </c>
      <c r="AN405" s="1019">
        <v>41100</v>
      </c>
      <c r="AO405" s="1019">
        <v>41100</v>
      </c>
      <c r="AP405" s="1019">
        <v>41100</v>
      </c>
      <c r="AQ405" s="1019">
        <v>41100</v>
      </c>
      <c r="AR405" s="1019">
        <v>493200</v>
      </c>
      <c r="AS405"/>
      <c r="AT405" s="1019">
        <v>41100</v>
      </c>
      <c r="AU405" s="1019">
        <v>41100</v>
      </c>
      <c r="AV405" s="1019">
        <v>41100</v>
      </c>
      <c r="AW405" s="1019">
        <v>41100</v>
      </c>
      <c r="AX405" s="1019">
        <v>41100</v>
      </c>
      <c r="AY405" s="1019">
        <v>41100</v>
      </c>
      <c r="AZ405" s="1019">
        <v>41100</v>
      </c>
      <c r="BA405" s="1019">
        <v>41100</v>
      </c>
      <c r="BB405" s="1019">
        <v>41100</v>
      </c>
      <c r="BC405" s="1019">
        <v>41100</v>
      </c>
      <c r="BD405" s="1019">
        <v>41100</v>
      </c>
      <c r="BE405" s="1019">
        <v>41100</v>
      </c>
      <c r="BF405" s="1020">
        <v>493200</v>
      </c>
      <c r="BG405"/>
      <c r="BH405" s="1019">
        <v>41100</v>
      </c>
      <c r="BI405" s="1019">
        <v>41100</v>
      </c>
      <c r="BJ405" s="1019">
        <v>41100</v>
      </c>
      <c r="BK405" s="1019">
        <v>41100</v>
      </c>
      <c r="BL405" s="1019">
        <v>41100</v>
      </c>
      <c r="BM405" s="1019">
        <v>41100</v>
      </c>
      <c r="BN405" s="1019">
        <v>41100</v>
      </c>
      <c r="BO405" s="1019">
        <v>41100</v>
      </c>
      <c r="BP405" s="1019">
        <v>41100</v>
      </c>
      <c r="BQ405" s="1019">
        <v>41100</v>
      </c>
      <c r="BR405" s="1019">
        <v>41100</v>
      </c>
      <c r="BS405" s="1019">
        <v>41100</v>
      </c>
      <c r="BT405" s="1018">
        <v>493200</v>
      </c>
      <c r="BU405"/>
      <c r="BV405" s="1019">
        <v>41100</v>
      </c>
      <c r="BW405" s="1019">
        <v>41100</v>
      </c>
      <c r="BX405" s="1019">
        <v>41100</v>
      </c>
      <c r="BY405" s="1018">
        <v>123300</v>
      </c>
      <c r="BZ405" s="1018">
        <v>2224000</v>
      </c>
    </row>
    <row r="406" spans="1:87" s="881" customFormat="1" ht="27.5" hidden="1" customHeight="1" outlineLevel="4">
      <c r="A406" s="587"/>
      <c r="B406" s="183" t="s">
        <v>1636</v>
      </c>
      <c r="C406" s="183"/>
      <c r="D406" s="1060" t="s">
        <v>1637</v>
      </c>
      <c r="E406"/>
      <c r="F406" s="1002">
        <v>0</v>
      </c>
      <c r="G406" s="1002">
        <v>0</v>
      </c>
      <c r="H406" s="1002">
        <v>0</v>
      </c>
      <c r="I406" s="1002">
        <v>0</v>
      </c>
      <c r="J406" s="1002">
        <v>0</v>
      </c>
      <c r="K406" s="728">
        <v>9400</v>
      </c>
      <c r="L406" s="728">
        <v>9400</v>
      </c>
      <c r="M406" s="728">
        <v>9400</v>
      </c>
      <c r="N406" s="728">
        <v>9400</v>
      </c>
      <c r="O406" s="728">
        <v>9400</v>
      </c>
      <c r="P406" s="1013">
        <v>47000</v>
      </c>
      <c r="Q406"/>
      <c r="R406" s="728">
        <v>9400</v>
      </c>
      <c r="S406" s="728">
        <v>9400</v>
      </c>
      <c r="T406" s="728">
        <v>9400</v>
      </c>
      <c r="U406" s="728">
        <v>9400</v>
      </c>
      <c r="V406" s="728">
        <v>9400</v>
      </c>
      <c r="W406" s="728">
        <v>9400</v>
      </c>
      <c r="X406" s="728">
        <v>9400</v>
      </c>
      <c r="Y406" s="728">
        <v>9400</v>
      </c>
      <c r="Z406" s="728">
        <v>9400</v>
      </c>
      <c r="AA406" s="728">
        <v>9400</v>
      </c>
      <c r="AB406" s="728">
        <v>9400</v>
      </c>
      <c r="AC406" s="728">
        <v>9400</v>
      </c>
      <c r="AD406" s="1013">
        <v>112800</v>
      </c>
      <c r="AE406"/>
      <c r="AF406" s="728">
        <v>9400</v>
      </c>
      <c r="AG406" s="728">
        <v>9400</v>
      </c>
      <c r="AH406" s="728">
        <v>9400</v>
      </c>
      <c r="AI406" s="728">
        <v>9400</v>
      </c>
      <c r="AJ406" s="728">
        <v>9400</v>
      </c>
      <c r="AK406" s="728">
        <v>9400</v>
      </c>
      <c r="AL406" s="728">
        <v>9400</v>
      </c>
      <c r="AM406" s="728">
        <v>9400</v>
      </c>
      <c r="AN406" s="728">
        <v>9400</v>
      </c>
      <c r="AO406" s="728">
        <v>9400</v>
      </c>
      <c r="AP406" s="728">
        <v>9400</v>
      </c>
      <c r="AQ406" s="728">
        <v>9400</v>
      </c>
      <c r="AR406" s="1013">
        <v>112800</v>
      </c>
      <c r="AS406"/>
      <c r="AT406" s="728">
        <v>9400</v>
      </c>
      <c r="AU406" s="728">
        <v>9400</v>
      </c>
      <c r="AV406" s="728">
        <v>9400</v>
      </c>
      <c r="AW406" s="728">
        <v>9400</v>
      </c>
      <c r="AX406" s="728">
        <v>9400</v>
      </c>
      <c r="AY406" s="728">
        <v>9400</v>
      </c>
      <c r="AZ406" s="728">
        <v>9400</v>
      </c>
      <c r="BA406" s="728">
        <v>9400</v>
      </c>
      <c r="BB406" s="728">
        <v>9400</v>
      </c>
      <c r="BC406" s="728">
        <v>9400</v>
      </c>
      <c r="BD406" s="728">
        <v>9400</v>
      </c>
      <c r="BE406" s="728">
        <v>9400</v>
      </c>
      <c r="BF406" s="1013">
        <v>112800</v>
      </c>
      <c r="BG406"/>
      <c r="BH406" s="728">
        <v>9400</v>
      </c>
      <c r="BI406" s="728">
        <v>9400</v>
      </c>
      <c r="BJ406" s="728">
        <v>9400</v>
      </c>
      <c r="BK406" s="728">
        <v>9400</v>
      </c>
      <c r="BL406" s="728">
        <v>9400</v>
      </c>
      <c r="BM406" s="728">
        <v>9400</v>
      </c>
      <c r="BN406" s="728">
        <v>9400</v>
      </c>
      <c r="BO406" s="728">
        <v>9400</v>
      </c>
      <c r="BP406" s="728">
        <v>9400</v>
      </c>
      <c r="BQ406" s="728">
        <v>9400</v>
      </c>
      <c r="BR406" s="728">
        <v>9400</v>
      </c>
      <c r="BS406" s="728">
        <v>9400</v>
      </c>
      <c r="BT406" s="1013">
        <v>112800</v>
      </c>
      <c r="BU406"/>
      <c r="BV406" s="728">
        <v>9400</v>
      </c>
      <c r="BW406" s="728">
        <v>9400</v>
      </c>
      <c r="BX406" s="728">
        <v>9400</v>
      </c>
      <c r="BY406" s="1013">
        <v>28200</v>
      </c>
      <c r="BZ406" s="1013">
        <v>526400</v>
      </c>
      <c r="CA406" s="108"/>
    </row>
    <row r="407" spans="1:87" s="881" customFormat="1" ht="27.5" hidden="1" customHeight="1" outlineLevel="4">
      <c r="A407" s="587"/>
      <c r="B407" s="183" t="s">
        <v>1638</v>
      </c>
      <c r="C407" s="183"/>
      <c r="D407" s="1060" t="s">
        <v>1639</v>
      </c>
      <c r="E407"/>
      <c r="F407" s="1002">
        <v>0</v>
      </c>
      <c r="G407" s="1002">
        <v>0</v>
      </c>
      <c r="H407" s="1002">
        <v>0</v>
      </c>
      <c r="I407" s="1002">
        <v>0</v>
      </c>
      <c r="J407" s="1002">
        <v>0</v>
      </c>
      <c r="K407" s="728">
        <v>4100</v>
      </c>
      <c r="L407" s="728">
        <v>4100</v>
      </c>
      <c r="M407" s="728">
        <v>4100</v>
      </c>
      <c r="N407" s="728">
        <v>4100</v>
      </c>
      <c r="O407" s="728">
        <v>4100</v>
      </c>
      <c r="P407" s="1013">
        <v>20500</v>
      </c>
      <c r="Q407"/>
      <c r="R407" s="728">
        <v>4100</v>
      </c>
      <c r="S407" s="728">
        <v>4100</v>
      </c>
      <c r="T407" s="728">
        <v>4100</v>
      </c>
      <c r="U407" s="728">
        <v>4100</v>
      </c>
      <c r="V407" s="728">
        <v>4100</v>
      </c>
      <c r="W407" s="728">
        <v>4100</v>
      </c>
      <c r="X407" s="728">
        <v>4100</v>
      </c>
      <c r="Y407" s="728">
        <v>4100</v>
      </c>
      <c r="Z407" s="728">
        <v>4100</v>
      </c>
      <c r="AA407" s="728">
        <v>4100</v>
      </c>
      <c r="AB407" s="728">
        <v>4100</v>
      </c>
      <c r="AC407" s="728">
        <v>4100</v>
      </c>
      <c r="AD407" s="1013">
        <v>49200</v>
      </c>
      <c r="AE407"/>
      <c r="AF407" s="728">
        <v>4100</v>
      </c>
      <c r="AG407" s="728">
        <v>4100</v>
      </c>
      <c r="AH407" s="728">
        <v>4100</v>
      </c>
      <c r="AI407" s="728">
        <v>4100</v>
      </c>
      <c r="AJ407" s="728">
        <v>4100</v>
      </c>
      <c r="AK407" s="728">
        <v>4100</v>
      </c>
      <c r="AL407" s="728">
        <v>4100</v>
      </c>
      <c r="AM407" s="728">
        <v>4100</v>
      </c>
      <c r="AN407" s="728">
        <v>4100</v>
      </c>
      <c r="AO407" s="728">
        <v>4100</v>
      </c>
      <c r="AP407" s="728">
        <v>4100</v>
      </c>
      <c r="AQ407" s="728">
        <v>4100</v>
      </c>
      <c r="AR407" s="1013">
        <v>49200</v>
      </c>
      <c r="AS407"/>
      <c r="AT407" s="728">
        <v>4100</v>
      </c>
      <c r="AU407" s="728">
        <v>4100</v>
      </c>
      <c r="AV407" s="728">
        <v>4100</v>
      </c>
      <c r="AW407" s="728">
        <v>4100</v>
      </c>
      <c r="AX407" s="728">
        <v>4100</v>
      </c>
      <c r="AY407" s="728">
        <v>4100</v>
      </c>
      <c r="AZ407" s="728">
        <v>4100</v>
      </c>
      <c r="BA407" s="728">
        <v>4100</v>
      </c>
      <c r="BB407" s="728">
        <v>4100</v>
      </c>
      <c r="BC407" s="728">
        <v>4100</v>
      </c>
      <c r="BD407" s="728">
        <v>4100</v>
      </c>
      <c r="BE407" s="728">
        <v>4100</v>
      </c>
      <c r="BF407" s="1013">
        <v>49200</v>
      </c>
      <c r="BG407"/>
      <c r="BH407" s="728">
        <v>4100</v>
      </c>
      <c r="BI407" s="728">
        <v>4100</v>
      </c>
      <c r="BJ407" s="728">
        <v>4100</v>
      </c>
      <c r="BK407" s="728">
        <v>4100</v>
      </c>
      <c r="BL407" s="728">
        <v>4100</v>
      </c>
      <c r="BM407" s="728">
        <v>4100</v>
      </c>
      <c r="BN407" s="728">
        <v>4100</v>
      </c>
      <c r="BO407" s="728">
        <v>4100</v>
      </c>
      <c r="BP407" s="728">
        <v>4100</v>
      </c>
      <c r="BQ407" s="728">
        <v>4100</v>
      </c>
      <c r="BR407" s="728">
        <v>4100</v>
      </c>
      <c r="BS407" s="728">
        <v>4100</v>
      </c>
      <c r="BT407" s="1013">
        <v>49200</v>
      </c>
      <c r="BU407"/>
      <c r="BV407" s="728">
        <v>4100</v>
      </c>
      <c r="BW407" s="728">
        <v>4100</v>
      </c>
      <c r="BX407" s="728">
        <v>4100</v>
      </c>
      <c r="BY407" s="1013">
        <v>12300</v>
      </c>
      <c r="BZ407" s="1013">
        <v>229600</v>
      </c>
      <c r="CA407" s="108"/>
    </row>
    <row r="408" spans="1:87" s="881" customFormat="1" ht="27.5" hidden="1" customHeight="1" outlineLevel="4">
      <c r="A408" s="587"/>
      <c r="B408" s="183" t="s">
        <v>1640</v>
      </c>
      <c r="C408" s="183"/>
      <c r="D408" s="1060" t="s">
        <v>1641</v>
      </c>
      <c r="E408"/>
      <c r="F408" s="1002">
        <v>0</v>
      </c>
      <c r="G408" s="1002">
        <v>0</v>
      </c>
      <c r="H408" s="1002">
        <v>0</v>
      </c>
      <c r="I408" s="1002">
        <v>0</v>
      </c>
      <c r="J408" s="1002">
        <v>0</v>
      </c>
      <c r="K408" s="728">
        <v>4100</v>
      </c>
      <c r="L408" s="728">
        <v>4100</v>
      </c>
      <c r="M408" s="728">
        <v>4100</v>
      </c>
      <c r="N408" s="728">
        <v>4100</v>
      </c>
      <c r="O408" s="728">
        <v>4100</v>
      </c>
      <c r="P408" s="1013">
        <v>20500</v>
      </c>
      <c r="Q408"/>
      <c r="R408" s="728">
        <v>4100</v>
      </c>
      <c r="S408" s="728">
        <v>4100</v>
      </c>
      <c r="T408" s="728">
        <v>4100</v>
      </c>
      <c r="U408" s="728">
        <v>4100</v>
      </c>
      <c r="V408" s="728">
        <v>4100</v>
      </c>
      <c r="W408" s="728">
        <v>4100</v>
      </c>
      <c r="X408" s="728">
        <v>4100</v>
      </c>
      <c r="Y408" s="728">
        <v>4100</v>
      </c>
      <c r="Z408" s="728">
        <v>4100</v>
      </c>
      <c r="AA408" s="728">
        <v>4100</v>
      </c>
      <c r="AB408" s="728">
        <v>4100</v>
      </c>
      <c r="AC408" s="728">
        <v>4100</v>
      </c>
      <c r="AD408" s="1013">
        <v>49200</v>
      </c>
      <c r="AE408"/>
      <c r="AF408" s="728">
        <v>4100</v>
      </c>
      <c r="AG408" s="728">
        <v>4100</v>
      </c>
      <c r="AH408" s="728">
        <v>4100</v>
      </c>
      <c r="AI408" s="728">
        <v>4100</v>
      </c>
      <c r="AJ408" s="728">
        <v>4100</v>
      </c>
      <c r="AK408" s="728">
        <v>4100</v>
      </c>
      <c r="AL408" s="728">
        <v>4100</v>
      </c>
      <c r="AM408" s="728">
        <v>4100</v>
      </c>
      <c r="AN408" s="728">
        <v>4100</v>
      </c>
      <c r="AO408" s="728">
        <v>4100</v>
      </c>
      <c r="AP408" s="728">
        <v>4100</v>
      </c>
      <c r="AQ408" s="728">
        <v>4100</v>
      </c>
      <c r="AR408" s="1013">
        <v>49200</v>
      </c>
      <c r="AS408"/>
      <c r="AT408" s="728">
        <v>4100</v>
      </c>
      <c r="AU408" s="728">
        <v>4100</v>
      </c>
      <c r="AV408" s="728">
        <v>4100</v>
      </c>
      <c r="AW408" s="728">
        <v>4100</v>
      </c>
      <c r="AX408" s="728">
        <v>4100</v>
      </c>
      <c r="AY408" s="728">
        <v>4100</v>
      </c>
      <c r="AZ408" s="728">
        <v>4100</v>
      </c>
      <c r="BA408" s="728">
        <v>4100</v>
      </c>
      <c r="BB408" s="728">
        <v>4100</v>
      </c>
      <c r="BC408" s="728">
        <v>4100</v>
      </c>
      <c r="BD408" s="728">
        <v>4100</v>
      </c>
      <c r="BE408" s="728">
        <v>4100</v>
      </c>
      <c r="BF408" s="1013">
        <v>49200</v>
      </c>
      <c r="BG408"/>
      <c r="BH408" s="728">
        <v>4100</v>
      </c>
      <c r="BI408" s="728">
        <v>4100</v>
      </c>
      <c r="BJ408" s="728">
        <v>4100</v>
      </c>
      <c r="BK408" s="728">
        <v>4100</v>
      </c>
      <c r="BL408" s="728">
        <v>4100</v>
      </c>
      <c r="BM408" s="728">
        <v>4100</v>
      </c>
      <c r="BN408" s="728">
        <v>4100</v>
      </c>
      <c r="BO408" s="728">
        <v>4100</v>
      </c>
      <c r="BP408" s="728">
        <v>4100</v>
      </c>
      <c r="BQ408" s="728">
        <v>4100</v>
      </c>
      <c r="BR408" s="728">
        <v>4100</v>
      </c>
      <c r="BS408" s="728">
        <v>4100</v>
      </c>
      <c r="BT408" s="1013">
        <v>49200</v>
      </c>
      <c r="BU408"/>
      <c r="BV408" s="728">
        <v>4100</v>
      </c>
      <c r="BW408" s="728">
        <v>4100</v>
      </c>
      <c r="BX408" s="728">
        <v>4100</v>
      </c>
      <c r="BY408" s="1013">
        <v>12300</v>
      </c>
      <c r="BZ408" s="1013">
        <v>229600</v>
      </c>
      <c r="CA408" s="108"/>
    </row>
    <row r="409" spans="1:87" s="881" customFormat="1" ht="27.5" hidden="1" customHeight="1" outlineLevel="4">
      <c r="A409" s="587"/>
      <c r="B409" s="183" t="s">
        <v>1642</v>
      </c>
      <c r="C409" s="183"/>
      <c r="D409" s="1060" t="s">
        <v>1643</v>
      </c>
      <c r="E409"/>
      <c r="F409" s="1002">
        <v>0</v>
      </c>
      <c r="G409" s="1002">
        <v>0</v>
      </c>
      <c r="H409" s="1002">
        <v>0</v>
      </c>
      <c r="I409" s="1002">
        <v>0</v>
      </c>
      <c r="J409" s="1002">
        <v>0</v>
      </c>
      <c r="K409" s="728">
        <v>4100</v>
      </c>
      <c r="L409" s="728">
        <v>4100</v>
      </c>
      <c r="M409" s="728">
        <v>4100</v>
      </c>
      <c r="N409" s="728">
        <v>4100</v>
      </c>
      <c r="O409" s="728">
        <v>4100</v>
      </c>
      <c r="P409" s="1013">
        <v>20500</v>
      </c>
      <c r="Q409"/>
      <c r="R409" s="728">
        <v>4100</v>
      </c>
      <c r="S409" s="728">
        <v>4100</v>
      </c>
      <c r="T409" s="728">
        <v>4100</v>
      </c>
      <c r="U409" s="728">
        <v>4100</v>
      </c>
      <c r="V409" s="728">
        <v>4100</v>
      </c>
      <c r="W409" s="728">
        <v>4100</v>
      </c>
      <c r="X409" s="728">
        <v>4100</v>
      </c>
      <c r="Y409" s="728">
        <v>4100</v>
      </c>
      <c r="Z409" s="728">
        <v>4100</v>
      </c>
      <c r="AA409" s="728">
        <v>4100</v>
      </c>
      <c r="AB409" s="728">
        <v>4100</v>
      </c>
      <c r="AC409" s="728">
        <v>4100</v>
      </c>
      <c r="AD409" s="1013">
        <v>49200</v>
      </c>
      <c r="AE409"/>
      <c r="AF409" s="728">
        <v>4100</v>
      </c>
      <c r="AG409" s="728">
        <v>4100</v>
      </c>
      <c r="AH409" s="728">
        <v>4100</v>
      </c>
      <c r="AI409" s="728">
        <v>4100</v>
      </c>
      <c r="AJ409" s="728">
        <v>4100</v>
      </c>
      <c r="AK409" s="728">
        <v>4100</v>
      </c>
      <c r="AL409" s="728">
        <v>4100</v>
      </c>
      <c r="AM409" s="728">
        <v>4100</v>
      </c>
      <c r="AN409" s="728">
        <v>4100</v>
      </c>
      <c r="AO409" s="728">
        <v>4100</v>
      </c>
      <c r="AP409" s="728">
        <v>4100</v>
      </c>
      <c r="AQ409" s="728">
        <v>4100</v>
      </c>
      <c r="AR409" s="1013">
        <v>49200</v>
      </c>
      <c r="AS409"/>
      <c r="AT409" s="728">
        <v>4100</v>
      </c>
      <c r="AU409" s="728">
        <v>4100</v>
      </c>
      <c r="AV409" s="728">
        <v>4100</v>
      </c>
      <c r="AW409" s="728">
        <v>4100</v>
      </c>
      <c r="AX409" s="728">
        <v>4100</v>
      </c>
      <c r="AY409" s="728">
        <v>4100</v>
      </c>
      <c r="AZ409" s="728">
        <v>4100</v>
      </c>
      <c r="BA409" s="728">
        <v>4100</v>
      </c>
      <c r="BB409" s="728">
        <v>4100</v>
      </c>
      <c r="BC409" s="728">
        <v>4100</v>
      </c>
      <c r="BD409" s="728">
        <v>4100</v>
      </c>
      <c r="BE409" s="728">
        <v>4100</v>
      </c>
      <c r="BF409" s="1013">
        <v>49200</v>
      </c>
      <c r="BG409"/>
      <c r="BH409" s="728">
        <v>4100</v>
      </c>
      <c r="BI409" s="728">
        <v>4100</v>
      </c>
      <c r="BJ409" s="728">
        <v>4100</v>
      </c>
      <c r="BK409" s="728">
        <v>4100</v>
      </c>
      <c r="BL409" s="728">
        <v>4100</v>
      </c>
      <c r="BM409" s="728">
        <v>4100</v>
      </c>
      <c r="BN409" s="728">
        <v>4100</v>
      </c>
      <c r="BO409" s="728">
        <v>4100</v>
      </c>
      <c r="BP409" s="728">
        <v>4100</v>
      </c>
      <c r="BQ409" s="728">
        <v>4100</v>
      </c>
      <c r="BR409" s="728">
        <v>4100</v>
      </c>
      <c r="BS409" s="728">
        <v>4100</v>
      </c>
      <c r="BT409" s="1013">
        <v>49200</v>
      </c>
      <c r="BU409"/>
      <c r="BV409" s="728">
        <v>4100</v>
      </c>
      <c r="BW409" s="728">
        <v>4100</v>
      </c>
      <c r="BX409" s="728">
        <v>4100</v>
      </c>
      <c r="BY409" s="1013">
        <v>12300</v>
      </c>
      <c r="BZ409" s="1013">
        <v>229600</v>
      </c>
      <c r="CA409" s="108"/>
    </row>
    <row r="410" spans="1:87" s="881" customFormat="1" ht="27.5" hidden="1" customHeight="1" outlineLevel="4">
      <c r="A410" s="587"/>
      <c r="B410" s="183" t="s">
        <v>1644</v>
      </c>
      <c r="C410" s="183"/>
      <c r="D410" s="1060" t="s">
        <v>1645</v>
      </c>
      <c r="E410"/>
      <c r="F410" s="1002">
        <v>0</v>
      </c>
      <c r="G410" s="1002">
        <v>0</v>
      </c>
      <c r="H410" s="1002">
        <v>0</v>
      </c>
      <c r="I410" s="1002">
        <v>0</v>
      </c>
      <c r="J410" s="1002">
        <v>0</v>
      </c>
      <c r="K410" s="1002">
        <v>0</v>
      </c>
      <c r="L410" s="1002">
        <v>0</v>
      </c>
      <c r="M410" s="1002">
        <v>0</v>
      </c>
      <c r="N410" s="1002">
        <v>0</v>
      </c>
      <c r="O410" s="728">
        <v>9400</v>
      </c>
      <c r="P410" s="1013">
        <v>9400</v>
      </c>
      <c r="Q410"/>
      <c r="R410" s="728">
        <v>9400</v>
      </c>
      <c r="S410" s="728">
        <v>9400</v>
      </c>
      <c r="T410" s="728">
        <v>9400</v>
      </c>
      <c r="U410" s="728">
        <v>9400</v>
      </c>
      <c r="V410" s="728">
        <v>9400</v>
      </c>
      <c r="W410" s="728">
        <v>9400</v>
      </c>
      <c r="X410" s="728">
        <v>9400</v>
      </c>
      <c r="Y410" s="728">
        <v>9400</v>
      </c>
      <c r="Z410" s="728">
        <v>9400</v>
      </c>
      <c r="AA410" s="728">
        <v>9400</v>
      </c>
      <c r="AB410" s="728">
        <v>9400</v>
      </c>
      <c r="AC410" s="728">
        <v>9400</v>
      </c>
      <c r="AD410" s="1013">
        <v>112800</v>
      </c>
      <c r="AE410"/>
      <c r="AF410" s="728">
        <v>9400</v>
      </c>
      <c r="AG410" s="728">
        <v>9400</v>
      </c>
      <c r="AH410" s="728">
        <v>9400</v>
      </c>
      <c r="AI410" s="728">
        <v>9400</v>
      </c>
      <c r="AJ410" s="728">
        <v>9400</v>
      </c>
      <c r="AK410" s="728">
        <v>9400</v>
      </c>
      <c r="AL410" s="728">
        <v>9400</v>
      </c>
      <c r="AM410" s="728">
        <v>9400</v>
      </c>
      <c r="AN410" s="728">
        <v>9400</v>
      </c>
      <c r="AO410" s="728">
        <v>9400</v>
      </c>
      <c r="AP410" s="728">
        <v>9400</v>
      </c>
      <c r="AQ410" s="728">
        <v>9400</v>
      </c>
      <c r="AR410" s="1013">
        <v>112800</v>
      </c>
      <c r="AS410"/>
      <c r="AT410" s="728">
        <v>9400</v>
      </c>
      <c r="AU410" s="728">
        <v>9400</v>
      </c>
      <c r="AV410" s="728">
        <v>9400</v>
      </c>
      <c r="AW410" s="728">
        <v>9400</v>
      </c>
      <c r="AX410" s="728">
        <v>9400</v>
      </c>
      <c r="AY410" s="728">
        <v>9400</v>
      </c>
      <c r="AZ410" s="728">
        <v>9400</v>
      </c>
      <c r="BA410" s="728">
        <v>9400</v>
      </c>
      <c r="BB410" s="728">
        <v>9400</v>
      </c>
      <c r="BC410" s="728">
        <v>9400</v>
      </c>
      <c r="BD410" s="728">
        <v>9400</v>
      </c>
      <c r="BE410" s="728">
        <v>9400</v>
      </c>
      <c r="BF410" s="1013">
        <v>112800</v>
      </c>
      <c r="BG410"/>
      <c r="BH410" s="728">
        <v>9400</v>
      </c>
      <c r="BI410" s="728">
        <v>9400</v>
      </c>
      <c r="BJ410" s="728">
        <v>9400</v>
      </c>
      <c r="BK410" s="728">
        <v>9400</v>
      </c>
      <c r="BL410" s="728">
        <v>9400</v>
      </c>
      <c r="BM410" s="728">
        <v>9400</v>
      </c>
      <c r="BN410" s="728">
        <v>9400</v>
      </c>
      <c r="BO410" s="728">
        <v>9400</v>
      </c>
      <c r="BP410" s="728">
        <v>9400</v>
      </c>
      <c r="BQ410" s="728">
        <v>9400</v>
      </c>
      <c r="BR410" s="728">
        <v>9400</v>
      </c>
      <c r="BS410" s="728">
        <v>9400</v>
      </c>
      <c r="BT410" s="1013">
        <v>112800</v>
      </c>
      <c r="BU410"/>
      <c r="BV410" s="728">
        <v>9400</v>
      </c>
      <c r="BW410" s="728">
        <v>9400</v>
      </c>
      <c r="BX410" s="728">
        <v>9400</v>
      </c>
      <c r="BY410" s="1013">
        <v>28200</v>
      </c>
      <c r="BZ410" s="1013">
        <v>488800</v>
      </c>
      <c r="CA410" s="108"/>
    </row>
    <row r="411" spans="1:87" s="881" customFormat="1" ht="27.5" hidden="1" customHeight="1" outlineLevel="4">
      <c r="A411" s="587"/>
      <c r="B411" s="183" t="s">
        <v>1646</v>
      </c>
      <c r="C411" s="183"/>
      <c r="D411" s="1060" t="s">
        <v>1647</v>
      </c>
      <c r="E411"/>
      <c r="F411" s="1002">
        <v>0</v>
      </c>
      <c r="G411" s="1002">
        <v>0</v>
      </c>
      <c r="H411" s="1002">
        <v>0</v>
      </c>
      <c r="I411" s="1002">
        <v>0</v>
      </c>
      <c r="J411" s="1002">
        <v>0</v>
      </c>
      <c r="K411" s="1002">
        <v>0</v>
      </c>
      <c r="L411" s="1002">
        <v>0</v>
      </c>
      <c r="M411" s="1002">
        <v>0</v>
      </c>
      <c r="N411" s="1002">
        <v>0</v>
      </c>
      <c r="O411" s="728">
        <v>5000</v>
      </c>
      <c r="P411" s="1013">
        <v>5000</v>
      </c>
      <c r="Q411"/>
      <c r="R411" s="728">
        <v>5000</v>
      </c>
      <c r="S411" s="728">
        <v>5000</v>
      </c>
      <c r="T411" s="728">
        <v>5000</v>
      </c>
      <c r="U411" s="728">
        <v>5000</v>
      </c>
      <c r="V411" s="728">
        <v>5000</v>
      </c>
      <c r="W411" s="728">
        <v>5000</v>
      </c>
      <c r="X411" s="728">
        <v>5000</v>
      </c>
      <c r="Y411" s="728">
        <v>5000</v>
      </c>
      <c r="Z411" s="728">
        <v>5000</v>
      </c>
      <c r="AA411" s="728">
        <v>5000</v>
      </c>
      <c r="AB411" s="728">
        <v>5000</v>
      </c>
      <c r="AC411" s="728">
        <v>5000</v>
      </c>
      <c r="AD411" s="1013">
        <v>60000</v>
      </c>
      <c r="AE411"/>
      <c r="AF411" s="728">
        <v>5000</v>
      </c>
      <c r="AG411" s="728">
        <v>5000</v>
      </c>
      <c r="AH411" s="728">
        <v>5000</v>
      </c>
      <c r="AI411" s="728">
        <v>5000</v>
      </c>
      <c r="AJ411" s="728">
        <v>5000</v>
      </c>
      <c r="AK411" s="728">
        <v>5000</v>
      </c>
      <c r="AL411" s="728">
        <v>5000</v>
      </c>
      <c r="AM411" s="728">
        <v>5000</v>
      </c>
      <c r="AN411" s="728">
        <v>5000</v>
      </c>
      <c r="AO411" s="728">
        <v>5000</v>
      </c>
      <c r="AP411" s="728">
        <v>5000</v>
      </c>
      <c r="AQ411" s="728">
        <v>5000</v>
      </c>
      <c r="AR411" s="1013">
        <v>60000</v>
      </c>
      <c r="AS411"/>
      <c r="AT411" s="728">
        <v>5000</v>
      </c>
      <c r="AU411" s="728">
        <v>5000</v>
      </c>
      <c r="AV411" s="728">
        <v>5000</v>
      </c>
      <c r="AW411" s="728">
        <v>5000</v>
      </c>
      <c r="AX411" s="728">
        <v>5000</v>
      </c>
      <c r="AY411" s="728">
        <v>5000</v>
      </c>
      <c r="AZ411" s="728">
        <v>5000</v>
      </c>
      <c r="BA411" s="728">
        <v>5000</v>
      </c>
      <c r="BB411" s="728">
        <v>5000</v>
      </c>
      <c r="BC411" s="728">
        <v>5000</v>
      </c>
      <c r="BD411" s="728">
        <v>5000</v>
      </c>
      <c r="BE411" s="728">
        <v>5000</v>
      </c>
      <c r="BF411" s="1013">
        <v>60000</v>
      </c>
      <c r="BG411"/>
      <c r="BH411" s="728">
        <v>5000</v>
      </c>
      <c r="BI411" s="728">
        <v>5000</v>
      </c>
      <c r="BJ411" s="728">
        <v>5000</v>
      </c>
      <c r="BK411" s="728">
        <v>5000</v>
      </c>
      <c r="BL411" s="728">
        <v>5000</v>
      </c>
      <c r="BM411" s="728">
        <v>5000</v>
      </c>
      <c r="BN411" s="728">
        <v>5000</v>
      </c>
      <c r="BO411" s="728">
        <v>5000</v>
      </c>
      <c r="BP411" s="728">
        <v>5000</v>
      </c>
      <c r="BQ411" s="728">
        <v>5000</v>
      </c>
      <c r="BR411" s="728">
        <v>5000</v>
      </c>
      <c r="BS411" s="728">
        <v>5000</v>
      </c>
      <c r="BT411" s="1013">
        <v>60000</v>
      </c>
      <c r="BU411"/>
      <c r="BV411" s="728">
        <v>5000</v>
      </c>
      <c r="BW411" s="728">
        <v>5000</v>
      </c>
      <c r="BX411" s="728">
        <v>5000</v>
      </c>
      <c r="BY411" s="1013">
        <v>15000</v>
      </c>
      <c r="BZ411" s="1013">
        <v>260000</v>
      </c>
      <c r="CA411" s="108"/>
    </row>
    <row r="412" spans="1:87" s="881" customFormat="1" ht="27.5" hidden="1" customHeight="1" outlineLevel="4">
      <c r="A412" s="587"/>
      <c r="B412" s="183" t="s">
        <v>1648</v>
      </c>
      <c r="C412" s="183"/>
      <c r="D412" s="1060" t="s">
        <v>1649</v>
      </c>
      <c r="E412"/>
      <c r="F412" s="1002">
        <v>0</v>
      </c>
      <c r="G412" s="1002">
        <v>0</v>
      </c>
      <c r="H412" s="1002">
        <v>0</v>
      </c>
      <c r="I412" s="1002">
        <v>0</v>
      </c>
      <c r="J412" s="1002">
        <v>0</v>
      </c>
      <c r="K412" s="1002">
        <v>0</v>
      </c>
      <c r="L412" s="1002">
        <v>0</v>
      </c>
      <c r="M412" s="1002">
        <v>0</v>
      </c>
      <c r="N412" s="1002">
        <v>0</v>
      </c>
      <c r="O412" s="728">
        <v>2500</v>
      </c>
      <c r="P412" s="1013">
        <v>2500</v>
      </c>
      <c r="Q412"/>
      <c r="R412" s="728">
        <v>2500</v>
      </c>
      <c r="S412" s="728">
        <v>2500</v>
      </c>
      <c r="T412" s="728">
        <v>2500</v>
      </c>
      <c r="U412" s="728">
        <v>2500</v>
      </c>
      <c r="V412" s="728">
        <v>2500</v>
      </c>
      <c r="W412" s="728">
        <v>2500</v>
      </c>
      <c r="X412" s="728">
        <v>2500</v>
      </c>
      <c r="Y412" s="728">
        <v>2500</v>
      </c>
      <c r="Z412" s="728">
        <v>2500</v>
      </c>
      <c r="AA412" s="728">
        <v>2500</v>
      </c>
      <c r="AB412" s="728">
        <v>2500</v>
      </c>
      <c r="AC412" s="728">
        <v>2500</v>
      </c>
      <c r="AD412" s="1013">
        <v>30000</v>
      </c>
      <c r="AE412"/>
      <c r="AF412" s="728">
        <v>2500</v>
      </c>
      <c r="AG412" s="728">
        <v>2500</v>
      </c>
      <c r="AH412" s="728">
        <v>2500</v>
      </c>
      <c r="AI412" s="728">
        <v>2500</v>
      </c>
      <c r="AJ412" s="728">
        <v>2500</v>
      </c>
      <c r="AK412" s="728">
        <v>2500</v>
      </c>
      <c r="AL412" s="728">
        <v>2500</v>
      </c>
      <c r="AM412" s="728">
        <v>2500</v>
      </c>
      <c r="AN412" s="728">
        <v>2500</v>
      </c>
      <c r="AO412" s="728">
        <v>2500</v>
      </c>
      <c r="AP412" s="728">
        <v>2500</v>
      </c>
      <c r="AQ412" s="728">
        <v>2500</v>
      </c>
      <c r="AR412" s="1013">
        <v>30000</v>
      </c>
      <c r="AS412"/>
      <c r="AT412" s="728">
        <v>2500</v>
      </c>
      <c r="AU412" s="728">
        <v>2500</v>
      </c>
      <c r="AV412" s="728">
        <v>2500</v>
      </c>
      <c r="AW412" s="728">
        <v>2500</v>
      </c>
      <c r="AX412" s="728">
        <v>2500</v>
      </c>
      <c r="AY412" s="728">
        <v>2500</v>
      </c>
      <c r="AZ412" s="728">
        <v>2500</v>
      </c>
      <c r="BA412" s="728">
        <v>2500</v>
      </c>
      <c r="BB412" s="728">
        <v>2500</v>
      </c>
      <c r="BC412" s="728">
        <v>2500</v>
      </c>
      <c r="BD412" s="728">
        <v>2500</v>
      </c>
      <c r="BE412" s="728">
        <v>2500</v>
      </c>
      <c r="BF412" s="1013">
        <v>30000</v>
      </c>
      <c r="BG412"/>
      <c r="BH412" s="728">
        <v>2500</v>
      </c>
      <c r="BI412" s="728">
        <v>2500</v>
      </c>
      <c r="BJ412" s="728">
        <v>2500</v>
      </c>
      <c r="BK412" s="728">
        <v>2500</v>
      </c>
      <c r="BL412" s="728">
        <v>2500</v>
      </c>
      <c r="BM412" s="728">
        <v>2500</v>
      </c>
      <c r="BN412" s="728">
        <v>2500</v>
      </c>
      <c r="BO412" s="728">
        <v>2500</v>
      </c>
      <c r="BP412" s="728">
        <v>2500</v>
      </c>
      <c r="BQ412" s="728">
        <v>2500</v>
      </c>
      <c r="BR412" s="728">
        <v>2500</v>
      </c>
      <c r="BS412" s="728">
        <v>2500</v>
      </c>
      <c r="BT412" s="1013">
        <v>30000</v>
      </c>
      <c r="BU412"/>
      <c r="BV412" s="728">
        <v>2500</v>
      </c>
      <c r="BW412" s="728">
        <v>2500</v>
      </c>
      <c r="BX412" s="728">
        <v>2500</v>
      </c>
      <c r="BY412" s="1013">
        <v>7500</v>
      </c>
      <c r="BZ412" s="1013">
        <v>130000</v>
      </c>
      <c r="CA412" s="108"/>
    </row>
    <row r="413" spans="1:87" s="881" customFormat="1" ht="27.5" hidden="1" customHeight="1" outlineLevel="4">
      <c r="A413" s="587"/>
      <c r="B413" s="183" t="s">
        <v>1650</v>
      </c>
      <c r="C413" s="183"/>
      <c r="D413" s="2077" t="s">
        <v>1651</v>
      </c>
      <c r="E413"/>
      <c r="F413" s="1002">
        <v>0</v>
      </c>
      <c r="G413" s="1002">
        <v>0</v>
      </c>
      <c r="H413" s="1002">
        <v>0</v>
      </c>
      <c r="I413" s="1002">
        <v>0</v>
      </c>
      <c r="J413" s="1002">
        <v>0</v>
      </c>
      <c r="K413" s="1002">
        <v>0</v>
      </c>
      <c r="L413" s="1002">
        <v>0</v>
      </c>
      <c r="M413" s="1002">
        <v>0</v>
      </c>
      <c r="N413" s="1002">
        <v>0</v>
      </c>
      <c r="O413" s="728">
        <v>2500</v>
      </c>
      <c r="P413" s="1013">
        <v>2500</v>
      </c>
      <c r="Q413"/>
      <c r="R413" s="728">
        <v>2500</v>
      </c>
      <c r="S413" s="728">
        <v>2500</v>
      </c>
      <c r="T413" s="728">
        <v>2500</v>
      </c>
      <c r="U413" s="728">
        <v>2500</v>
      </c>
      <c r="V413" s="728">
        <v>2500</v>
      </c>
      <c r="W413" s="728">
        <v>2500</v>
      </c>
      <c r="X413" s="728">
        <v>2500</v>
      </c>
      <c r="Y413" s="728">
        <v>2500</v>
      </c>
      <c r="Z413" s="728">
        <v>2500</v>
      </c>
      <c r="AA413" s="728">
        <v>2500</v>
      </c>
      <c r="AB413" s="728">
        <v>2500</v>
      </c>
      <c r="AC413" s="728">
        <v>2500</v>
      </c>
      <c r="AD413" s="1013">
        <v>30000</v>
      </c>
      <c r="AE413"/>
      <c r="AF413" s="728">
        <v>2500</v>
      </c>
      <c r="AG413" s="728">
        <v>2500</v>
      </c>
      <c r="AH413" s="728">
        <v>2500</v>
      </c>
      <c r="AI413" s="728">
        <v>2500</v>
      </c>
      <c r="AJ413" s="728">
        <v>2500</v>
      </c>
      <c r="AK413" s="728">
        <v>2500</v>
      </c>
      <c r="AL413" s="728">
        <v>2500</v>
      </c>
      <c r="AM413" s="728">
        <v>2500</v>
      </c>
      <c r="AN413" s="728">
        <v>2500</v>
      </c>
      <c r="AO413" s="728">
        <v>2500</v>
      </c>
      <c r="AP413" s="728">
        <v>2500</v>
      </c>
      <c r="AQ413" s="728">
        <v>2500</v>
      </c>
      <c r="AR413" s="1013">
        <v>30000</v>
      </c>
      <c r="AS413"/>
      <c r="AT413" s="728">
        <v>2500</v>
      </c>
      <c r="AU413" s="728">
        <v>2500</v>
      </c>
      <c r="AV413" s="728">
        <v>2500</v>
      </c>
      <c r="AW413" s="728">
        <v>2500</v>
      </c>
      <c r="AX413" s="728">
        <v>2500</v>
      </c>
      <c r="AY413" s="728">
        <v>2500</v>
      </c>
      <c r="AZ413" s="728">
        <v>2500</v>
      </c>
      <c r="BA413" s="728">
        <v>2500</v>
      </c>
      <c r="BB413" s="728">
        <v>2500</v>
      </c>
      <c r="BC413" s="728">
        <v>2500</v>
      </c>
      <c r="BD413" s="728">
        <v>2500</v>
      </c>
      <c r="BE413" s="728">
        <v>2500</v>
      </c>
      <c r="BF413" s="1013">
        <v>30000</v>
      </c>
      <c r="BG413"/>
      <c r="BH413" s="728">
        <v>2500</v>
      </c>
      <c r="BI413" s="728">
        <v>2500</v>
      </c>
      <c r="BJ413" s="728">
        <v>2500</v>
      </c>
      <c r="BK413" s="728">
        <v>2500</v>
      </c>
      <c r="BL413" s="728">
        <v>2500</v>
      </c>
      <c r="BM413" s="728">
        <v>2500</v>
      </c>
      <c r="BN413" s="728">
        <v>2500</v>
      </c>
      <c r="BO413" s="728">
        <v>2500</v>
      </c>
      <c r="BP413" s="728">
        <v>2500</v>
      </c>
      <c r="BQ413" s="728">
        <v>2500</v>
      </c>
      <c r="BR413" s="728">
        <v>2500</v>
      </c>
      <c r="BS413" s="728">
        <v>2500</v>
      </c>
      <c r="BT413" s="1013">
        <v>30000</v>
      </c>
      <c r="BU413"/>
      <c r="BV413" s="728">
        <v>2500</v>
      </c>
      <c r="BW413" s="728">
        <v>2500</v>
      </c>
      <c r="BX413" s="728">
        <v>2500</v>
      </c>
      <c r="BY413" s="1013">
        <v>7500</v>
      </c>
      <c r="BZ413" s="1013">
        <v>130000</v>
      </c>
      <c r="CA413" s="108"/>
    </row>
    <row r="414" spans="1:87" s="153" customFormat="1" ht="20.5" hidden="1" customHeight="1" outlineLevel="3">
      <c r="A414" s="586"/>
      <c r="B414" s="189" t="s">
        <v>1653</v>
      </c>
      <c r="C414" s="189"/>
      <c r="D414" s="559" t="s">
        <v>1654</v>
      </c>
      <c r="E414"/>
      <c r="F414" s="193">
        <v>0</v>
      </c>
      <c r="G414" s="193">
        <v>0</v>
      </c>
      <c r="H414" s="193">
        <v>0</v>
      </c>
      <c r="I414" s="193">
        <v>0</v>
      </c>
      <c r="J414" s="193">
        <v>0</v>
      </c>
      <c r="K414" s="193">
        <v>0</v>
      </c>
      <c r="L414" s="193">
        <v>0</v>
      </c>
      <c r="M414" s="193">
        <v>0</v>
      </c>
      <c r="N414" s="193">
        <v>0</v>
      </c>
      <c r="O414" s="193">
        <v>21600</v>
      </c>
      <c r="P414" s="193">
        <v>21600</v>
      </c>
      <c r="Q414"/>
      <c r="R414" s="193">
        <v>21600</v>
      </c>
      <c r="S414" s="193">
        <v>21600</v>
      </c>
      <c r="T414" s="193">
        <v>21600</v>
      </c>
      <c r="U414" s="193">
        <v>21600</v>
      </c>
      <c r="V414" s="193">
        <v>21600</v>
      </c>
      <c r="W414" s="193">
        <v>21600</v>
      </c>
      <c r="X414" s="193">
        <v>21600</v>
      </c>
      <c r="Y414" s="193">
        <v>21600</v>
      </c>
      <c r="Z414" s="193">
        <v>21600</v>
      </c>
      <c r="AA414" s="193">
        <v>21600</v>
      </c>
      <c r="AB414" s="193">
        <v>21600</v>
      </c>
      <c r="AC414" s="193">
        <v>21600</v>
      </c>
      <c r="AD414" s="193">
        <v>259200</v>
      </c>
      <c r="AE414"/>
      <c r="AF414" s="193">
        <v>21600</v>
      </c>
      <c r="AG414" s="193">
        <v>21600</v>
      </c>
      <c r="AH414" s="193">
        <v>21600</v>
      </c>
      <c r="AI414" s="193">
        <v>21600</v>
      </c>
      <c r="AJ414" s="193">
        <v>21600</v>
      </c>
      <c r="AK414" s="193">
        <v>21600</v>
      </c>
      <c r="AL414" s="193">
        <v>21600</v>
      </c>
      <c r="AM414" s="193">
        <v>21600</v>
      </c>
      <c r="AN414" s="193">
        <v>21600</v>
      </c>
      <c r="AO414" s="193">
        <v>21600</v>
      </c>
      <c r="AP414" s="193">
        <v>21600</v>
      </c>
      <c r="AQ414" s="193">
        <v>21600</v>
      </c>
      <c r="AR414" s="193">
        <v>259200</v>
      </c>
      <c r="AS414"/>
      <c r="AT414" s="193">
        <v>21600</v>
      </c>
      <c r="AU414" s="193">
        <v>21600</v>
      </c>
      <c r="AV414" s="193">
        <v>21600</v>
      </c>
      <c r="AW414" s="193">
        <v>21600</v>
      </c>
      <c r="AX414" s="193">
        <v>21600</v>
      </c>
      <c r="AY414" s="193">
        <v>21600</v>
      </c>
      <c r="AZ414" s="193">
        <v>21600</v>
      </c>
      <c r="BA414" s="193">
        <v>21600</v>
      </c>
      <c r="BB414" s="193">
        <v>21600</v>
      </c>
      <c r="BC414" s="193">
        <v>21600</v>
      </c>
      <c r="BD414" s="193">
        <v>21600</v>
      </c>
      <c r="BE414" s="193">
        <v>21600</v>
      </c>
      <c r="BF414" s="193">
        <v>259200</v>
      </c>
      <c r="BG414"/>
      <c r="BH414" s="193">
        <v>21600</v>
      </c>
      <c r="BI414" s="193">
        <v>21600</v>
      </c>
      <c r="BJ414" s="193">
        <v>21600</v>
      </c>
      <c r="BK414" s="193">
        <v>21600</v>
      </c>
      <c r="BL414" s="193">
        <v>21600</v>
      </c>
      <c r="BM414" s="193">
        <v>21600</v>
      </c>
      <c r="BN414" s="193">
        <v>21600</v>
      </c>
      <c r="BO414" s="193">
        <v>21600</v>
      </c>
      <c r="BP414" s="193">
        <v>21600</v>
      </c>
      <c r="BQ414" s="193">
        <v>21600</v>
      </c>
      <c r="BR414" s="193">
        <v>21600</v>
      </c>
      <c r="BS414" s="193">
        <v>21600</v>
      </c>
      <c r="BT414" s="193">
        <v>259200</v>
      </c>
      <c r="BU414"/>
      <c r="BV414" s="193">
        <v>21600</v>
      </c>
      <c r="BW414" s="193">
        <v>21600</v>
      </c>
      <c r="BX414" s="193">
        <v>21600</v>
      </c>
      <c r="BY414" s="193">
        <v>64800</v>
      </c>
      <c r="BZ414" s="193">
        <v>1123200</v>
      </c>
    </row>
    <row r="415" spans="1:87" s="558" customFormat="1" ht="35" hidden="1" customHeight="1" outlineLevel="4">
      <c r="A415" s="585" t="s">
        <v>2629</v>
      </c>
      <c r="B415" s="551" t="s">
        <v>1655</v>
      </c>
      <c r="C415" s="551"/>
      <c r="D415" s="537" t="s">
        <v>1656</v>
      </c>
      <c r="E415"/>
      <c r="F415" s="985"/>
      <c r="G415" s="985"/>
      <c r="H415" s="985"/>
      <c r="I415" s="985"/>
      <c r="J415" s="985"/>
      <c r="K415" s="985"/>
      <c r="L415" s="985"/>
      <c r="M415" s="985"/>
      <c r="N415" s="985"/>
      <c r="O415" s="985"/>
      <c r="P415" s="2012">
        <v>0</v>
      </c>
      <c r="Q415"/>
      <c r="R415" s="985"/>
      <c r="S415" s="985"/>
      <c r="T415" s="985"/>
      <c r="U415" s="985"/>
      <c r="V415" s="985"/>
      <c r="W415" s="985"/>
      <c r="X415" s="985"/>
      <c r="Y415" s="985"/>
      <c r="Z415" s="985"/>
      <c r="AA415" s="985"/>
      <c r="AB415" s="985"/>
      <c r="AC415" s="985"/>
      <c r="AD415" s="2012">
        <v>0</v>
      </c>
      <c r="AE415"/>
      <c r="AF415" s="985"/>
      <c r="AG415" s="985"/>
      <c r="AH415" s="985"/>
      <c r="AI415" s="985"/>
      <c r="AJ415" s="985"/>
      <c r="AK415" s="985"/>
      <c r="AL415" s="985"/>
      <c r="AM415" s="985"/>
      <c r="AN415" s="985"/>
      <c r="AO415" s="985"/>
      <c r="AP415" s="985"/>
      <c r="AQ415" s="985"/>
      <c r="AR415" s="2012">
        <v>0</v>
      </c>
      <c r="AS415"/>
      <c r="AT415" s="985"/>
      <c r="AU415" s="985"/>
      <c r="AV415" s="985"/>
      <c r="AW415" s="985"/>
      <c r="AX415" s="985"/>
      <c r="AY415" s="985"/>
      <c r="AZ415" s="985"/>
      <c r="BA415" s="985"/>
      <c r="BB415" s="985"/>
      <c r="BC415" s="985"/>
      <c r="BD415" s="985"/>
      <c r="BE415" s="985"/>
      <c r="BF415" s="2037">
        <v>0</v>
      </c>
      <c r="BG415"/>
      <c r="BH415" s="985"/>
      <c r="BI415" s="985"/>
      <c r="BJ415" s="985"/>
      <c r="BK415" s="985"/>
      <c r="BL415" s="985"/>
      <c r="BM415" s="985"/>
      <c r="BN415" s="985"/>
      <c r="BO415" s="985"/>
      <c r="BP415" s="985"/>
      <c r="BQ415" s="985"/>
      <c r="BR415" s="985"/>
      <c r="BS415" s="985"/>
      <c r="BT415" s="2012">
        <v>0</v>
      </c>
      <c r="BU415"/>
      <c r="BV415" s="985"/>
      <c r="BW415" s="985"/>
      <c r="BX415" s="985"/>
      <c r="BY415" s="2012">
        <v>0</v>
      </c>
      <c r="BZ415" s="2012">
        <v>0</v>
      </c>
      <c r="CA415" s="879"/>
    </row>
    <row r="416" spans="1:87" s="881" customFormat="1" ht="25.25" hidden="1" customHeight="1" outlineLevel="4">
      <c r="A416" s="587"/>
      <c r="B416" s="183" t="s">
        <v>1657</v>
      </c>
      <c r="C416" s="183"/>
      <c r="D416" s="1060" t="s">
        <v>1658</v>
      </c>
      <c r="E416"/>
      <c r="F416" s="1002">
        <v>0</v>
      </c>
      <c r="G416" s="1002">
        <v>0</v>
      </c>
      <c r="H416" s="1002">
        <v>0</v>
      </c>
      <c r="I416" s="1002">
        <v>0</v>
      </c>
      <c r="J416" s="1002">
        <v>0</v>
      </c>
      <c r="K416" s="1002">
        <v>0</v>
      </c>
      <c r="L416" s="1002">
        <v>0</v>
      </c>
      <c r="M416" s="1002">
        <v>0</v>
      </c>
      <c r="N416" s="1002">
        <v>0</v>
      </c>
      <c r="O416" s="728">
        <v>21600</v>
      </c>
      <c r="P416" s="1013">
        <v>21600</v>
      </c>
      <c r="Q416"/>
      <c r="R416" s="728">
        <v>21600</v>
      </c>
      <c r="S416" s="728">
        <v>21600</v>
      </c>
      <c r="T416" s="728">
        <v>21600</v>
      </c>
      <c r="U416" s="728">
        <v>21600</v>
      </c>
      <c r="V416" s="728">
        <v>21600</v>
      </c>
      <c r="W416" s="728">
        <v>21600</v>
      </c>
      <c r="X416" s="728">
        <v>21600</v>
      </c>
      <c r="Y416" s="728">
        <v>21600</v>
      </c>
      <c r="Z416" s="728">
        <v>21600</v>
      </c>
      <c r="AA416" s="728">
        <v>21600</v>
      </c>
      <c r="AB416" s="728">
        <v>21600</v>
      </c>
      <c r="AC416" s="728">
        <v>21600</v>
      </c>
      <c r="AD416" s="1013">
        <v>259200</v>
      </c>
      <c r="AE416"/>
      <c r="AF416" s="728">
        <v>21600</v>
      </c>
      <c r="AG416" s="728">
        <v>21600</v>
      </c>
      <c r="AH416" s="728">
        <v>21600</v>
      </c>
      <c r="AI416" s="728">
        <v>21600</v>
      </c>
      <c r="AJ416" s="728">
        <v>21600</v>
      </c>
      <c r="AK416" s="728">
        <v>21600</v>
      </c>
      <c r="AL416" s="728">
        <v>21600</v>
      </c>
      <c r="AM416" s="728">
        <v>21600</v>
      </c>
      <c r="AN416" s="728">
        <v>21600</v>
      </c>
      <c r="AO416" s="728">
        <v>21600</v>
      </c>
      <c r="AP416" s="728">
        <v>21600</v>
      </c>
      <c r="AQ416" s="728">
        <v>21600</v>
      </c>
      <c r="AR416" s="1013">
        <v>259200</v>
      </c>
      <c r="AS416"/>
      <c r="AT416" s="728">
        <v>21600</v>
      </c>
      <c r="AU416" s="728">
        <v>21600</v>
      </c>
      <c r="AV416" s="728">
        <v>21600</v>
      </c>
      <c r="AW416" s="728">
        <v>21600</v>
      </c>
      <c r="AX416" s="728">
        <v>21600</v>
      </c>
      <c r="AY416" s="728">
        <v>21600</v>
      </c>
      <c r="AZ416" s="728">
        <v>21600</v>
      </c>
      <c r="BA416" s="728">
        <v>21600</v>
      </c>
      <c r="BB416" s="728">
        <v>21600</v>
      </c>
      <c r="BC416" s="728">
        <v>21600</v>
      </c>
      <c r="BD416" s="728">
        <v>21600</v>
      </c>
      <c r="BE416" s="728">
        <v>21600</v>
      </c>
      <c r="BF416" s="1013">
        <v>259200</v>
      </c>
      <c r="BG416"/>
      <c r="BH416" s="728">
        <v>21600</v>
      </c>
      <c r="BI416" s="728">
        <v>21600</v>
      </c>
      <c r="BJ416" s="728">
        <v>21600</v>
      </c>
      <c r="BK416" s="728">
        <v>21600</v>
      </c>
      <c r="BL416" s="728">
        <v>21600</v>
      </c>
      <c r="BM416" s="728">
        <v>21600</v>
      </c>
      <c r="BN416" s="728">
        <v>21600</v>
      </c>
      <c r="BO416" s="728">
        <v>21600</v>
      </c>
      <c r="BP416" s="728">
        <v>21600</v>
      </c>
      <c r="BQ416" s="728">
        <v>21600</v>
      </c>
      <c r="BR416" s="728">
        <v>21600</v>
      </c>
      <c r="BS416" s="728">
        <v>21600</v>
      </c>
      <c r="BT416" s="1498">
        <v>259200</v>
      </c>
      <c r="BU416"/>
      <c r="BV416" s="728">
        <v>21600</v>
      </c>
      <c r="BW416" s="728">
        <v>21600</v>
      </c>
      <c r="BX416" s="728">
        <v>21600</v>
      </c>
      <c r="BY416" s="1498">
        <v>64800</v>
      </c>
      <c r="BZ416" s="1498">
        <v>1123200</v>
      </c>
      <c r="CA416" s="108"/>
    </row>
    <row r="417" spans="1:87" s="878" customFormat="1" ht="21.5" hidden="1" customHeight="1" outlineLevel="3">
      <c r="A417" s="586"/>
      <c r="B417" s="189" t="s">
        <v>1660</v>
      </c>
      <c r="C417" s="189"/>
      <c r="D417" s="559" t="s">
        <v>1661</v>
      </c>
      <c r="E417"/>
      <c r="F417" s="1021">
        <v>0</v>
      </c>
      <c r="G417" s="1021">
        <v>0</v>
      </c>
      <c r="H417" s="1021">
        <v>0</v>
      </c>
      <c r="I417" s="1021">
        <v>0</v>
      </c>
      <c r="J417" s="1021">
        <v>0</v>
      </c>
      <c r="K417" s="1021">
        <v>0</v>
      </c>
      <c r="L417" s="1021">
        <v>0</v>
      </c>
      <c r="M417" s="1021">
        <v>0</v>
      </c>
      <c r="N417" s="1021">
        <v>0</v>
      </c>
      <c r="O417" s="1021">
        <v>0</v>
      </c>
      <c r="P417" s="1021">
        <v>0</v>
      </c>
      <c r="Q417"/>
      <c r="R417" s="1021">
        <v>0</v>
      </c>
      <c r="S417" s="1021">
        <v>0</v>
      </c>
      <c r="T417" s="1021">
        <v>0</v>
      </c>
      <c r="U417" s="1021">
        <v>0</v>
      </c>
      <c r="V417" s="1021">
        <v>0</v>
      </c>
      <c r="W417" s="1021">
        <v>0</v>
      </c>
      <c r="X417" s="1021">
        <v>50160</v>
      </c>
      <c r="Y417" s="1021">
        <v>0</v>
      </c>
      <c r="Z417" s="1021">
        <v>0</v>
      </c>
      <c r="AA417" s="1021">
        <v>0</v>
      </c>
      <c r="AB417" s="1021">
        <v>0</v>
      </c>
      <c r="AC417" s="1021">
        <v>0</v>
      </c>
      <c r="AD417" s="1021">
        <v>50160</v>
      </c>
      <c r="AE417"/>
      <c r="AF417" s="1021">
        <v>25080</v>
      </c>
      <c r="AG417" s="1021">
        <v>0</v>
      </c>
      <c r="AH417" s="1021">
        <v>0</v>
      </c>
      <c r="AI417" s="1021">
        <v>0</v>
      </c>
      <c r="AJ417" s="1021">
        <v>0</v>
      </c>
      <c r="AK417" s="1021">
        <v>0</v>
      </c>
      <c r="AL417" s="1021">
        <v>25080</v>
      </c>
      <c r="AM417" s="1021">
        <v>0</v>
      </c>
      <c r="AN417" s="1021">
        <v>0</v>
      </c>
      <c r="AO417" s="1021">
        <v>0</v>
      </c>
      <c r="AP417" s="1021">
        <v>0</v>
      </c>
      <c r="AQ417" s="1021">
        <v>0</v>
      </c>
      <c r="AR417" s="1021">
        <v>50160</v>
      </c>
      <c r="AS417"/>
      <c r="AT417" s="1021">
        <v>25080</v>
      </c>
      <c r="AU417" s="1021">
        <v>0</v>
      </c>
      <c r="AV417" s="1021">
        <v>0</v>
      </c>
      <c r="AW417" s="1021">
        <v>0</v>
      </c>
      <c r="AX417" s="1021">
        <v>0</v>
      </c>
      <c r="AY417" s="1021">
        <v>0</v>
      </c>
      <c r="AZ417" s="1021">
        <v>25080</v>
      </c>
      <c r="BA417" s="1021">
        <v>0</v>
      </c>
      <c r="BB417" s="1021">
        <v>0</v>
      </c>
      <c r="BC417" s="1021">
        <v>0</v>
      </c>
      <c r="BD417" s="1021">
        <v>0</v>
      </c>
      <c r="BE417" s="1021">
        <v>0</v>
      </c>
      <c r="BF417" s="1021">
        <v>50160</v>
      </c>
      <c r="BG417"/>
      <c r="BH417" s="1021">
        <v>25080</v>
      </c>
      <c r="BI417" s="1021">
        <v>0</v>
      </c>
      <c r="BJ417" s="1021">
        <v>0</v>
      </c>
      <c r="BK417" s="1021">
        <v>0</v>
      </c>
      <c r="BL417" s="1021">
        <v>0</v>
      </c>
      <c r="BM417" s="1021">
        <v>0</v>
      </c>
      <c r="BN417" s="1021">
        <v>25080</v>
      </c>
      <c r="BO417" s="1021">
        <v>0</v>
      </c>
      <c r="BP417" s="1021">
        <v>0</v>
      </c>
      <c r="BQ417" s="1021">
        <v>0</v>
      </c>
      <c r="BR417" s="1021">
        <v>0</v>
      </c>
      <c r="BS417" s="1021">
        <v>0</v>
      </c>
      <c r="BT417" s="1021">
        <v>50160</v>
      </c>
      <c r="BU417"/>
      <c r="BV417" s="1021">
        <v>50160</v>
      </c>
      <c r="BW417" s="1021">
        <v>0</v>
      </c>
      <c r="BX417" s="1021">
        <v>0</v>
      </c>
      <c r="BY417" s="1021">
        <v>50160</v>
      </c>
      <c r="BZ417" s="1021">
        <v>250800</v>
      </c>
      <c r="CA417" s="153"/>
      <c r="CB417" s="153"/>
      <c r="CC417" s="153"/>
      <c r="CD417" s="153"/>
      <c r="CE417" s="153"/>
      <c r="CF417" s="153"/>
      <c r="CG417" s="153"/>
      <c r="CH417" s="153"/>
      <c r="CI417" s="153"/>
    </row>
    <row r="418" spans="1:87" s="882" customFormat="1" ht="14" hidden="1" customHeight="1" outlineLevel="4">
      <c r="A418" s="587"/>
      <c r="B418" s="183" t="s">
        <v>1662</v>
      </c>
      <c r="C418" s="183"/>
      <c r="D418" s="944" t="s">
        <v>1663</v>
      </c>
      <c r="E418"/>
      <c r="F418" s="1002">
        <v>0</v>
      </c>
      <c r="G418" s="1002">
        <v>0</v>
      </c>
      <c r="H418" s="1002">
        <v>0</v>
      </c>
      <c r="I418" s="1002">
        <v>0</v>
      </c>
      <c r="J418" s="1002">
        <v>0</v>
      </c>
      <c r="K418" s="1002">
        <v>0</v>
      </c>
      <c r="L418" s="1002">
        <v>0</v>
      </c>
      <c r="M418" s="1002">
        <v>0</v>
      </c>
      <c r="N418" s="1002">
        <v>0</v>
      </c>
      <c r="O418" s="1002">
        <v>0</v>
      </c>
      <c r="P418" s="2028">
        <v>0</v>
      </c>
      <c r="Q418"/>
      <c r="R418" s="1002">
        <v>0</v>
      </c>
      <c r="S418" s="1002">
        <v>0</v>
      </c>
      <c r="T418" s="1002">
        <v>0</v>
      </c>
      <c r="U418" s="1002">
        <v>0</v>
      </c>
      <c r="V418" s="1002">
        <v>0</v>
      </c>
      <c r="W418" s="1002">
        <v>0</v>
      </c>
      <c r="X418" s="1022">
        <v>50160</v>
      </c>
      <c r="Y418" s="1002">
        <v>0</v>
      </c>
      <c r="Z418" s="1002">
        <v>0</v>
      </c>
      <c r="AA418" s="1002">
        <v>0</v>
      </c>
      <c r="AB418" s="1002">
        <v>0</v>
      </c>
      <c r="AC418" s="1002">
        <v>0</v>
      </c>
      <c r="AD418" s="2028">
        <v>50160</v>
      </c>
      <c r="AE418"/>
      <c r="AF418" s="1022">
        <v>25080</v>
      </c>
      <c r="AG418" s="1002">
        <v>0</v>
      </c>
      <c r="AH418" s="1002">
        <v>0</v>
      </c>
      <c r="AI418" s="1002">
        <v>0</v>
      </c>
      <c r="AJ418" s="1002">
        <v>0</v>
      </c>
      <c r="AK418" s="1002">
        <v>0</v>
      </c>
      <c r="AL418" s="1022">
        <v>25080</v>
      </c>
      <c r="AM418" s="1002">
        <v>0</v>
      </c>
      <c r="AN418" s="1002">
        <v>0</v>
      </c>
      <c r="AO418" s="1002">
        <v>0</v>
      </c>
      <c r="AP418" s="1002">
        <v>0</v>
      </c>
      <c r="AQ418" s="1002">
        <v>0</v>
      </c>
      <c r="AR418" s="2028">
        <v>50160</v>
      </c>
      <c r="AS418"/>
      <c r="AT418" s="1022">
        <v>25080</v>
      </c>
      <c r="AU418" s="1002">
        <v>0</v>
      </c>
      <c r="AV418" s="1002">
        <v>0</v>
      </c>
      <c r="AW418" s="1002">
        <v>0</v>
      </c>
      <c r="AX418" s="1002">
        <v>0</v>
      </c>
      <c r="AY418" s="1002">
        <v>0</v>
      </c>
      <c r="AZ418" s="1022">
        <v>25080</v>
      </c>
      <c r="BA418" s="1002">
        <v>0</v>
      </c>
      <c r="BB418" s="1002">
        <v>0</v>
      </c>
      <c r="BC418" s="1002">
        <v>0</v>
      </c>
      <c r="BD418" s="1002">
        <v>0</v>
      </c>
      <c r="BE418" s="1002">
        <v>0</v>
      </c>
      <c r="BF418" s="2028">
        <v>50160</v>
      </c>
      <c r="BG418"/>
      <c r="BH418" s="1022">
        <v>25080</v>
      </c>
      <c r="BI418" s="1002">
        <v>0</v>
      </c>
      <c r="BJ418" s="1002">
        <v>0</v>
      </c>
      <c r="BK418" s="1002">
        <v>0</v>
      </c>
      <c r="BL418" s="1002">
        <v>0</v>
      </c>
      <c r="BM418" s="1002">
        <v>0</v>
      </c>
      <c r="BN418" s="1022">
        <v>25080</v>
      </c>
      <c r="BO418" s="1002">
        <v>0</v>
      </c>
      <c r="BP418" s="1002">
        <v>0</v>
      </c>
      <c r="BQ418" s="1002">
        <v>0</v>
      </c>
      <c r="BR418" s="1002">
        <v>0</v>
      </c>
      <c r="BS418" s="1002">
        <v>0</v>
      </c>
      <c r="BT418" s="2028">
        <v>50160</v>
      </c>
      <c r="BU418"/>
      <c r="BV418" s="1022">
        <v>50160</v>
      </c>
      <c r="BW418" s="1002">
        <v>0</v>
      </c>
      <c r="BX418" s="1002">
        <v>0</v>
      </c>
      <c r="BY418" s="2028">
        <v>50160</v>
      </c>
      <c r="BZ418" s="2028">
        <v>250800</v>
      </c>
      <c r="CA418" s="108"/>
      <c r="CB418" s="881"/>
      <c r="CC418" s="881"/>
      <c r="CD418" s="881"/>
      <c r="CE418" s="881"/>
      <c r="CF418" s="881"/>
      <c r="CG418" s="881"/>
      <c r="CH418" s="881"/>
      <c r="CI418" s="881"/>
    </row>
    <row r="419" spans="1:87" s="882" customFormat="1" ht="14" hidden="1" customHeight="1" outlineLevel="3">
      <c r="A419" s="587"/>
      <c r="B419" s="183"/>
      <c r="C419" s="183"/>
      <c r="D419" s="944"/>
      <c r="E419"/>
      <c r="F419" s="1022"/>
      <c r="G419" s="1022"/>
      <c r="H419" s="1022"/>
      <c r="I419" s="1022"/>
      <c r="J419" s="1022"/>
      <c r="K419" s="1022"/>
      <c r="L419" s="1022"/>
      <c r="M419" s="1022"/>
      <c r="N419" s="1022"/>
      <c r="O419" s="1022"/>
      <c r="P419" s="2028"/>
      <c r="Q419"/>
      <c r="R419" s="1022"/>
      <c r="S419" s="1022"/>
      <c r="T419" s="1022"/>
      <c r="U419" s="1022"/>
      <c r="V419" s="1022"/>
      <c r="W419" s="1022"/>
      <c r="X419" s="1022"/>
      <c r="Y419" s="1022"/>
      <c r="Z419" s="1022"/>
      <c r="AA419" s="1022"/>
      <c r="AB419" s="1022"/>
      <c r="AC419" s="1022"/>
      <c r="AD419" s="2028">
        <v>0</v>
      </c>
      <c r="AE419"/>
      <c r="AF419" s="1022"/>
      <c r="AG419" s="1022"/>
      <c r="AH419" s="1022"/>
      <c r="AI419" s="1022"/>
      <c r="AJ419" s="1022"/>
      <c r="AK419" s="1022"/>
      <c r="AL419" s="1022"/>
      <c r="AM419" s="1022"/>
      <c r="AN419" s="1022"/>
      <c r="AO419" s="1022"/>
      <c r="AP419" s="1022"/>
      <c r="AQ419" s="1022"/>
      <c r="AR419" s="2028"/>
      <c r="AS419"/>
      <c r="AT419" s="1022"/>
      <c r="AU419" s="1022"/>
      <c r="AV419" s="1022"/>
      <c r="AW419" s="1022"/>
      <c r="AX419" s="1022"/>
      <c r="AY419" s="1022"/>
      <c r="AZ419" s="1022"/>
      <c r="BA419" s="1022"/>
      <c r="BB419" s="1022"/>
      <c r="BC419" s="1022"/>
      <c r="BD419" s="1022"/>
      <c r="BE419" s="1022"/>
      <c r="BF419" s="2028"/>
      <c r="BG419"/>
      <c r="BH419" s="1022"/>
      <c r="BI419" s="1022"/>
      <c r="BJ419" s="1022"/>
      <c r="BK419" s="1022"/>
      <c r="BL419" s="1022"/>
      <c r="BM419" s="1022"/>
      <c r="BN419" s="1022"/>
      <c r="BO419" s="1022"/>
      <c r="BP419" s="1022"/>
      <c r="BQ419" s="1022"/>
      <c r="BR419" s="1022"/>
      <c r="BS419" s="1022"/>
      <c r="BT419" s="2028"/>
      <c r="BU419"/>
      <c r="BV419" s="1022"/>
      <c r="BW419" s="1022"/>
      <c r="BX419" s="1022"/>
      <c r="BY419" s="2028"/>
      <c r="BZ419" s="2028">
        <v>0</v>
      </c>
      <c r="CA419" s="108"/>
      <c r="CB419" s="881"/>
      <c r="CC419" s="881"/>
      <c r="CD419" s="881"/>
      <c r="CE419" s="881"/>
      <c r="CF419" s="881"/>
      <c r="CG419" s="881"/>
      <c r="CH419" s="881"/>
      <c r="CI419" s="881"/>
    </row>
    <row r="420" spans="1:87" s="878" customFormat="1" ht="21.5" customHeight="1" outlineLevel="2" collapsed="1">
      <c r="A420" s="1113"/>
      <c r="B420" s="1114" t="s">
        <v>2631</v>
      </c>
      <c r="C420" s="1114"/>
      <c r="D420" s="1115" t="s">
        <v>2632</v>
      </c>
      <c r="E420"/>
      <c r="F420" s="1119">
        <v>0</v>
      </c>
      <c r="G420" s="1119">
        <v>0</v>
      </c>
      <c r="H420" s="1119">
        <v>0</v>
      </c>
      <c r="I420" s="1119">
        <v>0</v>
      </c>
      <c r="J420" s="1119">
        <v>0</v>
      </c>
      <c r="K420" s="1119">
        <v>11000</v>
      </c>
      <c r="L420" s="1119">
        <v>11000</v>
      </c>
      <c r="M420" s="1119">
        <v>11000</v>
      </c>
      <c r="N420" s="1119">
        <v>11000</v>
      </c>
      <c r="O420" s="1119">
        <v>23500</v>
      </c>
      <c r="P420" s="1119">
        <v>67500</v>
      </c>
      <c r="Q420"/>
      <c r="R420" s="1119">
        <v>23500</v>
      </c>
      <c r="S420" s="1119">
        <v>23500</v>
      </c>
      <c r="T420" s="1119">
        <v>23500</v>
      </c>
      <c r="U420" s="1119">
        <v>23500</v>
      </c>
      <c r="V420" s="1119">
        <v>23500</v>
      </c>
      <c r="W420" s="1119">
        <v>23500</v>
      </c>
      <c r="X420" s="1119">
        <v>43500</v>
      </c>
      <c r="Y420" s="1119">
        <v>23500</v>
      </c>
      <c r="Z420" s="1119">
        <v>23500</v>
      </c>
      <c r="AA420" s="1119">
        <v>23500</v>
      </c>
      <c r="AB420" s="1119">
        <v>23500</v>
      </c>
      <c r="AC420" s="1119">
        <v>23500</v>
      </c>
      <c r="AD420" s="1119">
        <v>302000</v>
      </c>
      <c r="AE420"/>
      <c r="AF420" s="1119">
        <v>33500</v>
      </c>
      <c r="AG420" s="1119">
        <v>23500</v>
      </c>
      <c r="AH420" s="1119">
        <v>23500</v>
      </c>
      <c r="AI420" s="1119">
        <v>23500</v>
      </c>
      <c r="AJ420" s="1119">
        <v>23500</v>
      </c>
      <c r="AK420" s="1119">
        <v>23500</v>
      </c>
      <c r="AL420" s="1119">
        <v>33500</v>
      </c>
      <c r="AM420" s="1119">
        <v>23500</v>
      </c>
      <c r="AN420" s="1119">
        <v>23500</v>
      </c>
      <c r="AO420" s="1119">
        <v>23500</v>
      </c>
      <c r="AP420" s="1119">
        <v>23500</v>
      </c>
      <c r="AQ420" s="1119">
        <v>23500</v>
      </c>
      <c r="AR420" s="1119">
        <v>302000</v>
      </c>
      <c r="AS420"/>
      <c r="AT420" s="1119">
        <v>33500</v>
      </c>
      <c r="AU420" s="1119">
        <v>23500</v>
      </c>
      <c r="AV420" s="1119">
        <v>23500</v>
      </c>
      <c r="AW420" s="1119">
        <v>23500</v>
      </c>
      <c r="AX420" s="1119">
        <v>23500</v>
      </c>
      <c r="AY420" s="1119">
        <v>23500</v>
      </c>
      <c r="AZ420" s="1119">
        <v>33500</v>
      </c>
      <c r="BA420" s="1119">
        <v>23500</v>
      </c>
      <c r="BB420" s="1119">
        <v>23500</v>
      </c>
      <c r="BC420" s="1119">
        <v>23500</v>
      </c>
      <c r="BD420" s="1119">
        <v>23500</v>
      </c>
      <c r="BE420" s="1119">
        <v>23500</v>
      </c>
      <c r="BF420" s="1121">
        <v>302000</v>
      </c>
      <c r="BG420"/>
      <c r="BH420" s="1119">
        <v>33500</v>
      </c>
      <c r="BI420" s="1119">
        <v>23500</v>
      </c>
      <c r="BJ420" s="1119">
        <v>23500</v>
      </c>
      <c r="BK420" s="1119">
        <v>23500</v>
      </c>
      <c r="BL420" s="1119">
        <v>23500</v>
      </c>
      <c r="BM420" s="1119">
        <v>23500</v>
      </c>
      <c r="BN420" s="1119">
        <v>33500</v>
      </c>
      <c r="BO420" s="1119">
        <v>23500</v>
      </c>
      <c r="BP420" s="1119">
        <v>23500</v>
      </c>
      <c r="BQ420" s="1119">
        <v>23500</v>
      </c>
      <c r="BR420" s="1119">
        <v>23500</v>
      </c>
      <c r="BS420" s="1119">
        <v>18500</v>
      </c>
      <c r="BT420" s="1121">
        <v>297000</v>
      </c>
      <c r="BU420"/>
      <c r="BV420" s="1119">
        <v>38500</v>
      </c>
      <c r="BW420" s="1119">
        <v>18500</v>
      </c>
      <c r="BX420" s="1119">
        <v>122500</v>
      </c>
      <c r="BY420" s="1121">
        <v>179500</v>
      </c>
      <c r="BZ420" s="1121">
        <v>1450000</v>
      </c>
      <c r="CA420" s="153"/>
      <c r="CB420" s="153"/>
      <c r="CC420" s="153"/>
      <c r="CD420" s="153"/>
      <c r="CE420" s="153"/>
      <c r="CF420" s="153"/>
      <c r="CG420" s="153"/>
      <c r="CH420" s="153"/>
      <c r="CI420" s="153"/>
    </row>
    <row r="421" spans="1:87" s="885" customFormat="1" ht="14" hidden="1" customHeight="1" outlineLevel="3">
      <c r="A421" s="580"/>
      <c r="B421" s="107" t="s">
        <v>2633</v>
      </c>
      <c r="C421" s="107"/>
      <c r="D421" s="944" t="s">
        <v>2634</v>
      </c>
      <c r="E421"/>
      <c r="F421" s="1002">
        <v>0</v>
      </c>
      <c r="G421" s="1002">
        <v>0</v>
      </c>
      <c r="H421" s="1002">
        <v>0</v>
      </c>
      <c r="I421" s="1002">
        <v>0</v>
      </c>
      <c r="J421" s="1002">
        <v>0</v>
      </c>
      <c r="K421" s="728">
        <v>4000</v>
      </c>
      <c r="L421" s="728">
        <v>4000</v>
      </c>
      <c r="M421" s="728">
        <v>4000</v>
      </c>
      <c r="N421" s="728">
        <v>4000</v>
      </c>
      <c r="O421" s="728">
        <v>4000</v>
      </c>
      <c r="P421" s="995">
        <v>20000</v>
      </c>
      <c r="Q421"/>
      <c r="R421" s="728">
        <v>4000</v>
      </c>
      <c r="S421" s="728">
        <v>4000</v>
      </c>
      <c r="T421" s="728">
        <v>4000</v>
      </c>
      <c r="U421" s="728">
        <v>4000</v>
      </c>
      <c r="V421" s="728">
        <v>4000</v>
      </c>
      <c r="W421" s="728">
        <v>4000</v>
      </c>
      <c r="X421" s="728">
        <v>4000</v>
      </c>
      <c r="Y421" s="728">
        <v>4000</v>
      </c>
      <c r="Z421" s="728">
        <v>4000</v>
      </c>
      <c r="AA421" s="728">
        <v>4000</v>
      </c>
      <c r="AB421" s="728">
        <v>4000</v>
      </c>
      <c r="AC421" s="728">
        <v>4000</v>
      </c>
      <c r="AD421" s="995">
        <v>48000</v>
      </c>
      <c r="AE421"/>
      <c r="AF421" s="728">
        <v>4000</v>
      </c>
      <c r="AG421" s="728">
        <v>4000</v>
      </c>
      <c r="AH421" s="728">
        <v>4000</v>
      </c>
      <c r="AI421" s="728">
        <v>4000</v>
      </c>
      <c r="AJ421" s="728">
        <v>4000</v>
      </c>
      <c r="AK421" s="728">
        <v>4000</v>
      </c>
      <c r="AL421" s="728">
        <v>4000</v>
      </c>
      <c r="AM421" s="728">
        <v>4000</v>
      </c>
      <c r="AN421" s="728">
        <v>4000</v>
      </c>
      <c r="AO421" s="728">
        <v>4000</v>
      </c>
      <c r="AP421" s="728">
        <v>4000</v>
      </c>
      <c r="AQ421" s="728">
        <v>4000</v>
      </c>
      <c r="AR421" s="995">
        <v>48000</v>
      </c>
      <c r="AS421"/>
      <c r="AT421" s="728">
        <v>4000</v>
      </c>
      <c r="AU421" s="728">
        <v>4000</v>
      </c>
      <c r="AV421" s="728">
        <v>4000</v>
      </c>
      <c r="AW421" s="728">
        <v>4000</v>
      </c>
      <c r="AX421" s="728">
        <v>4000</v>
      </c>
      <c r="AY421" s="728">
        <v>4000</v>
      </c>
      <c r="AZ421" s="728">
        <v>4000</v>
      </c>
      <c r="BA421" s="728">
        <v>4000</v>
      </c>
      <c r="BB421" s="728">
        <v>4000</v>
      </c>
      <c r="BC421" s="728">
        <v>4000</v>
      </c>
      <c r="BD421" s="728">
        <v>4000</v>
      </c>
      <c r="BE421" s="728">
        <v>4000</v>
      </c>
      <c r="BF421" s="995">
        <v>48000</v>
      </c>
      <c r="BG421"/>
      <c r="BH421" s="728">
        <v>4000</v>
      </c>
      <c r="BI421" s="728">
        <v>4000</v>
      </c>
      <c r="BJ421" s="728">
        <v>4000</v>
      </c>
      <c r="BK421" s="728">
        <v>4000</v>
      </c>
      <c r="BL421" s="728">
        <v>4000</v>
      </c>
      <c r="BM421" s="728">
        <v>4000</v>
      </c>
      <c r="BN421" s="728">
        <v>4000</v>
      </c>
      <c r="BO421" s="728">
        <v>4000</v>
      </c>
      <c r="BP421" s="728">
        <v>4000</v>
      </c>
      <c r="BQ421" s="728">
        <v>4000</v>
      </c>
      <c r="BR421" s="728">
        <v>4000</v>
      </c>
      <c r="BS421" s="728">
        <v>4000</v>
      </c>
      <c r="BT421" s="995">
        <v>48000</v>
      </c>
      <c r="BU421"/>
      <c r="BV421" s="728">
        <v>4000</v>
      </c>
      <c r="BW421" s="728">
        <v>4000</v>
      </c>
      <c r="BX421" s="728">
        <v>20000</v>
      </c>
      <c r="BY421" s="995">
        <v>28000</v>
      </c>
      <c r="BZ421" s="995">
        <v>240000</v>
      </c>
      <c r="CA421" s="884"/>
      <c r="CB421" s="884"/>
      <c r="CC421" s="884"/>
      <c r="CD421" s="884"/>
      <c r="CE421" s="884"/>
      <c r="CF421" s="884"/>
      <c r="CG421" s="884"/>
      <c r="CH421" s="884"/>
      <c r="CI421" s="884"/>
    </row>
    <row r="422" spans="1:87" s="885" customFormat="1" ht="14" hidden="1" customHeight="1" outlineLevel="3">
      <c r="A422" s="580"/>
      <c r="B422" s="107" t="s">
        <v>2635</v>
      </c>
      <c r="C422" s="107"/>
      <c r="D422" s="944" t="s">
        <v>2636</v>
      </c>
      <c r="E422" s="2076"/>
      <c r="F422" s="1002">
        <v>0</v>
      </c>
      <c r="G422" s="1002">
        <v>0</v>
      </c>
      <c r="H422" s="1002">
        <v>0</v>
      </c>
      <c r="I422" s="1002">
        <v>0</v>
      </c>
      <c r="J422" s="1002">
        <v>0</v>
      </c>
      <c r="K422" s="1002">
        <v>0</v>
      </c>
      <c r="L422" s="1002">
        <v>0</v>
      </c>
      <c r="M422" s="1002">
        <v>0</v>
      </c>
      <c r="N422" s="1002">
        <v>0</v>
      </c>
      <c r="O422" s="728">
        <v>3000</v>
      </c>
      <c r="P422" s="995">
        <v>3000</v>
      </c>
      <c r="Q422"/>
      <c r="R422" s="728">
        <v>3000</v>
      </c>
      <c r="S422" s="728">
        <v>3000</v>
      </c>
      <c r="T422" s="728">
        <v>3000</v>
      </c>
      <c r="U422" s="728">
        <v>3000</v>
      </c>
      <c r="V422" s="728">
        <v>3000</v>
      </c>
      <c r="W422" s="728">
        <v>3000</v>
      </c>
      <c r="X422" s="728">
        <v>3000</v>
      </c>
      <c r="Y422" s="728">
        <v>3000</v>
      </c>
      <c r="Z422" s="728">
        <v>3000</v>
      </c>
      <c r="AA422" s="728">
        <v>3000</v>
      </c>
      <c r="AB422" s="728">
        <v>3000</v>
      </c>
      <c r="AC422" s="728">
        <v>3000</v>
      </c>
      <c r="AD422" s="995">
        <v>36000</v>
      </c>
      <c r="AE422"/>
      <c r="AF422" s="728">
        <v>3000</v>
      </c>
      <c r="AG422" s="728">
        <v>3000</v>
      </c>
      <c r="AH422" s="728">
        <v>3000</v>
      </c>
      <c r="AI422" s="728">
        <v>3000</v>
      </c>
      <c r="AJ422" s="728">
        <v>3000</v>
      </c>
      <c r="AK422" s="728">
        <v>3000</v>
      </c>
      <c r="AL422" s="728">
        <v>3000</v>
      </c>
      <c r="AM422" s="728">
        <v>3000</v>
      </c>
      <c r="AN422" s="728">
        <v>3000</v>
      </c>
      <c r="AO422" s="728">
        <v>3000</v>
      </c>
      <c r="AP422" s="728">
        <v>3000</v>
      </c>
      <c r="AQ422" s="728">
        <v>3000</v>
      </c>
      <c r="AR422" s="995">
        <v>36000</v>
      </c>
      <c r="AS422"/>
      <c r="AT422" s="728">
        <v>3000</v>
      </c>
      <c r="AU422" s="728">
        <v>3000</v>
      </c>
      <c r="AV422" s="728">
        <v>3000</v>
      </c>
      <c r="AW422" s="728">
        <v>3000</v>
      </c>
      <c r="AX422" s="728">
        <v>3000</v>
      </c>
      <c r="AY422" s="728">
        <v>3000</v>
      </c>
      <c r="AZ422" s="728">
        <v>3000</v>
      </c>
      <c r="BA422" s="728">
        <v>3000</v>
      </c>
      <c r="BB422" s="728">
        <v>3000</v>
      </c>
      <c r="BC422" s="728">
        <v>3000</v>
      </c>
      <c r="BD422" s="728">
        <v>3000</v>
      </c>
      <c r="BE422" s="728">
        <v>3000</v>
      </c>
      <c r="BF422" s="995">
        <v>36000</v>
      </c>
      <c r="BG422"/>
      <c r="BH422" s="728">
        <v>3000</v>
      </c>
      <c r="BI422" s="728">
        <v>3000</v>
      </c>
      <c r="BJ422" s="728">
        <v>3000</v>
      </c>
      <c r="BK422" s="728">
        <v>3000</v>
      </c>
      <c r="BL422" s="728">
        <v>3000</v>
      </c>
      <c r="BM422" s="728">
        <v>3000</v>
      </c>
      <c r="BN422" s="728">
        <v>3000</v>
      </c>
      <c r="BO422" s="728">
        <v>3000</v>
      </c>
      <c r="BP422" s="728">
        <v>3000</v>
      </c>
      <c r="BQ422" s="728">
        <v>3000</v>
      </c>
      <c r="BR422" s="728">
        <v>3000</v>
      </c>
      <c r="BS422" s="728">
        <v>3000</v>
      </c>
      <c r="BT422" s="995">
        <v>36000</v>
      </c>
      <c r="BU422"/>
      <c r="BV422" s="728">
        <v>3000</v>
      </c>
      <c r="BW422" s="728">
        <v>3000</v>
      </c>
      <c r="BX422" s="728">
        <v>27000</v>
      </c>
      <c r="BY422" s="995">
        <v>33000</v>
      </c>
      <c r="BZ422" s="995">
        <v>180000</v>
      </c>
      <c r="CA422" s="884"/>
      <c r="CB422" s="884"/>
      <c r="CC422" s="884"/>
      <c r="CD422" s="884"/>
      <c r="CE422" s="884"/>
      <c r="CF422" s="884"/>
      <c r="CG422" s="884"/>
      <c r="CH422" s="884"/>
      <c r="CI422" s="884"/>
    </row>
    <row r="423" spans="1:87" s="885" customFormat="1" ht="14" hidden="1" customHeight="1" outlineLevel="3">
      <c r="A423" s="580"/>
      <c r="B423" s="107" t="s">
        <v>2637</v>
      </c>
      <c r="C423" s="107"/>
      <c r="D423" s="944" t="s">
        <v>2638</v>
      </c>
      <c r="E423" s="2076"/>
      <c r="F423" s="1002">
        <v>0</v>
      </c>
      <c r="G423" s="1002">
        <v>0</v>
      </c>
      <c r="H423" s="1002">
        <v>0</v>
      </c>
      <c r="I423" s="1002">
        <v>0</v>
      </c>
      <c r="J423" s="1002">
        <v>0</v>
      </c>
      <c r="K423" s="728">
        <v>3500</v>
      </c>
      <c r="L423" s="728">
        <v>3500</v>
      </c>
      <c r="M423" s="728">
        <v>3500</v>
      </c>
      <c r="N423" s="728">
        <v>3500</v>
      </c>
      <c r="O423" s="728">
        <v>3500</v>
      </c>
      <c r="P423" s="995">
        <v>17500</v>
      </c>
      <c r="Q423"/>
      <c r="R423" s="728">
        <v>3500</v>
      </c>
      <c r="S423" s="728">
        <v>3500</v>
      </c>
      <c r="T423" s="728">
        <v>3500</v>
      </c>
      <c r="U423" s="728">
        <v>3500</v>
      </c>
      <c r="V423" s="728">
        <v>3500</v>
      </c>
      <c r="W423" s="728">
        <v>3500</v>
      </c>
      <c r="X423" s="728">
        <v>3500</v>
      </c>
      <c r="Y423" s="728">
        <v>3500</v>
      </c>
      <c r="Z423" s="728">
        <v>3500</v>
      </c>
      <c r="AA423" s="728">
        <v>3500</v>
      </c>
      <c r="AB423" s="728">
        <v>3500</v>
      </c>
      <c r="AC423" s="728">
        <v>3500</v>
      </c>
      <c r="AD423" s="995">
        <v>42000</v>
      </c>
      <c r="AE423"/>
      <c r="AF423" s="728">
        <v>3500</v>
      </c>
      <c r="AG423" s="728">
        <v>3500</v>
      </c>
      <c r="AH423" s="728">
        <v>3500</v>
      </c>
      <c r="AI423" s="728">
        <v>3500</v>
      </c>
      <c r="AJ423" s="728">
        <v>3500</v>
      </c>
      <c r="AK423" s="728">
        <v>3500</v>
      </c>
      <c r="AL423" s="728">
        <v>3500</v>
      </c>
      <c r="AM423" s="728">
        <v>3500</v>
      </c>
      <c r="AN423" s="728">
        <v>3500</v>
      </c>
      <c r="AO423" s="728">
        <v>3500</v>
      </c>
      <c r="AP423" s="728">
        <v>3500</v>
      </c>
      <c r="AQ423" s="728">
        <v>3500</v>
      </c>
      <c r="AR423" s="995">
        <v>42000</v>
      </c>
      <c r="AS423"/>
      <c r="AT423" s="728">
        <v>3500</v>
      </c>
      <c r="AU423" s="728">
        <v>3500</v>
      </c>
      <c r="AV423" s="728">
        <v>3500</v>
      </c>
      <c r="AW423" s="728">
        <v>3500</v>
      </c>
      <c r="AX423" s="728">
        <v>3500</v>
      </c>
      <c r="AY423" s="728">
        <v>3500</v>
      </c>
      <c r="AZ423" s="728">
        <v>3500</v>
      </c>
      <c r="BA423" s="728">
        <v>3500</v>
      </c>
      <c r="BB423" s="728">
        <v>3500</v>
      </c>
      <c r="BC423" s="728">
        <v>3500</v>
      </c>
      <c r="BD423" s="728">
        <v>3500</v>
      </c>
      <c r="BE423" s="728">
        <v>3500</v>
      </c>
      <c r="BF423" s="995">
        <v>42000</v>
      </c>
      <c r="BG423"/>
      <c r="BH423" s="728">
        <v>3500</v>
      </c>
      <c r="BI423" s="728">
        <v>3500</v>
      </c>
      <c r="BJ423" s="728">
        <v>3500</v>
      </c>
      <c r="BK423" s="728">
        <v>3500</v>
      </c>
      <c r="BL423" s="728">
        <v>3500</v>
      </c>
      <c r="BM423" s="728">
        <v>3500</v>
      </c>
      <c r="BN423" s="728">
        <v>3500</v>
      </c>
      <c r="BO423" s="728">
        <v>3500</v>
      </c>
      <c r="BP423" s="728">
        <v>3500</v>
      </c>
      <c r="BQ423" s="728">
        <v>3500</v>
      </c>
      <c r="BR423" s="728">
        <v>3500</v>
      </c>
      <c r="BS423" s="728">
        <v>3500</v>
      </c>
      <c r="BT423" s="995">
        <v>42000</v>
      </c>
      <c r="BU423"/>
      <c r="BV423" s="728">
        <v>3500</v>
      </c>
      <c r="BW423" s="728">
        <v>3500</v>
      </c>
      <c r="BX423" s="728">
        <v>17500</v>
      </c>
      <c r="BY423" s="995">
        <v>24500</v>
      </c>
      <c r="BZ423" s="995">
        <v>210000</v>
      </c>
      <c r="CA423" s="884"/>
      <c r="CB423" s="884"/>
      <c r="CC423" s="884"/>
      <c r="CD423" s="884"/>
      <c r="CE423" s="884"/>
      <c r="CF423" s="884"/>
      <c r="CG423" s="884"/>
      <c r="CH423" s="884"/>
      <c r="CI423" s="884"/>
    </row>
    <row r="424" spans="1:87" s="885" customFormat="1" ht="14" hidden="1" customHeight="1" outlineLevel="3">
      <c r="A424" s="580"/>
      <c r="B424" s="107" t="s">
        <v>2639</v>
      </c>
      <c r="C424" s="107"/>
      <c r="D424" s="944" t="s">
        <v>2640</v>
      </c>
      <c r="E424" s="2076"/>
      <c r="F424" s="1002">
        <v>0</v>
      </c>
      <c r="G424" s="1002">
        <v>0</v>
      </c>
      <c r="H424" s="1002">
        <v>0</v>
      </c>
      <c r="I424" s="1002">
        <v>0</v>
      </c>
      <c r="J424" s="1002">
        <v>0</v>
      </c>
      <c r="K424" s="728">
        <v>3500</v>
      </c>
      <c r="L424" s="728">
        <v>3500</v>
      </c>
      <c r="M424" s="728">
        <v>3500</v>
      </c>
      <c r="N424" s="728">
        <v>3500</v>
      </c>
      <c r="O424" s="728">
        <v>3500</v>
      </c>
      <c r="P424" s="995">
        <v>17500</v>
      </c>
      <c r="Q424"/>
      <c r="R424" s="728">
        <v>3500</v>
      </c>
      <c r="S424" s="728">
        <v>3500</v>
      </c>
      <c r="T424" s="728">
        <v>3500</v>
      </c>
      <c r="U424" s="728">
        <v>3500</v>
      </c>
      <c r="V424" s="728">
        <v>3500</v>
      </c>
      <c r="W424" s="728">
        <v>3500</v>
      </c>
      <c r="X424" s="728">
        <v>3500</v>
      </c>
      <c r="Y424" s="728">
        <v>3500</v>
      </c>
      <c r="Z424" s="728">
        <v>3500</v>
      </c>
      <c r="AA424" s="728">
        <v>3500</v>
      </c>
      <c r="AB424" s="728">
        <v>3500</v>
      </c>
      <c r="AC424" s="728">
        <v>3500</v>
      </c>
      <c r="AD424" s="995">
        <v>42000</v>
      </c>
      <c r="AE424"/>
      <c r="AF424" s="728">
        <v>3500</v>
      </c>
      <c r="AG424" s="728">
        <v>3500</v>
      </c>
      <c r="AH424" s="728">
        <v>3500</v>
      </c>
      <c r="AI424" s="728">
        <v>3500</v>
      </c>
      <c r="AJ424" s="728">
        <v>3500</v>
      </c>
      <c r="AK424" s="728">
        <v>3500</v>
      </c>
      <c r="AL424" s="728">
        <v>3500</v>
      </c>
      <c r="AM424" s="728">
        <v>3500</v>
      </c>
      <c r="AN424" s="728">
        <v>3500</v>
      </c>
      <c r="AO424" s="728">
        <v>3500</v>
      </c>
      <c r="AP424" s="728">
        <v>3500</v>
      </c>
      <c r="AQ424" s="728">
        <v>3500</v>
      </c>
      <c r="AR424" s="995">
        <v>42000</v>
      </c>
      <c r="AS424"/>
      <c r="AT424" s="728">
        <v>3500</v>
      </c>
      <c r="AU424" s="728">
        <v>3500</v>
      </c>
      <c r="AV424" s="728">
        <v>3500</v>
      </c>
      <c r="AW424" s="728">
        <v>3500</v>
      </c>
      <c r="AX424" s="728">
        <v>3500</v>
      </c>
      <c r="AY424" s="728">
        <v>3500</v>
      </c>
      <c r="AZ424" s="728">
        <v>3500</v>
      </c>
      <c r="BA424" s="728">
        <v>3500</v>
      </c>
      <c r="BB424" s="728">
        <v>3500</v>
      </c>
      <c r="BC424" s="728">
        <v>3500</v>
      </c>
      <c r="BD424" s="728">
        <v>3500</v>
      </c>
      <c r="BE424" s="728">
        <v>3500</v>
      </c>
      <c r="BF424" s="995">
        <v>42000</v>
      </c>
      <c r="BG424"/>
      <c r="BH424" s="728">
        <v>3500</v>
      </c>
      <c r="BI424" s="728">
        <v>3500</v>
      </c>
      <c r="BJ424" s="728">
        <v>3500</v>
      </c>
      <c r="BK424" s="728">
        <v>3500</v>
      </c>
      <c r="BL424" s="728">
        <v>3500</v>
      </c>
      <c r="BM424" s="728">
        <v>3500</v>
      </c>
      <c r="BN424" s="728">
        <v>3500</v>
      </c>
      <c r="BO424" s="728">
        <v>3500</v>
      </c>
      <c r="BP424" s="728">
        <v>3500</v>
      </c>
      <c r="BQ424" s="728">
        <v>3500</v>
      </c>
      <c r="BR424" s="728">
        <v>3500</v>
      </c>
      <c r="BS424" s="728">
        <v>3500</v>
      </c>
      <c r="BT424" s="995">
        <v>42000</v>
      </c>
      <c r="BU424"/>
      <c r="BV424" s="728">
        <v>3500</v>
      </c>
      <c r="BW424" s="728">
        <v>3500</v>
      </c>
      <c r="BX424" s="728">
        <v>17500</v>
      </c>
      <c r="BY424" s="995">
        <v>24500</v>
      </c>
      <c r="BZ424" s="995">
        <v>210000</v>
      </c>
      <c r="CA424" s="884"/>
      <c r="CB424" s="884"/>
      <c r="CC424" s="884"/>
      <c r="CD424" s="884"/>
      <c r="CE424" s="884"/>
      <c r="CF424" s="884"/>
      <c r="CG424" s="884"/>
      <c r="CH424" s="884"/>
      <c r="CI424" s="884"/>
    </row>
    <row r="425" spans="1:87" s="885" customFormat="1" ht="14" hidden="1" customHeight="1" outlineLevel="3">
      <c r="A425" s="580"/>
      <c r="B425" s="107" t="s">
        <v>2641</v>
      </c>
      <c r="C425" s="107"/>
      <c r="D425" s="944" t="s">
        <v>2642</v>
      </c>
      <c r="E425" s="2076"/>
      <c r="F425" s="1002">
        <v>0</v>
      </c>
      <c r="G425" s="1002">
        <v>0</v>
      </c>
      <c r="H425" s="1002">
        <v>0</v>
      </c>
      <c r="I425" s="1002">
        <v>0</v>
      </c>
      <c r="J425" s="1002">
        <v>0</v>
      </c>
      <c r="K425" s="1002">
        <v>0</v>
      </c>
      <c r="L425" s="1002">
        <v>0</v>
      </c>
      <c r="M425" s="1002">
        <v>0</v>
      </c>
      <c r="N425" s="1002">
        <v>0</v>
      </c>
      <c r="O425" s="728">
        <v>2500</v>
      </c>
      <c r="P425" s="995">
        <v>2500</v>
      </c>
      <c r="Q425"/>
      <c r="R425" s="728">
        <v>2500</v>
      </c>
      <c r="S425" s="728">
        <v>2500</v>
      </c>
      <c r="T425" s="728">
        <v>2500</v>
      </c>
      <c r="U425" s="728">
        <v>2500</v>
      </c>
      <c r="V425" s="728">
        <v>2500</v>
      </c>
      <c r="W425" s="728">
        <v>2500</v>
      </c>
      <c r="X425" s="728">
        <v>2500</v>
      </c>
      <c r="Y425" s="728">
        <v>2500</v>
      </c>
      <c r="Z425" s="728">
        <v>2500</v>
      </c>
      <c r="AA425" s="728">
        <v>2500</v>
      </c>
      <c r="AB425" s="728">
        <v>2500</v>
      </c>
      <c r="AC425" s="728">
        <v>2500</v>
      </c>
      <c r="AD425" s="995">
        <v>30000</v>
      </c>
      <c r="AE425"/>
      <c r="AF425" s="728">
        <v>2500</v>
      </c>
      <c r="AG425" s="728">
        <v>2500</v>
      </c>
      <c r="AH425" s="728">
        <v>2500</v>
      </c>
      <c r="AI425" s="728">
        <v>2500</v>
      </c>
      <c r="AJ425" s="728">
        <v>2500</v>
      </c>
      <c r="AK425" s="728">
        <v>2500</v>
      </c>
      <c r="AL425" s="728">
        <v>2500</v>
      </c>
      <c r="AM425" s="728">
        <v>2500</v>
      </c>
      <c r="AN425" s="728">
        <v>2500</v>
      </c>
      <c r="AO425" s="728">
        <v>2500</v>
      </c>
      <c r="AP425" s="728">
        <v>2500</v>
      </c>
      <c r="AQ425" s="728">
        <v>2500</v>
      </c>
      <c r="AR425" s="995">
        <v>30000</v>
      </c>
      <c r="AS425"/>
      <c r="AT425" s="728">
        <v>2500</v>
      </c>
      <c r="AU425" s="728">
        <v>2500</v>
      </c>
      <c r="AV425" s="728">
        <v>2500</v>
      </c>
      <c r="AW425" s="728">
        <v>2500</v>
      </c>
      <c r="AX425" s="728">
        <v>2500</v>
      </c>
      <c r="AY425" s="728">
        <v>2500</v>
      </c>
      <c r="AZ425" s="728">
        <v>2500</v>
      </c>
      <c r="BA425" s="728">
        <v>2500</v>
      </c>
      <c r="BB425" s="728">
        <v>2500</v>
      </c>
      <c r="BC425" s="728">
        <v>2500</v>
      </c>
      <c r="BD425" s="728">
        <v>2500</v>
      </c>
      <c r="BE425" s="728">
        <v>2500</v>
      </c>
      <c r="BF425" s="995">
        <v>30000</v>
      </c>
      <c r="BG425"/>
      <c r="BH425" s="728">
        <v>2500</v>
      </c>
      <c r="BI425" s="728">
        <v>2500</v>
      </c>
      <c r="BJ425" s="728">
        <v>2500</v>
      </c>
      <c r="BK425" s="728">
        <v>2500</v>
      </c>
      <c r="BL425" s="728">
        <v>2500</v>
      </c>
      <c r="BM425" s="728">
        <v>2500</v>
      </c>
      <c r="BN425" s="728">
        <v>2500</v>
      </c>
      <c r="BO425" s="728">
        <v>2500</v>
      </c>
      <c r="BP425" s="728">
        <v>2500</v>
      </c>
      <c r="BQ425" s="728">
        <v>2500</v>
      </c>
      <c r="BR425" s="728">
        <v>2500</v>
      </c>
      <c r="BS425" s="728">
        <v>2500</v>
      </c>
      <c r="BT425" s="995">
        <v>30000</v>
      </c>
      <c r="BU425"/>
      <c r="BV425" s="728">
        <v>2500</v>
      </c>
      <c r="BW425" s="728">
        <v>2500</v>
      </c>
      <c r="BX425" s="728">
        <v>22500</v>
      </c>
      <c r="BY425" s="995">
        <v>27500</v>
      </c>
      <c r="BZ425" s="995">
        <v>150000</v>
      </c>
      <c r="CA425" s="884"/>
      <c r="CB425" s="884"/>
      <c r="CC425" s="884"/>
      <c r="CD425" s="884"/>
      <c r="CE425" s="884"/>
      <c r="CF425" s="884"/>
      <c r="CG425" s="884"/>
      <c r="CH425" s="884"/>
      <c r="CI425" s="884"/>
    </row>
    <row r="426" spans="1:87" s="885" customFormat="1" ht="14" hidden="1" customHeight="1" outlineLevel="3">
      <c r="A426" s="580"/>
      <c r="B426" s="107" t="s">
        <v>2643</v>
      </c>
      <c r="C426" s="107"/>
      <c r="D426" s="944" t="s">
        <v>2644</v>
      </c>
      <c r="E426" s="2076"/>
      <c r="F426" s="1002">
        <v>0</v>
      </c>
      <c r="G426" s="1002">
        <v>0</v>
      </c>
      <c r="H426" s="1002">
        <v>0</v>
      </c>
      <c r="I426" s="1002">
        <v>0</v>
      </c>
      <c r="J426" s="1002">
        <v>0</v>
      </c>
      <c r="K426" s="1002">
        <v>0</v>
      </c>
      <c r="L426" s="1002">
        <v>0</v>
      </c>
      <c r="M426" s="1002">
        <v>0</v>
      </c>
      <c r="N426" s="1002">
        <v>0</v>
      </c>
      <c r="O426" s="728">
        <v>5000</v>
      </c>
      <c r="P426" s="995">
        <v>5000</v>
      </c>
      <c r="Q426"/>
      <c r="R426" s="728">
        <v>5000</v>
      </c>
      <c r="S426" s="728">
        <v>5000</v>
      </c>
      <c r="T426" s="728">
        <v>5000</v>
      </c>
      <c r="U426" s="728">
        <v>5000</v>
      </c>
      <c r="V426" s="728">
        <v>5000</v>
      </c>
      <c r="W426" s="728">
        <v>5000</v>
      </c>
      <c r="X426" s="728">
        <v>5000</v>
      </c>
      <c r="Y426" s="728">
        <v>5000</v>
      </c>
      <c r="Z426" s="728">
        <v>5000</v>
      </c>
      <c r="AA426" s="728">
        <v>5000</v>
      </c>
      <c r="AB426" s="728">
        <v>5000</v>
      </c>
      <c r="AC426" s="728">
        <v>5000</v>
      </c>
      <c r="AD426" s="995">
        <v>60000</v>
      </c>
      <c r="AE426"/>
      <c r="AF426" s="728">
        <v>5000</v>
      </c>
      <c r="AG426" s="728">
        <v>5000</v>
      </c>
      <c r="AH426" s="728">
        <v>5000</v>
      </c>
      <c r="AI426" s="728">
        <v>5000</v>
      </c>
      <c r="AJ426" s="728">
        <v>5000</v>
      </c>
      <c r="AK426" s="728">
        <v>5000</v>
      </c>
      <c r="AL426" s="728">
        <v>5000</v>
      </c>
      <c r="AM426" s="728">
        <v>5000</v>
      </c>
      <c r="AN426" s="728">
        <v>5000</v>
      </c>
      <c r="AO426" s="728">
        <v>5000</v>
      </c>
      <c r="AP426" s="728">
        <v>5000</v>
      </c>
      <c r="AQ426" s="728">
        <v>5000</v>
      </c>
      <c r="AR426" s="995">
        <v>60000</v>
      </c>
      <c r="AS426"/>
      <c r="AT426" s="728">
        <v>5000</v>
      </c>
      <c r="AU426" s="728">
        <v>5000</v>
      </c>
      <c r="AV426" s="728">
        <v>5000</v>
      </c>
      <c r="AW426" s="728">
        <v>5000</v>
      </c>
      <c r="AX426" s="728">
        <v>5000</v>
      </c>
      <c r="AY426" s="728">
        <v>5000</v>
      </c>
      <c r="AZ426" s="728">
        <v>5000</v>
      </c>
      <c r="BA426" s="728">
        <v>5000</v>
      </c>
      <c r="BB426" s="728">
        <v>5000</v>
      </c>
      <c r="BC426" s="728">
        <v>5000</v>
      </c>
      <c r="BD426" s="728">
        <v>5000</v>
      </c>
      <c r="BE426" s="728">
        <v>5000</v>
      </c>
      <c r="BF426" s="995">
        <v>60000</v>
      </c>
      <c r="BG426"/>
      <c r="BH426" s="728">
        <v>5000</v>
      </c>
      <c r="BI426" s="728">
        <v>5000</v>
      </c>
      <c r="BJ426" s="728">
        <v>5000</v>
      </c>
      <c r="BK426" s="728">
        <v>5000</v>
      </c>
      <c r="BL426" s="728">
        <v>5000</v>
      </c>
      <c r="BM426" s="728">
        <v>5000</v>
      </c>
      <c r="BN426" s="728">
        <v>5000</v>
      </c>
      <c r="BO426" s="728">
        <v>5000</v>
      </c>
      <c r="BP426" s="728">
        <v>5000</v>
      </c>
      <c r="BQ426" s="728">
        <v>5000</v>
      </c>
      <c r="BR426" s="728">
        <v>5000</v>
      </c>
      <c r="BS426" s="1002">
        <v>0</v>
      </c>
      <c r="BT426" s="995">
        <v>55000</v>
      </c>
      <c r="BU426"/>
      <c r="BV426" s="1002">
        <v>0</v>
      </c>
      <c r="BW426" s="1002">
        <v>0</v>
      </c>
      <c r="BX426" s="1002">
        <v>0</v>
      </c>
      <c r="BY426" s="995">
        <v>0</v>
      </c>
      <c r="BZ426" s="995">
        <v>240000</v>
      </c>
      <c r="CA426" s="884"/>
      <c r="CB426" s="884"/>
      <c r="CC426" s="884"/>
      <c r="CD426" s="884"/>
      <c r="CE426" s="884"/>
      <c r="CF426" s="884"/>
      <c r="CG426" s="884"/>
      <c r="CH426" s="884"/>
      <c r="CI426" s="884"/>
    </row>
    <row r="427" spans="1:87" s="885" customFormat="1" ht="14" hidden="1" customHeight="1" outlineLevel="3">
      <c r="A427" s="580"/>
      <c r="B427" s="107" t="s">
        <v>2645</v>
      </c>
      <c r="C427" s="107"/>
      <c r="D427" s="944" t="s">
        <v>2646</v>
      </c>
      <c r="E427" s="2076"/>
      <c r="F427" s="1002">
        <v>0</v>
      </c>
      <c r="G427" s="1002">
        <v>0</v>
      </c>
      <c r="H427" s="1002">
        <v>0</v>
      </c>
      <c r="I427" s="1002">
        <v>0</v>
      </c>
      <c r="J427" s="1002">
        <v>0</v>
      </c>
      <c r="K427" s="1002">
        <v>0</v>
      </c>
      <c r="L427" s="1002">
        <v>0</v>
      </c>
      <c r="M427" s="1002">
        <v>0</v>
      </c>
      <c r="N427" s="1002">
        <v>0</v>
      </c>
      <c r="O427" s="728">
        <v>2000</v>
      </c>
      <c r="P427" s="995">
        <v>2000</v>
      </c>
      <c r="Q427"/>
      <c r="R427" s="728">
        <v>2000</v>
      </c>
      <c r="S427" s="728">
        <v>2000</v>
      </c>
      <c r="T427" s="728">
        <v>2000</v>
      </c>
      <c r="U427" s="728">
        <v>2000</v>
      </c>
      <c r="V427" s="728">
        <v>2000</v>
      </c>
      <c r="W427" s="728">
        <v>2000</v>
      </c>
      <c r="X427" s="728">
        <v>2000</v>
      </c>
      <c r="Y427" s="728">
        <v>2000</v>
      </c>
      <c r="Z427" s="728">
        <v>2000</v>
      </c>
      <c r="AA427" s="728">
        <v>2000</v>
      </c>
      <c r="AB427" s="728">
        <v>2000</v>
      </c>
      <c r="AC427" s="728">
        <v>2000</v>
      </c>
      <c r="AD427" s="995">
        <v>24000</v>
      </c>
      <c r="AE427"/>
      <c r="AF427" s="728">
        <v>2000</v>
      </c>
      <c r="AG427" s="728">
        <v>2000</v>
      </c>
      <c r="AH427" s="728">
        <v>2000</v>
      </c>
      <c r="AI427" s="728">
        <v>2000</v>
      </c>
      <c r="AJ427" s="728">
        <v>2000</v>
      </c>
      <c r="AK427" s="728">
        <v>2000</v>
      </c>
      <c r="AL427" s="728">
        <v>2000</v>
      </c>
      <c r="AM427" s="728">
        <v>2000</v>
      </c>
      <c r="AN427" s="728">
        <v>2000</v>
      </c>
      <c r="AO427" s="728">
        <v>2000</v>
      </c>
      <c r="AP427" s="728">
        <v>2000</v>
      </c>
      <c r="AQ427" s="728">
        <v>2000</v>
      </c>
      <c r="AR427" s="995">
        <v>24000</v>
      </c>
      <c r="AS427"/>
      <c r="AT427" s="728">
        <v>2000</v>
      </c>
      <c r="AU427" s="728">
        <v>2000</v>
      </c>
      <c r="AV427" s="728">
        <v>2000</v>
      </c>
      <c r="AW427" s="728">
        <v>2000</v>
      </c>
      <c r="AX427" s="728">
        <v>2000</v>
      </c>
      <c r="AY427" s="728">
        <v>2000</v>
      </c>
      <c r="AZ427" s="728">
        <v>2000</v>
      </c>
      <c r="BA427" s="728">
        <v>2000</v>
      </c>
      <c r="BB427" s="728">
        <v>2000</v>
      </c>
      <c r="BC427" s="728">
        <v>2000</v>
      </c>
      <c r="BD427" s="728">
        <v>2000</v>
      </c>
      <c r="BE427" s="728">
        <v>2000</v>
      </c>
      <c r="BF427" s="995">
        <v>24000</v>
      </c>
      <c r="BG427"/>
      <c r="BH427" s="728">
        <v>2000</v>
      </c>
      <c r="BI427" s="728">
        <v>2000</v>
      </c>
      <c r="BJ427" s="728">
        <v>2000</v>
      </c>
      <c r="BK427" s="728">
        <v>2000</v>
      </c>
      <c r="BL427" s="728">
        <v>2000</v>
      </c>
      <c r="BM427" s="728">
        <v>2000</v>
      </c>
      <c r="BN427" s="728">
        <v>2000</v>
      </c>
      <c r="BO427" s="728">
        <v>2000</v>
      </c>
      <c r="BP427" s="728">
        <v>2000</v>
      </c>
      <c r="BQ427" s="728">
        <v>2000</v>
      </c>
      <c r="BR427" s="728">
        <v>2000</v>
      </c>
      <c r="BS427" s="728">
        <v>2000</v>
      </c>
      <c r="BT427" s="995">
        <v>24000</v>
      </c>
      <c r="BU427"/>
      <c r="BV427" s="728">
        <v>2000</v>
      </c>
      <c r="BW427" s="728">
        <v>2000</v>
      </c>
      <c r="BX427" s="728">
        <v>18000</v>
      </c>
      <c r="BY427" s="995">
        <v>22000</v>
      </c>
      <c r="BZ427" s="995">
        <v>120000</v>
      </c>
      <c r="CA427" s="884"/>
      <c r="CB427" s="884"/>
      <c r="CC427" s="884"/>
      <c r="CD427" s="884"/>
      <c r="CE427" s="884"/>
      <c r="CF427" s="884"/>
      <c r="CG427" s="884"/>
      <c r="CH427" s="884"/>
      <c r="CI427" s="884"/>
    </row>
    <row r="428" spans="1:87" s="885" customFormat="1" ht="14" hidden="1" customHeight="1" outlineLevel="3">
      <c r="A428" s="580"/>
      <c r="B428" s="107" t="s">
        <v>2647</v>
      </c>
      <c r="C428" s="107"/>
      <c r="D428" s="944" t="s">
        <v>1663</v>
      </c>
      <c r="E428" s="2076"/>
      <c r="F428" s="1002">
        <v>0</v>
      </c>
      <c r="G428" s="1002">
        <v>0</v>
      </c>
      <c r="H428" s="1002">
        <v>0</v>
      </c>
      <c r="I428" s="1002">
        <v>0</v>
      </c>
      <c r="J428" s="1002">
        <v>0</v>
      </c>
      <c r="K428" s="1002">
        <v>0</v>
      </c>
      <c r="L428" s="1002">
        <v>0</v>
      </c>
      <c r="M428" s="1002">
        <v>0</v>
      </c>
      <c r="N428" s="1002">
        <v>0</v>
      </c>
      <c r="O428" s="1002">
        <v>0</v>
      </c>
      <c r="P428" s="1013">
        <v>0</v>
      </c>
      <c r="Q428"/>
      <c r="R428" s="1002">
        <v>0</v>
      </c>
      <c r="S428" s="1002">
        <v>0</v>
      </c>
      <c r="T428" s="1002">
        <v>0</v>
      </c>
      <c r="U428" s="1002">
        <v>0</v>
      </c>
      <c r="V428" s="1002">
        <v>0</v>
      </c>
      <c r="W428" s="1002">
        <v>0</v>
      </c>
      <c r="X428" s="1002">
        <v>20000</v>
      </c>
      <c r="Y428" s="1002">
        <v>0</v>
      </c>
      <c r="Z428" s="1002">
        <v>0</v>
      </c>
      <c r="AA428" s="1002">
        <v>0</v>
      </c>
      <c r="AB428" s="1002">
        <v>0</v>
      </c>
      <c r="AC428" s="1002">
        <v>0</v>
      </c>
      <c r="AD428" s="1013">
        <v>20000</v>
      </c>
      <c r="AE428"/>
      <c r="AF428" s="1002">
        <v>10000</v>
      </c>
      <c r="AG428" s="1002">
        <v>0</v>
      </c>
      <c r="AH428" s="1002">
        <v>0</v>
      </c>
      <c r="AI428" s="1002">
        <v>0</v>
      </c>
      <c r="AJ428" s="1002">
        <v>0</v>
      </c>
      <c r="AK428" s="1002">
        <v>0</v>
      </c>
      <c r="AL428" s="1002">
        <v>10000</v>
      </c>
      <c r="AM428" s="1002">
        <v>0</v>
      </c>
      <c r="AN428" s="1002">
        <v>0</v>
      </c>
      <c r="AO428" s="1002">
        <v>0</v>
      </c>
      <c r="AP428" s="1002">
        <v>0</v>
      </c>
      <c r="AQ428" s="1002">
        <v>0</v>
      </c>
      <c r="AR428" s="1013">
        <v>20000</v>
      </c>
      <c r="AS428"/>
      <c r="AT428" s="1002">
        <v>10000</v>
      </c>
      <c r="AU428" s="1002">
        <v>0</v>
      </c>
      <c r="AV428" s="1002">
        <v>0</v>
      </c>
      <c r="AW428" s="1002">
        <v>0</v>
      </c>
      <c r="AX428" s="1002">
        <v>0</v>
      </c>
      <c r="AY428" s="1002">
        <v>0</v>
      </c>
      <c r="AZ428" s="1002">
        <v>10000</v>
      </c>
      <c r="BA428" s="1002">
        <v>0</v>
      </c>
      <c r="BB428" s="1002">
        <v>0</v>
      </c>
      <c r="BC428" s="1002">
        <v>0</v>
      </c>
      <c r="BD428" s="1002">
        <v>0</v>
      </c>
      <c r="BE428" s="1002">
        <v>0</v>
      </c>
      <c r="BF428" s="1013">
        <v>20000</v>
      </c>
      <c r="BG428"/>
      <c r="BH428" s="1002">
        <v>10000</v>
      </c>
      <c r="BI428" s="1002">
        <v>0</v>
      </c>
      <c r="BJ428" s="1002">
        <v>0</v>
      </c>
      <c r="BK428" s="1002">
        <v>0</v>
      </c>
      <c r="BL428" s="1002">
        <v>0</v>
      </c>
      <c r="BM428" s="1002">
        <v>0</v>
      </c>
      <c r="BN428" s="1002">
        <v>10000</v>
      </c>
      <c r="BO428" s="1002">
        <v>0</v>
      </c>
      <c r="BP428" s="1002">
        <v>0</v>
      </c>
      <c r="BQ428" s="1002">
        <v>0</v>
      </c>
      <c r="BR428" s="1002">
        <v>0</v>
      </c>
      <c r="BS428" s="1002">
        <v>0</v>
      </c>
      <c r="BT428" s="1013">
        <v>20000</v>
      </c>
      <c r="BU428"/>
      <c r="BV428" s="1002">
        <v>20000</v>
      </c>
      <c r="BW428" s="1002">
        <v>0</v>
      </c>
      <c r="BX428" s="1002">
        <v>0</v>
      </c>
      <c r="BY428" s="1013">
        <v>20000</v>
      </c>
      <c r="BZ428" s="1013">
        <v>100000</v>
      </c>
      <c r="CA428" s="884"/>
      <c r="CB428" s="884"/>
      <c r="CC428" s="884"/>
      <c r="CD428" s="884"/>
      <c r="CE428" s="884"/>
      <c r="CF428" s="884"/>
      <c r="CG428" s="884"/>
      <c r="CH428" s="884"/>
      <c r="CI428" s="884"/>
    </row>
    <row r="429" spans="1:87" s="885" customFormat="1" ht="14" customHeight="1" outlineLevel="2" collapsed="1">
      <c r="A429" s="580"/>
      <c r="B429" s="107"/>
      <c r="C429" s="107"/>
      <c r="D429" s="944"/>
      <c r="E429" s="2076"/>
      <c r="F429" s="1002"/>
      <c r="G429" s="1002"/>
      <c r="H429" s="1002"/>
      <c r="I429" s="1002"/>
      <c r="J429" s="1002"/>
      <c r="K429" s="1002"/>
      <c r="L429" s="1002"/>
      <c r="M429" s="1002"/>
      <c r="N429" s="1002"/>
      <c r="O429" s="1002"/>
      <c r="P429" s="1013"/>
      <c r="Q429"/>
      <c r="R429" s="1002"/>
      <c r="S429" s="1002"/>
      <c r="T429" s="1002"/>
      <c r="U429" s="1002"/>
      <c r="V429" s="1002"/>
      <c r="W429" s="1002"/>
      <c r="X429" s="1002"/>
      <c r="Y429" s="1002"/>
      <c r="Z429" s="1002"/>
      <c r="AA429" s="1002"/>
      <c r="AB429" s="1002"/>
      <c r="AC429" s="1002"/>
      <c r="AD429" s="1013"/>
      <c r="AE429"/>
      <c r="AF429" s="1002"/>
      <c r="AG429" s="1002"/>
      <c r="AH429" s="1002"/>
      <c r="AI429" s="1002"/>
      <c r="AJ429" s="1002"/>
      <c r="AK429" s="1002"/>
      <c r="AL429" s="1002"/>
      <c r="AM429" s="1002"/>
      <c r="AN429" s="1002"/>
      <c r="AO429" s="1002"/>
      <c r="AP429" s="1002"/>
      <c r="AQ429" s="1002"/>
      <c r="AR429" s="1013"/>
      <c r="AS429"/>
      <c r="AT429" s="1002"/>
      <c r="AU429" s="1002"/>
      <c r="AV429" s="1002"/>
      <c r="AW429" s="1002"/>
      <c r="AX429" s="1002"/>
      <c r="AY429" s="1002"/>
      <c r="AZ429" s="1002"/>
      <c r="BA429" s="1002"/>
      <c r="BB429" s="1002"/>
      <c r="BC429" s="1002"/>
      <c r="BD429" s="1002"/>
      <c r="BE429" s="1002"/>
      <c r="BF429" s="1013"/>
      <c r="BG429"/>
      <c r="BH429" s="1002"/>
      <c r="BI429" s="1002"/>
      <c r="BJ429" s="1002"/>
      <c r="BK429" s="1002"/>
      <c r="BL429" s="1002"/>
      <c r="BM429" s="1002"/>
      <c r="BN429" s="1002"/>
      <c r="BO429" s="1002"/>
      <c r="BP429" s="1002"/>
      <c r="BQ429" s="1002"/>
      <c r="BR429" s="1002"/>
      <c r="BS429" s="1002"/>
      <c r="BT429" s="1013"/>
      <c r="BU429"/>
      <c r="BV429" s="1002"/>
      <c r="BW429" s="1002"/>
      <c r="BX429" s="1002"/>
      <c r="BY429" s="1013"/>
      <c r="BZ429" s="1013">
        <v>0</v>
      </c>
      <c r="CA429" s="884"/>
      <c r="CB429" s="884"/>
      <c r="CC429" s="884"/>
      <c r="CD429" s="884"/>
      <c r="CE429" s="884"/>
      <c r="CF429" s="884"/>
      <c r="CG429" s="884"/>
      <c r="CH429" s="884"/>
      <c r="CI429" s="884"/>
    </row>
    <row r="430" spans="1:87" s="878" customFormat="1" ht="21.5" customHeight="1" outlineLevel="1">
      <c r="A430" s="584"/>
      <c r="B430" s="188" t="s">
        <v>580</v>
      </c>
      <c r="C430" s="188"/>
      <c r="D430" s="538" t="s">
        <v>581</v>
      </c>
      <c r="E430"/>
      <c r="F430" s="980">
        <v>0</v>
      </c>
      <c r="G430" s="980">
        <v>0</v>
      </c>
      <c r="H430" s="980">
        <v>0</v>
      </c>
      <c r="I430" s="980">
        <v>0</v>
      </c>
      <c r="J430" s="980">
        <v>0</v>
      </c>
      <c r="K430" s="980">
        <v>0</v>
      </c>
      <c r="L430" s="980">
        <v>0</v>
      </c>
      <c r="M430" s="980">
        <v>0</v>
      </c>
      <c r="N430" s="980">
        <v>0</v>
      </c>
      <c r="O430" s="980">
        <v>0</v>
      </c>
      <c r="P430" s="980">
        <v>0</v>
      </c>
      <c r="Q430"/>
      <c r="R430" s="980">
        <v>0</v>
      </c>
      <c r="S430" s="980">
        <v>0</v>
      </c>
      <c r="T430" s="980">
        <v>0</v>
      </c>
      <c r="U430" s="980">
        <v>0</v>
      </c>
      <c r="V430" s="980">
        <v>0</v>
      </c>
      <c r="W430" s="980">
        <v>0</v>
      </c>
      <c r="X430" s="980">
        <v>50000</v>
      </c>
      <c r="Y430" s="980">
        <v>0</v>
      </c>
      <c r="Z430" s="980">
        <v>0</v>
      </c>
      <c r="AA430" s="980">
        <v>0</v>
      </c>
      <c r="AB430" s="980">
        <v>0</v>
      </c>
      <c r="AC430" s="980">
        <v>0</v>
      </c>
      <c r="AD430" s="980">
        <v>50000</v>
      </c>
      <c r="AE430"/>
      <c r="AF430" s="980">
        <v>25000</v>
      </c>
      <c r="AG430" s="980">
        <v>0</v>
      </c>
      <c r="AH430" s="980">
        <v>0</v>
      </c>
      <c r="AI430" s="980">
        <v>0</v>
      </c>
      <c r="AJ430" s="980">
        <v>0</v>
      </c>
      <c r="AK430" s="980">
        <v>0</v>
      </c>
      <c r="AL430" s="980">
        <v>25000</v>
      </c>
      <c r="AM430" s="980">
        <v>0</v>
      </c>
      <c r="AN430" s="980">
        <v>0</v>
      </c>
      <c r="AO430" s="980">
        <v>0</v>
      </c>
      <c r="AP430" s="980">
        <v>0</v>
      </c>
      <c r="AQ430" s="980">
        <v>0</v>
      </c>
      <c r="AR430" s="980">
        <v>50000</v>
      </c>
      <c r="AS430"/>
      <c r="AT430" s="980">
        <v>25000</v>
      </c>
      <c r="AU430" s="980">
        <v>0</v>
      </c>
      <c r="AV430" s="980">
        <v>0</v>
      </c>
      <c r="AW430" s="980">
        <v>0</v>
      </c>
      <c r="AX430" s="980">
        <v>0</v>
      </c>
      <c r="AY430" s="980">
        <v>0</v>
      </c>
      <c r="AZ430" s="980">
        <v>25000</v>
      </c>
      <c r="BA430" s="980">
        <v>0</v>
      </c>
      <c r="BB430" s="980">
        <v>0</v>
      </c>
      <c r="BC430" s="980">
        <v>0</v>
      </c>
      <c r="BD430" s="980">
        <v>0</v>
      </c>
      <c r="BE430" s="980">
        <v>0</v>
      </c>
      <c r="BF430" s="981">
        <v>50000</v>
      </c>
      <c r="BG430"/>
      <c r="BH430" s="980">
        <v>25000</v>
      </c>
      <c r="BI430" s="980">
        <v>0</v>
      </c>
      <c r="BJ430" s="980">
        <v>0</v>
      </c>
      <c r="BK430" s="980">
        <v>0</v>
      </c>
      <c r="BL430" s="980">
        <v>0</v>
      </c>
      <c r="BM430" s="980">
        <v>0</v>
      </c>
      <c r="BN430" s="980">
        <v>25000</v>
      </c>
      <c r="BO430" s="980">
        <v>0</v>
      </c>
      <c r="BP430" s="980">
        <v>0</v>
      </c>
      <c r="BQ430" s="980">
        <v>0</v>
      </c>
      <c r="BR430" s="980">
        <v>0</v>
      </c>
      <c r="BS430" s="980">
        <v>0</v>
      </c>
      <c r="BT430" s="979">
        <v>50000</v>
      </c>
      <c r="BU430"/>
      <c r="BV430" s="980">
        <v>50000</v>
      </c>
      <c r="BW430" s="980">
        <v>0</v>
      </c>
      <c r="BX430" s="980">
        <v>0</v>
      </c>
      <c r="BY430" s="979">
        <v>50000</v>
      </c>
      <c r="BZ430" s="979">
        <v>250000</v>
      </c>
      <c r="CA430" s="153"/>
      <c r="CB430" s="153"/>
      <c r="CC430" s="153"/>
      <c r="CD430" s="153"/>
      <c r="CE430" s="153"/>
      <c r="CF430" s="153"/>
      <c r="CG430" s="153"/>
      <c r="CH430" s="153"/>
      <c r="CI430" s="153"/>
    </row>
    <row r="431" spans="1:87" s="882" customFormat="1" ht="41.5" hidden="1" customHeight="1" outlineLevel="3">
      <c r="A431" s="587"/>
      <c r="B431" s="183" t="s">
        <v>1665</v>
      </c>
      <c r="C431" s="183"/>
      <c r="D431" s="944" t="s">
        <v>1666</v>
      </c>
      <c r="E431"/>
      <c r="F431" s="1002">
        <v>0</v>
      </c>
      <c r="G431" s="1002">
        <v>0</v>
      </c>
      <c r="H431" s="1002">
        <v>0</v>
      </c>
      <c r="I431" s="1002">
        <v>0</v>
      </c>
      <c r="J431" s="1002">
        <v>0</v>
      </c>
      <c r="K431" s="1002">
        <v>0</v>
      </c>
      <c r="L431" s="1002">
        <v>0</v>
      </c>
      <c r="M431" s="1002">
        <v>0</v>
      </c>
      <c r="N431" s="1002">
        <v>0</v>
      </c>
      <c r="O431" s="1002">
        <v>0</v>
      </c>
      <c r="P431" s="2028">
        <v>0</v>
      </c>
      <c r="Q431"/>
      <c r="R431" s="1002">
        <v>0</v>
      </c>
      <c r="S431" s="1002">
        <v>0</v>
      </c>
      <c r="T431" s="1002">
        <v>0</v>
      </c>
      <c r="U431" s="1002">
        <v>0</v>
      </c>
      <c r="V431" s="1002">
        <v>0</v>
      </c>
      <c r="W431" s="1002">
        <v>0</v>
      </c>
      <c r="X431" s="1022">
        <v>50000</v>
      </c>
      <c r="Y431" s="1002">
        <v>0</v>
      </c>
      <c r="Z431" s="1002">
        <v>0</v>
      </c>
      <c r="AA431" s="1002">
        <v>0</v>
      </c>
      <c r="AB431" s="1002">
        <v>0</v>
      </c>
      <c r="AC431" s="1002">
        <v>0</v>
      </c>
      <c r="AD431" s="2028">
        <v>50000</v>
      </c>
      <c r="AE431"/>
      <c r="AF431" s="1022">
        <v>25000</v>
      </c>
      <c r="AG431" s="1002">
        <v>0</v>
      </c>
      <c r="AH431" s="1002">
        <v>0</v>
      </c>
      <c r="AI431" s="1002">
        <v>0</v>
      </c>
      <c r="AJ431" s="1002">
        <v>0</v>
      </c>
      <c r="AK431" s="1002">
        <v>0</v>
      </c>
      <c r="AL431" s="1022">
        <v>25000</v>
      </c>
      <c r="AM431" s="1002">
        <v>0</v>
      </c>
      <c r="AN431" s="1002">
        <v>0</v>
      </c>
      <c r="AO431" s="1002">
        <v>0</v>
      </c>
      <c r="AP431" s="1002">
        <v>0</v>
      </c>
      <c r="AQ431" s="1002">
        <v>0</v>
      </c>
      <c r="AR431" s="1013">
        <v>50000</v>
      </c>
      <c r="AS431"/>
      <c r="AT431" s="1022">
        <v>25000</v>
      </c>
      <c r="AU431" s="1002">
        <v>0</v>
      </c>
      <c r="AV431" s="1002">
        <v>0</v>
      </c>
      <c r="AW431" s="1002">
        <v>0</v>
      </c>
      <c r="AX431" s="1002">
        <v>0</v>
      </c>
      <c r="AY431" s="1002">
        <v>0</v>
      </c>
      <c r="AZ431" s="1022">
        <v>25000</v>
      </c>
      <c r="BA431" s="1002">
        <v>0</v>
      </c>
      <c r="BB431" s="1002">
        <v>0</v>
      </c>
      <c r="BC431" s="1002">
        <v>0</v>
      </c>
      <c r="BD431" s="1002">
        <v>0</v>
      </c>
      <c r="BE431" s="1002">
        <v>0</v>
      </c>
      <c r="BF431" s="2028">
        <v>50000</v>
      </c>
      <c r="BG431"/>
      <c r="BH431" s="1022">
        <v>25000</v>
      </c>
      <c r="BI431" s="1002">
        <v>0</v>
      </c>
      <c r="BJ431" s="1002">
        <v>0</v>
      </c>
      <c r="BK431" s="1002">
        <v>0</v>
      </c>
      <c r="BL431" s="1002">
        <v>0</v>
      </c>
      <c r="BM431" s="1002">
        <v>0</v>
      </c>
      <c r="BN431" s="1022">
        <v>25000</v>
      </c>
      <c r="BO431" s="1002">
        <v>0</v>
      </c>
      <c r="BP431" s="1002">
        <v>0</v>
      </c>
      <c r="BQ431" s="1002">
        <v>0</v>
      </c>
      <c r="BR431" s="1002">
        <v>0</v>
      </c>
      <c r="BS431" s="1002">
        <v>0</v>
      </c>
      <c r="BT431" s="2028">
        <v>50000</v>
      </c>
      <c r="BU431"/>
      <c r="BV431" s="1022">
        <v>50000</v>
      </c>
      <c r="BW431" s="1002">
        <v>0</v>
      </c>
      <c r="BX431" s="1002">
        <v>0</v>
      </c>
      <c r="BY431" s="2028">
        <v>50000</v>
      </c>
      <c r="BZ431" s="2028">
        <v>250000</v>
      </c>
      <c r="CA431" s="108"/>
      <c r="CB431" s="881"/>
      <c r="CC431" s="881"/>
      <c r="CD431" s="881"/>
      <c r="CE431" s="881"/>
      <c r="CF431" s="881"/>
      <c r="CG431" s="881"/>
      <c r="CH431" s="881"/>
      <c r="CI431" s="881"/>
    </row>
    <row r="432" spans="1:87" s="878" customFormat="1" ht="21.5" customHeight="1" outlineLevel="1" collapsed="1">
      <c r="A432" s="584"/>
      <c r="B432" s="188" t="s">
        <v>582</v>
      </c>
      <c r="C432" s="188"/>
      <c r="D432" s="538" t="s">
        <v>1671</v>
      </c>
      <c r="E432"/>
      <c r="F432" s="980">
        <v>0</v>
      </c>
      <c r="G432" s="980">
        <v>0</v>
      </c>
      <c r="H432" s="980">
        <v>0</v>
      </c>
      <c r="I432" s="980">
        <v>0</v>
      </c>
      <c r="J432" s="980">
        <v>0</v>
      </c>
      <c r="K432" s="980">
        <v>0</v>
      </c>
      <c r="L432" s="980">
        <v>0</v>
      </c>
      <c r="M432" s="980">
        <v>0</v>
      </c>
      <c r="N432" s="980">
        <v>0</v>
      </c>
      <c r="O432" s="980">
        <v>0</v>
      </c>
      <c r="P432" s="980">
        <v>0</v>
      </c>
      <c r="Q432"/>
      <c r="R432" s="980">
        <v>0</v>
      </c>
      <c r="S432" s="980">
        <v>0</v>
      </c>
      <c r="T432" s="980">
        <v>0</v>
      </c>
      <c r="U432" s="980">
        <v>0</v>
      </c>
      <c r="V432" s="980">
        <v>0</v>
      </c>
      <c r="W432" s="980">
        <v>0</v>
      </c>
      <c r="X432" s="980">
        <v>0</v>
      </c>
      <c r="Y432" s="980">
        <v>0</v>
      </c>
      <c r="Z432" s="980">
        <v>0</v>
      </c>
      <c r="AA432" s="980">
        <v>0</v>
      </c>
      <c r="AB432" s="980">
        <v>0</v>
      </c>
      <c r="AC432" s="980">
        <v>0</v>
      </c>
      <c r="AD432" s="980">
        <v>0</v>
      </c>
      <c r="AE432"/>
      <c r="AF432" s="980">
        <v>0</v>
      </c>
      <c r="AG432" s="980">
        <v>0</v>
      </c>
      <c r="AH432" s="980">
        <v>0</v>
      </c>
      <c r="AI432" s="980">
        <v>0</v>
      </c>
      <c r="AJ432" s="980">
        <v>0</v>
      </c>
      <c r="AK432" s="980">
        <v>0</v>
      </c>
      <c r="AL432" s="980">
        <v>0</v>
      </c>
      <c r="AM432" s="980">
        <v>0</v>
      </c>
      <c r="AN432" s="980">
        <v>15000</v>
      </c>
      <c r="AO432" s="980">
        <v>0</v>
      </c>
      <c r="AP432" s="980">
        <v>0</v>
      </c>
      <c r="AQ432" s="980">
        <v>15000</v>
      </c>
      <c r="AR432" s="980">
        <v>30000</v>
      </c>
      <c r="AS432"/>
      <c r="AT432" s="980">
        <v>0</v>
      </c>
      <c r="AU432" s="980">
        <v>0</v>
      </c>
      <c r="AV432" s="980">
        <v>0</v>
      </c>
      <c r="AW432" s="980">
        <v>0</v>
      </c>
      <c r="AX432" s="980">
        <v>0</v>
      </c>
      <c r="AY432" s="980">
        <v>0</v>
      </c>
      <c r="AZ432" s="980">
        <v>0</v>
      </c>
      <c r="BA432" s="980">
        <v>0</v>
      </c>
      <c r="BB432" s="980">
        <v>0</v>
      </c>
      <c r="BC432" s="980">
        <v>0</v>
      </c>
      <c r="BD432" s="980">
        <v>0</v>
      </c>
      <c r="BE432" s="980">
        <v>0</v>
      </c>
      <c r="BF432" s="981">
        <v>0</v>
      </c>
      <c r="BG432"/>
      <c r="BH432" s="980">
        <v>0</v>
      </c>
      <c r="BI432" s="980">
        <v>0</v>
      </c>
      <c r="BJ432" s="980">
        <v>0</v>
      </c>
      <c r="BK432" s="980">
        <v>0</v>
      </c>
      <c r="BL432" s="980">
        <v>0</v>
      </c>
      <c r="BM432" s="980">
        <v>0</v>
      </c>
      <c r="BN432" s="980">
        <v>0</v>
      </c>
      <c r="BO432" s="980">
        <v>0</v>
      </c>
      <c r="BP432" s="980">
        <v>24000</v>
      </c>
      <c r="BQ432" s="980">
        <v>0</v>
      </c>
      <c r="BR432" s="980">
        <v>0</v>
      </c>
      <c r="BS432" s="980">
        <v>48000</v>
      </c>
      <c r="BT432" s="979">
        <v>72000</v>
      </c>
      <c r="BU432"/>
      <c r="BV432" s="980">
        <v>0</v>
      </c>
      <c r="BW432" s="980">
        <v>0</v>
      </c>
      <c r="BX432" s="980">
        <v>48000</v>
      </c>
      <c r="BY432" s="979">
        <v>48000</v>
      </c>
      <c r="BZ432" s="979">
        <v>150000</v>
      </c>
      <c r="CA432" s="153"/>
      <c r="CB432" s="153"/>
      <c r="CC432" s="153"/>
      <c r="CD432" s="153"/>
      <c r="CE432" s="153"/>
      <c r="CF432" s="153"/>
      <c r="CG432" s="153"/>
      <c r="CH432" s="153"/>
      <c r="CI432" s="153"/>
    </row>
    <row r="433" spans="1:87" s="882" customFormat="1" ht="14" customHeight="1" outlineLevel="2">
      <c r="A433" s="587"/>
      <c r="B433" s="183" t="s">
        <v>1672</v>
      </c>
      <c r="C433" s="183"/>
      <c r="D433" s="944" t="s">
        <v>1673</v>
      </c>
      <c r="E433"/>
      <c r="F433" s="1002">
        <v>0</v>
      </c>
      <c r="G433" s="1002">
        <v>0</v>
      </c>
      <c r="H433" s="1002">
        <v>0</v>
      </c>
      <c r="I433" s="1002">
        <v>0</v>
      </c>
      <c r="J433" s="1002">
        <v>0</v>
      </c>
      <c r="K433" s="1002">
        <v>0</v>
      </c>
      <c r="L433" s="1002">
        <v>0</v>
      </c>
      <c r="M433" s="1002">
        <v>0</v>
      </c>
      <c r="N433" s="1002">
        <v>0</v>
      </c>
      <c r="O433" s="1002">
        <v>0</v>
      </c>
      <c r="P433" s="2029">
        <v>0</v>
      </c>
      <c r="Q433"/>
      <c r="R433" s="1002">
        <v>0</v>
      </c>
      <c r="S433" s="1002">
        <v>0</v>
      </c>
      <c r="T433" s="1002">
        <v>0</v>
      </c>
      <c r="U433" s="1002">
        <v>0</v>
      </c>
      <c r="V433" s="1002">
        <v>0</v>
      </c>
      <c r="W433" s="1002">
        <v>0</v>
      </c>
      <c r="X433" s="1002">
        <v>0</v>
      </c>
      <c r="Y433" s="1002">
        <v>0</v>
      </c>
      <c r="Z433" s="1002">
        <v>0</v>
      </c>
      <c r="AA433" s="1002">
        <v>0</v>
      </c>
      <c r="AB433" s="1002">
        <v>0</v>
      </c>
      <c r="AC433" s="1002">
        <v>0</v>
      </c>
      <c r="AD433" s="2029">
        <v>0</v>
      </c>
      <c r="AE433"/>
      <c r="AF433" s="1002">
        <v>0</v>
      </c>
      <c r="AG433" s="1002">
        <v>0</v>
      </c>
      <c r="AH433" s="1002">
        <v>0</v>
      </c>
      <c r="AI433" s="1002">
        <v>0</v>
      </c>
      <c r="AJ433" s="1002">
        <v>0</v>
      </c>
      <c r="AK433" s="1002">
        <v>0</v>
      </c>
      <c r="AL433" s="1002">
        <v>0</v>
      </c>
      <c r="AM433" s="1002">
        <v>0</v>
      </c>
      <c r="AN433" s="1002">
        <v>0</v>
      </c>
      <c r="AO433" s="1002">
        <v>0</v>
      </c>
      <c r="AP433" s="1002">
        <v>0</v>
      </c>
      <c r="AQ433" s="1002">
        <v>0</v>
      </c>
      <c r="AR433" s="1574">
        <v>0</v>
      </c>
      <c r="AS433"/>
      <c r="AT433" s="1002">
        <v>0</v>
      </c>
      <c r="AU433" s="1002">
        <v>0</v>
      </c>
      <c r="AV433" s="1002">
        <v>0</v>
      </c>
      <c r="AW433" s="1002">
        <v>0</v>
      </c>
      <c r="AX433" s="1002">
        <v>0</v>
      </c>
      <c r="AY433" s="1002">
        <v>0</v>
      </c>
      <c r="AZ433" s="1002">
        <v>0</v>
      </c>
      <c r="BA433" s="1002">
        <v>0</v>
      </c>
      <c r="BB433" s="1002">
        <v>0</v>
      </c>
      <c r="BC433" s="1002">
        <v>0</v>
      </c>
      <c r="BD433" s="1002">
        <v>0</v>
      </c>
      <c r="BE433" s="1002">
        <v>0</v>
      </c>
      <c r="BF433" s="2038">
        <v>0</v>
      </c>
      <c r="BG433"/>
      <c r="BH433" s="1002">
        <v>0</v>
      </c>
      <c r="BI433" s="1002">
        <v>0</v>
      </c>
      <c r="BJ433" s="1002">
        <v>0</v>
      </c>
      <c r="BK433" s="1002">
        <v>0</v>
      </c>
      <c r="BL433" s="1002">
        <v>0</v>
      </c>
      <c r="BM433" s="1002">
        <v>0</v>
      </c>
      <c r="BN433" s="1002">
        <v>0</v>
      </c>
      <c r="BO433" s="1002">
        <v>0</v>
      </c>
      <c r="BP433" s="1002">
        <v>0</v>
      </c>
      <c r="BQ433" s="1002">
        <v>0</v>
      </c>
      <c r="BR433" s="1002">
        <v>0</v>
      </c>
      <c r="BS433" s="1002">
        <v>0</v>
      </c>
      <c r="BT433" s="2029">
        <v>0</v>
      </c>
      <c r="BU433"/>
      <c r="BV433" s="1002">
        <v>0</v>
      </c>
      <c r="BW433" s="1002">
        <v>0</v>
      </c>
      <c r="BX433" s="1002">
        <v>0</v>
      </c>
      <c r="BY433" s="2029">
        <v>0</v>
      </c>
      <c r="BZ433" s="2029">
        <v>0</v>
      </c>
      <c r="CA433" s="108"/>
      <c r="CB433" s="881"/>
      <c r="CC433" s="881"/>
      <c r="CD433" s="881"/>
      <c r="CE433" s="881"/>
      <c r="CF433" s="881"/>
      <c r="CG433" s="881"/>
      <c r="CH433" s="881"/>
      <c r="CI433" s="881"/>
    </row>
    <row r="434" spans="1:87" s="882" customFormat="1" ht="55.25" customHeight="1" outlineLevel="2">
      <c r="A434" s="587"/>
      <c r="B434" s="183" t="s">
        <v>1674</v>
      </c>
      <c r="C434" s="183"/>
      <c r="D434" s="944" t="s">
        <v>1675</v>
      </c>
      <c r="E434"/>
      <c r="F434" s="1002">
        <v>0</v>
      </c>
      <c r="G434" s="1002">
        <v>0</v>
      </c>
      <c r="H434" s="1002">
        <v>0</v>
      </c>
      <c r="I434" s="1002">
        <v>0</v>
      </c>
      <c r="J434" s="1002">
        <v>0</v>
      </c>
      <c r="K434" s="1002">
        <v>0</v>
      </c>
      <c r="L434" s="1002">
        <v>0</v>
      </c>
      <c r="M434" s="1002">
        <v>0</v>
      </c>
      <c r="N434" s="1002">
        <v>0</v>
      </c>
      <c r="O434" s="1002">
        <v>0</v>
      </c>
      <c r="P434" s="2029">
        <v>0</v>
      </c>
      <c r="Q434"/>
      <c r="R434" s="1002">
        <v>0</v>
      </c>
      <c r="S434" s="1002">
        <v>0</v>
      </c>
      <c r="T434" s="1002">
        <v>0</v>
      </c>
      <c r="U434" s="1002">
        <v>0</v>
      </c>
      <c r="V434" s="1002">
        <v>0</v>
      </c>
      <c r="W434" s="1002">
        <v>0</v>
      </c>
      <c r="X434" s="1002">
        <v>0</v>
      </c>
      <c r="Y434" s="1002">
        <v>0</v>
      </c>
      <c r="Z434" s="1002">
        <v>0</v>
      </c>
      <c r="AA434" s="1002">
        <v>0</v>
      </c>
      <c r="AB434" s="1002">
        <v>0</v>
      </c>
      <c r="AC434" s="1002">
        <v>0</v>
      </c>
      <c r="AD434" s="2029">
        <v>0</v>
      </c>
      <c r="AE434"/>
      <c r="AF434" s="1002">
        <v>0</v>
      </c>
      <c r="AG434" s="1002">
        <v>0</v>
      </c>
      <c r="AH434" s="1002">
        <v>0</v>
      </c>
      <c r="AI434" s="1002">
        <v>0</v>
      </c>
      <c r="AJ434" s="1002">
        <v>0</v>
      </c>
      <c r="AK434" s="1002">
        <v>0</v>
      </c>
      <c r="AL434" s="1002">
        <v>0</v>
      </c>
      <c r="AM434" s="1002">
        <v>0</v>
      </c>
      <c r="AN434" s="1023">
        <v>15000</v>
      </c>
      <c r="AO434" s="1002">
        <v>0</v>
      </c>
      <c r="AP434" s="1002">
        <v>0</v>
      </c>
      <c r="AQ434" s="1023">
        <v>15000</v>
      </c>
      <c r="AR434" s="1574">
        <v>30000</v>
      </c>
      <c r="AS434"/>
      <c r="AT434" s="1002">
        <v>0</v>
      </c>
      <c r="AU434" s="1002">
        <v>0</v>
      </c>
      <c r="AV434" s="1002">
        <v>0</v>
      </c>
      <c r="AW434" s="1002">
        <v>0</v>
      </c>
      <c r="AX434" s="1002">
        <v>0</v>
      </c>
      <c r="AY434" s="1002">
        <v>0</v>
      </c>
      <c r="AZ434" s="1002">
        <v>0</v>
      </c>
      <c r="BA434" s="1002">
        <v>0</v>
      </c>
      <c r="BB434" s="1002">
        <v>0</v>
      </c>
      <c r="BC434" s="1002">
        <v>0</v>
      </c>
      <c r="BD434" s="1002">
        <v>0</v>
      </c>
      <c r="BE434" s="1002">
        <v>0</v>
      </c>
      <c r="BF434" s="2038">
        <v>0</v>
      </c>
      <c r="BG434"/>
      <c r="BH434" s="1002">
        <v>0</v>
      </c>
      <c r="BI434" s="1002">
        <v>0</v>
      </c>
      <c r="BJ434" s="1002">
        <v>0</v>
      </c>
      <c r="BK434" s="1002">
        <v>0</v>
      </c>
      <c r="BL434" s="1002">
        <v>0</v>
      </c>
      <c r="BM434" s="1002">
        <v>0</v>
      </c>
      <c r="BN434" s="1002">
        <v>0</v>
      </c>
      <c r="BO434" s="1002">
        <v>0</v>
      </c>
      <c r="BP434" s="1002">
        <v>0</v>
      </c>
      <c r="BQ434" s="1002">
        <v>0</v>
      </c>
      <c r="BR434" s="1002">
        <v>0</v>
      </c>
      <c r="BS434" s="1002">
        <v>0</v>
      </c>
      <c r="BT434" s="2029">
        <v>0</v>
      </c>
      <c r="BU434"/>
      <c r="BV434" s="1002">
        <v>0</v>
      </c>
      <c r="BW434" s="1002">
        <v>0</v>
      </c>
      <c r="BX434" s="1002">
        <v>0</v>
      </c>
      <c r="BY434" s="2029">
        <v>0</v>
      </c>
      <c r="BZ434" s="2029">
        <v>30000</v>
      </c>
      <c r="CA434" s="108"/>
      <c r="CB434" s="881"/>
      <c r="CC434" s="881"/>
      <c r="CD434" s="881"/>
      <c r="CE434" s="881"/>
      <c r="CF434" s="881"/>
      <c r="CG434" s="881"/>
      <c r="CH434" s="881"/>
      <c r="CI434" s="881"/>
    </row>
    <row r="435" spans="1:87" s="882" customFormat="1" ht="14" customHeight="1" outlineLevel="2">
      <c r="A435" s="587"/>
      <c r="B435" s="183" t="s">
        <v>1676</v>
      </c>
      <c r="C435" s="183"/>
      <c r="D435" s="944" t="s">
        <v>1677</v>
      </c>
      <c r="E435"/>
      <c r="F435" s="1002">
        <v>0</v>
      </c>
      <c r="G435" s="1002">
        <v>0</v>
      </c>
      <c r="H435" s="1002">
        <v>0</v>
      </c>
      <c r="I435" s="1002">
        <v>0</v>
      </c>
      <c r="J435" s="1002">
        <v>0</v>
      </c>
      <c r="K435" s="1002">
        <v>0</v>
      </c>
      <c r="L435" s="1002">
        <v>0</v>
      </c>
      <c r="M435" s="1002">
        <v>0</v>
      </c>
      <c r="N435" s="1002">
        <v>0</v>
      </c>
      <c r="O435" s="1002">
        <v>0</v>
      </c>
      <c r="P435" s="2029">
        <v>0</v>
      </c>
      <c r="Q435"/>
      <c r="R435" s="1002">
        <v>0</v>
      </c>
      <c r="S435" s="1002">
        <v>0</v>
      </c>
      <c r="T435" s="1002">
        <v>0</v>
      </c>
      <c r="U435" s="1002">
        <v>0</v>
      </c>
      <c r="V435" s="1002">
        <v>0</v>
      </c>
      <c r="W435" s="1002">
        <v>0</v>
      </c>
      <c r="X435" s="1002">
        <v>0</v>
      </c>
      <c r="Y435" s="1002">
        <v>0</v>
      </c>
      <c r="Z435" s="1002">
        <v>0</v>
      </c>
      <c r="AA435" s="1002">
        <v>0</v>
      </c>
      <c r="AB435" s="1002">
        <v>0</v>
      </c>
      <c r="AC435" s="1002">
        <v>0</v>
      </c>
      <c r="AD435" s="2029">
        <v>0</v>
      </c>
      <c r="AE435"/>
      <c r="AF435" s="1002">
        <v>0</v>
      </c>
      <c r="AG435" s="1002">
        <v>0</v>
      </c>
      <c r="AH435" s="1002">
        <v>0</v>
      </c>
      <c r="AI435" s="1002">
        <v>0</v>
      </c>
      <c r="AJ435" s="1002">
        <v>0</v>
      </c>
      <c r="AK435" s="1002">
        <v>0</v>
      </c>
      <c r="AL435" s="1002">
        <v>0</v>
      </c>
      <c r="AM435" s="1002">
        <v>0</v>
      </c>
      <c r="AN435" s="1002">
        <v>0</v>
      </c>
      <c r="AO435" s="1002">
        <v>0</v>
      </c>
      <c r="AP435" s="1002">
        <v>0</v>
      </c>
      <c r="AQ435" s="1002">
        <v>0</v>
      </c>
      <c r="AR435" s="1574">
        <v>0</v>
      </c>
      <c r="AS435"/>
      <c r="AT435" s="1002">
        <v>0</v>
      </c>
      <c r="AU435" s="1002">
        <v>0</v>
      </c>
      <c r="AV435" s="1002">
        <v>0</v>
      </c>
      <c r="AW435" s="1002">
        <v>0</v>
      </c>
      <c r="AX435" s="1002">
        <v>0</v>
      </c>
      <c r="AY435" s="1002">
        <v>0</v>
      </c>
      <c r="AZ435" s="1002">
        <v>0</v>
      </c>
      <c r="BA435" s="1002">
        <v>0</v>
      </c>
      <c r="BB435" s="1002">
        <v>0</v>
      </c>
      <c r="BC435" s="1002">
        <v>0</v>
      </c>
      <c r="BD435" s="1002">
        <v>0</v>
      </c>
      <c r="BE435" s="1002">
        <v>0</v>
      </c>
      <c r="BF435" s="2038">
        <v>0</v>
      </c>
      <c r="BG435"/>
      <c r="BH435" s="1002">
        <v>0</v>
      </c>
      <c r="BI435" s="1002">
        <v>0</v>
      </c>
      <c r="BJ435" s="1002">
        <v>0</v>
      </c>
      <c r="BK435" s="1002">
        <v>0</v>
      </c>
      <c r="BL435" s="1002">
        <v>0</v>
      </c>
      <c r="BM435" s="1002">
        <v>0</v>
      </c>
      <c r="BN435" s="1002">
        <v>0</v>
      </c>
      <c r="BO435" s="1002">
        <v>0</v>
      </c>
      <c r="BP435" s="1023">
        <v>10000</v>
      </c>
      <c r="BQ435" s="1002">
        <v>0</v>
      </c>
      <c r="BR435" s="1002">
        <v>0</v>
      </c>
      <c r="BS435" s="1023">
        <v>20000</v>
      </c>
      <c r="BT435" s="2029">
        <v>30000</v>
      </c>
      <c r="BU435"/>
      <c r="BV435" s="1002">
        <v>0</v>
      </c>
      <c r="BW435" s="1002">
        <v>0</v>
      </c>
      <c r="BX435" s="1023">
        <v>20000</v>
      </c>
      <c r="BY435" s="2029">
        <v>20000</v>
      </c>
      <c r="BZ435" s="2029">
        <v>50000</v>
      </c>
      <c r="CA435" s="108"/>
      <c r="CB435" s="881"/>
      <c r="CC435" s="881"/>
      <c r="CD435" s="881"/>
      <c r="CE435" s="881"/>
      <c r="CF435" s="881"/>
      <c r="CG435" s="881"/>
      <c r="CH435" s="881"/>
      <c r="CI435" s="881"/>
    </row>
    <row r="436" spans="1:87" s="882" customFormat="1" ht="14" customHeight="1" outlineLevel="2">
      <c r="A436" s="587"/>
      <c r="B436" s="183" t="s">
        <v>1678</v>
      </c>
      <c r="C436" s="183"/>
      <c r="D436" s="944" t="s">
        <v>1679</v>
      </c>
      <c r="E436"/>
      <c r="F436" s="1002">
        <v>0</v>
      </c>
      <c r="G436" s="1002">
        <v>0</v>
      </c>
      <c r="H436" s="1002">
        <v>0</v>
      </c>
      <c r="I436" s="1002">
        <v>0</v>
      </c>
      <c r="J436" s="1002">
        <v>0</v>
      </c>
      <c r="K436" s="1002">
        <v>0</v>
      </c>
      <c r="L436" s="1002">
        <v>0</v>
      </c>
      <c r="M436" s="1002">
        <v>0</v>
      </c>
      <c r="N436" s="1002">
        <v>0</v>
      </c>
      <c r="O436" s="1002">
        <v>0</v>
      </c>
      <c r="P436" s="2029">
        <v>0</v>
      </c>
      <c r="Q436"/>
      <c r="R436" s="1002">
        <v>0</v>
      </c>
      <c r="S436" s="1002">
        <v>0</v>
      </c>
      <c r="T436" s="1002">
        <v>0</v>
      </c>
      <c r="U436" s="1002">
        <v>0</v>
      </c>
      <c r="V436" s="1002">
        <v>0</v>
      </c>
      <c r="W436" s="1002">
        <v>0</v>
      </c>
      <c r="X436" s="1002">
        <v>0</v>
      </c>
      <c r="Y436" s="1002">
        <v>0</v>
      </c>
      <c r="Z436" s="1002">
        <v>0</v>
      </c>
      <c r="AA436" s="1002">
        <v>0</v>
      </c>
      <c r="AB436" s="1002">
        <v>0</v>
      </c>
      <c r="AC436" s="1002">
        <v>0</v>
      </c>
      <c r="AD436" s="2029">
        <v>0</v>
      </c>
      <c r="AE436"/>
      <c r="AF436" s="1002">
        <v>0</v>
      </c>
      <c r="AG436" s="1002">
        <v>0</v>
      </c>
      <c r="AH436" s="1002">
        <v>0</v>
      </c>
      <c r="AI436" s="1002">
        <v>0</v>
      </c>
      <c r="AJ436" s="1002">
        <v>0</v>
      </c>
      <c r="AK436" s="1002">
        <v>0</v>
      </c>
      <c r="AL436" s="1002">
        <v>0</v>
      </c>
      <c r="AM436" s="1002">
        <v>0</v>
      </c>
      <c r="AN436" s="1002">
        <v>0</v>
      </c>
      <c r="AO436" s="1002">
        <v>0</v>
      </c>
      <c r="AP436" s="1002">
        <v>0</v>
      </c>
      <c r="AQ436" s="1002">
        <v>0</v>
      </c>
      <c r="AR436" s="1574">
        <v>0</v>
      </c>
      <c r="AS436"/>
      <c r="AT436" s="1002">
        <v>0</v>
      </c>
      <c r="AU436" s="1002">
        <v>0</v>
      </c>
      <c r="AV436" s="1002">
        <v>0</v>
      </c>
      <c r="AW436" s="1002">
        <v>0</v>
      </c>
      <c r="AX436" s="1002">
        <v>0</v>
      </c>
      <c r="AY436" s="1002">
        <v>0</v>
      </c>
      <c r="AZ436" s="1002">
        <v>0</v>
      </c>
      <c r="BA436" s="1002">
        <v>0</v>
      </c>
      <c r="BB436" s="1002">
        <v>0</v>
      </c>
      <c r="BC436" s="1002">
        <v>0</v>
      </c>
      <c r="BD436" s="1002">
        <v>0</v>
      </c>
      <c r="BE436" s="1002">
        <v>0</v>
      </c>
      <c r="BF436" s="2038">
        <v>0</v>
      </c>
      <c r="BG436"/>
      <c r="BH436" s="1002">
        <v>0</v>
      </c>
      <c r="BI436" s="1002">
        <v>0</v>
      </c>
      <c r="BJ436" s="1002">
        <v>0</v>
      </c>
      <c r="BK436" s="1002">
        <v>0</v>
      </c>
      <c r="BL436" s="1002">
        <v>0</v>
      </c>
      <c r="BM436" s="1002">
        <v>0</v>
      </c>
      <c r="BN436" s="1002">
        <v>0</v>
      </c>
      <c r="BO436" s="1002">
        <v>0</v>
      </c>
      <c r="BP436" s="1023">
        <v>14000</v>
      </c>
      <c r="BQ436" s="1002">
        <v>0</v>
      </c>
      <c r="BR436" s="1002">
        <v>0</v>
      </c>
      <c r="BS436" s="1023">
        <v>28000</v>
      </c>
      <c r="BT436" s="2029">
        <v>42000</v>
      </c>
      <c r="BU436"/>
      <c r="BV436" s="1002">
        <v>0</v>
      </c>
      <c r="BW436" s="1002">
        <v>0</v>
      </c>
      <c r="BX436" s="1023">
        <v>28000</v>
      </c>
      <c r="BY436" s="2029">
        <v>28000</v>
      </c>
      <c r="BZ436" s="2029">
        <v>70000</v>
      </c>
      <c r="CA436" s="108"/>
      <c r="CB436" s="881"/>
      <c r="CC436" s="881"/>
      <c r="CD436" s="881"/>
      <c r="CE436" s="881"/>
      <c r="CF436" s="881"/>
      <c r="CG436" s="881"/>
      <c r="CH436" s="881"/>
      <c r="CI436" s="881"/>
    </row>
    <row r="437" spans="1:87" s="882" customFormat="1" ht="14" customHeight="1" outlineLevel="1">
      <c r="A437" s="587"/>
      <c r="B437" s="183"/>
      <c r="C437" s="183"/>
      <c r="D437" s="944"/>
      <c r="E437"/>
      <c r="F437" s="1023"/>
      <c r="G437" s="1023"/>
      <c r="H437" s="1023"/>
      <c r="I437" s="1023"/>
      <c r="J437" s="1023"/>
      <c r="K437" s="1023"/>
      <c r="L437" s="1023"/>
      <c r="M437" s="1023"/>
      <c r="N437" s="1023"/>
      <c r="O437" s="1023"/>
      <c r="P437" s="2029"/>
      <c r="Q437"/>
      <c r="R437" s="1023"/>
      <c r="S437" s="1023"/>
      <c r="T437" s="1023"/>
      <c r="U437" s="1023"/>
      <c r="V437" s="1023"/>
      <c r="W437" s="1023"/>
      <c r="X437" s="1023"/>
      <c r="Y437" s="1023"/>
      <c r="Z437" s="1023"/>
      <c r="AA437" s="1023"/>
      <c r="AB437" s="1023"/>
      <c r="AC437" s="1023"/>
      <c r="AD437" s="2029"/>
      <c r="AE437"/>
      <c r="AF437" s="1023"/>
      <c r="AG437" s="1023"/>
      <c r="AH437" s="1023"/>
      <c r="AI437" s="1023"/>
      <c r="AJ437" s="1023"/>
      <c r="AK437" s="1023"/>
      <c r="AL437" s="1023"/>
      <c r="AM437" s="1023"/>
      <c r="AN437" s="1023"/>
      <c r="AO437" s="1023"/>
      <c r="AP437" s="1023"/>
      <c r="AQ437" s="1023"/>
      <c r="AR437" s="1574"/>
      <c r="AS437"/>
      <c r="AT437" s="1023"/>
      <c r="AU437" s="1023"/>
      <c r="AV437" s="1023"/>
      <c r="AW437" s="1023"/>
      <c r="AX437" s="1023"/>
      <c r="AY437" s="1023"/>
      <c r="AZ437" s="1023"/>
      <c r="BA437" s="1023"/>
      <c r="BB437" s="1023"/>
      <c r="BC437" s="1023"/>
      <c r="BD437" s="1023"/>
      <c r="BE437" s="1023"/>
      <c r="BF437" s="2038"/>
      <c r="BG437"/>
      <c r="BH437" s="1023"/>
      <c r="BI437" s="1023"/>
      <c r="BJ437" s="1023"/>
      <c r="BK437" s="1023"/>
      <c r="BL437" s="1023"/>
      <c r="BM437" s="1023"/>
      <c r="BN437" s="1023"/>
      <c r="BO437" s="1023"/>
      <c r="BP437" s="1023"/>
      <c r="BQ437" s="1023"/>
      <c r="BR437" s="1023"/>
      <c r="BS437" s="1023"/>
      <c r="BT437" s="2029"/>
      <c r="BU437"/>
      <c r="BV437" s="1023"/>
      <c r="BW437" s="1023"/>
      <c r="BX437" s="1023"/>
      <c r="BY437" s="2029"/>
      <c r="BZ437" s="2029"/>
      <c r="CA437" s="108"/>
      <c r="CB437" s="881"/>
      <c r="CC437" s="881"/>
      <c r="CD437" s="881"/>
      <c r="CE437" s="881"/>
      <c r="CF437" s="881"/>
      <c r="CG437" s="881"/>
      <c r="CH437" s="881"/>
      <c r="CI437" s="881"/>
    </row>
    <row r="438" spans="1:87" s="885" customFormat="1" ht="14" customHeight="1" outlineLevel="1">
      <c r="A438" s="580"/>
      <c r="B438" s="107"/>
      <c r="C438" s="107"/>
      <c r="D438" s="945"/>
      <c r="E438" s="2076"/>
      <c r="F438" s="1023"/>
      <c r="G438" s="1023"/>
      <c r="H438" s="1023"/>
      <c r="I438" s="1023"/>
      <c r="J438" s="1023"/>
      <c r="K438" s="1023"/>
      <c r="L438" s="1023"/>
      <c r="M438" s="1023"/>
      <c r="N438" s="1023"/>
      <c r="O438" s="1023"/>
      <c r="P438" s="2029"/>
      <c r="Q438"/>
      <c r="R438" s="1023"/>
      <c r="S438" s="1023"/>
      <c r="T438" s="1023"/>
      <c r="U438" s="1023"/>
      <c r="V438" s="1023"/>
      <c r="W438" s="1023"/>
      <c r="X438" s="1023"/>
      <c r="Y438" s="1023"/>
      <c r="Z438" s="1023"/>
      <c r="AA438" s="1023"/>
      <c r="AB438" s="1023"/>
      <c r="AC438" s="1023"/>
      <c r="AD438" s="2029"/>
      <c r="AE438"/>
      <c r="AF438" s="1023"/>
      <c r="AG438" s="1023"/>
      <c r="AH438" s="1023"/>
      <c r="AI438" s="1023"/>
      <c r="AJ438" s="1023"/>
      <c r="AK438" s="1023"/>
      <c r="AL438" s="1023"/>
      <c r="AM438" s="1023"/>
      <c r="AN438" s="1023"/>
      <c r="AO438" s="1023"/>
      <c r="AP438" s="1023"/>
      <c r="AQ438" s="1023"/>
      <c r="AR438" s="2029"/>
      <c r="AS438"/>
      <c r="AT438" s="1023"/>
      <c r="AU438" s="1023"/>
      <c r="AV438" s="1023"/>
      <c r="AW438" s="1023"/>
      <c r="AX438" s="1023"/>
      <c r="AY438" s="1023"/>
      <c r="AZ438" s="1023"/>
      <c r="BA438" s="1023"/>
      <c r="BB438" s="1023"/>
      <c r="BC438" s="1023"/>
      <c r="BD438" s="1023"/>
      <c r="BE438" s="1023"/>
      <c r="BF438" s="2014"/>
      <c r="BG438"/>
      <c r="BH438" s="1023"/>
      <c r="BI438" s="1023"/>
      <c r="BJ438" s="1023"/>
      <c r="BK438" s="1023"/>
      <c r="BL438" s="1023"/>
      <c r="BM438" s="1023"/>
      <c r="BN438" s="1023"/>
      <c r="BO438" s="1023"/>
      <c r="BP438" s="1023"/>
      <c r="BQ438" s="1023"/>
      <c r="BR438" s="1023"/>
      <c r="BS438" s="1023"/>
      <c r="BT438" s="2029"/>
      <c r="BU438"/>
      <c r="BV438" s="1023"/>
      <c r="BW438" s="1023"/>
      <c r="BX438" s="1023"/>
      <c r="BY438" s="2029"/>
      <c r="BZ438" s="2029"/>
      <c r="CA438" s="884"/>
      <c r="CB438" s="884"/>
      <c r="CC438" s="884"/>
      <c r="CD438" s="884"/>
      <c r="CE438" s="884"/>
      <c r="CF438" s="884"/>
      <c r="CG438" s="884"/>
      <c r="CH438" s="884"/>
      <c r="CI438" s="884"/>
    </row>
    <row r="439" spans="1:87" s="885" customFormat="1" ht="15.5" customHeight="1">
      <c r="A439" s="946"/>
      <c r="B439" s="947" t="s">
        <v>1680</v>
      </c>
      <c r="C439" s="947"/>
      <c r="D439" s="948" t="s">
        <v>1681</v>
      </c>
      <c r="E439" s="2076"/>
      <c r="F439" s="1024"/>
      <c r="G439" s="1024"/>
      <c r="H439" s="1024"/>
      <c r="I439" s="1024"/>
      <c r="J439" s="1024"/>
      <c r="K439" s="1024"/>
      <c r="L439" s="1024"/>
      <c r="M439" s="1024"/>
      <c r="N439" s="1024"/>
      <c r="O439" s="1024"/>
      <c r="P439" s="2030"/>
      <c r="Q439"/>
      <c r="R439" s="1024"/>
      <c r="S439" s="1024"/>
      <c r="T439" s="1024"/>
      <c r="U439" s="1024"/>
      <c r="V439" s="1024"/>
      <c r="W439" s="1024"/>
      <c r="X439" s="1024"/>
      <c r="Y439" s="1024"/>
      <c r="Z439" s="1024"/>
      <c r="AA439" s="1024"/>
      <c r="AB439" s="1024"/>
      <c r="AC439" s="1024"/>
      <c r="AD439" s="2030"/>
      <c r="AE439"/>
      <c r="AF439" s="1024"/>
      <c r="AG439" s="1024"/>
      <c r="AH439" s="1024"/>
      <c r="AI439" s="1024"/>
      <c r="AJ439" s="1024"/>
      <c r="AK439" s="1024"/>
      <c r="AL439" s="1024"/>
      <c r="AM439" s="1024"/>
      <c r="AN439" s="1024"/>
      <c r="AO439" s="1024"/>
      <c r="AP439" s="1024"/>
      <c r="AQ439" s="1024"/>
      <c r="AR439" s="2030"/>
      <c r="AS439"/>
      <c r="AT439" s="1024"/>
      <c r="AU439" s="1024"/>
      <c r="AV439" s="1024"/>
      <c r="AW439" s="1024"/>
      <c r="AX439" s="1024"/>
      <c r="AY439" s="1024"/>
      <c r="AZ439" s="1024"/>
      <c r="BA439" s="1024"/>
      <c r="BB439" s="1024"/>
      <c r="BC439" s="1024"/>
      <c r="BD439" s="1024"/>
      <c r="BE439" s="1024"/>
      <c r="BF439" s="2039"/>
      <c r="BG439"/>
      <c r="BH439" s="1024"/>
      <c r="BI439" s="1024"/>
      <c r="BJ439" s="1024"/>
      <c r="BK439" s="1024"/>
      <c r="BL439" s="1024"/>
      <c r="BM439" s="1024"/>
      <c r="BN439" s="1024"/>
      <c r="BO439" s="1024"/>
      <c r="BP439" s="1024"/>
      <c r="BQ439" s="1024"/>
      <c r="BR439" s="1024"/>
      <c r="BS439" s="1024"/>
      <c r="BT439" s="2030"/>
      <c r="BU439"/>
      <c r="BV439" s="1024"/>
      <c r="BW439" s="1024"/>
      <c r="BX439" s="1024"/>
      <c r="BY439" s="2030"/>
      <c r="BZ439" s="2030">
        <v>0</v>
      </c>
      <c r="CA439" s="884"/>
      <c r="CB439" s="884"/>
      <c r="CC439" s="884"/>
      <c r="CD439" s="884"/>
      <c r="CE439" s="884"/>
      <c r="CF439" s="884"/>
      <c r="CG439" s="884"/>
      <c r="CH439" s="884"/>
      <c r="CI439" s="884"/>
    </row>
    <row r="440" spans="1:87" s="878" customFormat="1" ht="15.5" customHeight="1">
      <c r="A440" s="577"/>
      <c r="B440" s="67" t="s">
        <v>1682</v>
      </c>
      <c r="C440" s="67"/>
      <c r="D440" s="546" t="s">
        <v>1683</v>
      </c>
      <c r="E440"/>
      <c r="F440" s="974"/>
      <c r="G440" s="974"/>
      <c r="H440" s="974"/>
      <c r="I440" s="974"/>
      <c r="J440" s="974"/>
      <c r="K440" s="974"/>
      <c r="L440" s="974"/>
      <c r="M440" s="974"/>
      <c r="N440" s="974"/>
      <c r="O440" s="974"/>
      <c r="P440" s="974"/>
      <c r="Q440"/>
      <c r="R440" s="974"/>
      <c r="S440" s="974"/>
      <c r="T440" s="974"/>
      <c r="U440" s="974"/>
      <c r="V440" s="974"/>
      <c r="W440" s="974"/>
      <c r="X440" s="974"/>
      <c r="Y440" s="974"/>
      <c r="Z440" s="974"/>
      <c r="AA440" s="974"/>
      <c r="AB440" s="974"/>
      <c r="AC440" s="974"/>
      <c r="AD440" s="974"/>
      <c r="AE440"/>
      <c r="AF440" s="974"/>
      <c r="AG440" s="974"/>
      <c r="AH440" s="974"/>
      <c r="AI440" s="974"/>
      <c r="AJ440" s="974"/>
      <c r="AK440" s="974"/>
      <c r="AL440" s="974"/>
      <c r="AM440" s="974"/>
      <c r="AN440" s="974"/>
      <c r="AO440" s="974"/>
      <c r="AP440" s="974"/>
      <c r="AQ440" s="974"/>
      <c r="AR440" s="974"/>
      <c r="AS440"/>
      <c r="AT440" s="974"/>
      <c r="AU440" s="974"/>
      <c r="AV440" s="974"/>
      <c r="AW440" s="974"/>
      <c r="AX440" s="974"/>
      <c r="AY440" s="974"/>
      <c r="AZ440" s="974"/>
      <c r="BA440" s="974"/>
      <c r="BB440" s="974"/>
      <c r="BC440" s="974"/>
      <c r="BD440" s="974"/>
      <c r="BE440" s="974"/>
      <c r="BF440" s="975"/>
      <c r="BG440"/>
      <c r="BH440" s="974"/>
      <c r="BI440" s="974"/>
      <c r="BJ440" s="974"/>
      <c r="BK440" s="974"/>
      <c r="BL440" s="974"/>
      <c r="BM440" s="974"/>
      <c r="BN440" s="974"/>
      <c r="BO440" s="974"/>
      <c r="BP440" s="974"/>
      <c r="BQ440" s="974"/>
      <c r="BR440" s="974"/>
      <c r="BS440" s="974"/>
      <c r="BT440" s="973"/>
      <c r="BU440"/>
      <c r="BV440" s="974"/>
      <c r="BW440" s="974"/>
      <c r="BX440" s="974"/>
      <c r="BY440" s="973"/>
      <c r="BZ440" s="973">
        <v>0</v>
      </c>
      <c r="CA440" s="153"/>
      <c r="CB440" s="153"/>
      <c r="CC440" s="153"/>
      <c r="CD440" s="153"/>
      <c r="CE440" s="153"/>
      <c r="CF440" s="153"/>
      <c r="CG440" s="153"/>
      <c r="CH440" s="153"/>
      <c r="CI440" s="153"/>
    </row>
    <row r="441" spans="1:87" s="885" customFormat="1">
      <c r="A441" s="588"/>
      <c r="B441" s="203"/>
      <c r="C441" s="203"/>
      <c r="D441" s="547"/>
      <c r="E441" s="2076"/>
      <c r="F441" s="966"/>
      <c r="G441" s="966"/>
      <c r="H441" s="966"/>
      <c r="I441" s="966"/>
      <c r="J441" s="966"/>
      <c r="K441" s="966"/>
      <c r="L441" s="966"/>
      <c r="M441" s="966"/>
      <c r="N441" s="966"/>
      <c r="O441" s="966"/>
      <c r="P441" s="2041"/>
      <c r="Q441"/>
      <c r="R441" s="966"/>
      <c r="S441" s="966"/>
      <c r="T441" s="966"/>
      <c r="U441" s="966"/>
      <c r="V441" s="966"/>
      <c r="W441" s="966"/>
      <c r="X441" s="966"/>
      <c r="Y441" s="966"/>
      <c r="Z441" s="966"/>
      <c r="AA441" s="966"/>
      <c r="AB441" s="966"/>
      <c r="AC441" s="966"/>
      <c r="AD441" s="2041"/>
      <c r="AE441"/>
      <c r="AF441" s="966"/>
      <c r="AG441" s="966"/>
      <c r="AH441" s="966"/>
      <c r="AI441" s="966"/>
      <c r="AJ441" s="966"/>
      <c r="AK441" s="966"/>
      <c r="AL441" s="966"/>
      <c r="AM441" s="966"/>
      <c r="AN441" s="966"/>
      <c r="AO441" s="966"/>
      <c r="AP441" s="966"/>
      <c r="AQ441" s="966"/>
      <c r="AR441" s="2041"/>
      <c r="AS441"/>
      <c r="AT441" s="966"/>
      <c r="AU441" s="966"/>
      <c r="AV441" s="966"/>
      <c r="AW441" s="966"/>
      <c r="AX441" s="966"/>
      <c r="AY441" s="966"/>
      <c r="AZ441" s="966"/>
      <c r="BA441" s="966"/>
      <c r="BB441" s="966"/>
      <c r="BC441" s="966"/>
      <c r="BD441" s="966"/>
      <c r="BE441" s="966"/>
      <c r="BF441" s="2031"/>
      <c r="BG441"/>
      <c r="BH441" s="966"/>
      <c r="BI441" s="966"/>
      <c r="BJ441" s="966"/>
      <c r="BK441" s="966"/>
      <c r="BL441" s="966"/>
      <c r="BM441" s="966"/>
      <c r="BN441" s="966"/>
      <c r="BO441" s="966"/>
      <c r="BP441" s="966"/>
      <c r="BQ441" s="966"/>
      <c r="BR441" s="966"/>
      <c r="BS441" s="966"/>
      <c r="BT441" s="2031"/>
      <c r="BU441"/>
      <c r="BV441" s="966"/>
      <c r="BW441" s="966"/>
      <c r="BX441" s="966"/>
      <c r="BY441" s="2031"/>
      <c r="BZ441" s="2031"/>
      <c r="CA441" s="884"/>
      <c r="CB441" s="884"/>
      <c r="CC441" s="884"/>
      <c r="CD441" s="884"/>
      <c r="CE441" s="884"/>
      <c r="CF441" s="884"/>
      <c r="CG441" s="884"/>
      <c r="CH441" s="884"/>
      <c r="CI441" s="884"/>
    </row>
    <row r="442" spans="1:87" s="885" customFormat="1">
      <c r="A442" s="588"/>
      <c r="B442" s="203"/>
      <c r="C442" s="203"/>
      <c r="D442" s="547"/>
      <c r="E442" s="2076"/>
      <c r="F442" s="966"/>
      <c r="G442" s="966"/>
      <c r="H442" s="966"/>
      <c r="I442" s="966"/>
      <c r="J442" s="966"/>
      <c r="K442" s="966"/>
      <c r="L442" s="966"/>
      <c r="M442" s="966"/>
      <c r="N442" s="966"/>
      <c r="O442" s="966"/>
      <c r="P442" s="966"/>
      <c r="Q442" s="966"/>
      <c r="R442" s="966"/>
      <c r="S442" s="966"/>
      <c r="T442" s="966"/>
      <c r="U442" s="966"/>
      <c r="V442" s="966"/>
      <c r="W442" s="966"/>
      <c r="X442" s="966"/>
      <c r="Y442" s="966"/>
      <c r="Z442" s="966"/>
      <c r="AA442" s="966"/>
      <c r="AB442" s="966"/>
      <c r="AC442" s="966"/>
      <c r="AD442" s="966"/>
      <c r="AE442" s="966"/>
      <c r="AF442" s="966"/>
      <c r="AG442" s="966"/>
      <c r="AH442" s="966"/>
      <c r="AI442" s="966"/>
      <c r="AJ442" s="966"/>
      <c r="AK442" s="966"/>
      <c r="AL442" s="966"/>
      <c r="AM442" s="966"/>
      <c r="AN442" s="966"/>
      <c r="AO442" s="966"/>
      <c r="AP442" s="966"/>
      <c r="AQ442" s="966"/>
      <c r="AR442" s="966"/>
      <c r="AS442" s="966"/>
      <c r="AT442" s="966"/>
      <c r="AU442" s="966"/>
      <c r="AV442" s="966"/>
      <c r="AW442" s="966"/>
      <c r="AX442" s="966"/>
      <c r="AY442" s="966"/>
      <c r="AZ442" s="966"/>
      <c r="BA442" s="966"/>
      <c r="BB442" s="966"/>
      <c r="BC442" s="966"/>
      <c r="BD442" s="966"/>
      <c r="BE442" s="966"/>
      <c r="BF442" s="966"/>
      <c r="BG442" s="966"/>
      <c r="BH442" s="966"/>
      <c r="BI442" s="966"/>
      <c r="BJ442" s="966"/>
      <c r="BK442" s="966"/>
      <c r="BL442" s="966"/>
      <c r="BM442" s="966"/>
      <c r="BN442" s="966"/>
      <c r="BO442" s="966"/>
      <c r="BP442" s="966"/>
      <c r="BQ442" s="966"/>
      <c r="BR442" s="966"/>
      <c r="BS442" s="966"/>
      <c r="BT442" s="966"/>
      <c r="BU442" s="966"/>
      <c r="BV442" s="966"/>
      <c r="BW442" s="966"/>
      <c r="BX442" s="966"/>
      <c r="BY442" s="966"/>
      <c r="BZ442" s="966"/>
      <c r="CA442" s="884"/>
      <c r="CB442" s="884"/>
      <c r="CC442" s="884"/>
      <c r="CD442" s="884"/>
      <c r="CE442" s="884"/>
      <c r="CF442" s="884"/>
      <c r="CG442" s="884"/>
      <c r="CH442" s="884"/>
      <c r="CI442" s="884"/>
    </row>
    <row r="443" spans="1:87">
      <c r="A443" s="589"/>
      <c r="B443" s="1081" t="s">
        <v>1684</v>
      </c>
      <c r="C443" s="1081"/>
      <c r="D443" s="541"/>
      <c r="F443" s="966"/>
      <c r="G443" s="966"/>
      <c r="H443" s="966"/>
      <c r="I443" s="966"/>
      <c r="J443" s="966"/>
      <c r="K443" s="966"/>
      <c r="L443" s="966"/>
      <c r="M443" s="966"/>
      <c r="N443" s="966"/>
      <c r="O443" s="966"/>
      <c r="P443" s="966"/>
      <c r="Q443" s="966"/>
      <c r="R443" s="966"/>
      <c r="S443" s="966"/>
      <c r="T443" s="966"/>
      <c r="U443" s="966"/>
      <c r="V443" s="966"/>
      <c r="W443" s="966"/>
      <c r="X443" s="966"/>
      <c r="Y443" s="966"/>
      <c r="Z443" s="966"/>
      <c r="AA443" s="966"/>
      <c r="AB443" s="966"/>
      <c r="AC443" s="966"/>
      <c r="AD443" s="966"/>
      <c r="AE443" s="966"/>
      <c r="AF443" s="966"/>
      <c r="AG443" s="966"/>
      <c r="AH443" s="966"/>
      <c r="AI443" s="966"/>
      <c r="AJ443" s="966"/>
      <c r="AK443" s="966"/>
      <c r="AL443" s="966"/>
      <c r="AM443" s="966"/>
      <c r="AN443" s="966"/>
      <c r="AO443" s="966"/>
      <c r="AP443" s="966"/>
      <c r="AQ443" s="966"/>
      <c r="AR443" s="966"/>
      <c r="AS443" s="966"/>
      <c r="AT443" s="966"/>
      <c r="AU443" s="966"/>
      <c r="AV443" s="966"/>
      <c r="AW443" s="966"/>
      <c r="AX443" s="966"/>
      <c r="AY443" s="966"/>
      <c r="AZ443" s="966"/>
      <c r="BA443" s="966"/>
      <c r="BB443" s="966"/>
      <c r="BC443" s="966"/>
      <c r="BD443" s="966"/>
      <c r="BE443" s="966"/>
      <c r="BF443" s="966"/>
      <c r="BG443" s="966"/>
      <c r="BH443" s="966"/>
      <c r="BI443" s="966"/>
      <c r="BJ443" s="966"/>
      <c r="BK443" s="966"/>
      <c r="BL443" s="966"/>
      <c r="BM443" s="966"/>
      <c r="BN443" s="966"/>
      <c r="BO443" s="966"/>
      <c r="BP443" s="966"/>
      <c r="BQ443" s="966"/>
      <c r="BR443" s="966"/>
      <c r="BS443" s="966"/>
      <c r="BT443" s="966"/>
      <c r="BU443" s="966"/>
      <c r="BV443" s="966"/>
      <c r="BW443" s="966"/>
      <c r="BX443" s="966"/>
      <c r="BY443" s="966"/>
      <c r="BZ443" s="966"/>
      <c r="CA443" s="108"/>
      <c r="CB443" s="108"/>
      <c r="CC443" s="108"/>
      <c r="CD443" s="108"/>
      <c r="CE443" s="108"/>
      <c r="CF443" s="108"/>
      <c r="CG443" s="108"/>
      <c r="CH443" s="108"/>
      <c r="CI443" s="108"/>
    </row>
    <row r="444" spans="1:87">
      <c r="A444" s="576"/>
      <c r="B444" s="65"/>
      <c r="C444" s="1171"/>
      <c r="D444" s="541" t="s">
        <v>1685</v>
      </c>
      <c r="F444" s="966"/>
      <c r="G444" s="966"/>
      <c r="H444" s="966"/>
      <c r="I444" s="966"/>
      <c r="J444" s="966"/>
      <c r="K444" s="966"/>
      <c r="L444" s="966"/>
      <c r="M444" s="966"/>
      <c r="N444" s="966"/>
      <c r="O444" s="966"/>
      <c r="P444" s="966"/>
      <c r="Q444" s="966"/>
      <c r="R444" s="966"/>
      <c r="S444" s="966"/>
      <c r="T444" s="966"/>
      <c r="U444" s="966"/>
      <c r="V444" s="966"/>
      <c r="W444" s="966"/>
      <c r="X444" s="966"/>
      <c r="Y444" s="966"/>
      <c r="Z444" s="966"/>
      <c r="AA444" s="966"/>
      <c r="AB444" s="966"/>
      <c r="AC444" s="966"/>
      <c r="AD444" s="966"/>
      <c r="AE444" s="966"/>
      <c r="AF444" s="966"/>
      <c r="AG444" s="966"/>
      <c r="AH444" s="966"/>
      <c r="AI444" s="966"/>
      <c r="AJ444" s="966"/>
      <c r="AK444" s="966"/>
      <c r="AL444" s="966"/>
      <c r="AM444" s="966"/>
      <c r="AN444" s="966"/>
      <c r="AO444" s="966"/>
      <c r="AP444" s="966"/>
      <c r="AQ444" s="966"/>
      <c r="AR444" s="966"/>
      <c r="AS444" s="966"/>
      <c r="AT444" s="966"/>
      <c r="AU444" s="966"/>
      <c r="AV444" s="966"/>
      <c r="AW444" s="966"/>
      <c r="AX444" s="966"/>
      <c r="AY444" s="966"/>
      <c r="AZ444" s="966"/>
      <c r="BA444" s="966"/>
      <c r="BB444" s="966"/>
      <c r="BC444" s="966"/>
      <c r="BD444" s="966"/>
      <c r="BE444" s="966"/>
      <c r="BF444" s="966"/>
      <c r="BG444" s="966"/>
      <c r="BH444" s="966"/>
      <c r="BI444" s="966"/>
      <c r="BJ444" s="966"/>
      <c r="BK444" s="966"/>
      <c r="BL444" s="966"/>
      <c r="BM444" s="966"/>
      <c r="BN444" s="966"/>
      <c r="BO444" s="966"/>
      <c r="BP444" s="966"/>
      <c r="BQ444" s="966"/>
      <c r="BR444" s="966"/>
      <c r="BS444" s="966"/>
      <c r="BT444" s="966"/>
      <c r="BU444" s="966"/>
      <c r="BV444" s="966"/>
      <c r="BW444" s="966"/>
      <c r="BX444" s="966"/>
      <c r="BY444" s="966"/>
      <c r="BZ444" s="966"/>
      <c r="CA444" s="108"/>
      <c r="CB444" s="108"/>
      <c r="CC444" s="108"/>
      <c r="CD444" s="108"/>
      <c r="CE444" s="108"/>
      <c r="CF444" s="108"/>
      <c r="CG444" s="108"/>
      <c r="CH444" s="108"/>
      <c r="CI444" s="108"/>
    </row>
    <row r="445" spans="1:87">
      <c r="A445" s="577"/>
      <c r="B445" s="67"/>
      <c r="C445" s="1172"/>
      <c r="D445" s="541" t="s">
        <v>1686</v>
      </c>
      <c r="F445" s="966"/>
      <c r="G445" s="966"/>
      <c r="H445" s="966"/>
      <c r="I445" s="966"/>
      <c r="J445" s="966"/>
      <c r="K445" s="966"/>
      <c r="L445" s="966"/>
      <c r="M445" s="966"/>
      <c r="N445" s="966"/>
      <c r="O445" s="966"/>
      <c r="R445" s="966"/>
      <c r="S445" s="966"/>
      <c r="T445" s="966"/>
      <c r="U445" s="966"/>
      <c r="V445" s="966"/>
      <c r="W445" s="966"/>
      <c r="X445" s="966"/>
      <c r="Y445" s="966"/>
      <c r="Z445" s="966"/>
      <c r="AA445" s="966"/>
      <c r="AB445" s="966"/>
      <c r="AC445" s="966"/>
      <c r="AF445" s="966"/>
      <c r="AG445" s="966"/>
      <c r="AH445" s="966"/>
      <c r="AI445" s="966"/>
      <c r="AJ445" s="966"/>
      <c r="AK445" s="966"/>
      <c r="AL445" s="966"/>
      <c r="AM445" s="966"/>
      <c r="AN445" s="966"/>
      <c r="AO445" s="966"/>
      <c r="AP445" s="966"/>
      <c r="AQ445" s="966"/>
      <c r="AT445" s="966"/>
      <c r="AU445" s="966"/>
      <c r="AV445" s="966"/>
      <c r="AW445" s="966"/>
      <c r="AX445" s="966"/>
      <c r="AY445" s="966"/>
      <c r="AZ445" s="966"/>
      <c r="BA445" s="966"/>
      <c r="BB445" s="966"/>
      <c r="BC445" s="966"/>
      <c r="BD445" s="966"/>
      <c r="BE445" s="966"/>
      <c r="BH445" s="966"/>
      <c r="BI445" s="966"/>
      <c r="BJ445" s="966"/>
      <c r="BK445" s="966"/>
      <c r="BL445" s="966"/>
      <c r="BM445" s="966"/>
      <c r="BN445" s="966"/>
      <c r="BO445" s="966"/>
      <c r="BP445" s="966"/>
      <c r="BQ445" s="966"/>
      <c r="BR445" s="966"/>
      <c r="BS445" s="966"/>
      <c r="BV445" s="966"/>
      <c r="BW445" s="966"/>
      <c r="BX445" s="966"/>
      <c r="CA445" s="108"/>
      <c r="CB445" s="108"/>
      <c r="CC445" s="108"/>
      <c r="CD445" s="108"/>
      <c r="CE445" s="108"/>
      <c r="CF445" s="108"/>
      <c r="CG445" s="108"/>
      <c r="CH445" s="108"/>
      <c r="CI445" s="108"/>
    </row>
    <row r="446" spans="1:87">
      <c r="A446" s="584"/>
      <c r="B446" s="188"/>
      <c r="C446" s="1173"/>
      <c r="D446" s="541" t="s">
        <v>184</v>
      </c>
      <c r="F446" s="966"/>
      <c r="G446" s="966"/>
      <c r="H446" s="966"/>
      <c r="I446" s="966"/>
      <c r="J446" s="966"/>
      <c r="K446" s="966"/>
      <c r="L446" s="966"/>
      <c r="M446" s="966"/>
      <c r="N446" s="966"/>
      <c r="O446" s="966"/>
      <c r="R446" s="966"/>
      <c r="S446" s="966"/>
      <c r="T446" s="966"/>
      <c r="U446" s="966"/>
      <c r="V446" s="966"/>
      <c r="W446" s="966"/>
      <c r="X446" s="966"/>
      <c r="Y446" s="966"/>
      <c r="Z446" s="966"/>
      <c r="AA446" s="966"/>
      <c r="AB446" s="966"/>
      <c r="AC446" s="966"/>
      <c r="AF446" s="966"/>
      <c r="AG446" s="966"/>
      <c r="AH446" s="966"/>
      <c r="AI446" s="966"/>
      <c r="AJ446" s="966"/>
      <c r="AK446" s="966"/>
      <c r="AL446" s="966"/>
      <c r="AM446" s="966"/>
      <c r="AN446" s="966"/>
      <c r="AO446" s="966"/>
      <c r="AP446" s="966"/>
      <c r="AQ446" s="966"/>
      <c r="AT446" s="966"/>
      <c r="AU446" s="966"/>
      <c r="AV446" s="966"/>
      <c r="AW446" s="966"/>
      <c r="AX446" s="966"/>
      <c r="AY446" s="966"/>
      <c r="AZ446" s="966"/>
      <c r="BA446" s="966"/>
      <c r="BB446" s="966"/>
      <c r="BC446" s="966"/>
      <c r="BD446" s="966"/>
      <c r="BE446" s="966"/>
      <c r="BF446" s="2041"/>
      <c r="BH446" s="966"/>
      <c r="BI446" s="966"/>
      <c r="BJ446" s="966"/>
      <c r="BK446" s="966"/>
      <c r="BL446" s="966"/>
      <c r="BM446" s="966"/>
      <c r="BN446" s="966"/>
      <c r="BO446" s="966"/>
      <c r="BP446" s="966"/>
      <c r="BQ446" s="966"/>
      <c r="BR446" s="966"/>
      <c r="BS446" s="966"/>
      <c r="BT446" s="2041"/>
      <c r="BV446" s="966"/>
      <c r="BW446" s="966"/>
      <c r="BX446" s="966"/>
      <c r="CA446" s="108"/>
      <c r="CB446" s="108"/>
      <c r="CC446" s="108"/>
      <c r="CD446" s="108"/>
      <c r="CE446" s="108"/>
      <c r="CF446" s="108"/>
      <c r="CG446" s="108"/>
      <c r="CH446" s="108"/>
      <c r="CI446" s="108"/>
    </row>
    <row r="447" spans="1:87">
      <c r="A447" s="590"/>
      <c r="B447" s="449"/>
      <c r="C447" s="1174"/>
      <c r="D447" s="541" t="s">
        <v>1694</v>
      </c>
      <c r="F447" s="966"/>
      <c r="G447" s="966"/>
      <c r="H447" s="966"/>
      <c r="I447" s="966"/>
      <c r="J447" s="966"/>
      <c r="K447" s="966"/>
      <c r="L447" s="966"/>
      <c r="M447" s="966"/>
      <c r="N447" s="966"/>
      <c r="O447" s="966"/>
      <c r="R447" s="966"/>
      <c r="S447" s="966"/>
      <c r="T447" s="966"/>
      <c r="U447" s="966"/>
      <c r="V447" s="966"/>
      <c r="W447" s="966"/>
      <c r="X447" s="966"/>
      <c r="Y447" s="966"/>
      <c r="Z447" s="966"/>
      <c r="AA447" s="966"/>
      <c r="AB447" s="966"/>
      <c r="AC447" s="966"/>
      <c r="AF447" s="966"/>
      <c r="AG447" s="966"/>
      <c r="AH447" s="966"/>
      <c r="AI447" s="966"/>
      <c r="AJ447" s="966"/>
      <c r="AK447" s="966"/>
      <c r="AL447" s="966"/>
      <c r="AM447" s="966"/>
      <c r="AN447" s="966"/>
      <c r="AO447" s="966"/>
      <c r="AP447" s="966"/>
      <c r="AQ447" s="966"/>
      <c r="AT447" s="966"/>
      <c r="AU447" s="966"/>
      <c r="AV447" s="966"/>
      <c r="AW447" s="966"/>
      <c r="AX447" s="966"/>
      <c r="AY447" s="966"/>
      <c r="AZ447" s="966"/>
      <c r="BA447" s="966"/>
      <c r="BB447" s="966"/>
      <c r="BC447" s="966"/>
      <c r="BD447" s="966"/>
      <c r="BE447" s="966"/>
      <c r="BH447" s="966"/>
      <c r="BI447" s="966"/>
      <c r="BJ447" s="966"/>
      <c r="BK447" s="966"/>
      <c r="BL447" s="966"/>
      <c r="BM447" s="966"/>
      <c r="BN447" s="966"/>
      <c r="BO447" s="966"/>
      <c r="BP447" s="966"/>
      <c r="BQ447" s="966"/>
      <c r="BR447" s="966"/>
      <c r="BS447" s="966"/>
      <c r="BV447" s="966"/>
      <c r="BW447" s="966"/>
      <c r="BX447" s="966"/>
      <c r="CA447" s="108"/>
      <c r="CB447" s="108"/>
      <c r="CC447" s="108"/>
      <c r="CD447" s="108"/>
      <c r="CE447" s="108"/>
      <c r="CF447" s="108"/>
      <c r="CG447" s="108"/>
      <c r="CH447" s="108"/>
      <c r="CI447" s="108"/>
    </row>
    <row r="448" spans="1:87">
      <c r="A448" s="946"/>
      <c r="B448" s="947"/>
      <c r="C448" s="1175"/>
      <c r="D448" s="541" t="s">
        <v>1704</v>
      </c>
      <c r="F448" s="966"/>
      <c r="G448" s="966"/>
      <c r="H448" s="966"/>
      <c r="I448" s="966"/>
      <c r="J448" s="966"/>
      <c r="K448" s="966"/>
      <c r="L448" s="966"/>
      <c r="M448" s="966"/>
      <c r="N448" s="966"/>
      <c r="O448" s="966"/>
      <c r="P448" s="966"/>
      <c r="Q448" s="966"/>
      <c r="R448" s="966"/>
      <c r="S448" s="966"/>
      <c r="T448" s="966"/>
      <c r="U448" s="966"/>
      <c r="V448" s="966"/>
      <c r="W448" s="966"/>
      <c r="X448" s="966"/>
      <c r="Y448" s="966"/>
      <c r="Z448" s="966"/>
      <c r="AA448" s="966"/>
      <c r="AB448" s="966"/>
      <c r="AC448" s="966"/>
      <c r="AD448" s="966"/>
      <c r="AE448" s="966"/>
      <c r="AF448" s="966"/>
      <c r="AG448" s="966"/>
      <c r="AH448" s="966"/>
      <c r="AI448" s="966"/>
      <c r="AJ448" s="966"/>
      <c r="AK448" s="966"/>
      <c r="AL448" s="966"/>
      <c r="AM448" s="966"/>
      <c r="AN448" s="966"/>
      <c r="AO448" s="966"/>
      <c r="AP448" s="966"/>
      <c r="AQ448" s="966"/>
      <c r="AR448" s="966"/>
      <c r="AS448" s="966"/>
      <c r="AT448" s="966"/>
      <c r="AU448" s="966"/>
      <c r="AV448" s="966"/>
      <c r="AW448" s="966"/>
      <c r="AX448" s="966"/>
      <c r="AY448" s="966"/>
      <c r="AZ448" s="966"/>
      <c r="BA448" s="966"/>
      <c r="BB448" s="966"/>
      <c r="BC448" s="966"/>
      <c r="BD448" s="966"/>
      <c r="BE448" s="966"/>
      <c r="BF448" s="966"/>
      <c r="BG448" s="966"/>
      <c r="BH448" s="966"/>
      <c r="BI448" s="966"/>
      <c r="BJ448" s="966"/>
      <c r="BK448" s="966"/>
      <c r="BL448" s="966"/>
      <c r="BM448" s="966"/>
      <c r="BN448" s="966"/>
      <c r="BO448" s="966"/>
      <c r="BP448" s="966"/>
      <c r="BQ448" s="966"/>
      <c r="BR448" s="966"/>
      <c r="BS448" s="966"/>
      <c r="BT448" s="966"/>
      <c r="BU448" s="966"/>
      <c r="BV448" s="966"/>
      <c r="BW448" s="966"/>
      <c r="BX448" s="966"/>
      <c r="BY448" s="966"/>
      <c r="BZ448" s="966"/>
      <c r="CA448" s="108"/>
      <c r="CB448" s="108"/>
      <c r="CC448" s="108"/>
      <c r="CD448" s="108"/>
      <c r="CE448" s="108"/>
      <c r="CF448" s="108"/>
      <c r="CG448" s="108"/>
      <c r="CH448" s="108"/>
      <c r="CI448" s="108"/>
    </row>
    <row r="449" spans="2:87">
      <c r="B449" s="109"/>
      <c r="C449" s="109"/>
      <c r="D449" s="541"/>
      <c r="F449" s="2081"/>
      <c r="G449" s="2081"/>
      <c r="H449" s="2081"/>
      <c r="I449" s="2081"/>
      <c r="J449" s="2081"/>
      <c r="K449" s="2081"/>
      <c r="L449" s="2081"/>
      <c r="M449" s="2081"/>
      <c r="N449" s="2081"/>
      <c r="O449" s="2081"/>
      <c r="P449" s="2081"/>
      <c r="Q449" s="2081"/>
      <c r="R449" s="2081"/>
      <c r="S449" s="2081"/>
      <c r="T449" s="2081"/>
      <c r="U449" s="2081"/>
      <c r="V449" s="2081"/>
      <c r="W449" s="2081"/>
      <c r="X449" s="2081"/>
      <c r="Y449" s="2081"/>
      <c r="Z449" s="2081"/>
      <c r="AA449" s="2081"/>
      <c r="AB449" s="2081"/>
      <c r="AC449" s="2081"/>
      <c r="AD449" s="2081"/>
      <c r="AE449" s="2081"/>
      <c r="AF449" s="2081"/>
      <c r="AG449" s="2081"/>
      <c r="AH449" s="2081"/>
      <c r="AI449" s="2081"/>
      <c r="AJ449" s="2081"/>
      <c r="AK449" s="2081"/>
      <c r="AL449" s="2081"/>
      <c r="AM449" s="2081"/>
      <c r="AN449" s="2081"/>
      <c r="AO449" s="2081"/>
      <c r="AP449" s="2081"/>
      <c r="AQ449" s="2081"/>
      <c r="AR449" s="2081"/>
      <c r="AS449" s="2081"/>
      <c r="AT449" s="2081"/>
      <c r="AU449" s="2081"/>
      <c r="AV449" s="2081"/>
      <c r="AW449" s="2081"/>
      <c r="AX449" s="2081"/>
      <c r="AY449" s="2081"/>
      <c r="AZ449" s="2081"/>
      <c r="BA449" s="2081"/>
      <c r="BB449" s="2081"/>
      <c r="BC449" s="2081"/>
      <c r="BD449" s="2081"/>
      <c r="BE449" s="2081"/>
      <c r="BF449" s="2081"/>
      <c r="BG449" s="2081"/>
      <c r="BH449" s="2081"/>
      <c r="BI449" s="2081"/>
      <c r="BJ449" s="2081"/>
      <c r="BK449" s="2081"/>
      <c r="BL449" s="2081"/>
      <c r="BM449" s="2081"/>
      <c r="BN449" s="2081"/>
      <c r="BO449" s="2081"/>
      <c r="BP449" s="2081"/>
      <c r="BQ449" s="2081"/>
      <c r="BR449" s="2081"/>
      <c r="BS449" s="2081"/>
      <c r="BT449" s="2081"/>
      <c r="BU449" s="2081"/>
      <c r="BV449" s="2081"/>
      <c r="BW449" s="2081"/>
      <c r="BX449" s="2081"/>
      <c r="BY449" s="2081"/>
      <c r="BZ449" s="2081"/>
      <c r="CA449" s="108"/>
      <c r="CB449" s="108"/>
      <c r="CC449" s="108"/>
      <c r="CD449" s="108"/>
      <c r="CE449" s="108"/>
      <c r="CF449" s="108"/>
      <c r="CG449" s="108"/>
      <c r="CH449" s="108"/>
      <c r="CI449" s="108"/>
    </row>
    <row r="450" spans="2:87">
      <c r="B450" s="109"/>
      <c r="C450" s="109"/>
      <c r="D450" s="541"/>
      <c r="F450" s="966"/>
      <c r="G450" s="966"/>
      <c r="H450" s="966"/>
      <c r="I450" s="966"/>
      <c r="J450" s="966"/>
      <c r="K450" s="966"/>
      <c r="L450" s="966"/>
      <c r="M450" s="966"/>
      <c r="N450" s="966"/>
      <c r="O450" s="966"/>
      <c r="R450" s="966"/>
      <c r="S450" s="966"/>
      <c r="T450" s="966"/>
      <c r="U450" s="966"/>
      <c r="V450" s="966"/>
      <c r="W450" s="966"/>
      <c r="X450" s="966"/>
      <c r="Y450" s="966"/>
      <c r="Z450" s="966"/>
      <c r="AA450" s="966"/>
      <c r="AB450" s="966"/>
      <c r="AC450" s="966"/>
      <c r="AF450" s="966"/>
      <c r="AG450" s="966"/>
      <c r="AH450" s="966"/>
      <c r="AI450" s="966"/>
      <c r="AJ450" s="966"/>
      <c r="AK450" s="966"/>
      <c r="AL450" s="966"/>
      <c r="AM450" s="966"/>
      <c r="AN450" s="966"/>
      <c r="AO450" s="966"/>
      <c r="AP450" s="966"/>
      <c r="AQ450" s="966"/>
      <c r="AT450" s="966"/>
      <c r="AU450" s="966"/>
      <c r="AV450" s="966"/>
      <c r="AW450" s="966"/>
      <c r="AX450" s="966"/>
      <c r="AY450" s="966"/>
      <c r="AZ450" s="966"/>
      <c r="BA450" s="966"/>
      <c r="BB450" s="966"/>
      <c r="BC450" s="966"/>
      <c r="BD450" s="966"/>
      <c r="BE450" s="966"/>
      <c r="BH450" s="966"/>
      <c r="BI450" s="966"/>
      <c r="BJ450" s="966"/>
      <c r="BK450" s="966"/>
      <c r="BL450" s="966"/>
      <c r="BM450" s="966"/>
      <c r="BN450" s="966"/>
      <c r="BO450" s="966"/>
      <c r="BP450" s="966"/>
      <c r="BQ450" s="966"/>
      <c r="BR450" s="966"/>
      <c r="BS450" s="966"/>
      <c r="BV450" s="966"/>
      <c r="BW450" s="966"/>
      <c r="BX450" s="966"/>
      <c r="CA450" s="108"/>
      <c r="CB450" s="108"/>
      <c r="CC450" s="108"/>
      <c r="CD450" s="108"/>
      <c r="CE450" s="108"/>
      <c r="CF450" s="108"/>
      <c r="CG450" s="108"/>
      <c r="CH450" s="108"/>
      <c r="CI450" s="108"/>
    </row>
    <row r="451" spans="2:87">
      <c r="B451" s="109"/>
      <c r="C451" s="109"/>
      <c r="D451" s="541"/>
      <c r="F451" s="966"/>
      <c r="G451" s="966"/>
      <c r="H451" s="966"/>
      <c r="I451" s="966"/>
      <c r="J451" s="966"/>
      <c r="K451" s="966"/>
      <c r="L451" s="966"/>
      <c r="M451" s="966"/>
      <c r="N451" s="966"/>
      <c r="O451" s="966"/>
      <c r="R451" s="966"/>
      <c r="S451" s="966"/>
      <c r="T451" s="966"/>
      <c r="U451" s="966"/>
      <c r="V451" s="966"/>
      <c r="W451" s="966"/>
      <c r="X451" s="966"/>
      <c r="Y451" s="966"/>
      <c r="Z451" s="966"/>
      <c r="AA451" s="966"/>
      <c r="AB451" s="966"/>
      <c r="AC451" s="966"/>
      <c r="AF451" s="966"/>
      <c r="AG451" s="966"/>
      <c r="AH451" s="966"/>
      <c r="AI451" s="966"/>
      <c r="AJ451" s="966"/>
      <c r="AK451" s="966"/>
      <c r="AL451" s="966"/>
      <c r="AM451" s="966"/>
      <c r="AN451" s="966"/>
      <c r="AO451" s="966"/>
      <c r="AP451" s="966"/>
      <c r="AQ451" s="966"/>
      <c r="AT451" s="966"/>
      <c r="AU451" s="966"/>
      <c r="AV451" s="966"/>
      <c r="AW451" s="966"/>
      <c r="AX451" s="966"/>
      <c r="AY451" s="966"/>
      <c r="AZ451" s="966"/>
      <c r="BA451" s="966"/>
      <c r="BB451" s="966"/>
      <c r="BC451" s="966"/>
      <c r="BD451" s="966"/>
      <c r="BE451" s="966"/>
      <c r="BF451" s="2041"/>
      <c r="BH451" s="966"/>
      <c r="BI451" s="966"/>
      <c r="BJ451" s="966"/>
      <c r="BK451" s="966"/>
      <c r="BL451" s="966"/>
      <c r="BM451" s="966"/>
      <c r="BN451" s="966"/>
      <c r="BO451" s="966"/>
      <c r="BP451" s="966"/>
      <c r="BQ451" s="966"/>
      <c r="BR451" s="966"/>
      <c r="BS451" s="966"/>
      <c r="BT451" s="2041"/>
      <c r="BV451" s="966"/>
      <c r="BW451" s="966"/>
      <c r="BX451" s="966"/>
      <c r="CA451" s="108"/>
      <c r="CB451" s="108"/>
      <c r="CC451" s="108"/>
      <c r="CD451" s="108"/>
      <c r="CE451" s="108"/>
      <c r="CF451" s="108"/>
      <c r="CG451" s="108"/>
      <c r="CH451" s="108"/>
      <c r="CI451" s="108"/>
    </row>
    <row r="452" spans="2:87">
      <c r="B452" s="109"/>
      <c r="C452" s="109"/>
      <c r="D452" s="541"/>
      <c r="F452" s="966"/>
      <c r="G452" s="966"/>
      <c r="H452" s="966"/>
      <c r="I452" s="966"/>
      <c r="J452" s="966"/>
      <c r="K452" s="966"/>
      <c r="L452" s="966"/>
      <c r="M452" s="966"/>
      <c r="N452" s="966"/>
      <c r="O452" s="966"/>
      <c r="R452" s="966"/>
      <c r="S452" s="966"/>
      <c r="T452" s="966"/>
      <c r="U452" s="966"/>
      <c r="V452" s="966"/>
      <c r="W452" s="966"/>
      <c r="X452" s="966"/>
      <c r="Y452" s="966"/>
      <c r="Z452" s="966"/>
      <c r="AA452" s="966"/>
      <c r="AB452" s="966"/>
      <c r="AC452" s="966"/>
      <c r="AF452" s="966"/>
      <c r="AG452" s="966"/>
      <c r="AH452" s="966"/>
      <c r="AI452" s="966"/>
      <c r="AJ452" s="966"/>
      <c r="AK452" s="966"/>
      <c r="AL452" s="966"/>
      <c r="AM452" s="966"/>
      <c r="AN452" s="966"/>
      <c r="AO452" s="966"/>
      <c r="AP452" s="966"/>
      <c r="AQ452" s="966"/>
      <c r="AT452" s="966"/>
      <c r="AU452" s="966"/>
      <c r="AV452" s="966"/>
      <c r="AW452" s="966"/>
      <c r="AX452" s="966"/>
      <c r="AY452" s="966"/>
      <c r="AZ452" s="966"/>
      <c r="BA452" s="966"/>
      <c r="BB452" s="966"/>
      <c r="BC452" s="966"/>
      <c r="BD452" s="966"/>
      <c r="BE452" s="966"/>
      <c r="BH452" s="966"/>
      <c r="BI452" s="966"/>
      <c r="BJ452" s="966"/>
      <c r="BK452" s="966"/>
      <c r="BL452" s="966"/>
      <c r="BM452" s="966"/>
      <c r="BN452" s="966"/>
      <c r="BO452" s="966"/>
      <c r="BP452" s="966"/>
      <c r="BQ452" s="966"/>
      <c r="BR452" s="966"/>
      <c r="BS452" s="966"/>
      <c r="BV452" s="966"/>
      <c r="BW452" s="966"/>
      <c r="BX452" s="966"/>
      <c r="CA452" s="108"/>
      <c r="CB452" s="108"/>
      <c r="CC452" s="108"/>
      <c r="CD452" s="108"/>
      <c r="CE452" s="108"/>
      <c r="CF452" s="108"/>
      <c r="CG452" s="108"/>
      <c r="CH452" s="108"/>
      <c r="CI452" s="108"/>
    </row>
    <row r="453" spans="2:87">
      <c r="B453" s="109"/>
      <c r="C453" s="109"/>
      <c r="D453" s="541"/>
      <c r="F453" s="966"/>
      <c r="G453" s="966"/>
      <c r="H453" s="966"/>
      <c r="I453" s="966"/>
      <c r="J453" s="966"/>
      <c r="K453" s="966"/>
      <c r="L453" s="966"/>
      <c r="M453" s="966"/>
      <c r="N453" s="966"/>
      <c r="O453" s="966"/>
      <c r="P453" s="966"/>
      <c r="Q453" s="966"/>
      <c r="R453" s="966"/>
      <c r="S453" s="966"/>
      <c r="T453" s="966"/>
      <c r="U453" s="966"/>
      <c r="V453" s="966"/>
      <c r="W453" s="966"/>
      <c r="X453" s="966"/>
      <c r="Y453" s="966"/>
      <c r="Z453" s="966"/>
      <c r="AA453" s="966"/>
      <c r="AB453" s="966"/>
      <c r="AC453" s="966"/>
      <c r="AD453" s="966"/>
      <c r="AE453" s="966"/>
      <c r="AF453" s="966"/>
      <c r="AG453" s="966"/>
      <c r="AH453" s="966"/>
      <c r="AI453" s="966"/>
      <c r="AJ453" s="966"/>
      <c r="AK453" s="966"/>
      <c r="AL453" s="966"/>
      <c r="AM453" s="966"/>
      <c r="AN453" s="966"/>
      <c r="AO453" s="966"/>
      <c r="AP453" s="966"/>
      <c r="AQ453" s="966"/>
      <c r="AR453" s="966"/>
      <c r="AS453" s="966"/>
      <c r="AT453" s="966"/>
      <c r="AU453" s="966"/>
      <c r="AV453" s="966"/>
      <c r="AW453" s="966"/>
      <c r="AX453" s="966"/>
      <c r="AY453" s="966"/>
      <c r="AZ453" s="966"/>
      <c r="BA453" s="966"/>
      <c r="BB453" s="966"/>
      <c r="BC453" s="966"/>
      <c r="BD453" s="966"/>
      <c r="BE453" s="966"/>
      <c r="BF453" s="966"/>
      <c r="BG453" s="966"/>
      <c r="BH453" s="966"/>
      <c r="BI453" s="966"/>
      <c r="BJ453" s="966"/>
      <c r="BK453" s="966"/>
      <c r="BL453" s="966"/>
      <c r="BM453" s="966"/>
      <c r="BN453" s="966"/>
      <c r="BO453" s="966"/>
      <c r="BP453" s="966"/>
      <c r="BQ453" s="966"/>
      <c r="BR453" s="966"/>
      <c r="BS453" s="966"/>
      <c r="BT453" s="966"/>
      <c r="BU453" s="966"/>
      <c r="BV453" s="966"/>
      <c r="BW453" s="966"/>
      <c r="BX453" s="966"/>
      <c r="BY453" s="966"/>
      <c r="BZ453" s="966"/>
      <c r="CA453" s="108"/>
      <c r="CB453" s="108"/>
      <c r="CC453" s="108"/>
      <c r="CD453" s="108"/>
      <c r="CE453" s="108"/>
      <c r="CF453" s="108"/>
      <c r="CG453" s="108"/>
      <c r="CH453" s="108"/>
      <c r="CI453" s="108"/>
    </row>
    <row r="454" spans="2:87">
      <c r="B454" s="109"/>
      <c r="C454" s="109"/>
      <c r="D454" s="541"/>
      <c r="F454" s="2081"/>
      <c r="G454" s="2081"/>
      <c r="H454" s="2081"/>
      <c r="I454" s="2081"/>
      <c r="J454" s="2081"/>
      <c r="K454" s="2081"/>
      <c r="L454" s="2081"/>
      <c r="M454" s="2081"/>
      <c r="N454" s="2081"/>
      <c r="O454" s="2081"/>
      <c r="P454" s="2081"/>
      <c r="Q454" s="2081"/>
      <c r="R454" s="2081"/>
      <c r="S454" s="2081"/>
      <c r="T454" s="2081"/>
      <c r="U454" s="2081"/>
      <c r="V454" s="2081"/>
      <c r="W454" s="2081"/>
      <c r="X454" s="2081"/>
      <c r="Y454" s="2081"/>
      <c r="Z454" s="2081"/>
      <c r="AA454" s="2081"/>
      <c r="AB454" s="2081"/>
      <c r="AC454" s="2081"/>
      <c r="AD454" s="2081"/>
      <c r="AE454" s="2081"/>
      <c r="AF454" s="2081"/>
      <c r="AG454" s="2081"/>
      <c r="AH454" s="2081"/>
      <c r="AI454" s="2081"/>
      <c r="AJ454" s="2081"/>
      <c r="AK454" s="2081"/>
      <c r="AL454" s="2081"/>
      <c r="AM454" s="2081"/>
      <c r="AN454" s="2081"/>
      <c r="AO454" s="2081"/>
      <c r="AP454" s="2081"/>
      <c r="AQ454" s="2081"/>
      <c r="AR454" s="2081"/>
      <c r="AS454" s="2081"/>
      <c r="AT454" s="2081"/>
      <c r="AU454" s="2081"/>
      <c r="AV454" s="2081"/>
      <c r="AW454" s="2081"/>
      <c r="AX454" s="2081"/>
      <c r="AY454" s="2081"/>
      <c r="AZ454" s="2081"/>
      <c r="BA454" s="2081"/>
      <c r="BB454" s="2081"/>
      <c r="BC454" s="2081"/>
      <c r="BD454" s="2081"/>
      <c r="BE454" s="2081"/>
      <c r="BF454" s="2081"/>
      <c r="BG454" s="2081"/>
      <c r="BH454" s="2081"/>
      <c r="BI454" s="2081"/>
      <c r="BJ454" s="2081"/>
      <c r="BK454" s="2081"/>
      <c r="BL454" s="2081"/>
      <c r="BM454" s="2081"/>
      <c r="BN454" s="2081"/>
      <c r="BO454" s="2081"/>
      <c r="BP454" s="2081"/>
      <c r="BQ454" s="2081"/>
      <c r="BR454" s="2081"/>
      <c r="BS454" s="2081"/>
      <c r="BT454" s="2081"/>
      <c r="BU454" s="2081"/>
      <c r="BV454" s="2081"/>
      <c r="BW454" s="2081"/>
      <c r="BX454" s="2081"/>
      <c r="BY454" s="2081"/>
      <c r="BZ454" s="2081"/>
      <c r="CA454" s="108"/>
      <c r="CB454" s="108"/>
      <c r="CC454" s="108"/>
      <c r="CD454" s="108"/>
      <c r="CE454" s="108"/>
      <c r="CF454" s="108"/>
      <c r="CG454" s="108"/>
      <c r="CH454" s="108"/>
      <c r="CI454" s="108"/>
    </row>
    <row r="455" spans="2:87">
      <c r="B455" s="109"/>
      <c r="C455" s="109"/>
      <c r="D455" s="541"/>
      <c r="F455" s="966"/>
      <c r="G455" s="966"/>
      <c r="H455" s="966"/>
      <c r="I455" s="966"/>
      <c r="J455" s="966"/>
      <c r="K455" s="966"/>
      <c r="L455" s="966"/>
      <c r="M455" s="966"/>
      <c r="N455" s="966"/>
      <c r="O455" s="966"/>
      <c r="R455" s="966"/>
      <c r="S455" s="966"/>
      <c r="T455" s="966"/>
      <c r="U455" s="966"/>
      <c r="V455" s="966"/>
      <c r="W455" s="966"/>
      <c r="X455" s="966"/>
      <c r="Y455" s="966"/>
      <c r="Z455" s="966"/>
      <c r="AA455" s="966"/>
      <c r="AB455" s="966"/>
      <c r="AC455" s="966"/>
      <c r="AF455" s="966"/>
      <c r="AG455" s="966"/>
      <c r="AH455" s="966"/>
      <c r="AI455" s="966"/>
      <c r="AJ455" s="966"/>
      <c r="AK455" s="966"/>
      <c r="AL455" s="966"/>
      <c r="AM455" s="966"/>
      <c r="AN455" s="966"/>
      <c r="AO455" s="966"/>
      <c r="AP455" s="966"/>
      <c r="AQ455" s="966"/>
      <c r="AT455" s="966"/>
      <c r="AU455" s="966"/>
      <c r="AV455" s="966"/>
      <c r="AW455" s="966"/>
      <c r="AX455" s="966"/>
      <c r="AY455" s="966"/>
      <c r="AZ455" s="966"/>
      <c r="BA455" s="966"/>
      <c r="BB455" s="966"/>
      <c r="BC455" s="966"/>
      <c r="BD455" s="966"/>
      <c r="BE455" s="966"/>
      <c r="BH455" s="966"/>
      <c r="BI455" s="966"/>
      <c r="BJ455" s="966"/>
      <c r="BK455" s="966"/>
      <c r="BL455" s="966"/>
      <c r="BM455" s="966"/>
      <c r="BN455" s="966"/>
      <c r="BO455" s="966"/>
      <c r="BP455" s="966"/>
      <c r="BQ455" s="966"/>
      <c r="BR455" s="966"/>
      <c r="BS455" s="966"/>
      <c r="BV455" s="966"/>
      <c r="BW455" s="966"/>
      <c r="BX455" s="966"/>
      <c r="CA455" s="108"/>
      <c r="CB455" s="108"/>
      <c r="CC455" s="108"/>
      <c r="CD455" s="108"/>
      <c r="CE455" s="108"/>
      <c r="CF455" s="108"/>
      <c r="CG455" s="108"/>
      <c r="CH455" s="108"/>
      <c r="CI455" s="108"/>
    </row>
    <row r="456" spans="2:87">
      <c r="B456" s="109"/>
      <c r="C456" s="109"/>
      <c r="D456" s="541"/>
      <c r="F456" s="966"/>
      <c r="G456" s="966"/>
      <c r="H456" s="966"/>
      <c r="I456" s="966"/>
      <c r="J456" s="966"/>
      <c r="K456" s="966"/>
      <c r="L456" s="966"/>
      <c r="M456" s="966"/>
      <c r="N456" s="966"/>
      <c r="O456" s="966"/>
      <c r="R456" s="966"/>
      <c r="S456" s="966"/>
      <c r="T456" s="966"/>
      <c r="U456" s="966"/>
      <c r="V456" s="966"/>
      <c r="W456" s="966"/>
      <c r="X456" s="966"/>
      <c r="Y456" s="966"/>
      <c r="Z456" s="966"/>
      <c r="AA456" s="966"/>
      <c r="AB456" s="966"/>
      <c r="AC456" s="966"/>
      <c r="AF456" s="966"/>
      <c r="AG456" s="966"/>
      <c r="AH456" s="966"/>
      <c r="AI456" s="966"/>
      <c r="AJ456" s="966"/>
      <c r="AK456" s="966"/>
      <c r="AL456" s="966"/>
      <c r="AM456" s="966"/>
      <c r="AN456" s="966"/>
      <c r="AO456" s="966"/>
      <c r="AP456" s="966"/>
      <c r="AQ456" s="966"/>
      <c r="AT456" s="966"/>
      <c r="AU456" s="966"/>
      <c r="AV456" s="966"/>
      <c r="AW456" s="966"/>
      <c r="AX456" s="966"/>
      <c r="AY456" s="966"/>
      <c r="AZ456" s="966"/>
      <c r="BA456" s="966"/>
      <c r="BB456" s="966"/>
      <c r="BC456" s="966"/>
      <c r="BD456" s="966"/>
      <c r="BE456" s="966"/>
      <c r="BF456" s="2041"/>
      <c r="BH456" s="966"/>
      <c r="BI456" s="966"/>
      <c r="BJ456" s="966"/>
      <c r="BK456" s="966"/>
      <c r="BL456" s="966"/>
      <c r="BM456" s="966"/>
      <c r="BN456" s="966"/>
      <c r="BO456" s="966"/>
      <c r="BP456" s="966"/>
      <c r="BQ456" s="966"/>
      <c r="BR456" s="966"/>
      <c r="BS456" s="966"/>
      <c r="BT456" s="2041"/>
      <c r="BV456" s="966"/>
      <c r="BW456" s="966"/>
      <c r="BX456" s="966"/>
      <c r="BY456" s="2041"/>
      <c r="BZ456" s="2041"/>
      <c r="CA456" s="108"/>
      <c r="CB456" s="108"/>
      <c r="CC456" s="108"/>
      <c r="CD456" s="108"/>
      <c r="CE456" s="108"/>
      <c r="CF456" s="108"/>
      <c r="CG456" s="108"/>
      <c r="CH456" s="108"/>
      <c r="CI456" s="108"/>
    </row>
    <row r="457" spans="2:87">
      <c r="B457" s="109"/>
      <c r="C457" s="109"/>
      <c r="D457" s="541"/>
      <c r="F457" s="966"/>
      <c r="G457" s="966"/>
      <c r="H457" s="966"/>
      <c r="I457" s="966"/>
      <c r="J457" s="966"/>
      <c r="K457" s="966"/>
      <c r="L457" s="966"/>
      <c r="M457" s="966"/>
      <c r="N457" s="966"/>
      <c r="O457" s="966"/>
      <c r="R457" s="966"/>
      <c r="S457" s="966"/>
      <c r="T457" s="966"/>
      <c r="U457" s="966"/>
      <c r="V457" s="966"/>
      <c r="W457" s="966"/>
      <c r="X457" s="966"/>
      <c r="Y457" s="966"/>
      <c r="Z457" s="966"/>
      <c r="AA457" s="966"/>
      <c r="AB457" s="966"/>
      <c r="AC457" s="966"/>
      <c r="AF457" s="966"/>
      <c r="AG457" s="966"/>
      <c r="AH457" s="966"/>
      <c r="AI457" s="966"/>
      <c r="AJ457" s="966"/>
      <c r="AK457" s="966"/>
      <c r="AL457" s="966"/>
      <c r="AM457" s="966"/>
      <c r="AN457" s="966"/>
      <c r="AO457" s="966"/>
      <c r="AP457" s="966"/>
      <c r="AQ457" s="966"/>
      <c r="AT457" s="966"/>
      <c r="AU457" s="966"/>
      <c r="AV457" s="966"/>
      <c r="AW457" s="966"/>
      <c r="AX457" s="966"/>
      <c r="AY457" s="966"/>
      <c r="AZ457" s="966"/>
      <c r="BA457" s="966"/>
      <c r="BB457" s="966"/>
      <c r="BC457" s="966"/>
      <c r="BD457" s="966"/>
      <c r="BE457" s="966"/>
      <c r="BH457" s="966"/>
      <c r="BI457" s="966"/>
      <c r="BJ457" s="966"/>
      <c r="BK457" s="966"/>
      <c r="BL457" s="966"/>
      <c r="BM457" s="966"/>
      <c r="BN457" s="966"/>
      <c r="BO457" s="966"/>
      <c r="BP457" s="966"/>
      <c r="BQ457" s="966"/>
      <c r="BR457" s="966"/>
      <c r="BS457" s="966"/>
      <c r="BV457" s="966"/>
      <c r="BW457" s="966"/>
      <c r="BX457" s="966"/>
      <c r="CA457" s="108"/>
      <c r="CB457" s="108"/>
      <c r="CC457" s="108"/>
      <c r="CD457" s="108"/>
      <c r="CE457" s="108"/>
      <c r="CF457" s="108"/>
      <c r="CG457" s="108"/>
      <c r="CH457" s="108"/>
      <c r="CI457" s="108"/>
    </row>
    <row r="458" spans="2:87">
      <c r="B458" s="109"/>
      <c r="C458" s="109"/>
      <c r="D458" s="541"/>
      <c r="F458" s="966"/>
      <c r="G458" s="966"/>
      <c r="H458" s="966"/>
      <c r="I458" s="966"/>
      <c r="J458" s="966"/>
      <c r="K458" s="966"/>
      <c r="L458" s="966"/>
      <c r="M458" s="966"/>
      <c r="N458" s="966"/>
      <c r="O458" s="966"/>
      <c r="R458" s="966"/>
      <c r="S458" s="966"/>
      <c r="T458" s="966"/>
      <c r="U458" s="966"/>
      <c r="V458" s="966"/>
      <c r="W458" s="966"/>
      <c r="X458" s="966"/>
      <c r="Y458" s="966"/>
      <c r="Z458" s="966"/>
      <c r="AA458" s="966"/>
      <c r="AB458" s="966"/>
      <c r="AC458" s="966"/>
      <c r="AF458" s="966"/>
      <c r="AG458" s="966"/>
      <c r="AH458" s="966"/>
      <c r="AI458" s="966"/>
      <c r="AJ458" s="966"/>
      <c r="AK458" s="966"/>
      <c r="AL458" s="966"/>
      <c r="AM458" s="966"/>
      <c r="AN458" s="966"/>
      <c r="AO458" s="966"/>
      <c r="AP458" s="966"/>
      <c r="AQ458" s="966"/>
      <c r="AT458" s="966"/>
      <c r="AU458" s="966"/>
      <c r="AV458" s="966"/>
      <c r="AW458" s="966"/>
      <c r="AX458" s="966"/>
      <c r="AY458" s="966"/>
      <c r="AZ458" s="966"/>
      <c r="BA458" s="966"/>
      <c r="BB458" s="966"/>
      <c r="BC458" s="966"/>
      <c r="BD458" s="966"/>
      <c r="BE458" s="966"/>
      <c r="BH458" s="966"/>
      <c r="BI458" s="966"/>
      <c r="BJ458" s="966"/>
      <c r="BK458" s="966"/>
      <c r="BL458" s="966"/>
      <c r="BM458" s="966"/>
      <c r="BN458" s="966"/>
      <c r="BO458" s="966"/>
      <c r="BP458" s="966"/>
      <c r="BQ458" s="966"/>
      <c r="BR458" s="966"/>
      <c r="BS458" s="966"/>
      <c r="BV458" s="966"/>
      <c r="BW458" s="966"/>
      <c r="BX458" s="966"/>
      <c r="CA458" s="108"/>
      <c r="CB458" s="108"/>
      <c r="CC458" s="108"/>
      <c r="CD458" s="108"/>
      <c r="CE458" s="108"/>
      <c r="CF458" s="108"/>
      <c r="CG458" s="108"/>
      <c r="CH458" s="108"/>
      <c r="CI458" s="108"/>
    </row>
    <row r="459" spans="2:87">
      <c r="B459" s="109"/>
      <c r="C459" s="109"/>
      <c r="D459" s="541"/>
      <c r="F459" s="966"/>
      <c r="G459" s="966"/>
      <c r="H459" s="966"/>
      <c r="I459" s="966"/>
      <c r="J459" s="966"/>
      <c r="K459" s="966"/>
      <c r="L459" s="966"/>
      <c r="M459" s="966"/>
      <c r="N459" s="966"/>
      <c r="O459" s="966"/>
      <c r="R459" s="966"/>
      <c r="S459" s="966"/>
      <c r="T459" s="966"/>
      <c r="U459" s="966"/>
      <c r="V459" s="966"/>
      <c r="W459" s="966"/>
      <c r="X459" s="966"/>
      <c r="Y459" s="966"/>
      <c r="Z459" s="966"/>
      <c r="AA459" s="966"/>
      <c r="AB459" s="966"/>
      <c r="AC459" s="966"/>
      <c r="AF459" s="966"/>
      <c r="AG459" s="966"/>
      <c r="AH459" s="966"/>
      <c r="AI459" s="966"/>
      <c r="AJ459" s="966"/>
      <c r="AK459" s="966"/>
      <c r="AL459" s="966"/>
      <c r="AM459" s="966"/>
      <c r="AN459" s="966"/>
      <c r="AO459" s="966"/>
      <c r="AP459" s="966"/>
      <c r="AQ459" s="966"/>
      <c r="AT459" s="966"/>
      <c r="AU459" s="966"/>
      <c r="AV459" s="966"/>
      <c r="AW459" s="966"/>
      <c r="AX459" s="966"/>
      <c r="AY459" s="966"/>
      <c r="AZ459" s="966"/>
      <c r="BA459" s="966"/>
      <c r="BB459" s="966"/>
      <c r="BC459" s="966"/>
      <c r="BD459" s="966"/>
      <c r="BE459" s="966"/>
      <c r="BH459" s="966"/>
      <c r="BI459" s="966"/>
      <c r="BJ459" s="966"/>
      <c r="BK459" s="966"/>
      <c r="BL459" s="966"/>
      <c r="BM459" s="966"/>
      <c r="BN459" s="966"/>
      <c r="BO459" s="966"/>
      <c r="BP459" s="966"/>
      <c r="BQ459" s="966"/>
      <c r="BR459" s="966"/>
      <c r="BS459" s="966"/>
      <c r="BV459" s="966"/>
      <c r="BW459" s="966"/>
      <c r="BX459" s="966"/>
      <c r="CA459" s="108"/>
      <c r="CB459" s="108"/>
      <c r="CC459" s="108"/>
      <c r="CD459" s="108"/>
      <c r="CE459" s="108"/>
      <c r="CF459" s="108"/>
      <c r="CG459" s="108"/>
      <c r="CH459" s="108"/>
      <c r="CI459" s="108"/>
    </row>
    <row r="460" spans="2:87">
      <c r="B460" s="109"/>
      <c r="C460" s="109"/>
      <c r="D460" s="541"/>
      <c r="F460" s="966"/>
      <c r="G460" s="966"/>
      <c r="H460" s="966"/>
      <c r="I460" s="966"/>
      <c r="J460" s="966"/>
      <c r="K460" s="966"/>
      <c r="L460" s="966"/>
      <c r="M460" s="966"/>
      <c r="N460" s="966"/>
      <c r="O460" s="966"/>
      <c r="R460" s="966"/>
      <c r="S460" s="966"/>
      <c r="T460" s="966"/>
      <c r="U460" s="966"/>
      <c r="V460" s="966"/>
      <c r="W460" s="966"/>
      <c r="X460" s="966"/>
      <c r="Y460" s="966"/>
      <c r="Z460" s="966"/>
      <c r="AA460" s="966"/>
      <c r="AB460" s="966"/>
      <c r="AC460" s="966"/>
      <c r="AF460" s="966"/>
      <c r="AG460" s="966"/>
      <c r="AH460" s="966"/>
      <c r="AI460" s="966"/>
      <c r="AJ460" s="966"/>
      <c r="AK460" s="966"/>
      <c r="AL460" s="966"/>
      <c r="AM460" s="966"/>
      <c r="AN460" s="966"/>
      <c r="AO460" s="966"/>
      <c r="AP460" s="966"/>
      <c r="AQ460" s="966"/>
      <c r="AT460" s="966"/>
      <c r="AU460" s="966"/>
      <c r="AV460" s="966"/>
      <c r="AW460" s="966"/>
      <c r="AX460" s="966"/>
      <c r="AY460" s="966"/>
      <c r="AZ460" s="966"/>
      <c r="BA460" s="966"/>
      <c r="BB460" s="966"/>
      <c r="BC460" s="966"/>
      <c r="BD460" s="966"/>
      <c r="BE460" s="966"/>
      <c r="BH460" s="966"/>
      <c r="BI460" s="966"/>
      <c r="BJ460" s="966"/>
      <c r="BK460" s="966"/>
      <c r="BL460" s="966"/>
      <c r="BM460" s="966"/>
      <c r="BN460" s="966"/>
      <c r="BO460" s="966"/>
      <c r="BP460" s="966"/>
      <c r="BQ460" s="966"/>
      <c r="BR460" s="966"/>
      <c r="BS460" s="966"/>
      <c r="BV460" s="966"/>
      <c r="BW460" s="966"/>
      <c r="BX460" s="966"/>
      <c r="CA460" s="108"/>
      <c r="CB460" s="108"/>
      <c r="CC460" s="108"/>
      <c r="CD460" s="108"/>
      <c r="CE460" s="108"/>
      <c r="CF460" s="108"/>
      <c r="CG460" s="108"/>
      <c r="CH460" s="108"/>
      <c r="CI460" s="108"/>
    </row>
    <row r="461" spans="2:87">
      <c r="B461" s="109"/>
      <c r="C461" s="109"/>
      <c r="D461" s="541"/>
      <c r="F461" s="966"/>
      <c r="G461" s="966"/>
      <c r="H461" s="966"/>
      <c r="I461" s="966"/>
      <c r="J461" s="966"/>
      <c r="K461" s="966"/>
      <c r="L461" s="966"/>
      <c r="M461" s="966"/>
      <c r="N461" s="966"/>
      <c r="O461" s="966"/>
      <c r="R461" s="966"/>
      <c r="S461" s="966"/>
      <c r="T461" s="966"/>
      <c r="U461" s="966"/>
      <c r="V461" s="966"/>
      <c r="W461" s="966"/>
      <c r="X461" s="966"/>
      <c r="Y461" s="966"/>
      <c r="Z461" s="966"/>
      <c r="AA461" s="966"/>
      <c r="AB461" s="966"/>
      <c r="AC461" s="966"/>
      <c r="AF461" s="966"/>
      <c r="AG461" s="966"/>
      <c r="AH461" s="966"/>
      <c r="AI461" s="966"/>
      <c r="AJ461" s="966"/>
      <c r="AK461" s="966"/>
      <c r="AL461" s="966"/>
      <c r="AM461" s="966"/>
      <c r="AN461" s="966"/>
      <c r="AO461" s="966"/>
      <c r="AP461" s="966"/>
      <c r="AQ461" s="966"/>
      <c r="AT461" s="966"/>
      <c r="AU461" s="966"/>
      <c r="AV461" s="966"/>
      <c r="AW461" s="966"/>
      <c r="AX461" s="966"/>
      <c r="AY461" s="966"/>
      <c r="AZ461" s="966"/>
      <c r="BA461" s="966"/>
      <c r="BB461" s="966"/>
      <c r="BC461" s="966"/>
      <c r="BD461" s="966"/>
      <c r="BE461" s="966"/>
      <c r="BH461" s="966"/>
      <c r="BI461" s="966"/>
      <c r="BJ461" s="966"/>
      <c r="BK461" s="966"/>
      <c r="BL461" s="966"/>
      <c r="BM461" s="966"/>
      <c r="BN461" s="966"/>
      <c r="BO461" s="966"/>
      <c r="BP461" s="966"/>
      <c r="BQ461" s="966"/>
      <c r="BR461" s="966"/>
      <c r="BS461" s="966"/>
      <c r="BV461" s="966"/>
      <c r="BW461" s="966"/>
      <c r="BX461" s="966"/>
      <c r="CA461" s="108"/>
      <c r="CB461" s="108"/>
      <c r="CC461" s="108"/>
      <c r="CD461" s="108"/>
      <c r="CE461" s="108"/>
      <c r="CF461" s="108"/>
      <c r="CG461" s="108"/>
      <c r="CH461" s="108"/>
      <c r="CI461" s="108"/>
    </row>
    <row r="462" spans="2:87">
      <c r="B462" s="109"/>
      <c r="C462" s="109"/>
      <c r="D462" s="541"/>
      <c r="F462" s="966"/>
      <c r="G462" s="966"/>
      <c r="H462" s="966"/>
      <c r="I462" s="966"/>
      <c r="J462" s="966"/>
      <c r="K462" s="966"/>
      <c r="L462" s="966"/>
      <c r="M462" s="966"/>
      <c r="N462" s="966"/>
      <c r="O462" s="966"/>
      <c r="R462" s="966"/>
      <c r="S462" s="966"/>
      <c r="T462" s="966"/>
      <c r="U462" s="966"/>
      <c r="V462" s="966"/>
      <c r="W462" s="966"/>
      <c r="X462" s="966"/>
      <c r="Y462" s="966"/>
      <c r="Z462" s="966"/>
      <c r="AA462" s="966"/>
      <c r="AB462" s="966"/>
      <c r="AC462" s="966"/>
      <c r="AF462" s="966"/>
      <c r="AG462" s="966"/>
      <c r="AH462" s="966"/>
      <c r="AI462" s="966"/>
      <c r="AJ462" s="966"/>
      <c r="AK462" s="966"/>
      <c r="AL462" s="966"/>
      <c r="AM462" s="966"/>
      <c r="AN462" s="966"/>
      <c r="AO462" s="966"/>
      <c r="AP462" s="966"/>
      <c r="AQ462" s="966"/>
      <c r="AT462" s="966"/>
      <c r="AU462" s="966"/>
      <c r="AV462" s="966"/>
      <c r="AW462" s="966"/>
      <c r="AX462" s="966"/>
      <c r="AY462" s="966"/>
      <c r="AZ462" s="966"/>
      <c r="BA462" s="966"/>
      <c r="BB462" s="966"/>
      <c r="BC462" s="966"/>
      <c r="BD462" s="966"/>
      <c r="BE462" s="966"/>
      <c r="BH462" s="966"/>
      <c r="BI462" s="966"/>
      <c r="BJ462" s="966"/>
      <c r="BK462" s="966"/>
      <c r="BL462" s="966"/>
      <c r="BM462" s="966"/>
      <c r="BN462" s="966"/>
      <c r="BO462" s="966"/>
      <c r="BP462" s="966"/>
      <c r="BQ462" s="966"/>
      <c r="BR462" s="966"/>
      <c r="BS462" s="966"/>
      <c r="BV462" s="966"/>
      <c r="BW462" s="966"/>
      <c r="BX462" s="966"/>
      <c r="CA462" s="108"/>
      <c r="CB462" s="108"/>
      <c r="CC462" s="108"/>
      <c r="CD462" s="108"/>
      <c r="CE462" s="108"/>
      <c r="CF462" s="108"/>
      <c r="CG462" s="108"/>
      <c r="CH462" s="108"/>
      <c r="CI462" s="108"/>
    </row>
    <row r="463" spans="2:87">
      <c r="B463" s="109"/>
      <c r="C463" s="109"/>
      <c r="D463" s="541"/>
      <c r="F463" s="966"/>
      <c r="G463" s="966"/>
      <c r="H463" s="966"/>
      <c r="I463" s="966"/>
      <c r="J463" s="966"/>
      <c r="K463" s="966"/>
      <c r="L463" s="966"/>
      <c r="M463" s="966"/>
      <c r="N463" s="966"/>
      <c r="O463" s="966"/>
      <c r="R463" s="966"/>
      <c r="S463" s="966"/>
      <c r="T463" s="966"/>
      <c r="U463" s="966"/>
      <c r="V463" s="966"/>
      <c r="W463" s="966"/>
      <c r="X463" s="966"/>
      <c r="Y463" s="966"/>
      <c r="Z463" s="966"/>
      <c r="AA463" s="966"/>
      <c r="AB463" s="966"/>
      <c r="AC463" s="966"/>
      <c r="AF463" s="966"/>
      <c r="AG463" s="966"/>
      <c r="AH463" s="966"/>
      <c r="AI463" s="966"/>
      <c r="AJ463" s="966"/>
      <c r="AK463" s="966"/>
      <c r="AL463" s="966"/>
      <c r="AM463" s="966"/>
      <c r="AN463" s="966"/>
      <c r="AO463" s="966"/>
      <c r="AP463" s="966"/>
      <c r="AQ463" s="966"/>
      <c r="AT463" s="966"/>
      <c r="AU463" s="966"/>
      <c r="AV463" s="966"/>
      <c r="AW463" s="966"/>
      <c r="AX463" s="966"/>
      <c r="AY463" s="966"/>
      <c r="AZ463" s="966"/>
      <c r="BA463" s="966"/>
      <c r="BB463" s="966"/>
      <c r="BC463" s="966"/>
      <c r="BD463" s="966"/>
      <c r="BE463" s="966"/>
      <c r="BH463" s="966"/>
      <c r="BI463" s="966"/>
      <c r="BJ463" s="966"/>
      <c r="BK463" s="966"/>
      <c r="BL463" s="966"/>
      <c r="BM463" s="966"/>
      <c r="BN463" s="966"/>
      <c r="BO463" s="966"/>
      <c r="BP463" s="966"/>
      <c r="BQ463" s="966"/>
      <c r="BR463" s="966"/>
      <c r="BS463" s="966"/>
      <c r="BV463" s="966"/>
      <c r="BW463" s="966"/>
      <c r="BX463" s="966"/>
      <c r="CA463" s="108"/>
      <c r="CB463" s="108"/>
      <c r="CC463" s="108"/>
      <c r="CD463" s="108"/>
      <c r="CE463" s="108"/>
      <c r="CF463" s="108"/>
      <c r="CG463" s="108"/>
      <c r="CH463" s="108"/>
      <c r="CI463" s="108"/>
    </row>
    <row r="464" spans="2:87">
      <c r="B464" s="109"/>
      <c r="C464" s="109"/>
      <c r="D464" s="541"/>
      <c r="F464" s="966"/>
      <c r="G464" s="966"/>
      <c r="H464" s="966"/>
      <c r="I464" s="966"/>
      <c r="J464" s="966"/>
      <c r="K464" s="966"/>
      <c r="L464" s="966"/>
      <c r="M464" s="966"/>
      <c r="N464" s="966"/>
      <c r="O464" s="966"/>
      <c r="R464" s="966"/>
      <c r="S464" s="966"/>
      <c r="T464" s="966"/>
      <c r="U464" s="966"/>
      <c r="V464" s="966"/>
      <c r="W464" s="966"/>
      <c r="X464" s="966"/>
      <c r="Y464" s="966"/>
      <c r="Z464" s="966"/>
      <c r="AA464" s="966"/>
      <c r="AB464" s="966"/>
      <c r="AC464" s="966"/>
      <c r="AF464" s="966"/>
      <c r="AG464" s="966"/>
      <c r="AH464" s="966"/>
      <c r="AI464" s="966"/>
      <c r="AJ464" s="966"/>
      <c r="AK464" s="966"/>
      <c r="AL464" s="966"/>
      <c r="AM464" s="966"/>
      <c r="AN464" s="966"/>
      <c r="AO464" s="966"/>
      <c r="AP464" s="966"/>
      <c r="AQ464" s="966"/>
      <c r="AT464" s="966"/>
      <c r="AU464" s="966"/>
      <c r="AV464" s="966"/>
      <c r="AW464" s="966"/>
      <c r="AX464" s="966"/>
      <c r="AY464" s="966"/>
      <c r="AZ464" s="966"/>
      <c r="BA464" s="966"/>
      <c r="BB464" s="966"/>
      <c r="BC464" s="966"/>
      <c r="BD464" s="966"/>
      <c r="BE464" s="966"/>
      <c r="BH464" s="966"/>
      <c r="BI464" s="966"/>
      <c r="BJ464" s="966"/>
      <c r="BK464" s="966"/>
      <c r="BL464" s="966"/>
      <c r="BM464" s="966"/>
      <c r="BN464" s="966"/>
      <c r="BO464" s="966"/>
      <c r="BP464" s="966"/>
      <c r="BQ464" s="966"/>
      <c r="BR464" s="966"/>
      <c r="BS464" s="966"/>
      <c r="BV464" s="966"/>
      <c r="BW464" s="966"/>
      <c r="BX464" s="966"/>
      <c r="CA464" s="108"/>
      <c r="CB464" s="108"/>
      <c r="CC464" s="108"/>
      <c r="CD464" s="108"/>
      <c r="CE464" s="108"/>
      <c r="CF464" s="108"/>
      <c r="CG464" s="108"/>
      <c r="CH464" s="108"/>
      <c r="CI464" s="108"/>
    </row>
    <row r="465" spans="2:87">
      <c r="B465" s="109"/>
      <c r="C465" s="109"/>
      <c r="D465" s="541"/>
      <c r="F465" s="966"/>
      <c r="G465" s="966"/>
      <c r="H465" s="966"/>
      <c r="I465" s="966"/>
      <c r="J465" s="966"/>
      <c r="K465" s="966"/>
      <c r="L465" s="966"/>
      <c r="M465" s="966"/>
      <c r="N465" s="966"/>
      <c r="O465" s="966"/>
      <c r="R465" s="966"/>
      <c r="S465" s="966"/>
      <c r="T465" s="966"/>
      <c r="U465" s="966"/>
      <c r="V465" s="966"/>
      <c r="W465" s="966"/>
      <c r="X465" s="966"/>
      <c r="Y465" s="966"/>
      <c r="Z465" s="966"/>
      <c r="AA465" s="966"/>
      <c r="AB465" s="966"/>
      <c r="AC465" s="966"/>
      <c r="AF465" s="966"/>
      <c r="AG465" s="966"/>
      <c r="AH465" s="966"/>
      <c r="AI465" s="966"/>
      <c r="AJ465" s="966"/>
      <c r="AK465" s="966"/>
      <c r="AL465" s="966"/>
      <c r="AM465" s="966"/>
      <c r="AN465" s="966"/>
      <c r="AO465" s="966"/>
      <c r="AP465" s="966"/>
      <c r="AQ465" s="966"/>
      <c r="AT465" s="966"/>
      <c r="AU465" s="966"/>
      <c r="AV465" s="966"/>
      <c r="AW465" s="966"/>
      <c r="AX465" s="966"/>
      <c r="AY465" s="966"/>
      <c r="AZ465" s="966"/>
      <c r="BA465" s="966"/>
      <c r="BB465" s="966"/>
      <c r="BC465" s="966"/>
      <c r="BD465" s="966"/>
      <c r="BE465" s="966"/>
      <c r="BH465" s="966"/>
      <c r="BI465" s="966"/>
      <c r="BJ465" s="966"/>
      <c r="BK465" s="966"/>
      <c r="BL465" s="966"/>
      <c r="BM465" s="966"/>
      <c r="BN465" s="966"/>
      <c r="BO465" s="966"/>
      <c r="BP465" s="966"/>
      <c r="BQ465" s="966"/>
      <c r="BR465" s="966"/>
      <c r="BS465" s="966"/>
      <c r="BV465" s="966"/>
      <c r="BW465" s="966"/>
      <c r="BX465" s="966"/>
      <c r="CA465" s="108"/>
      <c r="CB465" s="108"/>
      <c r="CC465" s="108"/>
      <c r="CD465" s="108"/>
      <c r="CE465" s="108"/>
      <c r="CF465" s="108"/>
      <c r="CG465" s="108"/>
      <c r="CH465" s="108"/>
      <c r="CI465" s="108"/>
    </row>
    <row r="466" spans="2:87">
      <c r="B466" s="109"/>
      <c r="C466" s="109"/>
      <c r="D466" s="541"/>
      <c r="F466" s="966"/>
      <c r="G466" s="966"/>
      <c r="H466" s="966"/>
      <c r="I466" s="966"/>
      <c r="J466" s="966"/>
      <c r="K466" s="966"/>
      <c r="L466" s="966"/>
      <c r="M466" s="966"/>
      <c r="N466" s="966"/>
      <c r="O466" s="966"/>
      <c r="R466" s="966"/>
      <c r="S466" s="966"/>
      <c r="T466" s="966"/>
      <c r="U466" s="966"/>
      <c r="V466" s="966"/>
      <c r="W466" s="966"/>
      <c r="X466" s="966"/>
      <c r="Y466" s="966"/>
      <c r="Z466" s="966"/>
      <c r="AA466" s="966"/>
      <c r="AB466" s="966"/>
      <c r="AC466" s="966"/>
      <c r="AF466" s="966"/>
      <c r="AG466" s="966"/>
      <c r="AH466" s="966"/>
      <c r="AI466" s="966"/>
      <c r="AJ466" s="966"/>
      <c r="AK466" s="966"/>
      <c r="AL466" s="966"/>
      <c r="AM466" s="966"/>
      <c r="AN466" s="966"/>
      <c r="AO466" s="966"/>
      <c r="AP466" s="966"/>
      <c r="AQ466" s="966"/>
      <c r="AT466" s="966"/>
      <c r="AU466" s="966"/>
      <c r="AV466" s="966"/>
      <c r="AW466" s="966"/>
      <c r="AX466" s="966"/>
      <c r="AY466" s="966"/>
      <c r="AZ466" s="966"/>
      <c r="BA466" s="966"/>
      <c r="BB466" s="966"/>
      <c r="BC466" s="966"/>
      <c r="BD466" s="966"/>
      <c r="BE466" s="966"/>
      <c r="BH466" s="966"/>
      <c r="BI466" s="966"/>
      <c r="BJ466" s="966"/>
      <c r="BK466" s="966"/>
      <c r="BL466" s="966"/>
      <c r="BM466" s="966"/>
      <c r="BN466" s="966"/>
      <c r="BO466" s="966"/>
      <c r="BP466" s="966"/>
      <c r="BQ466" s="966"/>
      <c r="BR466" s="966"/>
      <c r="BS466" s="966"/>
      <c r="BV466" s="966"/>
      <c r="BW466" s="966"/>
      <c r="BX466" s="966"/>
      <c r="CA466" s="108"/>
      <c r="CB466" s="108"/>
      <c r="CC466" s="108"/>
      <c r="CD466" s="108"/>
      <c r="CE466" s="108"/>
      <c r="CF466" s="108"/>
      <c r="CG466" s="108"/>
      <c r="CH466" s="108"/>
      <c r="CI466" s="108"/>
    </row>
    <row r="467" spans="2:87">
      <c r="B467" s="109"/>
      <c r="C467" s="109"/>
      <c r="D467" s="548"/>
      <c r="F467" s="966"/>
      <c r="G467" s="966"/>
      <c r="H467" s="966"/>
      <c r="I467" s="966"/>
      <c r="J467" s="966"/>
      <c r="K467" s="966"/>
      <c r="L467" s="966"/>
      <c r="M467" s="966"/>
      <c r="N467" s="966"/>
      <c r="O467" s="966"/>
      <c r="R467" s="966"/>
      <c r="S467" s="966"/>
      <c r="T467" s="966"/>
      <c r="U467" s="966"/>
      <c r="V467" s="966"/>
      <c r="W467" s="966"/>
      <c r="X467" s="966"/>
      <c r="Y467" s="966"/>
      <c r="Z467" s="966"/>
      <c r="AA467" s="966"/>
      <c r="AB467" s="966"/>
      <c r="AC467" s="966"/>
      <c r="AF467" s="966"/>
      <c r="AG467" s="966"/>
      <c r="AH467" s="966"/>
      <c r="AI467" s="966"/>
      <c r="AJ467" s="966"/>
      <c r="AK467" s="966"/>
      <c r="AL467" s="966"/>
      <c r="AM467" s="966"/>
      <c r="AN467" s="966"/>
      <c r="AO467" s="966"/>
      <c r="AP467" s="966"/>
      <c r="AQ467" s="966"/>
      <c r="AT467" s="966"/>
      <c r="AU467" s="966"/>
      <c r="AV467" s="966"/>
      <c r="AW467" s="966"/>
      <c r="AX467" s="966"/>
      <c r="AY467" s="966"/>
      <c r="AZ467" s="966"/>
      <c r="BA467" s="966"/>
      <c r="BB467" s="966"/>
      <c r="BC467" s="966"/>
      <c r="BD467" s="966"/>
      <c r="BE467" s="966"/>
      <c r="BH467" s="966"/>
      <c r="BI467" s="966"/>
      <c r="BJ467" s="966"/>
      <c r="BK467" s="966"/>
      <c r="BL467" s="966"/>
      <c r="BM467" s="966"/>
      <c r="BN467" s="966"/>
      <c r="BO467" s="966"/>
      <c r="BP467" s="966"/>
      <c r="BQ467" s="966"/>
      <c r="BR467" s="966"/>
      <c r="BS467" s="966"/>
      <c r="BV467" s="966"/>
      <c r="BW467" s="966"/>
      <c r="BX467" s="966"/>
      <c r="CA467" s="108"/>
      <c r="CB467" s="108"/>
      <c r="CC467" s="108"/>
      <c r="CD467" s="108"/>
      <c r="CE467" s="108"/>
      <c r="CF467" s="108"/>
      <c r="CG467" s="108"/>
      <c r="CH467" s="108"/>
      <c r="CI467" s="108"/>
    </row>
    <row r="468" spans="2:87">
      <c r="B468" s="109"/>
      <c r="C468" s="109"/>
      <c r="D468" s="541"/>
      <c r="F468" s="966"/>
      <c r="G468" s="966"/>
      <c r="H468" s="966"/>
      <c r="I468" s="966"/>
      <c r="J468" s="966"/>
      <c r="K468" s="966"/>
      <c r="L468" s="966"/>
      <c r="M468" s="966"/>
      <c r="N468" s="966"/>
      <c r="O468" s="966"/>
      <c r="R468" s="966"/>
      <c r="S468" s="966"/>
      <c r="T468" s="966"/>
      <c r="U468" s="966"/>
      <c r="V468" s="966"/>
      <c r="W468" s="966"/>
      <c r="X468" s="966"/>
      <c r="Y468" s="966"/>
      <c r="Z468" s="966"/>
      <c r="AA468" s="966"/>
      <c r="AB468" s="966"/>
      <c r="AC468" s="966"/>
      <c r="AF468" s="966"/>
      <c r="AG468" s="966"/>
      <c r="AH468" s="966"/>
      <c r="AI468" s="966"/>
      <c r="AJ468" s="966"/>
      <c r="AK468" s="966"/>
      <c r="AL468" s="966"/>
      <c r="AM468" s="966"/>
      <c r="AN468" s="966"/>
      <c r="AO468" s="966"/>
      <c r="AP468" s="966"/>
      <c r="AQ468" s="966"/>
      <c r="AT468" s="966"/>
      <c r="AU468" s="966"/>
      <c r="AV468" s="966"/>
      <c r="AW468" s="966"/>
      <c r="AX468" s="966"/>
      <c r="AY468" s="966"/>
      <c r="AZ468" s="966"/>
      <c r="BA468" s="966"/>
      <c r="BB468" s="966"/>
      <c r="BC468" s="966"/>
      <c r="BD468" s="966"/>
      <c r="BE468" s="966"/>
      <c r="BH468" s="966"/>
      <c r="BI468" s="966"/>
      <c r="BJ468" s="966"/>
      <c r="BK468" s="966"/>
      <c r="BL468" s="966"/>
      <c r="BM468" s="966"/>
      <c r="BN468" s="966"/>
      <c r="BO468" s="966"/>
      <c r="BP468" s="966"/>
      <c r="BQ468" s="966"/>
      <c r="BR468" s="966"/>
      <c r="BS468" s="966"/>
      <c r="BV468" s="966"/>
      <c r="BW468" s="966"/>
      <c r="BX468" s="966"/>
      <c r="CA468" s="108"/>
      <c r="CB468" s="108"/>
      <c r="CC468" s="108"/>
      <c r="CD468" s="108"/>
      <c r="CE468" s="108"/>
      <c r="CF468" s="108"/>
      <c r="CG468" s="108"/>
      <c r="CH468" s="108"/>
      <c r="CI468" s="108"/>
    </row>
    <row r="469" spans="2:87">
      <c r="B469" s="109"/>
      <c r="C469" s="109"/>
      <c r="D469" s="541"/>
      <c r="F469" s="966"/>
      <c r="G469" s="966"/>
      <c r="H469" s="966"/>
      <c r="I469" s="966"/>
      <c r="J469" s="966"/>
      <c r="K469" s="966"/>
      <c r="L469" s="966"/>
      <c r="M469" s="966"/>
      <c r="N469" s="966"/>
      <c r="O469" s="966"/>
      <c r="R469" s="966"/>
      <c r="S469" s="966"/>
      <c r="T469" s="966"/>
      <c r="U469" s="966"/>
      <c r="V469" s="966"/>
      <c r="W469" s="966"/>
      <c r="X469" s="966"/>
      <c r="Y469" s="966"/>
      <c r="Z469" s="966"/>
      <c r="AA469" s="966"/>
      <c r="AB469" s="966"/>
      <c r="AC469" s="966"/>
      <c r="AF469" s="966"/>
      <c r="AG469" s="966"/>
      <c r="AH469" s="966"/>
      <c r="AI469" s="966"/>
      <c r="AJ469" s="966"/>
      <c r="AK469" s="966"/>
      <c r="AL469" s="966"/>
      <c r="AM469" s="966"/>
      <c r="AN469" s="966"/>
      <c r="AO469" s="966"/>
      <c r="AP469" s="966"/>
      <c r="AQ469" s="966"/>
      <c r="AT469" s="966"/>
      <c r="AU469" s="966"/>
      <c r="AV469" s="966"/>
      <c r="AW469" s="966"/>
      <c r="AX469" s="966"/>
      <c r="AY469" s="966"/>
      <c r="AZ469" s="966"/>
      <c r="BA469" s="966"/>
      <c r="BB469" s="966"/>
      <c r="BC469" s="966"/>
      <c r="BD469" s="966"/>
      <c r="BE469" s="966"/>
      <c r="BH469" s="966"/>
      <c r="BI469" s="966"/>
      <c r="BJ469" s="966"/>
      <c r="BK469" s="966"/>
      <c r="BL469" s="966"/>
      <c r="BM469" s="966"/>
      <c r="BN469" s="966"/>
      <c r="BO469" s="966"/>
      <c r="BP469" s="966"/>
      <c r="BQ469" s="966"/>
      <c r="BR469" s="966"/>
      <c r="BS469" s="966"/>
      <c r="BV469" s="966"/>
      <c r="BW469" s="966"/>
      <c r="BX469" s="966"/>
      <c r="CA469" s="108"/>
      <c r="CB469" s="108"/>
      <c r="CC469" s="108"/>
      <c r="CD469" s="108"/>
      <c r="CE469" s="108"/>
      <c r="CF469" s="108"/>
      <c r="CG469" s="108"/>
      <c r="CH469" s="108"/>
      <c r="CI469" s="108"/>
    </row>
    <row r="470" spans="2:87">
      <c r="B470" s="109"/>
      <c r="C470" s="109"/>
      <c r="D470" s="541"/>
      <c r="F470" s="966"/>
      <c r="G470" s="966"/>
      <c r="H470" s="966"/>
      <c r="I470" s="966"/>
      <c r="J470" s="966"/>
      <c r="K470" s="966"/>
      <c r="L470" s="966"/>
      <c r="M470" s="966"/>
      <c r="N470" s="966"/>
      <c r="O470" s="966"/>
      <c r="R470" s="966"/>
      <c r="S470" s="966"/>
      <c r="T470" s="966"/>
      <c r="U470" s="966"/>
      <c r="V470" s="966"/>
      <c r="W470" s="966"/>
      <c r="X470" s="966"/>
      <c r="Y470" s="966"/>
      <c r="Z470" s="966"/>
      <c r="AA470" s="966"/>
      <c r="AB470" s="966"/>
      <c r="AC470" s="966"/>
      <c r="AF470" s="966"/>
      <c r="AG470" s="966"/>
      <c r="AH470" s="966"/>
      <c r="AI470" s="966"/>
      <c r="AJ470" s="966"/>
      <c r="AK470" s="966"/>
      <c r="AL470" s="966"/>
      <c r="AM470" s="966"/>
      <c r="AN470" s="966"/>
      <c r="AO470" s="966"/>
      <c r="AP470" s="966"/>
      <c r="AQ470" s="966"/>
      <c r="AT470" s="966"/>
      <c r="AU470" s="966"/>
      <c r="AV470" s="966"/>
      <c r="AW470" s="966"/>
      <c r="AX470" s="966"/>
      <c r="AY470" s="966"/>
      <c r="AZ470" s="966"/>
      <c r="BA470" s="966"/>
      <c r="BB470" s="966"/>
      <c r="BC470" s="966"/>
      <c r="BD470" s="966"/>
      <c r="BE470" s="966"/>
      <c r="BH470" s="966"/>
      <c r="BI470" s="966"/>
      <c r="BJ470" s="966"/>
      <c r="BK470" s="966"/>
      <c r="BL470" s="966"/>
      <c r="BM470" s="966"/>
      <c r="BN470" s="966"/>
      <c r="BO470" s="966"/>
      <c r="BP470" s="966"/>
      <c r="BQ470" s="966"/>
      <c r="BR470" s="966"/>
      <c r="BS470" s="966"/>
      <c r="BV470" s="966"/>
      <c r="BW470" s="966"/>
      <c r="BX470" s="966"/>
      <c r="CA470" s="108"/>
      <c r="CB470" s="108"/>
      <c r="CC470" s="108"/>
      <c r="CD470" s="108"/>
      <c r="CE470" s="108"/>
      <c r="CF470" s="108"/>
      <c r="CG470" s="108"/>
      <c r="CH470" s="108"/>
      <c r="CI470" s="108"/>
    </row>
    <row r="471" spans="2:87">
      <c r="B471" s="109"/>
      <c r="C471" s="109"/>
      <c r="D471" s="541"/>
      <c r="F471" s="966"/>
      <c r="G471" s="966"/>
      <c r="H471" s="966"/>
      <c r="I471" s="966"/>
      <c r="J471" s="966"/>
      <c r="K471" s="966"/>
      <c r="L471" s="966"/>
      <c r="M471" s="966"/>
      <c r="N471" s="966"/>
      <c r="O471" s="966"/>
      <c r="R471" s="966"/>
      <c r="S471" s="966"/>
      <c r="T471" s="966"/>
      <c r="U471" s="966"/>
      <c r="V471" s="966"/>
      <c r="W471" s="966"/>
      <c r="X471" s="966"/>
      <c r="Y471" s="966"/>
      <c r="Z471" s="966"/>
      <c r="AA471" s="966"/>
      <c r="AB471" s="966"/>
      <c r="AC471" s="966"/>
      <c r="AF471" s="966"/>
      <c r="AG471" s="966"/>
      <c r="AH471" s="966"/>
      <c r="AI471" s="966"/>
      <c r="AJ471" s="966"/>
      <c r="AK471" s="966"/>
      <c r="AL471" s="966"/>
      <c r="AM471" s="966"/>
      <c r="AN471" s="966"/>
      <c r="AO471" s="966"/>
      <c r="AP471" s="966"/>
      <c r="AQ471" s="966"/>
      <c r="AT471" s="966"/>
      <c r="AU471" s="966"/>
      <c r="AV471" s="966"/>
      <c r="AW471" s="966"/>
      <c r="AX471" s="966"/>
      <c r="AY471" s="966"/>
      <c r="AZ471" s="966"/>
      <c r="BA471" s="966"/>
      <c r="BB471" s="966"/>
      <c r="BC471" s="966"/>
      <c r="BD471" s="966"/>
      <c r="BE471" s="966"/>
      <c r="BH471" s="966"/>
      <c r="BI471" s="966"/>
      <c r="BJ471" s="966"/>
      <c r="BK471" s="966"/>
      <c r="BL471" s="966"/>
      <c r="BM471" s="966"/>
      <c r="BN471" s="966"/>
      <c r="BO471" s="966"/>
      <c r="BP471" s="966"/>
      <c r="BQ471" s="966"/>
      <c r="BR471" s="966"/>
      <c r="BS471" s="966"/>
      <c r="BV471" s="966"/>
      <c r="BW471" s="966"/>
      <c r="BX471" s="966"/>
      <c r="CA471" s="108"/>
      <c r="CB471" s="108"/>
      <c r="CC471" s="108"/>
      <c r="CD471" s="108"/>
      <c r="CE471" s="108"/>
      <c r="CF471" s="108"/>
      <c r="CG471" s="108"/>
      <c r="CH471" s="108"/>
      <c r="CI471" s="108"/>
    </row>
    <row r="472" spans="2:87">
      <c r="B472" s="109"/>
      <c r="C472" s="109"/>
      <c r="D472" s="541"/>
      <c r="F472" s="966"/>
      <c r="G472" s="966"/>
      <c r="H472" s="966"/>
      <c r="I472" s="966"/>
      <c r="J472" s="966"/>
      <c r="K472" s="966"/>
      <c r="L472" s="966"/>
      <c r="M472" s="966"/>
      <c r="N472" s="966"/>
      <c r="O472" s="966"/>
      <c r="R472" s="966"/>
      <c r="S472" s="966"/>
      <c r="T472" s="966"/>
      <c r="U472" s="966"/>
      <c r="V472" s="966"/>
      <c r="W472" s="966"/>
      <c r="X472" s="966"/>
      <c r="Y472" s="966"/>
      <c r="Z472" s="966"/>
      <c r="AA472" s="966"/>
      <c r="AB472" s="966"/>
      <c r="AC472" s="966"/>
      <c r="AF472" s="966"/>
      <c r="AG472" s="966"/>
      <c r="AH472" s="966"/>
      <c r="AI472" s="966"/>
      <c r="AJ472" s="966"/>
      <c r="AK472" s="966"/>
      <c r="AL472" s="966"/>
      <c r="AM472" s="966"/>
      <c r="AN472" s="966"/>
      <c r="AO472" s="966"/>
      <c r="AP472" s="966"/>
      <c r="AQ472" s="966"/>
      <c r="AT472" s="966"/>
      <c r="AU472" s="966"/>
      <c r="AV472" s="966"/>
      <c r="AW472" s="966"/>
      <c r="AX472" s="966"/>
      <c r="AY472" s="966"/>
      <c r="AZ472" s="966"/>
      <c r="BA472" s="966"/>
      <c r="BB472" s="966"/>
      <c r="BC472" s="966"/>
      <c r="BD472" s="966"/>
      <c r="BE472" s="966"/>
      <c r="BH472" s="966"/>
      <c r="BI472" s="966"/>
      <c r="BJ472" s="966"/>
      <c r="BK472" s="966"/>
      <c r="BL472" s="966"/>
      <c r="BM472" s="966"/>
      <c r="BN472" s="966"/>
      <c r="BO472" s="966"/>
      <c r="BP472" s="966"/>
      <c r="BQ472" s="966"/>
      <c r="BR472" s="966"/>
      <c r="BS472" s="966"/>
      <c r="BV472" s="966"/>
      <c r="BW472" s="966"/>
      <c r="BX472" s="966"/>
      <c r="CA472" s="108"/>
      <c r="CB472" s="108"/>
      <c r="CC472" s="108"/>
      <c r="CD472" s="108"/>
      <c r="CE472" s="108"/>
      <c r="CF472" s="108"/>
      <c r="CG472" s="108"/>
      <c r="CH472" s="108"/>
      <c r="CI472" s="108"/>
    </row>
    <row r="473" spans="2:87">
      <c r="B473" s="109"/>
      <c r="C473" s="109"/>
      <c r="D473" s="541"/>
      <c r="F473" s="966"/>
      <c r="G473" s="966"/>
      <c r="H473" s="966"/>
      <c r="I473" s="966"/>
      <c r="J473" s="966"/>
      <c r="K473" s="966"/>
      <c r="L473" s="966"/>
      <c r="M473" s="966"/>
      <c r="N473" s="966"/>
      <c r="O473" s="966"/>
      <c r="R473" s="966"/>
      <c r="S473" s="966"/>
      <c r="T473" s="966"/>
      <c r="U473" s="966"/>
      <c r="V473" s="966"/>
      <c r="W473" s="966"/>
      <c r="X473" s="966"/>
      <c r="Y473" s="966"/>
      <c r="Z473" s="966"/>
      <c r="AA473" s="966"/>
      <c r="AB473" s="966"/>
      <c r="AC473" s="966"/>
      <c r="AF473" s="966"/>
      <c r="AG473" s="966"/>
      <c r="AH473" s="966"/>
      <c r="AI473" s="966"/>
      <c r="AJ473" s="966"/>
      <c r="AK473" s="966"/>
      <c r="AL473" s="966"/>
      <c r="AM473" s="966"/>
      <c r="AN473" s="966"/>
      <c r="AO473" s="966"/>
      <c r="AP473" s="966"/>
      <c r="AQ473" s="966"/>
      <c r="AT473" s="966"/>
      <c r="AU473" s="966"/>
      <c r="AV473" s="966"/>
      <c r="AW473" s="966"/>
      <c r="AX473" s="966"/>
      <c r="AY473" s="966"/>
      <c r="AZ473" s="966"/>
      <c r="BA473" s="966"/>
      <c r="BB473" s="966"/>
      <c r="BC473" s="966"/>
      <c r="BD473" s="966"/>
      <c r="BE473" s="966"/>
      <c r="BH473" s="966"/>
      <c r="BI473" s="966"/>
      <c r="BJ473" s="966"/>
      <c r="BK473" s="966"/>
      <c r="BL473" s="966"/>
      <c r="BM473" s="966"/>
      <c r="BN473" s="966"/>
      <c r="BO473" s="966"/>
      <c r="BP473" s="966"/>
      <c r="BQ473" s="966"/>
      <c r="BR473" s="966"/>
      <c r="BS473" s="966"/>
      <c r="BV473" s="966"/>
      <c r="BW473" s="966"/>
      <c r="BX473" s="966"/>
      <c r="CA473" s="108"/>
      <c r="CB473" s="108"/>
      <c r="CC473" s="108"/>
      <c r="CD473" s="108"/>
      <c r="CE473" s="108"/>
      <c r="CF473" s="108"/>
      <c r="CG473" s="108"/>
      <c r="CH473" s="108"/>
      <c r="CI473" s="108"/>
    </row>
    <row r="474" spans="2:87">
      <c r="B474" s="109"/>
      <c r="C474" s="109"/>
      <c r="D474" s="541"/>
      <c r="F474" s="966"/>
      <c r="G474" s="966"/>
      <c r="H474" s="966"/>
      <c r="I474" s="966"/>
      <c r="J474" s="966"/>
      <c r="K474" s="966"/>
      <c r="L474" s="966"/>
      <c r="M474" s="966"/>
      <c r="N474" s="966"/>
      <c r="O474" s="966"/>
      <c r="R474" s="966"/>
      <c r="S474" s="966"/>
      <c r="T474" s="966"/>
      <c r="U474" s="966"/>
      <c r="V474" s="966"/>
      <c r="W474" s="966"/>
      <c r="X474" s="966"/>
      <c r="Y474" s="966"/>
      <c r="Z474" s="966"/>
      <c r="AA474" s="966"/>
      <c r="AB474" s="966"/>
      <c r="AC474" s="966"/>
      <c r="AF474" s="966"/>
      <c r="AG474" s="966"/>
      <c r="AH474" s="966"/>
      <c r="AI474" s="966"/>
      <c r="AJ474" s="966"/>
      <c r="AK474" s="966"/>
      <c r="AL474" s="966"/>
      <c r="AM474" s="966"/>
      <c r="AN474" s="966"/>
      <c r="AO474" s="966"/>
      <c r="AP474" s="966"/>
      <c r="AQ474" s="966"/>
      <c r="AT474" s="966"/>
      <c r="AU474" s="966"/>
      <c r="AV474" s="966"/>
      <c r="AW474" s="966"/>
      <c r="AX474" s="966"/>
      <c r="AY474" s="966"/>
      <c r="AZ474" s="966"/>
      <c r="BA474" s="966"/>
      <c r="BB474" s="966"/>
      <c r="BC474" s="966"/>
      <c r="BD474" s="966"/>
      <c r="BE474" s="966"/>
      <c r="BH474" s="966"/>
      <c r="BI474" s="966"/>
      <c r="BJ474" s="966"/>
      <c r="BK474" s="966"/>
      <c r="BL474" s="966"/>
      <c r="BM474" s="966"/>
      <c r="BN474" s="966"/>
      <c r="BO474" s="966"/>
      <c r="BP474" s="966"/>
      <c r="BQ474" s="966"/>
      <c r="BR474" s="966"/>
      <c r="BS474" s="966"/>
      <c r="BV474" s="966"/>
      <c r="BW474" s="966"/>
      <c r="BX474" s="966"/>
      <c r="CA474" s="108"/>
      <c r="CB474" s="108"/>
      <c r="CC474" s="108"/>
      <c r="CD474" s="108"/>
      <c r="CE474" s="108"/>
      <c r="CF474" s="108"/>
      <c r="CG474" s="108"/>
      <c r="CH474" s="108"/>
      <c r="CI474" s="108"/>
    </row>
    <row r="475" spans="2:87">
      <c r="B475" s="109"/>
      <c r="C475" s="109"/>
      <c r="D475" s="541"/>
      <c r="F475" s="966"/>
      <c r="G475" s="966"/>
      <c r="H475" s="966"/>
      <c r="I475" s="966"/>
      <c r="J475" s="966"/>
      <c r="K475" s="966"/>
      <c r="L475" s="966"/>
      <c r="M475" s="966"/>
      <c r="N475" s="966"/>
      <c r="O475" s="966"/>
      <c r="R475" s="966"/>
      <c r="S475" s="966"/>
      <c r="T475" s="966"/>
      <c r="U475" s="966"/>
      <c r="V475" s="966"/>
      <c r="W475" s="966"/>
      <c r="X475" s="966"/>
      <c r="Y475" s="966"/>
      <c r="Z475" s="966"/>
      <c r="AA475" s="966"/>
      <c r="AB475" s="966"/>
      <c r="AC475" s="966"/>
      <c r="AF475" s="966"/>
      <c r="AG475" s="966"/>
      <c r="AH475" s="966"/>
      <c r="AI475" s="966"/>
      <c r="AJ475" s="966"/>
      <c r="AK475" s="966"/>
      <c r="AL475" s="966"/>
      <c r="AM475" s="966"/>
      <c r="AN475" s="966"/>
      <c r="AO475" s="966"/>
      <c r="AP475" s="966"/>
      <c r="AQ475" s="966"/>
      <c r="AT475" s="966"/>
      <c r="AU475" s="966"/>
      <c r="AV475" s="966"/>
      <c r="AW475" s="966"/>
      <c r="AX475" s="966"/>
      <c r="AY475" s="966"/>
      <c r="AZ475" s="966"/>
      <c r="BA475" s="966"/>
      <c r="BB475" s="966"/>
      <c r="BC475" s="966"/>
      <c r="BD475" s="966"/>
      <c r="BE475" s="966"/>
      <c r="BH475" s="966"/>
      <c r="BI475" s="966"/>
      <c r="BJ475" s="966"/>
      <c r="BK475" s="966"/>
      <c r="BL475" s="966"/>
      <c r="BM475" s="966"/>
      <c r="BN475" s="966"/>
      <c r="BO475" s="966"/>
      <c r="BP475" s="966"/>
      <c r="BQ475" s="966"/>
      <c r="BR475" s="966"/>
      <c r="BS475" s="966"/>
      <c r="BV475" s="966"/>
      <c r="BW475" s="966"/>
      <c r="BX475" s="966"/>
      <c r="CA475" s="108"/>
      <c r="CB475" s="108"/>
      <c r="CC475" s="108"/>
      <c r="CD475" s="108"/>
      <c r="CE475" s="108"/>
      <c r="CF475" s="108"/>
      <c r="CG475" s="108"/>
      <c r="CH475" s="108"/>
      <c r="CI475" s="108"/>
    </row>
    <row r="476" spans="2:87">
      <c r="B476" s="109"/>
      <c r="C476" s="109"/>
      <c r="D476" s="541"/>
      <c r="F476" s="966"/>
      <c r="G476" s="966"/>
      <c r="H476" s="966"/>
      <c r="I476" s="966"/>
      <c r="J476" s="966"/>
      <c r="K476" s="966"/>
      <c r="L476" s="966"/>
      <c r="M476" s="966"/>
      <c r="N476" s="966"/>
      <c r="O476" s="966"/>
      <c r="R476" s="966"/>
      <c r="S476" s="966"/>
      <c r="T476" s="966"/>
      <c r="U476" s="966"/>
      <c r="V476" s="966"/>
      <c r="W476" s="966"/>
      <c r="X476" s="966"/>
      <c r="Y476" s="966"/>
      <c r="Z476" s="966"/>
      <c r="AA476" s="966"/>
      <c r="AB476" s="966"/>
      <c r="AC476" s="966"/>
      <c r="AF476" s="966"/>
      <c r="AG476" s="966"/>
      <c r="AH476" s="966"/>
      <c r="AI476" s="966"/>
      <c r="AJ476" s="966"/>
      <c r="AK476" s="966"/>
      <c r="AL476" s="966"/>
      <c r="AM476" s="966"/>
      <c r="AN476" s="966"/>
      <c r="AO476" s="966"/>
      <c r="AP476" s="966"/>
      <c r="AQ476" s="966"/>
      <c r="AT476" s="966"/>
      <c r="AU476" s="966"/>
      <c r="AV476" s="966"/>
      <c r="AW476" s="966"/>
      <c r="AX476" s="966"/>
      <c r="AY476" s="966"/>
      <c r="AZ476" s="966"/>
      <c r="BA476" s="966"/>
      <c r="BB476" s="966"/>
      <c r="BC476" s="966"/>
      <c r="BD476" s="966"/>
      <c r="BE476" s="966"/>
      <c r="BH476" s="966"/>
      <c r="BI476" s="966"/>
      <c r="BJ476" s="966"/>
      <c r="BK476" s="966"/>
      <c r="BL476" s="966"/>
      <c r="BM476" s="966"/>
      <c r="BN476" s="966"/>
      <c r="BO476" s="966"/>
      <c r="BP476" s="966"/>
      <c r="BQ476" s="966"/>
      <c r="BR476" s="966"/>
      <c r="BS476" s="966"/>
      <c r="BV476" s="966"/>
      <c r="BW476" s="966"/>
      <c r="BX476" s="966"/>
      <c r="CA476" s="108"/>
      <c r="CB476" s="108"/>
      <c r="CC476" s="108"/>
      <c r="CD476" s="108"/>
      <c r="CE476" s="108"/>
      <c r="CF476" s="108"/>
      <c r="CG476" s="108"/>
      <c r="CH476" s="108"/>
      <c r="CI476" s="108"/>
    </row>
    <row r="477" spans="2:87">
      <c r="B477" s="109"/>
      <c r="C477" s="109"/>
      <c r="D477" s="541"/>
      <c r="F477" s="966"/>
      <c r="G477" s="966"/>
      <c r="H477" s="966"/>
      <c r="I477" s="966"/>
      <c r="J477" s="966"/>
      <c r="K477" s="966"/>
      <c r="L477" s="966"/>
      <c r="M477" s="966"/>
      <c r="N477" s="966"/>
      <c r="O477" s="966"/>
      <c r="R477" s="966"/>
      <c r="S477" s="966"/>
      <c r="T477" s="966"/>
      <c r="U477" s="966"/>
      <c r="V477" s="966"/>
      <c r="W477" s="966"/>
      <c r="X477" s="966"/>
      <c r="Y477" s="966"/>
      <c r="Z477" s="966"/>
      <c r="AA477" s="966"/>
      <c r="AB477" s="966"/>
      <c r="AC477" s="966"/>
      <c r="AF477" s="966"/>
      <c r="AG477" s="966"/>
      <c r="AH477" s="966"/>
      <c r="AI477" s="966"/>
      <c r="AJ477" s="966"/>
      <c r="AK477" s="966"/>
      <c r="AL477" s="966"/>
      <c r="AM477" s="966"/>
      <c r="AN477" s="966"/>
      <c r="AO477" s="966"/>
      <c r="AP477" s="966"/>
      <c r="AQ477" s="966"/>
      <c r="AT477" s="966"/>
      <c r="AU477" s="966"/>
      <c r="AV477" s="966"/>
      <c r="AW477" s="966"/>
      <c r="AX477" s="966"/>
      <c r="AY477" s="966"/>
      <c r="AZ477" s="966"/>
      <c r="BA477" s="966"/>
      <c r="BB477" s="966"/>
      <c r="BC477" s="966"/>
      <c r="BD477" s="966"/>
      <c r="BE477" s="966"/>
      <c r="BH477" s="966"/>
      <c r="BI477" s="966"/>
      <c r="BJ477" s="966"/>
      <c r="BK477" s="966"/>
      <c r="BL477" s="966"/>
      <c r="BM477" s="966"/>
      <c r="BN477" s="966"/>
      <c r="BO477" s="966"/>
      <c r="BP477" s="966"/>
      <c r="BQ477" s="966"/>
      <c r="BR477" s="966"/>
      <c r="BS477" s="966"/>
      <c r="BV477" s="966"/>
      <c r="BW477" s="966"/>
      <c r="BX477" s="966"/>
      <c r="CA477" s="108"/>
      <c r="CB477" s="108"/>
      <c r="CC477" s="108"/>
      <c r="CD477" s="108"/>
      <c r="CE477" s="108"/>
      <c r="CF477" s="108"/>
      <c r="CG477" s="108"/>
      <c r="CH477" s="108"/>
      <c r="CI477" s="108"/>
    </row>
    <row r="478" spans="2:87">
      <c r="B478" s="109"/>
      <c r="C478" s="109"/>
      <c r="D478" s="541"/>
      <c r="F478" s="966"/>
      <c r="G478" s="966"/>
      <c r="H478" s="966"/>
      <c r="I478" s="966"/>
      <c r="J478" s="966"/>
      <c r="K478" s="966"/>
      <c r="L478" s="966"/>
      <c r="M478" s="966"/>
      <c r="N478" s="966"/>
      <c r="O478" s="966"/>
      <c r="R478" s="966"/>
      <c r="S478" s="966"/>
      <c r="T478" s="966"/>
      <c r="U478" s="966"/>
      <c r="V478" s="966"/>
      <c r="W478" s="966"/>
      <c r="X478" s="966"/>
      <c r="Y478" s="966"/>
      <c r="Z478" s="966"/>
      <c r="AA478" s="966"/>
      <c r="AB478" s="966"/>
      <c r="AC478" s="966"/>
      <c r="AF478" s="966"/>
      <c r="AG478" s="966"/>
      <c r="AH478" s="966"/>
      <c r="AI478" s="966"/>
      <c r="AJ478" s="966"/>
      <c r="AK478" s="966"/>
      <c r="AL478" s="966"/>
      <c r="AM478" s="966"/>
      <c r="AN478" s="966"/>
      <c r="AO478" s="966"/>
      <c r="AP478" s="966"/>
      <c r="AQ478" s="966"/>
      <c r="AT478" s="966"/>
      <c r="AU478" s="966"/>
      <c r="AV478" s="966"/>
      <c r="AW478" s="966"/>
      <c r="AX478" s="966"/>
      <c r="AY478" s="966"/>
      <c r="AZ478" s="966"/>
      <c r="BA478" s="966"/>
      <c r="BB478" s="966"/>
      <c r="BC478" s="966"/>
      <c r="BD478" s="966"/>
      <c r="BE478" s="966"/>
      <c r="BH478" s="966"/>
      <c r="BI478" s="966"/>
      <c r="BJ478" s="966"/>
      <c r="BK478" s="966"/>
      <c r="BL478" s="966"/>
      <c r="BM478" s="966"/>
      <c r="BN478" s="966"/>
      <c r="BO478" s="966"/>
      <c r="BP478" s="966"/>
      <c r="BQ478" s="966"/>
      <c r="BR478" s="966"/>
      <c r="BS478" s="966"/>
      <c r="BV478" s="966"/>
      <c r="BW478" s="966"/>
      <c r="BX478" s="966"/>
      <c r="CA478" s="108"/>
      <c r="CB478" s="108"/>
      <c r="CC478" s="108"/>
      <c r="CD478" s="108"/>
      <c r="CE478" s="108"/>
      <c r="CF478" s="108"/>
      <c r="CG478" s="108"/>
      <c r="CH478" s="108"/>
      <c r="CI478" s="108"/>
    </row>
    <row r="479" spans="2:87">
      <c r="B479" s="109"/>
      <c r="C479" s="109"/>
      <c r="D479" s="541"/>
      <c r="F479" s="966"/>
      <c r="G479" s="966"/>
      <c r="H479" s="966"/>
      <c r="I479" s="966"/>
      <c r="J479" s="966"/>
      <c r="K479" s="966"/>
      <c r="L479" s="966"/>
      <c r="M479" s="966"/>
      <c r="N479" s="966"/>
      <c r="O479" s="966"/>
      <c r="R479" s="966"/>
      <c r="S479" s="966"/>
      <c r="T479" s="966"/>
      <c r="U479" s="966"/>
      <c r="V479" s="966"/>
      <c r="W479" s="966"/>
      <c r="X479" s="966"/>
      <c r="Y479" s="966"/>
      <c r="Z479" s="966"/>
      <c r="AA479" s="966"/>
      <c r="AB479" s="966"/>
      <c r="AC479" s="966"/>
      <c r="AF479" s="966"/>
      <c r="AG479" s="966"/>
      <c r="AH479" s="966"/>
      <c r="AI479" s="966"/>
      <c r="AJ479" s="966"/>
      <c r="AK479" s="966"/>
      <c r="AL479" s="966"/>
      <c r="AM479" s="966"/>
      <c r="AN479" s="966"/>
      <c r="AO479" s="966"/>
      <c r="AP479" s="966"/>
      <c r="AQ479" s="966"/>
      <c r="AT479" s="966"/>
      <c r="AU479" s="966"/>
      <c r="AV479" s="966"/>
      <c r="AW479" s="966"/>
      <c r="AX479" s="966"/>
      <c r="AY479" s="966"/>
      <c r="AZ479" s="966"/>
      <c r="BA479" s="966"/>
      <c r="BB479" s="966"/>
      <c r="BC479" s="966"/>
      <c r="BD479" s="966"/>
      <c r="BE479" s="966"/>
      <c r="BH479" s="966"/>
      <c r="BI479" s="966"/>
      <c r="BJ479" s="966"/>
      <c r="BK479" s="966"/>
      <c r="BL479" s="966"/>
      <c r="BM479" s="966"/>
      <c r="BN479" s="966"/>
      <c r="BO479" s="966"/>
      <c r="BP479" s="966"/>
      <c r="BQ479" s="966"/>
      <c r="BR479" s="966"/>
      <c r="BS479" s="966"/>
      <c r="BV479" s="966"/>
      <c r="BW479" s="966"/>
      <c r="BX479" s="966"/>
      <c r="CA479" s="108"/>
      <c r="CB479" s="108"/>
      <c r="CC479" s="108"/>
      <c r="CD479" s="108"/>
      <c r="CE479" s="108"/>
      <c r="CF479" s="108"/>
      <c r="CG479" s="108"/>
      <c r="CH479" s="108"/>
      <c r="CI479" s="108"/>
    </row>
    <row r="480" spans="2:87">
      <c r="B480" s="109"/>
      <c r="C480" s="109"/>
      <c r="D480" s="541"/>
      <c r="F480" s="966"/>
      <c r="G480" s="966"/>
      <c r="H480" s="966"/>
      <c r="I480" s="966"/>
      <c r="J480" s="966"/>
      <c r="K480" s="966"/>
      <c r="L480" s="966"/>
      <c r="M480" s="966"/>
      <c r="N480" s="966"/>
      <c r="O480" s="966"/>
      <c r="R480" s="966"/>
      <c r="S480" s="966"/>
      <c r="T480" s="966"/>
      <c r="U480" s="966"/>
      <c r="V480" s="966"/>
      <c r="W480" s="966"/>
      <c r="X480" s="966"/>
      <c r="Y480" s="966"/>
      <c r="Z480" s="966"/>
      <c r="AA480" s="966"/>
      <c r="AB480" s="966"/>
      <c r="AC480" s="966"/>
      <c r="AF480" s="966"/>
      <c r="AG480" s="966"/>
      <c r="AH480" s="966"/>
      <c r="AI480" s="966"/>
      <c r="AJ480" s="966"/>
      <c r="AK480" s="966"/>
      <c r="AL480" s="966"/>
      <c r="AM480" s="966"/>
      <c r="AN480" s="966"/>
      <c r="AO480" s="966"/>
      <c r="AP480" s="966"/>
      <c r="AQ480" s="966"/>
      <c r="AT480" s="966"/>
      <c r="AU480" s="966"/>
      <c r="AV480" s="966"/>
      <c r="AW480" s="966"/>
      <c r="AX480" s="966"/>
      <c r="AY480" s="966"/>
      <c r="AZ480" s="966"/>
      <c r="BA480" s="966"/>
      <c r="BB480" s="966"/>
      <c r="BC480" s="966"/>
      <c r="BD480" s="966"/>
      <c r="BE480" s="966"/>
      <c r="BH480" s="966"/>
      <c r="BI480" s="966"/>
      <c r="BJ480" s="966"/>
      <c r="BK480" s="966"/>
      <c r="BL480" s="966"/>
      <c r="BM480" s="966"/>
      <c r="BN480" s="966"/>
      <c r="BO480" s="966"/>
      <c r="BP480" s="966"/>
      <c r="BQ480" s="966"/>
      <c r="BR480" s="966"/>
      <c r="BS480" s="966"/>
      <c r="BV480" s="966"/>
      <c r="BW480" s="966"/>
      <c r="BX480" s="966"/>
      <c r="CA480" s="108"/>
      <c r="CB480" s="108"/>
      <c r="CC480" s="108"/>
      <c r="CD480" s="108"/>
      <c r="CE480" s="108"/>
      <c r="CF480" s="108"/>
      <c r="CG480" s="108"/>
      <c r="CH480" s="108"/>
      <c r="CI480" s="108"/>
    </row>
    <row r="481" spans="2:87">
      <c r="B481" s="109"/>
      <c r="C481" s="109"/>
      <c r="D481" s="541"/>
      <c r="F481" s="966"/>
      <c r="G481" s="966"/>
      <c r="H481" s="966"/>
      <c r="I481" s="966"/>
      <c r="J481" s="966"/>
      <c r="K481" s="966"/>
      <c r="L481" s="966"/>
      <c r="M481" s="966"/>
      <c r="N481" s="966"/>
      <c r="O481" s="966"/>
      <c r="R481" s="966"/>
      <c r="S481" s="966"/>
      <c r="T481" s="966"/>
      <c r="U481" s="966"/>
      <c r="V481" s="966"/>
      <c r="W481" s="966"/>
      <c r="X481" s="966"/>
      <c r="Y481" s="966"/>
      <c r="Z481" s="966"/>
      <c r="AA481" s="966"/>
      <c r="AB481" s="966"/>
      <c r="AC481" s="966"/>
      <c r="AF481" s="966"/>
      <c r="AG481" s="966"/>
      <c r="AH481" s="966"/>
      <c r="AI481" s="966"/>
      <c r="AJ481" s="966"/>
      <c r="AK481" s="966"/>
      <c r="AL481" s="966"/>
      <c r="AM481" s="966"/>
      <c r="AN481" s="966"/>
      <c r="AO481" s="966"/>
      <c r="AP481" s="966"/>
      <c r="AQ481" s="966"/>
      <c r="AT481" s="966"/>
      <c r="AU481" s="966"/>
      <c r="AV481" s="966"/>
      <c r="AW481" s="966"/>
      <c r="AX481" s="966"/>
      <c r="AY481" s="966"/>
      <c r="AZ481" s="966"/>
      <c r="BA481" s="966"/>
      <c r="BB481" s="966"/>
      <c r="BC481" s="966"/>
      <c r="BD481" s="966"/>
      <c r="BE481" s="966"/>
      <c r="BH481" s="966"/>
      <c r="BI481" s="966"/>
      <c r="BJ481" s="966"/>
      <c r="BK481" s="966"/>
      <c r="BL481" s="966"/>
      <c r="BM481" s="966"/>
      <c r="BN481" s="966"/>
      <c r="BO481" s="966"/>
      <c r="BP481" s="966"/>
      <c r="BQ481" s="966"/>
      <c r="BR481" s="966"/>
      <c r="BS481" s="966"/>
      <c r="BV481" s="966"/>
      <c r="BW481" s="966"/>
      <c r="BX481" s="966"/>
      <c r="CA481" s="108"/>
      <c r="CB481" s="108"/>
      <c r="CC481" s="108"/>
      <c r="CD481" s="108"/>
      <c r="CE481" s="108"/>
      <c r="CF481" s="108"/>
      <c r="CG481" s="108"/>
      <c r="CH481" s="108"/>
      <c r="CI481" s="108"/>
    </row>
    <row r="482" spans="2:87">
      <c r="B482" s="109"/>
      <c r="C482" s="109"/>
      <c r="D482" s="541"/>
      <c r="F482" s="966"/>
      <c r="G482" s="966"/>
      <c r="H482" s="966"/>
      <c r="I482" s="966"/>
      <c r="J482" s="966"/>
      <c r="K482" s="966"/>
      <c r="L482" s="966"/>
      <c r="M482" s="966"/>
      <c r="N482" s="966"/>
      <c r="O482" s="966"/>
      <c r="R482" s="966"/>
      <c r="S482" s="966"/>
      <c r="T482" s="966"/>
      <c r="U482" s="966"/>
      <c r="V482" s="966"/>
      <c r="W482" s="966"/>
      <c r="X482" s="966"/>
      <c r="Y482" s="966"/>
      <c r="Z482" s="966"/>
      <c r="AA482" s="966"/>
      <c r="AB482" s="966"/>
      <c r="AC482" s="966"/>
      <c r="AF482" s="966"/>
      <c r="AG482" s="966"/>
      <c r="AH482" s="966"/>
      <c r="AI482" s="966"/>
      <c r="AJ482" s="966"/>
      <c r="AK482" s="966"/>
      <c r="AL482" s="966"/>
      <c r="AM482" s="966"/>
      <c r="AN482" s="966"/>
      <c r="AO482" s="966"/>
      <c r="AP482" s="966"/>
      <c r="AQ482" s="966"/>
      <c r="AT482" s="966"/>
      <c r="AU482" s="966"/>
      <c r="AV482" s="966"/>
      <c r="AW482" s="966"/>
      <c r="AX482" s="966"/>
      <c r="AY482" s="966"/>
      <c r="AZ482" s="966"/>
      <c r="BA482" s="966"/>
      <c r="BB482" s="966"/>
      <c r="BC482" s="966"/>
      <c r="BD482" s="966"/>
      <c r="BE482" s="966"/>
      <c r="BH482" s="966"/>
      <c r="BI482" s="966"/>
      <c r="BJ482" s="966"/>
      <c r="BK482" s="966"/>
      <c r="BL482" s="966"/>
      <c r="BM482" s="966"/>
      <c r="BN482" s="966"/>
      <c r="BO482" s="966"/>
      <c r="BP482" s="966"/>
      <c r="BQ482" s="966"/>
      <c r="BR482" s="966"/>
      <c r="BS482" s="966"/>
      <c r="BV482" s="966"/>
      <c r="BW482" s="966"/>
      <c r="BX482" s="966"/>
      <c r="CA482" s="108"/>
      <c r="CB482" s="108"/>
      <c r="CC482" s="108"/>
      <c r="CD482" s="108"/>
      <c r="CE482" s="108"/>
      <c r="CF482" s="108"/>
      <c r="CG482" s="108"/>
      <c r="CH482" s="108"/>
      <c r="CI482" s="108"/>
    </row>
    <row r="483" spans="2:87">
      <c r="B483" s="109"/>
      <c r="C483" s="109"/>
      <c r="D483" s="541"/>
      <c r="F483" s="966"/>
      <c r="G483" s="966"/>
      <c r="H483" s="966"/>
      <c r="I483" s="966"/>
      <c r="J483" s="966"/>
      <c r="K483" s="966"/>
      <c r="L483" s="966"/>
      <c r="M483" s="966"/>
      <c r="N483" s="966"/>
      <c r="O483" s="966"/>
      <c r="R483" s="966"/>
      <c r="S483" s="966"/>
      <c r="T483" s="966"/>
      <c r="U483" s="966"/>
      <c r="V483" s="966"/>
      <c r="W483" s="966"/>
      <c r="X483" s="966"/>
      <c r="Y483" s="966"/>
      <c r="Z483" s="966"/>
      <c r="AA483" s="966"/>
      <c r="AB483" s="966"/>
      <c r="AC483" s="966"/>
      <c r="AF483" s="966"/>
      <c r="AG483" s="966"/>
      <c r="AH483" s="966"/>
      <c r="AI483" s="966"/>
      <c r="AJ483" s="966"/>
      <c r="AK483" s="966"/>
      <c r="AL483" s="966"/>
      <c r="AM483" s="966"/>
      <c r="AN483" s="966"/>
      <c r="AO483" s="966"/>
      <c r="AP483" s="966"/>
      <c r="AQ483" s="966"/>
      <c r="AT483" s="966"/>
      <c r="AU483" s="966"/>
      <c r="AV483" s="966"/>
      <c r="AW483" s="966"/>
      <c r="AX483" s="966"/>
      <c r="AY483" s="966"/>
      <c r="AZ483" s="966"/>
      <c r="BA483" s="966"/>
      <c r="BB483" s="966"/>
      <c r="BC483" s="966"/>
      <c r="BD483" s="966"/>
      <c r="BE483" s="966"/>
      <c r="BH483" s="966"/>
      <c r="BI483" s="966"/>
      <c r="BJ483" s="966"/>
      <c r="BK483" s="966"/>
      <c r="BL483" s="966"/>
      <c r="BM483" s="966"/>
      <c r="BN483" s="966"/>
      <c r="BO483" s="966"/>
      <c r="BP483" s="966"/>
      <c r="BQ483" s="966"/>
      <c r="BR483" s="966"/>
      <c r="BS483" s="966"/>
      <c r="BV483" s="966"/>
      <c r="BW483" s="966"/>
      <c r="BX483" s="966"/>
      <c r="CA483" s="108"/>
      <c r="CB483" s="108"/>
      <c r="CC483" s="108"/>
      <c r="CD483" s="108"/>
      <c r="CE483" s="108"/>
      <c r="CF483" s="108"/>
      <c r="CG483" s="108"/>
      <c r="CH483" s="108"/>
      <c r="CI483" s="108"/>
    </row>
    <row r="484" spans="2:87">
      <c r="B484" s="109"/>
      <c r="C484" s="109"/>
      <c r="D484" s="541"/>
      <c r="F484" s="966"/>
      <c r="G484" s="966"/>
      <c r="H484" s="966"/>
      <c r="I484" s="966"/>
      <c r="J484" s="966"/>
      <c r="K484" s="966"/>
      <c r="L484" s="966"/>
      <c r="M484" s="966"/>
      <c r="N484" s="966"/>
      <c r="O484" s="966"/>
      <c r="R484" s="966"/>
      <c r="S484" s="966"/>
      <c r="T484" s="966"/>
      <c r="U484" s="966"/>
      <c r="V484" s="966"/>
      <c r="W484" s="966"/>
      <c r="X484" s="966"/>
      <c r="Y484" s="966"/>
      <c r="Z484" s="966"/>
      <c r="AA484" s="966"/>
      <c r="AB484" s="966"/>
      <c r="AC484" s="966"/>
      <c r="AF484" s="966"/>
      <c r="AG484" s="966"/>
      <c r="AH484" s="966"/>
      <c r="AI484" s="966"/>
      <c r="AJ484" s="966"/>
      <c r="AK484" s="966"/>
      <c r="AL484" s="966"/>
      <c r="AM484" s="966"/>
      <c r="AN484" s="966"/>
      <c r="AO484" s="966"/>
      <c r="AP484" s="966"/>
      <c r="AQ484" s="966"/>
      <c r="AT484" s="966"/>
      <c r="AU484" s="966"/>
      <c r="AV484" s="966"/>
      <c r="AW484" s="966"/>
      <c r="AX484" s="966"/>
      <c r="AY484" s="966"/>
      <c r="AZ484" s="966"/>
      <c r="BA484" s="966"/>
      <c r="BB484" s="966"/>
      <c r="BC484" s="966"/>
      <c r="BD484" s="966"/>
      <c r="BE484" s="966"/>
      <c r="BH484" s="966"/>
      <c r="BI484" s="966"/>
      <c r="BJ484" s="966"/>
      <c r="BK484" s="966"/>
      <c r="BL484" s="966"/>
      <c r="BM484" s="966"/>
      <c r="BN484" s="966"/>
      <c r="BO484" s="966"/>
      <c r="BP484" s="966"/>
      <c r="BQ484" s="966"/>
      <c r="BR484" s="966"/>
      <c r="BS484" s="966"/>
      <c r="BV484" s="966"/>
      <c r="BW484" s="966"/>
      <c r="BX484" s="966"/>
      <c r="CA484" s="108"/>
      <c r="CB484" s="108"/>
      <c r="CC484" s="108"/>
      <c r="CD484" s="108"/>
      <c r="CE484" s="108"/>
      <c r="CF484" s="108"/>
      <c r="CG484" s="108"/>
      <c r="CH484" s="108"/>
      <c r="CI484" s="108"/>
    </row>
    <row r="485" spans="2:87">
      <c r="B485" s="109"/>
      <c r="C485" s="109"/>
      <c r="D485" s="541"/>
      <c r="F485" s="966"/>
      <c r="G485" s="966"/>
      <c r="H485" s="966"/>
      <c r="I485" s="966"/>
      <c r="J485" s="966"/>
      <c r="K485" s="966"/>
      <c r="L485" s="966"/>
      <c r="M485" s="966"/>
      <c r="N485" s="966"/>
      <c r="O485" s="966"/>
      <c r="R485" s="966"/>
      <c r="S485" s="966"/>
      <c r="T485" s="966"/>
      <c r="U485" s="966"/>
      <c r="V485" s="966"/>
      <c r="W485" s="966"/>
      <c r="X485" s="966"/>
      <c r="Y485" s="966"/>
      <c r="Z485" s="966"/>
      <c r="AA485" s="966"/>
      <c r="AB485" s="966"/>
      <c r="AC485" s="966"/>
      <c r="AF485" s="966"/>
      <c r="AG485" s="966"/>
      <c r="AH485" s="966"/>
      <c r="AI485" s="966"/>
      <c r="AJ485" s="966"/>
      <c r="AK485" s="966"/>
      <c r="AL485" s="966"/>
      <c r="AM485" s="966"/>
      <c r="AN485" s="966"/>
      <c r="AO485" s="966"/>
      <c r="AP485" s="966"/>
      <c r="AQ485" s="966"/>
      <c r="AT485" s="966"/>
      <c r="AU485" s="966"/>
      <c r="AV485" s="966"/>
      <c r="AW485" s="966"/>
      <c r="AX485" s="966"/>
      <c r="AY485" s="966"/>
      <c r="AZ485" s="966"/>
      <c r="BA485" s="966"/>
      <c r="BB485" s="966"/>
      <c r="BC485" s="966"/>
      <c r="BD485" s="966"/>
      <c r="BE485" s="966"/>
      <c r="BH485" s="966"/>
      <c r="BI485" s="966"/>
      <c r="BJ485" s="966"/>
      <c r="BK485" s="966"/>
      <c r="BL485" s="966"/>
      <c r="BM485" s="966"/>
      <c r="BN485" s="966"/>
      <c r="BO485" s="966"/>
      <c r="BP485" s="966"/>
      <c r="BQ485" s="966"/>
      <c r="BR485" s="966"/>
      <c r="BS485" s="966"/>
      <c r="BV485" s="966"/>
      <c r="BW485" s="966"/>
      <c r="BX485" s="966"/>
      <c r="CA485" s="108"/>
      <c r="CB485" s="108"/>
      <c r="CC485" s="108"/>
      <c r="CD485" s="108"/>
      <c r="CE485" s="108"/>
      <c r="CF485" s="108"/>
      <c r="CG485" s="108"/>
      <c r="CH485" s="108"/>
      <c r="CI485" s="108"/>
    </row>
    <row r="486" spans="2:87">
      <c r="B486" s="109"/>
      <c r="C486" s="109"/>
      <c r="D486" s="541"/>
      <c r="F486" s="966"/>
      <c r="G486" s="966"/>
      <c r="H486" s="966"/>
      <c r="I486" s="966"/>
      <c r="J486" s="966"/>
      <c r="K486" s="966"/>
      <c r="L486" s="966"/>
      <c r="M486" s="966"/>
      <c r="N486" s="966"/>
      <c r="O486" s="966"/>
      <c r="R486" s="966"/>
      <c r="S486" s="966"/>
      <c r="T486" s="966"/>
      <c r="U486" s="966"/>
      <c r="V486" s="966"/>
      <c r="W486" s="966"/>
      <c r="X486" s="966"/>
      <c r="Y486" s="966"/>
      <c r="Z486" s="966"/>
      <c r="AA486" s="966"/>
      <c r="AB486" s="966"/>
      <c r="AC486" s="966"/>
      <c r="AF486" s="966"/>
      <c r="AG486" s="966"/>
      <c r="AH486" s="966"/>
      <c r="AI486" s="966"/>
      <c r="AJ486" s="966"/>
      <c r="AK486" s="966"/>
      <c r="AL486" s="966"/>
      <c r="AM486" s="966"/>
      <c r="AN486" s="966"/>
      <c r="AO486" s="966"/>
      <c r="AP486" s="966"/>
      <c r="AQ486" s="966"/>
      <c r="AT486" s="966"/>
      <c r="AU486" s="966"/>
      <c r="AV486" s="966"/>
      <c r="AW486" s="966"/>
      <c r="AX486" s="966"/>
      <c r="AY486" s="966"/>
      <c r="AZ486" s="966"/>
      <c r="BA486" s="966"/>
      <c r="BB486" s="966"/>
      <c r="BC486" s="966"/>
      <c r="BD486" s="966"/>
      <c r="BE486" s="966"/>
      <c r="BH486" s="966"/>
      <c r="BI486" s="966"/>
      <c r="BJ486" s="966"/>
      <c r="BK486" s="966"/>
      <c r="BL486" s="966"/>
      <c r="BM486" s="966"/>
      <c r="BN486" s="966"/>
      <c r="BO486" s="966"/>
      <c r="BP486" s="966"/>
      <c r="BQ486" s="966"/>
      <c r="BR486" s="966"/>
      <c r="BS486" s="966"/>
      <c r="BV486" s="966"/>
      <c r="BW486" s="966"/>
      <c r="BX486" s="966"/>
      <c r="CA486" s="108"/>
      <c r="CB486" s="108"/>
      <c r="CC486" s="108"/>
      <c r="CD486" s="108"/>
      <c r="CE486" s="108"/>
      <c r="CF486" s="108"/>
      <c r="CG486" s="108"/>
      <c r="CH486" s="108"/>
      <c r="CI486" s="108"/>
    </row>
    <row r="487" spans="2:87">
      <c r="B487" s="109"/>
      <c r="C487" s="109"/>
      <c r="D487" s="541"/>
      <c r="F487" s="966"/>
      <c r="G487" s="966"/>
      <c r="H487" s="966"/>
      <c r="I487" s="966"/>
      <c r="J487" s="966"/>
      <c r="K487" s="966"/>
      <c r="L487" s="966"/>
      <c r="M487" s="966"/>
      <c r="N487" s="966"/>
      <c r="O487" s="966"/>
      <c r="R487" s="966"/>
      <c r="S487" s="966"/>
      <c r="T487" s="966"/>
      <c r="U487" s="966"/>
      <c r="V487" s="966"/>
      <c r="W487" s="966"/>
      <c r="X487" s="966"/>
      <c r="Y487" s="966"/>
      <c r="Z487" s="966"/>
      <c r="AA487" s="966"/>
      <c r="AB487" s="966"/>
      <c r="AC487" s="966"/>
      <c r="AF487" s="966"/>
      <c r="AG487" s="966"/>
      <c r="AH487" s="966"/>
      <c r="AI487" s="966"/>
      <c r="AJ487" s="966"/>
      <c r="AK487" s="966"/>
      <c r="AL487" s="966"/>
      <c r="AM487" s="966"/>
      <c r="AN487" s="966"/>
      <c r="AO487" s="966"/>
      <c r="AP487" s="966"/>
      <c r="AQ487" s="966"/>
      <c r="AT487" s="966"/>
      <c r="AU487" s="966"/>
      <c r="AV487" s="966"/>
      <c r="AW487" s="966"/>
      <c r="AX487" s="966"/>
      <c r="AY487" s="966"/>
      <c r="AZ487" s="966"/>
      <c r="BA487" s="966"/>
      <c r="BB487" s="966"/>
      <c r="BC487" s="966"/>
      <c r="BD487" s="966"/>
      <c r="BE487" s="966"/>
      <c r="BH487" s="966"/>
      <c r="BI487" s="966"/>
      <c r="BJ487" s="966"/>
      <c r="BK487" s="966"/>
      <c r="BL487" s="966"/>
      <c r="BM487" s="966"/>
      <c r="BN487" s="966"/>
      <c r="BO487" s="966"/>
      <c r="BP487" s="966"/>
      <c r="BQ487" s="966"/>
      <c r="BR487" s="966"/>
      <c r="BS487" s="966"/>
      <c r="BV487" s="966"/>
      <c r="BW487" s="966"/>
      <c r="BX487" s="966"/>
      <c r="CA487" s="108"/>
      <c r="CB487" s="108"/>
      <c r="CC487" s="108"/>
      <c r="CD487" s="108"/>
      <c r="CE487" s="108"/>
      <c r="CF487" s="108"/>
      <c r="CG487" s="108"/>
      <c r="CH487" s="108"/>
      <c r="CI487" s="108"/>
    </row>
    <row r="488" spans="2:87">
      <c r="B488" s="109"/>
      <c r="C488" s="109"/>
      <c r="D488" s="541"/>
      <c r="F488" s="966"/>
      <c r="G488" s="966"/>
      <c r="H488" s="966"/>
      <c r="I488" s="966"/>
      <c r="J488" s="966"/>
      <c r="K488" s="966"/>
      <c r="L488" s="966"/>
      <c r="M488" s="966"/>
      <c r="N488" s="966"/>
      <c r="O488" s="966"/>
      <c r="R488" s="966"/>
      <c r="S488" s="966"/>
      <c r="T488" s="966"/>
      <c r="U488" s="966"/>
      <c r="V488" s="966"/>
      <c r="W488" s="966"/>
      <c r="X488" s="966"/>
      <c r="Y488" s="966"/>
      <c r="Z488" s="966"/>
      <c r="AA488" s="966"/>
      <c r="AB488" s="966"/>
      <c r="AC488" s="966"/>
      <c r="AF488" s="966"/>
      <c r="AG488" s="966"/>
      <c r="AH488" s="966"/>
      <c r="AI488" s="966"/>
      <c r="AJ488" s="966"/>
      <c r="AK488" s="966"/>
      <c r="AL488" s="966"/>
      <c r="AM488" s="966"/>
      <c r="AN488" s="966"/>
      <c r="AO488" s="966"/>
      <c r="AP488" s="966"/>
      <c r="AQ488" s="966"/>
      <c r="AT488" s="966"/>
      <c r="AU488" s="966"/>
      <c r="AV488" s="966"/>
      <c r="AW488" s="966"/>
      <c r="AX488" s="966"/>
      <c r="AY488" s="966"/>
      <c r="AZ488" s="966"/>
      <c r="BA488" s="966"/>
      <c r="BB488" s="966"/>
      <c r="BC488" s="966"/>
      <c r="BD488" s="966"/>
      <c r="BE488" s="966"/>
      <c r="BH488" s="966"/>
      <c r="BI488" s="966"/>
      <c r="BJ488" s="966"/>
      <c r="BK488" s="966"/>
      <c r="BL488" s="966"/>
      <c r="BM488" s="966"/>
      <c r="BN488" s="966"/>
      <c r="BO488" s="966"/>
      <c r="BP488" s="966"/>
      <c r="BQ488" s="966"/>
      <c r="BR488" s="966"/>
      <c r="BS488" s="966"/>
      <c r="BV488" s="966"/>
      <c r="BW488" s="966"/>
      <c r="BX488" s="966"/>
      <c r="CA488" s="108"/>
      <c r="CB488" s="108"/>
      <c r="CC488" s="108"/>
      <c r="CD488" s="108"/>
      <c r="CE488" s="108"/>
      <c r="CF488" s="108"/>
      <c r="CG488" s="108"/>
      <c r="CH488" s="108"/>
      <c r="CI488" s="108"/>
    </row>
    <row r="489" spans="2:87">
      <c r="B489" s="109"/>
      <c r="C489" s="109"/>
      <c r="D489" s="541"/>
      <c r="F489" s="966"/>
      <c r="G489" s="966"/>
      <c r="H489" s="966"/>
      <c r="I489" s="966"/>
      <c r="J489" s="966"/>
      <c r="K489" s="966"/>
      <c r="L489" s="966"/>
      <c r="M489" s="966"/>
      <c r="N489" s="966"/>
      <c r="O489" s="966"/>
      <c r="R489" s="966"/>
      <c r="S489" s="966"/>
      <c r="T489" s="966"/>
      <c r="U489" s="966"/>
      <c r="V489" s="966"/>
      <c r="W489" s="966"/>
      <c r="X489" s="966"/>
      <c r="Y489" s="966"/>
      <c r="Z489" s="966"/>
      <c r="AA489" s="966"/>
      <c r="AB489" s="966"/>
      <c r="AC489" s="966"/>
      <c r="AF489" s="966"/>
      <c r="AG489" s="966"/>
      <c r="AH489" s="966"/>
      <c r="AI489" s="966"/>
      <c r="AJ489" s="966"/>
      <c r="AK489" s="966"/>
      <c r="AL489" s="966"/>
      <c r="AM489" s="966"/>
      <c r="AN489" s="966"/>
      <c r="AO489" s="966"/>
      <c r="AP489" s="966"/>
      <c r="AQ489" s="966"/>
      <c r="AT489" s="966"/>
      <c r="AU489" s="966"/>
      <c r="AV489" s="966"/>
      <c r="AW489" s="966"/>
      <c r="AX489" s="966"/>
      <c r="AY489" s="966"/>
      <c r="AZ489" s="966"/>
      <c r="BA489" s="966"/>
      <c r="BB489" s="966"/>
      <c r="BC489" s="966"/>
      <c r="BD489" s="966"/>
      <c r="BE489" s="966"/>
      <c r="BH489" s="966"/>
      <c r="BI489" s="966"/>
      <c r="BJ489" s="966"/>
      <c r="BK489" s="966"/>
      <c r="BL489" s="966"/>
      <c r="BM489" s="966"/>
      <c r="BN489" s="966"/>
      <c r="BO489" s="966"/>
      <c r="BP489" s="966"/>
      <c r="BQ489" s="966"/>
      <c r="BR489" s="966"/>
      <c r="BS489" s="966"/>
      <c r="BV489" s="966"/>
      <c r="BW489" s="966"/>
      <c r="BX489" s="966"/>
      <c r="CA489" s="108"/>
      <c r="CB489" s="108"/>
      <c r="CC489" s="108"/>
      <c r="CD489" s="108"/>
      <c r="CE489" s="108"/>
      <c r="CF489" s="108"/>
      <c r="CG489" s="108"/>
      <c r="CH489" s="108"/>
      <c r="CI489" s="108"/>
    </row>
    <row r="490" spans="2:87">
      <c r="B490" s="109"/>
      <c r="C490" s="109"/>
      <c r="D490" s="541"/>
      <c r="F490" s="966"/>
      <c r="G490" s="966"/>
      <c r="H490" s="966"/>
      <c r="I490" s="966"/>
      <c r="J490" s="966"/>
      <c r="K490" s="966"/>
      <c r="L490" s="966"/>
      <c r="M490" s="966"/>
      <c r="N490" s="966"/>
      <c r="O490" s="966"/>
      <c r="R490" s="966"/>
      <c r="S490" s="966"/>
      <c r="T490" s="966"/>
      <c r="U490" s="966"/>
      <c r="V490" s="966"/>
      <c r="W490" s="966"/>
      <c r="X490" s="966"/>
      <c r="Y490" s="966"/>
      <c r="Z490" s="966"/>
      <c r="AA490" s="966"/>
      <c r="AB490" s="966"/>
      <c r="AC490" s="966"/>
      <c r="AF490" s="966"/>
      <c r="AG490" s="966"/>
      <c r="AH490" s="966"/>
      <c r="AI490" s="966"/>
      <c r="AJ490" s="966"/>
      <c r="AK490" s="966"/>
      <c r="AL490" s="966"/>
      <c r="AM490" s="966"/>
      <c r="AN490" s="966"/>
      <c r="AO490" s="966"/>
      <c r="AP490" s="966"/>
      <c r="AQ490" s="966"/>
      <c r="AT490" s="966"/>
      <c r="AU490" s="966"/>
      <c r="AV490" s="966"/>
      <c r="AW490" s="966"/>
      <c r="AX490" s="966"/>
      <c r="AY490" s="966"/>
      <c r="AZ490" s="966"/>
      <c r="BA490" s="966"/>
      <c r="BB490" s="966"/>
      <c r="BC490" s="966"/>
      <c r="BD490" s="966"/>
      <c r="BE490" s="966"/>
      <c r="BH490" s="966"/>
      <c r="BI490" s="966"/>
      <c r="BJ490" s="966"/>
      <c r="BK490" s="966"/>
      <c r="BL490" s="966"/>
      <c r="BM490" s="966"/>
      <c r="BN490" s="966"/>
      <c r="BO490" s="966"/>
      <c r="BP490" s="966"/>
      <c r="BQ490" s="966"/>
      <c r="BR490" s="966"/>
      <c r="BS490" s="966"/>
      <c r="BV490" s="966"/>
      <c r="BW490" s="966"/>
      <c r="BX490" s="966"/>
      <c r="CA490" s="108"/>
      <c r="CB490" s="108"/>
      <c r="CC490" s="108"/>
      <c r="CD490" s="108"/>
      <c r="CE490" s="108"/>
      <c r="CF490" s="108"/>
      <c r="CG490" s="108"/>
      <c r="CH490" s="108"/>
      <c r="CI490" s="108"/>
    </row>
    <row r="491" spans="2:87">
      <c r="B491" s="109"/>
      <c r="C491" s="109"/>
      <c r="D491" s="541"/>
      <c r="F491" s="966"/>
      <c r="G491" s="966"/>
      <c r="H491" s="966"/>
      <c r="I491" s="966"/>
      <c r="J491" s="966"/>
      <c r="K491" s="966"/>
      <c r="L491" s="966"/>
      <c r="M491" s="966"/>
      <c r="N491" s="966"/>
      <c r="O491" s="966"/>
      <c r="R491" s="966"/>
      <c r="S491" s="966"/>
      <c r="T491" s="966"/>
      <c r="U491" s="966"/>
      <c r="V491" s="966"/>
      <c r="W491" s="966"/>
      <c r="X491" s="966"/>
      <c r="Y491" s="966"/>
      <c r="Z491" s="966"/>
      <c r="AA491" s="966"/>
      <c r="AB491" s="966"/>
      <c r="AC491" s="966"/>
      <c r="AF491" s="966"/>
      <c r="AG491" s="966"/>
      <c r="AH491" s="966"/>
      <c r="AI491" s="966"/>
      <c r="AJ491" s="966"/>
      <c r="AK491" s="966"/>
      <c r="AL491" s="966"/>
      <c r="AM491" s="966"/>
      <c r="AN491" s="966"/>
      <c r="AO491" s="966"/>
      <c r="AP491" s="966"/>
      <c r="AQ491" s="966"/>
      <c r="AT491" s="966"/>
      <c r="AU491" s="966"/>
      <c r="AV491" s="966"/>
      <c r="AW491" s="966"/>
      <c r="AX491" s="966"/>
      <c r="AY491" s="966"/>
      <c r="AZ491" s="966"/>
      <c r="BA491" s="966"/>
      <c r="BB491" s="966"/>
      <c r="BC491" s="966"/>
      <c r="BD491" s="966"/>
      <c r="BE491" s="966"/>
      <c r="BH491" s="966"/>
      <c r="BI491" s="966"/>
      <c r="BJ491" s="966"/>
      <c r="BK491" s="966"/>
      <c r="BL491" s="966"/>
      <c r="BM491" s="966"/>
      <c r="BN491" s="966"/>
      <c r="BO491" s="966"/>
      <c r="BP491" s="966"/>
      <c r="BQ491" s="966"/>
      <c r="BR491" s="966"/>
      <c r="BS491" s="966"/>
      <c r="BV491" s="966"/>
      <c r="BW491" s="966"/>
      <c r="BX491" s="966"/>
      <c r="CA491" s="108"/>
      <c r="CB491" s="108"/>
      <c r="CC491" s="108"/>
      <c r="CD491" s="108"/>
      <c r="CE491" s="108"/>
      <c r="CF491" s="108"/>
      <c r="CG491" s="108"/>
      <c r="CH491" s="108"/>
      <c r="CI491" s="108"/>
    </row>
    <row r="492" spans="2:87">
      <c r="B492" s="109"/>
      <c r="C492" s="109"/>
      <c r="D492" s="541"/>
      <c r="F492" s="966"/>
      <c r="G492" s="966"/>
      <c r="H492" s="966"/>
      <c r="I492" s="966"/>
      <c r="J492" s="966"/>
      <c r="K492" s="966"/>
      <c r="L492" s="966"/>
      <c r="M492" s="966"/>
      <c r="N492" s="966"/>
      <c r="O492" s="966"/>
      <c r="R492" s="966"/>
      <c r="S492" s="966"/>
      <c r="T492" s="966"/>
      <c r="U492" s="966"/>
      <c r="V492" s="966"/>
      <c r="W492" s="966"/>
      <c r="X492" s="966"/>
      <c r="Y492" s="966"/>
      <c r="Z492" s="966"/>
      <c r="AA492" s="966"/>
      <c r="AB492" s="966"/>
      <c r="AC492" s="966"/>
      <c r="AF492" s="966"/>
      <c r="AG492" s="966"/>
      <c r="AH492" s="966"/>
      <c r="AI492" s="966"/>
      <c r="AJ492" s="966"/>
      <c r="AK492" s="966"/>
      <c r="AL492" s="966"/>
      <c r="AM492" s="966"/>
      <c r="AN492" s="966"/>
      <c r="AO492" s="966"/>
      <c r="AP492" s="966"/>
      <c r="AQ492" s="966"/>
      <c r="AT492" s="966"/>
      <c r="AU492" s="966"/>
      <c r="AV492" s="966"/>
      <c r="AW492" s="966"/>
      <c r="AX492" s="966"/>
      <c r="AY492" s="966"/>
      <c r="AZ492" s="966"/>
      <c r="BA492" s="966"/>
      <c r="BB492" s="966"/>
      <c r="BC492" s="966"/>
      <c r="BD492" s="966"/>
      <c r="BE492" s="966"/>
      <c r="BH492" s="966"/>
      <c r="BI492" s="966"/>
      <c r="BJ492" s="966"/>
      <c r="BK492" s="966"/>
      <c r="BL492" s="966"/>
      <c r="BM492" s="966"/>
      <c r="BN492" s="966"/>
      <c r="BO492" s="966"/>
      <c r="BP492" s="966"/>
      <c r="BQ492" s="966"/>
      <c r="BR492" s="966"/>
      <c r="BS492" s="966"/>
      <c r="BV492" s="966"/>
      <c r="BW492" s="966"/>
      <c r="BX492" s="966"/>
      <c r="CA492" s="108"/>
      <c r="CB492" s="108"/>
      <c r="CC492" s="108"/>
      <c r="CD492" s="108"/>
      <c r="CE492" s="108"/>
      <c r="CF492" s="108"/>
      <c r="CG492" s="108"/>
      <c r="CH492" s="108"/>
      <c r="CI492" s="108"/>
    </row>
    <row r="493" spans="2:87">
      <c r="B493" s="109"/>
      <c r="C493" s="109"/>
      <c r="D493" s="541"/>
      <c r="F493" s="966"/>
      <c r="G493" s="966"/>
      <c r="H493" s="966"/>
      <c r="I493" s="966"/>
      <c r="J493" s="966"/>
      <c r="K493" s="966"/>
      <c r="L493" s="966"/>
      <c r="M493" s="966"/>
      <c r="N493" s="966"/>
      <c r="O493" s="966"/>
      <c r="R493" s="966"/>
      <c r="S493" s="966"/>
      <c r="T493" s="966"/>
      <c r="U493" s="966"/>
      <c r="V493" s="966"/>
      <c r="W493" s="966"/>
      <c r="X493" s="966"/>
      <c r="Y493" s="966"/>
      <c r="Z493" s="966"/>
      <c r="AA493" s="966"/>
      <c r="AB493" s="966"/>
      <c r="AC493" s="966"/>
      <c r="AF493" s="966"/>
      <c r="AG493" s="966"/>
      <c r="AH493" s="966"/>
      <c r="AI493" s="966"/>
      <c r="AJ493" s="966"/>
      <c r="AK493" s="966"/>
      <c r="AL493" s="966"/>
      <c r="AM493" s="966"/>
      <c r="AN493" s="966"/>
      <c r="AO493" s="966"/>
      <c r="AP493" s="966"/>
      <c r="AQ493" s="966"/>
      <c r="AT493" s="966"/>
      <c r="AU493" s="966"/>
      <c r="AV493" s="966"/>
      <c r="AW493" s="966"/>
      <c r="AX493" s="966"/>
      <c r="AY493" s="966"/>
      <c r="AZ493" s="966"/>
      <c r="BA493" s="966"/>
      <c r="BB493" s="966"/>
      <c r="BC493" s="966"/>
      <c r="BD493" s="966"/>
      <c r="BE493" s="966"/>
      <c r="BH493" s="966"/>
      <c r="BI493" s="966"/>
      <c r="BJ493" s="966"/>
      <c r="BK493" s="966"/>
      <c r="BL493" s="966"/>
      <c r="BM493" s="966"/>
      <c r="BN493" s="966"/>
      <c r="BO493" s="966"/>
      <c r="BP493" s="966"/>
      <c r="BQ493" s="966"/>
      <c r="BR493" s="966"/>
      <c r="BS493" s="966"/>
      <c r="BV493" s="966"/>
      <c r="BW493" s="966"/>
      <c r="BX493" s="966"/>
      <c r="CA493" s="108"/>
      <c r="CB493" s="108"/>
      <c r="CC493" s="108"/>
      <c r="CD493" s="108"/>
      <c r="CE493" s="108"/>
      <c r="CF493" s="108"/>
      <c r="CG493" s="108"/>
      <c r="CH493" s="108"/>
      <c r="CI493" s="108"/>
    </row>
    <row r="494" spans="2:87">
      <c r="B494" s="109"/>
      <c r="C494" s="109"/>
      <c r="D494" s="541"/>
      <c r="F494" s="966"/>
      <c r="G494" s="966"/>
      <c r="H494" s="966"/>
      <c r="I494" s="966"/>
      <c r="J494" s="966"/>
      <c r="K494" s="966"/>
      <c r="L494" s="966"/>
      <c r="M494" s="966"/>
      <c r="N494" s="966"/>
      <c r="O494" s="966"/>
      <c r="R494" s="966"/>
      <c r="S494" s="966"/>
      <c r="T494" s="966"/>
      <c r="U494" s="966"/>
      <c r="V494" s="966"/>
      <c r="W494" s="966"/>
      <c r="X494" s="966"/>
      <c r="Y494" s="966"/>
      <c r="Z494" s="966"/>
      <c r="AA494" s="966"/>
      <c r="AB494" s="966"/>
      <c r="AC494" s="966"/>
      <c r="AF494" s="966"/>
      <c r="AG494" s="966"/>
      <c r="AH494" s="966"/>
      <c r="AI494" s="966"/>
      <c r="AJ494" s="966"/>
      <c r="AK494" s="966"/>
      <c r="AL494" s="966"/>
      <c r="AM494" s="966"/>
      <c r="AN494" s="966"/>
      <c r="AO494" s="966"/>
      <c r="AP494" s="966"/>
      <c r="AQ494" s="966"/>
      <c r="AT494" s="966"/>
      <c r="AU494" s="966"/>
      <c r="AV494" s="966"/>
      <c r="AW494" s="966"/>
      <c r="AX494" s="966"/>
      <c r="AY494" s="966"/>
      <c r="AZ494" s="966"/>
      <c r="BA494" s="966"/>
      <c r="BB494" s="966"/>
      <c r="BC494" s="966"/>
      <c r="BD494" s="966"/>
      <c r="BE494" s="966"/>
      <c r="BH494" s="966"/>
      <c r="BI494" s="966"/>
      <c r="BJ494" s="966"/>
      <c r="BK494" s="966"/>
      <c r="BL494" s="966"/>
      <c r="BM494" s="966"/>
      <c r="BN494" s="966"/>
      <c r="BO494" s="966"/>
      <c r="BP494" s="966"/>
      <c r="BQ494" s="966"/>
      <c r="BR494" s="966"/>
      <c r="BS494" s="966"/>
      <c r="BV494" s="966"/>
      <c r="BW494" s="966"/>
      <c r="BX494" s="966"/>
      <c r="CA494" s="108"/>
      <c r="CB494" s="108"/>
      <c r="CC494" s="108"/>
      <c r="CD494" s="108"/>
      <c r="CE494" s="108"/>
      <c r="CF494" s="108"/>
      <c r="CG494" s="108"/>
      <c r="CH494" s="108"/>
      <c r="CI494" s="108"/>
    </row>
    <row r="495" spans="2:87">
      <c r="B495" s="109"/>
      <c r="C495" s="109"/>
      <c r="D495" s="541"/>
      <c r="F495" s="966"/>
      <c r="G495" s="966"/>
      <c r="H495" s="966"/>
      <c r="I495" s="966"/>
      <c r="J495" s="966"/>
      <c r="K495" s="966"/>
      <c r="L495" s="966"/>
      <c r="M495" s="966"/>
      <c r="N495" s="966"/>
      <c r="O495" s="966"/>
      <c r="R495" s="966"/>
      <c r="S495" s="966"/>
      <c r="T495" s="966"/>
      <c r="U495" s="966"/>
      <c r="V495" s="966"/>
      <c r="W495" s="966"/>
      <c r="X495" s="966"/>
      <c r="Y495" s="966"/>
      <c r="Z495" s="966"/>
      <c r="AA495" s="966"/>
      <c r="AB495" s="966"/>
      <c r="AC495" s="966"/>
      <c r="AF495" s="966"/>
      <c r="AG495" s="966"/>
      <c r="AH495" s="966"/>
      <c r="AI495" s="966"/>
      <c r="AJ495" s="966"/>
      <c r="AK495" s="966"/>
      <c r="AL495" s="966"/>
      <c r="AM495" s="966"/>
      <c r="AN495" s="966"/>
      <c r="AO495" s="966"/>
      <c r="AP495" s="966"/>
      <c r="AQ495" s="966"/>
      <c r="AT495" s="966"/>
      <c r="AU495" s="966"/>
      <c r="AV495" s="966"/>
      <c r="AW495" s="966"/>
      <c r="AX495" s="966"/>
      <c r="AY495" s="966"/>
      <c r="AZ495" s="966"/>
      <c r="BA495" s="966"/>
      <c r="BB495" s="966"/>
      <c r="BC495" s="966"/>
      <c r="BD495" s="966"/>
      <c r="BE495" s="966"/>
      <c r="BH495" s="966"/>
      <c r="BI495" s="966"/>
      <c r="BJ495" s="966"/>
      <c r="BK495" s="966"/>
      <c r="BL495" s="966"/>
      <c r="BM495" s="966"/>
      <c r="BN495" s="966"/>
      <c r="BO495" s="966"/>
      <c r="BP495" s="966"/>
      <c r="BQ495" s="966"/>
      <c r="BR495" s="966"/>
      <c r="BS495" s="966"/>
      <c r="BV495" s="966"/>
      <c r="BW495" s="966"/>
      <c r="BX495" s="966"/>
      <c r="CA495" s="108"/>
      <c r="CB495" s="108"/>
      <c r="CC495" s="108"/>
      <c r="CD495" s="108"/>
      <c r="CE495" s="108"/>
      <c r="CF495" s="108"/>
      <c r="CG495" s="108"/>
      <c r="CH495" s="108"/>
      <c r="CI495" s="108"/>
    </row>
    <row r="496" spans="2:87">
      <c r="B496" s="109"/>
      <c r="C496" s="109"/>
      <c r="D496" s="541"/>
      <c r="F496" s="966"/>
      <c r="G496" s="966"/>
      <c r="H496" s="966"/>
      <c r="I496" s="966"/>
      <c r="J496" s="966"/>
      <c r="K496" s="966"/>
      <c r="L496" s="966"/>
      <c r="M496" s="966"/>
      <c r="N496" s="966"/>
      <c r="O496" s="966"/>
      <c r="R496" s="966"/>
      <c r="S496" s="966"/>
      <c r="T496" s="966"/>
      <c r="U496" s="966"/>
      <c r="V496" s="966"/>
      <c r="W496" s="966"/>
      <c r="X496" s="966"/>
      <c r="Y496" s="966"/>
      <c r="Z496" s="966"/>
      <c r="AA496" s="966"/>
      <c r="AB496" s="966"/>
      <c r="AC496" s="966"/>
      <c r="AF496" s="966"/>
      <c r="AG496" s="966"/>
      <c r="AH496" s="966"/>
      <c r="AI496" s="966"/>
      <c r="AJ496" s="966"/>
      <c r="AK496" s="966"/>
      <c r="AL496" s="966"/>
      <c r="AM496" s="966"/>
      <c r="AN496" s="966"/>
      <c r="AO496" s="966"/>
      <c r="AP496" s="966"/>
      <c r="AQ496" s="966"/>
      <c r="AT496" s="966"/>
      <c r="AU496" s="966"/>
      <c r="AV496" s="966"/>
      <c r="AW496" s="966"/>
      <c r="AX496" s="966"/>
      <c r="AY496" s="966"/>
      <c r="AZ496" s="966"/>
      <c r="BA496" s="966"/>
      <c r="BB496" s="966"/>
      <c r="BC496" s="966"/>
      <c r="BD496" s="966"/>
      <c r="BE496" s="966"/>
      <c r="BH496" s="966"/>
      <c r="BI496" s="966"/>
      <c r="BJ496" s="966"/>
      <c r="BK496" s="966"/>
      <c r="BL496" s="966"/>
      <c r="BM496" s="966"/>
      <c r="BN496" s="966"/>
      <c r="BO496" s="966"/>
      <c r="BP496" s="966"/>
      <c r="BQ496" s="966"/>
      <c r="BR496" s="966"/>
      <c r="BS496" s="966"/>
      <c r="BV496" s="966"/>
      <c r="BW496" s="966"/>
      <c r="BX496" s="966"/>
      <c r="CA496" s="108"/>
      <c r="CB496" s="108"/>
      <c r="CC496" s="108"/>
      <c r="CD496" s="108"/>
      <c r="CE496" s="108"/>
      <c r="CF496" s="108"/>
      <c r="CG496" s="108"/>
      <c r="CH496" s="108"/>
      <c r="CI496" s="108"/>
    </row>
    <row r="497" spans="2:87">
      <c r="B497" s="109"/>
      <c r="C497" s="109"/>
      <c r="D497" s="541"/>
      <c r="F497" s="966"/>
      <c r="G497" s="966"/>
      <c r="H497" s="966"/>
      <c r="I497" s="966"/>
      <c r="J497" s="966"/>
      <c r="K497" s="966"/>
      <c r="L497" s="966"/>
      <c r="M497" s="966"/>
      <c r="N497" s="966"/>
      <c r="O497" s="966"/>
      <c r="R497" s="966"/>
      <c r="S497" s="966"/>
      <c r="T497" s="966"/>
      <c r="U497" s="966"/>
      <c r="V497" s="966"/>
      <c r="W497" s="966"/>
      <c r="X497" s="966"/>
      <c r="Y497" s="966"/>
      <c r="Z497" s="966"/>
      <c r="AA497" s="966"/>
      <c r="AB497" s="966"/>
      <c r="AC497" s="966"/>
      <c r="AF497" s="966"/>
      <c r="AG497" s="966"/>
      <c r="AH497" s="966"/>
      <c r="AI497" s="966"/>
      <c r="AJ497" s="966"/>
      <c r="AK497" s="966"/>
      <c r="AL497" s="966"/>
      <c r="AM497" s="966"/>
      <c r="AN497" s="966"/>
      <c r="AO497" s="966"/>
      <c r="AP497" s="966"/>
      <c r="AQ497" s="966"/>
      <c r="AT497" s="966"/>
      <c r="AU497" s="966"/>
      <c r="AV497" s="966"/>
      <c r="AW497" s="966"/>
      <c r="AX497" s="966"/>
      <c r="AY497" s="966"/>
      <c r="AZ497" s="966"/>
      <c r="BA497" s="966"/>
      <c r="BB497" s="966"/>
      <c r="BC497" s="966"/>
      <c r="BD497" s="966"/>
      <c r="BE497" s="966"/>
      <c r="BH497" s="966"/>
      <c r="BI497" s="966"/>
      <c r="BJ497" s="966"/>
      <c r="BK497" s="966"/>
      <c r="BL497" s="966"/>
      <c r="BM497" s="966"/>
      <c r="BN497" s="966"/>
      <c r="BO497" s="966"/>
      <c r="BP497" s="966"/>
      <c r="BQ497" s="966"/>
      <c r="BR497" s="966"/>
      <c r="BS497" s="966"/>
      <c r="BV497" s="966"/>
      <c r="BW497" s="966"/>
      <c r="BX497" s="966"/>
      <c r="CA497" s="108"/>
      <c r="CB497" s="108"/>
      <c r="CC497" s="108"/>
      <c r="CD497" s="108"/>
      <c r="CE497" s="108"/>
      <c r="CF497" s="108"/>
      <c r="CG497" s="108"/>
      <c r="CH497" s="108"/>
      <c r="CI497" s="108"/>
    </row>
    <row r="498" spans="2:87">
      <c r="B498" s="109"/>
      <c r="C498" s="109"/>
      <c r="D498" s="541"/>
      <c r="F498" s="966"/>
      <c r="G498" s="966"/>
      <c r="H498" s="966"/>
      <c r="I498" s="966"/>
      <c r="J498" s="966"/>
      <c r="K498" s="966"/>
      <c r="L498" s="966"/>
      <c r="M498" s="966"/>
      <c r="N498" s="966"/>
      <c r="O498" s="966"/>
      <c r="R498" s="966"/>
      <c r="S498" s="966"/>
      <c r="T498" s="966"/>
      <c r="U498" s="966"/>
      <c r="V498" s="966"/>
      <c r="W498" s="966"/>
      <c r="X498" s="966"/>
      <c r="Y498" s="966"/>
      <c r="Z498" s="966"/>
      <c r="AA498" s="966"/>
      <c r="AB498" s="966"/>
      <c r="AC498" s="966"/>
      <c r="AF498" s="966"/>
      <c r="AG498" s="966"/>
      <c r="AH498" s="966"/>
      <c r="AI498" s="966"/>
      <c r="AJ498" s="966"/>
      <c r="AK498" s="966"/>
      <c r="AL498" s="966"/>
      <c r="AM498" s="966"/>
      <c r="AN498" s="966"/>
      <c r="AO498" s="966"/>
      <c r="AP498" s="966"/>
      <c r="AQ498" s="966"/>
      <c r="AT498" s="966"/>
      <c r="AU498" s="966"/>
      <c r="AV498" s="966"/>
      <c r="AW498" s="966"/>
      <c r="AX498" s="966"/>
      <c r="AY498" s="966"/>
      <c r="AZ498" s="966"/>
      <c r="BA498" s="966"/>
      <c r="BB498" s="966"/>
      <c r="BC498" s="966"/>
      <c r="BD498" s="966"/>
      <c r="BE498" s="966"/>
      <c r="BH498" s="966"/>
      <c r="BI498" s="966"/>
      <c r="BJ498" s="966"/>
      <c r="BK498" s="966"/>
      <c r="BL498" s="966"/>
      <c r="BM498" s="966"/>
      <c r="BN498" s="966"/>
      <c r="BO498" s="966"/>
      <c r="BP498" s="966"/>
      <c r="BQ498" s="966"/>
      <c r="BR498" s="966"/>
      <c r="BS498" s="966"/>
      <c r="BV498" s="966"/>
      <c r="BW498" s="966"/>
      <c r="BX498" s="966"/>
      <c r="CA498" s="108"/>
      <c r="CB498" s="108"/>
      <c r="CC498" s="108"/>
      <c r="CD498" s="108"/>
      <c r="CE498" s="108"/>
      <c r="CF498" s="108"/>
      <c r="CG498" s="108"/>
      <c r="CH498" s="108"/>
      <c r="CI498" s="108"/>
    </row>
    <row r="499" spans="2:87">
      <c r="B499" s="109"/>
      <c r="C499" s="109"/>
      <c r="D499" s="541"/>
      <c r="F499" s="966"/>
      <c r="G499" s="966"/>
      <c r="H499" s="966"/>
      <c r="I499" s="966"/>
      <c r="J499" s="966"/>
      <c r="K499" s="966"/>
      <c r="L499" s="966"/>
      <c r="M499" s="966"/>
      <c r="N499" s="966"/>
      <c r="O499" s="966"/>
      <c r="R499" s="966"/>
      <c r="S499" s="966"/>
      <c r="T499" s="966"/>
      <c r="U499" s="966"/>
      <c r="V499" s="966"/>
      <c r="W499" s="966"/>
      <c r="X499" s="966"/>
      <c r="Y499" s="966"/>
      <c r="Z499" s="966"/>
      <c r="AA499" s="966"/>
      <c r="AB499" s="966"/>
      <c r="AC499" s="966"/>
      <c r="AF499" s="966"/>
      <c r="AG499" s="966"/>
      <c r="AH499" s="966"/>
      <c r="AI499" s="966"/>
      <c r="AJ499" s="966"/>
      <c r="AK499" s="966"/>
      <c r="AL499" s="966"/>
      <c r="AM499" s="966"/>
      <c r="AN499" s="966"/>
      <c r="AO499" s="966"/>
      <c r="AP499" s="966"/>
      <c r="AQ499" s="966"/>
      <c r="AT499" s="966"/>
      <c r="AU499" s="966"/>
      <c r="AV499" s="966"/>
      <c r="AW499" s="966"/>
      <c r="AX499" s="966"/>
      <c r="AY499" s="966"/>
      <c r="AZ499" s="966"/>
      <c r="BA499" s="966"/>
      <c r="BB499" s="966"/>
      <c r="BC499" s="966"/>
      <c r="BD499" s="966"/>
      <c r="BE499" s="966"/>
      <c r="BH499" s="966"/>
      <c r="BI499" s="966"/>
      <c r="BJ499" s="966"/>
      <c r="BK499" s="966"/>
      <c r="BL499" s="966"/>
      <c r="BM499" s="966"/>
      <c r="BN499" s="966"/>
      <c r="BO499" s="966"/>
      <c r="BP499" s="966"/>
      <c r="BQ499" s="966"/>
      <c r="BR499" s="966"/>
      <c r="BS499" s="966"/>
      <c r="BV499" s="966"/>
      <c r="BW499" s="966"/>
      <c r="BX499" s="966"/>
      <c r="CA499" s="108"/>
      <c r="CB499" s="108"/>
      <c r="CC499" s="108"/>
      <c r="CD499" s="108"/>
      <c r="CE499" s="108"/>
      <c r="CF499" s="108"/>
      <c r="CG499" s="108"/>
      <c r="CH499" s="108"/>
      <c r="CI499" s="108"/>
    </row>
    <row r="500" spans="2:87">
      <c r="B500" s="109"/>
      <c r="C500" s="109"/>
      <c r="D500" s="541"/>
      <c r="F500" s="966"/>
      <c r="G500" s="966"/>
      <c r="H500" s="966"/>
      <c r="I500" s="966"/>
      <c r="J500" s="966"/>
      <c r="K500" s="966"/>
      <c r="L500" s="966"/>
      <c r="M500" s="966"/>
      <c r="N500" s="966"/>
      <c r="O500" s="966"/>
      <c r="R500" s="966"/>
      <c r="S500" s="966"/>
      <c r="T500" s="966"/>
      <c r="U500" s="966"/>
      <c r="V500" s="966"/>
      <c r="W500" s="966"/>
      <c r="X500" s="966"/>
      <c r="Y500" s="966"/>
      <c r="Z500" s="966"/>
      <c r="AA500" s="966"/>
      <c r="AB500" s="966"/>
      <c r="AC500" s="966"/>
      <c r="AF500" s="966"/>
      <c r="AG500" s="966"/>
      <c r="AH500" s="966"/>
      <c r="AI500" s="966"/>
      <c r="AJ500" s="966"/>
      <c r="AK500" s="966"/>
      <c r="AL500" s="966"/>
      <c r="AM500" s="966"/>
      <c r="AN500" s="966"/>
      <c r="AO500" s="966"/>
      <c r="AP500" s="966"/>
      <c r="AQ500" s="966"/>
      <c r="AT500" s="966"/>
      <c r="AU500" s="966"/>
      <c r="AV500" s="966"/>
      <c r="AW500" s="966"/>
      <c r="AX500" s="966"/>
      <c r="AY500" s="966"/>
      <c r="AZ500" s="966"/>
      <c r="BA500" s="966"/>
      <c r="BB500" s="966"/>
      <c r="BC500" s="966"/>
      <c r="BD500" s="966"/>
      <c r="BE500" s="966"/>
      <c r="BH500" s="966"/>
      <c r="BI500" s="966"/>
      <c r="BJ500" s="966"/>
      <c r="BK500" s="966"/>
      <c r="BL500" s="966"/>
      <c r="BM500" s="966"/>
      <c r="BN500" s="966"/>
      <c r="BO500" s="966"/>
      <c r="BP500" s="966"/>
      <c r="BQ500" s="966"/>
      <c r="BR500" s="966"/>
      <c r="BS500" s="966"/>
      <c r="BV500" s="966"/>
      <c r="BW500" s="966"/>
      <c r="BX500" s="966"/>
      <c r="CA500" s="108"/>
      <c r="CB500" s="108"/>
      <c r="CC500" s="108"/>
      <c r="CD500" s="108"/>
      <c r="CE500" s="108"/>
      <c r="CF500" s="108"/>
      <c r="CG500" s="108"/>
      <c r="CH500" s="108"/>
      <c r="CI500" s="108"/>
    </row>
    <row r="501" spans="2:87">
      <c r="B501" s="109"/>
      <c r="C501" s="109"/>
      <c r="D501" s="541"/>
      <c r="F501" s="966"/>
      <c r="G501" s="966"/>
      <c r="H501" s="966"/>
      <c r="I501" s="966"/>
      <c r="J501" s="966"/>
      <c r="K501" s="966"/>
      <c r="L501" s="966"/>
      <c r="M501" s="966"/>
      <c r="N501" s="966"/>
      <c r="O501" s="966"/>
      <c r="R501" s="966"/>
      <c r="S501" s="966"/>
      <c r="T501" s="966"/>
      <c r="U501" s="966"/>
      <c r="V501" s="966"/>
      <c r="W501" s="966"/>
      <c r="X501" s="966"/>
      <c r="Y501" s="966"/>
      <c r="Z501" s="966"/>
      <c r="AA501" s="966"/>
      <c r="AB501" s="966"/>
      <c r="AC501" s="966"/>
      <c r="AF501" s="966"/>
      <c r="AG501" s="966"/>
      <c r="AH501" s="966"/>
      <c r="AI501" s="966"/>
      <c r="AJ501" s="966"/>
      <c r="AK501" s="966"/>
      <c r="AL501" s="966"/>
      <c r="AM501" s="966"/>
      <c r="AN501" s="966"/>
      <c r="AO501" s="966"/>
      <c r="AP501" s="966"/>
      <c r="AQ501" s="966"/>
      <c r="AT501" s="966"/>
      <c r="AU501" s="966"/>
      <c r="AV501" s="966"/>
      <c r="AW501" s="966"/>
      <c r="AX501" s="966"/>
      <c r="AY501" s="966"/>
      <c r="AZ501" s="966"/>
      <c r="BA501" s="966"/>
      <c r="BB501" s="966"/>
      <c r="BC501" s="966"/>
      <c r="BD501" s="966"/>
      <c r="BE501" s="966"/>
      <c r="BH501" s="966"/>
      <c r="BI501" s="966"/>
      <c r="BJ501" s="966"/>
      <c r="BK501" s="966"/>
      <c r="BL501" s="966"/>
      <c r="BM501" s="966"/>
      <c r="BN501" s="966"/>
      <c r="BO501" s="966"/>
      <c r="BP501" s="966"/>
      <c r="BQ501" s="966"/>
      <c r="BR501" s="966"/>
      <c r="BS501" s="966"/>
      <c r="BV501" s="966"/>
      <c r="BW501" s="966"/>
      <c r="BX501" s="966"/>
      <c r="CA501" s="108"/>
      <c r="CB501" s="108"/>
      <c r="CC501" s="108"/>
      <c r="CD501" s="108"/>
      <c r="CE501" s="108"/>
      <c r="CF501" s="108"/>
      <c r="CG501" s="108"/>
      <c r="CH501" s="108"/>
      <c r="CI501" s="108"/>
    </row>
    <row r="502" spans="2:87">
      <c r="B502" s="109"/>
      <c r="C502" s="109"/>
      <c r="D502" s="541"/>
      <c r="F502" s="966"/>
      <c r="G502" s="966"/>
      <c r="H502" s="966"/>
      <c r="I502" s="966"/>
      <c r="J502" s="966"/>
      <c r="K502" s="966"/>
      <c r="L502" s="966"/>
      <c r="M502" s="966"/>
      <c r="N502" s="966"/>
      <c r="O502" s="966"/>
      <c r="R502" s="966"/>
      <c r="S502" s="966"/>
      <c r="T502" s="966"/>
      <c r="U502" s="966"/>
      <c r="V502" s="966"/>
      <c r="W502" s="966"/>
      <c r="X502" s="966"/>
      <c r="Y502" s="966"/>
      <c r="Z502" s="966"/>
      <c r="AA502" s="966"/>
      <c r="AB502" s="966"/>
      <c r="AC502" s="966"/>
      <c r="AF502" s="966"/>
      <c r="AG502" s="966"/>
      <c r="AH502" s="966"/>
      <c r="AI502" s="966"/>
      <c r="AJ502" s="966"/>
      <c r="AK502" s="966"/>
      <c r="AL502" s="966"/>
      <c r="AM502" s="966"/>
      <c r="AN502" s="966"/>
      <c r="AO502" s="966"/>
      <c r="AP502" s="966"/>
      <c r="AQ502" s="966"/>
      <c r="AT502" s="966"/>
      <c r="AU502" s="966"/>
      <c r="AV502" s="966"/>
      <c r="AW502" s="966"/>
      <c r="AX502" s="966"/>
      <c r="AY502" s="966"/>
      <c r="AZ502" s="966"/>
      <c r="BA502" s="966"/>
      <c r="BB502" s="966"/>
      <c r="BC502" s="966"/>
      <c r="BD502" s="966"/>
      <c r="BE502" s="966"/>
      <c r="BH502" s="966"/>
      <c r="BI502" s="966"/>
      <c r="BJ502" s="966"/>
      <c r="BK502" s="966"/>
      <c r="BL502" s="966"/>
      <c r="BM502" s="966"/>
      <c r="BN502" s="966"/>
      <c r="BO502" s="966"/>
      <c r="BP502" s="966"/>
      <c r="BQ502" s="966"/>
      <c r="BR502" s="966"/>
      <c r="BS502" s="966"/>
      <c r="BV502" s="966"/>
      <c r="BW502" s="966"/>
      <c r="BX502" s="966"/>
      <c r="CA502" s="108"/>
      <c r="CB502" s="108"/>
      <c r="CC502" s="108"/>
      <c r="CD502" s="108"/>
      <c r="CE502" s="108"/>
      <c r="CF502" s="108"/>
      <c r="CG502" s="108"/>
      <c r="CH502" s="108"/>
      <c r="CI502" s="108"/>
    </row>
    <row r="503" spans="2:87">
      <c r="B503" s="109"/>
      <c r="C503" s="109"/>
      <c r="D503" s="541"/>
      <c r="F503" s="966"/>
      <c r="G503" s="966"/>
      <c r="H503" s="966"/>
      <c r="I503" s="966"/>
      <c r="J503" s="966"/>
      <c r="K503" s="966"/>
      <c r="L503" s="966"/>
      <c r="M503" s="966"/>
      <c r="N503" s="966"/>
      <c r="O503" s="966"/>
      <c r="R503" s="966"/>
      <c r="S503" s="966"/>
      <c r="T503" s="966"/>
      <c r="U503" s="966"/>
      <c r="V503" s="966"/>
      <c r="W503" s="966"/>
      <c r="X503" s="966"/>
      <c r="Y503" s="966"/>
      <c r="Z503" s="966"/>
      <c r="AA503" s="966"/>
      <c r="AB503" s="966"/>
      <c r="AC503" s="966"/>
      <c r="AF503" s="966"/>
      <c r="AG503" s="966"/>
      <c r="AH503" s="966"/>
      <c r="AI503" s="966"/>
      <c r="AJ503" s="966"/>
      <c r="AK503" s="966"/>
      <c r="AL503" s="966"/>
      <c r="AM503" s="966"/>
      <c r="AN503" s="966"/>
      <c r="AO503" s="966"/>
      <c r="AP503" s="966"/>
      <c r="AQ503" s="966"/>
      <c r="AT503" s="966"/>
      <c r="AU503" s="966"/>
      <c r="AV503" s="966"/>
      <c r="AW503" s="966"/>
      <c r="AX503" s="966"/>
      <c r="AY503" s="966"/>
      <c r="AZ503" s="966"/>
      <c r="BA503" s="966"/>
      <c r="BB503" s="966"/>
      <c r="BC503" s="966"/>
      <c r="BD503" s="966"/>
      <c r="BE503" s="966"/>
      <c r="BH503" s="966"/>
      <c r="BI503" s="966"/>
      <c r="BJ503" s="966"/>
      <c r="BK503" s="966"/>
      <c r="BL503" s="966"/>
      <c r="BM503" s="966"/>
      <c r="BN503" s="966"/>
      <c r="BO503" s="966"/>
      <c r="BP503" s="966"/>
      <c r="BQ503" s="966"/>
      <c r="BR503" s="966"/>
      <c r="BS503" s="966"/>
      <c r="BV503" s="966"/>
      <c r="BW503" s="966"/>
      <c r="BX503" s="966"/>
      <c r="CA503" s="108"/>
      <c r="CB503" s="108"/>
      <c r="CC503" s="108"/>
      <c r="CD503" s="108"/>
      <c r="CE503" s="108"/>
      <c r="CF503" s="108"/>
      <c r="CG503" s="108"/>
      <c r="CH503" s="108"/>
      <c r="CI503" s="108"/>
    </row>
    <row r="504" spans="2:87">
      <c r="B504" s="109"/>
      <c r="C504" s="109"/>
      <c r="D504" s="541"/>
      <c r="F504" s="966"/>
      <c r="G504" s="966"/>
      <c r="H504" s="966"/>
      <c r="I504" s="966"/>
      <c r="J504" s="966"/>
      <c r="K504" s="966"/>
      <c r="L504" s="966"/>
      <c r="M504" s="966"/>
      <c r="N504" s="966"/>
      <c r="O504" s="966"/>
      <c r="R504" s="966"/>
      <c r="S504" s="966"/>
      <c r="T504" s="966"/>
      <c r="U504" s="966"/>
      <c r="V504" s="966"/>
      <c r="W504" s="966"/>
      <c r="X504" s="966"/>
      <c r="Y504" s="966"/>
      <c r="Z504" s="966"/>
      <c r="AA504" s="966"/>
      <c r="AB504" s="966"/>
      <c r="AC504" s="966"/>
      <c r="AF504" s="966"/>
      <c r="AG504" s="966"/>
      <c r="AH504" s="966"/>
      <c r="AI504" s="966"/>
      <c r="AJ504" s="966"/>
      <c r="AK504" s="966"/>
      <c r="AL504" s="966"/>
      <c r="AM504" s="966"/>
      <c r="AN504" s="966"/>
      <c r="AO504" s="966"/>
      <c r="AP504" s="966"/>
      <c r="AQ504" s="966"/>
      <c r="AT504" s="966"/>
      <c r="AU504" s="966"/>
      <c r="AV504" s="966"/>
      <c r="AW504" s="966"/>
      <c r="AX504" s="966"/>
      <c r="AY504" s="966"/>
      <c r="AZ504" s="966"/>
      <c r="BA504" s="966"/>
      <c r="BB504" s="966"/>
      <c r="BC504" s="966"/>
      <c r="BD504" s="966"/>
      <c r="BE504" s="966"/>
      <c r="BH504" s="966"/>
      <c r="BI504" s="966"/>
      <c r="BJ504" s="966"/>
      <c r="BK504" s="966"/>
      <c r="BL504" s="966"/>
      <c r="BM504" s="966"/>
      <c r="BN504" s="966"/>
      <c r="BO504" s="966"/>
      <c r="BP504" s="966"/>
      <c r="BQ504" s="966"/>
      <c r="BR504" s="966"/>
      <c r="BS504" s="966"/>
      <c r="BV504" s="966"/>
      <c r="BW504" s="966"/>
      <c r="BX504" s="966"/>
      <c r="CA504" s="108"/>
      <c r="CB504" s="108"/>
      <c r="CC504" s="108"/>
      <c r="CD504" s="108"/>
      <c r="CE504" s="108"/>
      <c r="CF504" s="108"/>
      <c r="CG504" s="108"/>
      <c r="CH504" s="108"/>
      <c r="CI504" s="108"/>
    </row>
    <row r="505" spans="2:87">
      <c r="B505" s="109"/>
      <c r="C505" s="109"/>
      <c r="D505" s="541"/>
      <c r="F505" s="966"/>
      <c r="G505" s="966"/>
      <c r="H505" s="966"/>
      <c r="I505" s="966"/>
      <c r="J505" s="966"/>
      <c r="K505" s="966"/>
      <c r="L505" s="966"/>
      <c r="M505" s="966"/>
      <c r="N505" s="966"/>
      <c r="O505" s="966"/>
      <c r="R505" s="966"/>
      <c r="S505" s="966"/>
      <c r="T505" s="966"/>
      <c r="U505" s="966"/>
      <c r="V505" s="966"/>
      <c r="W505" s="966"/>
      <c r="X505" s="966"/>
      <c r="Y505" s="966"/>
      <c r="Z505" s="966"/>
      <c r="AA505" s="966"/>
      <c r="AB505" s="966"/>
      <c r="AC505" s="966"/>
      <c r="AF505" s="966"/>
      <c r="AG505" s="966"/>
      <c r="AH505" s="966"/>
      <c r="AI505" s="966"/>
      <c r="AJ505" s="966"/>
      <c r="AK505" s="966"/>
      <c r="AL505" s="966"/>
      <c r="AM505" s="966"/>
      <c r="AN505" s="966"/>
      <c r="AO505" s="966"/>
      <c r="AP505" s="966"/>
      <c r="AQ505" s="966"/>
      <c r="AT505" s="966"/>
      <c r="AU505" s="966"/>
      <c r="AV505" s="966"/>
      <c r="AW505" s="966"/>
      <c r="AX505" s="966"/>
      <c r="AY505" s="966"/>
      <c r="AZ505" s="966"/>
      <c r="BA505" s="966"/>
      <c r="BB505" s="966"/>
      <c r="BC505" s="966"/>
      <c r="BD505" s="966"/>
      <c r="BE505" s="966"/>
      <c r="BH505" s="966"/>
      <c r="BI505" s="966"/>
      <c r="BJ505" s="966"/>
      <c r="BK505" s="966"/>
      <c r="BL505" s="966"/>
      <c r="BM505" s="966"/>
      <c r="BN505" s="966"/>
      <c r="BO505" s="966"/>
      <c r="BP505" s="966"/>
      <c r="BQ505" s="966"/>
      <c r="BR505" s="966"/>
      <c r="BS505" s="966"/>
      <c r="BV505" s="966"/>
      <c r="BW505" s="966"/>
      <c r="BX505" s="966"/>
      <c r="CA505" s="108"/>
      <c r="CB505" s="108"/>
      <c r="CC505" s="108"/>
      <c r="CD505" s="108"/>
      <c r="CE505" s="108"/>
      <c r="CF505" s="108"/>
      <c r="CG505" s="108"/>
      <c r="CH505" s="108"/>
      <c r="CI505" s="108"/>
    </row>
    <row r="506" spans="2:87">
      <c r="B506" s="109"/>
      <c r="C506" s="109"/>
      <c r="D506" s="541"/>
      <c r="F506" s="966"/>
      <c r="G506" s="966"/>
      <c r="H506" s="966"/>
      <c r="I506" s="966"/>
      <c r="J506" s="966"/>
      <c r="K506" s="966"/>
      <c r="L506" s="966"/>
      <c r="M506" s="966"/>
      <c r="N506" s="966"/>
      <c r="O506" s="966"/>
      <c r="R506" s="966"/>
      <c r="S506" s="966"/>
      <c r="T506" s="966"/>
      <c r="U506" s="966"/>
      <c r="V506" s="966"/>
      <c r="W506" s="966"/>
      <c r="X506" s="966"/>
      <c r="Y506" s="966"/>
      <c r="Z506" s="966"/>
      <c r="AA506" s="966"/>
      <c r="AB506" s="966"/>
      <c r="AC506" s="966"/>
      <c r="AF506" s="966"/>
      <c r="AG506" s="966"/>
      <c r="AH506" s="966"/>
      <c r="AI506" s="966"/>
      <c r="AJ506" s="966"/>
      <c r="AK506" s="966"/>
      <c r="AL506" s="966"/>
      <c r="AM506" s="966"/>
      <c r="AN506" s="966"/>
      <c r="AO506" s="966"/>
      <c r="AP506" s="966"/>
      <c r="AQ506" s="966"/>
      <c r="AT506" s="966"/>
      <c r="AU506" s="966"/>
      <c r="AV506" s="966"/>
      <c r="AW506" s="966"/>
      <c r="AX506" s="966"/>
      <c r="AY506" s="966"/>
      <c r="AZ506" s="966"/>
      <c r="BA506" s="966"/>
      <c r="BB506" s="966"/>
      <c r="BC506" s="966"/>
      <c r="BD506" s="966"/>
      <c r="BE506" s="966"/>
      <c r="BH506" s="966"/>
      <c r="BI506" s="966"/>
      <c r="BJ506" s="966"/>
      <c r="BK506" s="966"/>
      <c r="BL506" s="966"/>
      <c r="BM506" s="966"/>
      <c r="BN506" s="966"/>
      <c r="BO506" s="966"/>
      <c r="BP506" s="966"/>
      <c r="BQ506" s="966"/>
      <c r="BR506" s="966"/>
      <c r="BS506" s="966"/>
      <c r="BV506" s="966"/>
      <c r="BW506" s="966"/>
      <c r="BX506" s="966"/>
      <c r="CA506" s="108"/>
      <c r="CB506" s="108"/>
      <c r="CC506" s="108"/>
      <c r="CD506" s="108"/>
      <c r="CE506" s="108"/>
      <c r="CF506" s="108"/>
      <c r="CG506" s="108"/>
      <c r="CH506" s="108"/>
      <c r="CI506" s="108"/>
    </row>
    <row r="507" spans="2:87">
      <c r="B507" s="109"/>
      <c r="C507" s="109"/>
      <c r="D507" s="541"/>
      <c r="F507" s="966"/>
      <c r="G507" s="966"/>
      <c r="H507" s="966"/>
      <c r="I507" s="966"/>
      <c r="J507" s="966"/>
      <c r="K507" s="966"/>
      <c r="L507" s="966"/>
      <c r="M507" s="966"/>
      <c r="N507" s="966"/>
      <c r="O507" s="966"/>
      <c r="R507" s="966"/>
      <c r="S507" s="966"/>
      <c r="T507" s="966"/>
      <c r="U507" s="966"/>
      <c r="V507" s="966"/>
      <c r="W507" s="966"/>
      <c r="X507" s="966"/>
      <c r="Y507" s="966"/>
      <c r="Z507" s="966"/>
      <c r="AA507" s="966"/>
      <c r="AB507" s="966"/>
      <c r="AC507" s="966"/>
      <c r="AF507" s="966"/>
      <c r="AG507" s="966"/>
      <c r="AH507" s="966"/>
      <c r="AI507" s="966"/>
      <c r="AJ507" s="966"/>
      <c r="AK507" s="966"/>
      <c r="AL507" s="966"/>
      <c r="AM507" s="966"/>
      <c r="AN507" s="966"/>
      <c r="AO507" s="966"/>
      <c r="AP507" s="966"/>
      <c r="AQ507" s="966"/>
      <c r="AT507" s="966"/>
      <c r="AU507" s="966"/>
      <c r="AV507" s="966"/>
      <c r="AW507" s="966"/>
      <c r="AX507" s="966"/>
      <c r="AY507" s="966"/>
      <c r="AZ507" s="966"/>
      <c r="BA507" s="966"/>
      <c r="BB507" s="966"/>
      <c r="BC507" s="966"/>
      <c r="BD507" s="966"/>
      <c r="BE507" s="966"/>
      <c r="BH507" s="966"/>
      <c r="BI507" s="966"/>
      <c r="BJ507" s="966"/>
      <c r="BK507" s="966"/>
      <c r="BL507" s="966"/>
      <c r="BM507" s="966"/>
      <c r="BN507" s="966"/>
      <c r="BO507" s="966"/>
      <c r="BP507" s="966"/>
      <c r="BQ507" s="966"/>
      <c r="BR507" s="966"/>
      <c r="BS507" s="966"/>
      <c r="BV507" s="966"/>
      <c r="BW507" s="966"/>
      <c r="BX507" s="966"/>
      <c r="CA507" s="108"/>
      <c r="CB507" s="108"/>
      <c r="CC507" s="108"/>
      <c r="CD507" s="108"/>
      <c r="CE507" s="108"/>
      <c r="CF507" s="108"/>
      <c r="CG507" s="108"/>
      <c r="CH507" s="108"/>
      <c r="CI507" s="108"/>
    </row>
    <row r="508" spans="2:87">
      <c r="B508" s="109"/>
      <c r="C508" s="109"/>
      <c r="D508" s="541"/>
      <c r="F508" s="966"/>
      <c r="G508" s="966"/>
      <c r="H508" s="966"/>
      <c r="I508" s="966"/>
      <c r="J508" s="966"/>
      <c r="K508" s="966"/>
      <c r="L508" s="966"/>
      <c r="M508" s="966"/>
      <c r="N508" s="966"/>
      <c r="O508" s="966"/>
      <c r="R508" s="966"/>
      <c r="S508" s="966"/>
      <c r="T508" s="966"/>
      <c r="U508" s="966"/>
      <c r="V508" s="966"/>
      <c r="W508" s="966"/>
      <c r="X508" s="966"/>
      <c r="Y508" s="966"/>
      <c r="Z508" s="966"/>
      <c r="AA508" s="966"/>
      <c r="AB508" s="966"/>
      <c r="AC508" s="966"/>
      <c r="AF508" s="966"/>
      <c r="AG508" s="966"/>
      <c r="AH508" s="966"/>
      <c r="AI508" s="966"/>
      <c r="AJ508" s="966"/>
      <c r="AK508" s="966"/>
      <c r="AL508" s="966"/>
      <c r="AM508" s="966"/>
      <c r="AN508" s="966"/>
      <c r="AO508" s="966"/>
      <c r="AP508" s="966"/>
      <c r="AQ508" s="966"/>
      <c r="AT508" s="966"/>
      <c r="AU508" s="966"/>
      <c r="AV508" s="966"/>
      <c r="AW508" s="966"/>
      <c r="AX508" s="966"/>
      <c r="AY508" s="966"/>
      <c r="AZ508" s="966"/>
      <c r="BA508" s="966"/>
      <c r="BB508" s="966"/>
      <c r="BC508" s="966"/>
      <c r="BD508" s="966"/>
      <c r="BE508" s="966"/>
      <c r="BH508" s="966"/>
      <c r="BI508" s="966"/>
      <c r="BJ508" s="966"/>
      <c r="BK508" s="966"/>
      <c r="BL508" s="966"/>
      <c r="BM508" s="966"/>
      <c r="BN508" s="966"/>
      <c r="BO508" s="966"/>
      <c r="BP508" s="966"/>
      <c r="BQ508" s="966"/>
      <c r="BR508" s="966"/>
      <c r="BS508" s="966"/>
      <c r="BV508" s="966"/>
      <c r="BW508" s="966"/>
      <c r="BX508" s="966"/>
      <c r="CA508" s="108"/>
      <c r="CB508" s="108"/>
      <c r="CC508" s="108"/>
      <c r="CD508" s="108"/>
      <c r="CE508" s="108"/>
      <c r="CF508" s="108"/>
      <c r="CG508" s="108"/>
      <c r="CH508" s="108"/>
      <c r="CI508" s="108"/>
    </row>
    <row r="509" spans="2:87">
      <c r="B509" s="109"/>
      <c r="C509" s="109"/>
      <c r="D509" s="541"/>
      <c r="F509" s="966"/>
      <c r="G509" s="966"/>
      <c r="H509" s="966"/>
      <c r="I509" s="966"/>
      <c r="J509" s="966"/>
      <c r="K509" s="966"/>
      <c r="L509" s="966"/>
      <c r="M509" s="966"/>
      <c r="N509" s="966"/>
      <c r="O509" s="966"/>
      <c r="R509" s="966"/>
      <c r="S509" s="966"/>
      <c r="T509" s="966"/>
      <c r="U509" s="966"/>
      <c r="V509" s="966"/>
      <c r="W509" s="966"/>
      <c r="X509" s="966"/>
      <c r="Y509" s="966"/>
      <c r="Z509" s="966"/>
      <c r="AA509" s="966"/>
      <c r="AB509" s="966"/>
      <c r="AC509" s="966"/>
      <c r="AF509" s="966"/>
      <c r="AG509" s="966"/>
      <c r="AH509" s="966"/>
      <c r="AI509" s="966"/>
      <c r="AJ509" s="966"/>
      <c r="AK509" s="966"/>
      <c r="AL509" s="966"/>
      <c r="AM509" s="966"/>
      <c r="AN509" s="966"/>
      <c r="AO509" s="966"/>
      <c r="AP509" s="966"/>
      <c r="AQ509" s="966"/>
      <c r="AT509" s="966"/>
      <c r="AU509" s="966"/>
      <c r="AV509" s="966"/>
      <c r="AW509" s="966"/>
      <c r="AX509" s="966"/>
      <c r="AY509" s="966"/>
      <c r="AZ509" s="966"/>
      <c r="BA509" s="966"/>
      <c r="BB509" s="966"/>
      <c r="BC509" s="966"/>
      <c r="BD509" s="966"/>
      <c r="BE509" s="966"/>
      <c r="BH509" s="966"/>
      <c r="BI509" s="966"/>
      <c r="BJ509" s="966"/>
      <c r="BK509" s="966"/>
      <c r="BL509" s="966"/>
      <c r="BM509" s="966"/>
      <c r="BN509" s="966"/>
      <c r="BO509" s="966"/>
      <c r="BP509" s="966"/>
      <c r="BQ509" s="966"/>
      <c r="BR509" s="966"/>
      <c r="BS509" s="966"/>
      <c r="BV509" s="966"/>
      <c r="BW509" s="966"/>
      <c r="BX509" s="966"/>
      <c r="CA509" s="108"/>
      <c r="CB509" s="108"/>
      <c r="CC509" s="108"/>
      <c r="CD509" s="108"/>
      <c r="CE509" s="108"/>
      <c r="CF509" s="108"/>
      <c r="CG509" s="108"/>
      <c r="CH509" s="108"/>
      <c r="CI509" s="108"/>
    </row>
    <row r="510" spans="2:87">
      <c r="B510" s="109"/>
      <c r="C510" s="109"/>
      <c r="D510" s="541"/>
      <c r="F510" s="966"/>
      <c r="G510" s="966"/>
      <c r="H510" s="966"/>
      <c r="I510" s="966"/>
      <c r="J510" s="966"/>
      <c r="K510" s="966"/>
      <c r="L510" s="966"/>
      <c r="M510" s="966"/>
      <c r="N510" s="966"/>
      <c r="O510" s="966"/>
      <c r="R510" s="966"/>
      <c r="S510" s="966"/>
      <c r="T510" s="966"/>
      <c r="U510" s="966"/>
      <c r="V510" s="966"/>
      <c r="W510" s="966"/>
      <c r="X510" s="966"/>
      <c r="Y510" s="966"/>
      <c r="Z510" s="966"/>
      <c r="AA510" s="966"/>
      <c r="AB510" s="966"/>
      <c r="AC510" s="966"/>
      <c r="AF510" s="966"/>
      <c r="AG510" s="966"/>
      <c r="AH510" s="966"/>
      <c r="AI510" s="966"/>
      <c r="AJ510" s="966"/>
      <c r="AK510" s="966"/>
      <c r="AL510" s="966"/>
      <c r="AM510" s="966"/>
      <c r="AN510" s="966"/>
      <c r="AO510" s="966"/>
      <c r="AP510" s="966"/>
      <c r="AQ510" s="966"/>
      <c r="AT510" s="966"/>
      <c r="AU510" s="966"/>
      <c r="AV510" s="966"/>
      <c r="AW510" s="966"/>
      <c r="AX510" s="966"/>
      <c r="AY510" s="966"/>
      <c r="AZ510" s="966"/>
      <c r="BA510" s="966"/>
      <c r="BB510" s="966"/>
      <c r="BC510" s="966"/>
      <c r="BD510" s="966"/>
      <c r="BE510" s="966"/>
      <c r="BH510" s="966"/>
      <c r="BI510" s="966"/>
      <c r="BJ510" s="966"/>
      <c r="BK510" s="966"/>
      <c r="BL510" s="966"/>
      <c r="BM510" s="966"/>
      <c r="BN510" s="966"/>
      <c r="BO510" s="966"/>
      <c r="BP510" s="966"/>
      <c r="BQ510" s="966"/>
      <c r="BR510" s="966"/>
      <c r="BS510" s="966"/>
      <c r="BV510" s="966"/>
      <c r="BW510" s="966"/>
      <c r="BX510" s="966"/>
      <c r="CA510" s="108"/>
      <c r="CB510" s="108"/>
      <c r="CC510" s="108"/>
      <c r="CD510" s="108"/>
      <c r="CE510" s="108"/>
      <c r="CF510" s="108"/>
      <c r="CG510" s="108"/>
      <c r="CH510" s="108"/>
      <c r="CI510" s="108"/>
    </row>
    <row r="511" spans="2:87">
      <c r="B511" s="109"/>
      <c r="C511" s="109"/>
      <c r="D511" s="541"/>
      <c r="F511" s="966"/>
      <c r="G511" s="966"/>
      <c r="H511" s="966"/>
      <c r="I511" s="966"/>
      <c r="J511" s="966"/>
      <c r="K511" s="966"/>
      <c r="L511" s="966"/>
      <c r="M511" s="966"/>
      <c r="N511" s="966"/>
      <c r="O511" s="966"/>
      <c r="R511" s="966"/>
      <c r="S511" s="966"/>
      <c r="T511" s="966"/>
      <c r="U511" s="966"/>
      <c r="V511" s="966"/>
      <c r="W511" s="966"/>
      <c r="X511" s="966"/>
      <c r="Y511" s="966"/>
      <c r="Z511" s="966"/>
      <c r="AA511" s="966"/>
      <c r="AB511" s="966"/>
      <c r="AC511" s="966"/>
      <c r="AF511" s="966"/>
      <c r="AG511" s="966"/>
      <c r="AH511" s="966"/>
      <c r="AI511" s="966"/>
      <c r="AJ511" s="966"/>
      <c r="AK511" s="966"/>
      <c r="AL511" s="966"/>
      <c r="AM511" s="966"/>
      <c r="AN511" s="966"/>
      <c r="AO511" s="966"/>
      <c r="AP511" s="966"/>
      <c r="AQ511" s="966"/>
      <c r="AT511" s="966"/>
      <c r="AU511" s="966"/>
      <c r="AV511" s="966"/>
      <c r="AW511" s="966"/>
      <c r="AX511" s="966"/>
      <c r="AY511" s="966"/>
      <c r="AZ511" s="966"/>
      <c r="BA511" s="966"/>
      <c r="BB511" s="966"/>
      <c r="BC511" s="966"/>
      <c r="BD511" s="966"/>
      <c r="BE511" s="966"/>
      <c r="BH511" s="966"/>
      <c r="BI511" s="966"/>
      <c r="BJ511" s="966"/>
      <c r="BK511" s="966"/>
      <c r="BL511" s="966"/>
      <c r="BM511" s="966"/>
      <c r="BN511" s="966"/>
      <c r="BO511" s="966"/>
      <c r="BP511" s="966"/>
      <c r="BQ511" s="966"/>
      <c r="BR511" s="966"/>
      <c r="BS511" s="966"/>
      <c r="BV511" s="966"/>
      <c r="BW511" s="966"/>
      <c r="BX511" s="966"/>
      <c r="CA511" s="108"/>
      <c r="CB511" s="108"/>
      <c r="CC511" s="108"/>
      <c r="CD511" s="108"/>
      <c r="CE511" s="108"/>
      <c r="CF511" s="108"/>
      <c r="CG511" s="108"/>
      <c r="CH511" s="108"/>
      <c r="CI511" s="108"/>
    </row>
    <row r="512" spans="2:87">
      <c r="B512" s="109"/>
      <c r="C512" s="109"/>
      <c r="D512" s="541"/>
      <c r="F512" s="966"/>
      <c r="G512" s="966"/>
      <c r="H512" s="966"/>
      <c r="I512" s="966"/>
      <c r="J512" s="966"/>
      <c r="K512" s="966"/>
      <c r="L512" s="966"/>
      <c r="M512" s="966"/>
      <c r="N512" s="966"/>
      <c r="O512" s="966"/>
      <c r="R512" s="966"/>
      <c r="S512" s="966"/>
      <c r="T512" s="966"/>
      <c r="U512" s="966"/>
      <c r="V512" s="966"/>
      <c r="W512" s="966"/>
      <c r="X512" s="966"/>
      <c r="Y512" s="966"/>
      <c r="Z512" s="966"/>
      <c r="AA512" s="966"/>
      <c r="AB512" s="966"/>
      <c r="AC512" s="966"/>
      <c r="AF512" s="966"/>
      <c r="AG512" s="966"/>
      <c r="AH512" s="966"/>
      <c r="AI512" s="966"/>
      <c r="AJ512" s="966"/>
      <c r="AK512" s="966"/>
      <c r="AL512" s="966"/>
      <c r="AM512" s="966"/>
      <c r="AN512" s="966"/>
      <c r="AO512" s="966"/>
      <c r="AP512" s="966"/>
      <c r="AQ512" s="966"/>
      <c r="AT512" s="966"/>
      <c r="AU512" s="966"/>
      <c r="AV512" s="966"/>
      <c r="AW512" s="966"/>
      <c r="AX512" s="966"/>
      <c r="AY512" s="966"/>
      <c r="AZ512" s="966"/>
      <c r="BA512" s="966"/>
      <c r="BB512" s="966"/>
      <c r="BC512" s="966"/>
      <c r="BD512" s="966"/>
      <c r="BE512" s="966"/>
      <c r="BH512" s="966"/>
      <c r="BI512" s="966"/>
      <c r="BJ512" s="966"/>
      <c r="BK512" s="966"/>
      <c r="BL512" s="966"/>
      <c r="BM512" s="966"/>
      <c r="BN512" s="966"/>
      <c r="BO512" s="966"/>
      <c r="BP512" s="966"/>
      <c r="BQ512" s="966"/>
      <c r="BR512" s="966"/>
      <c r="BS512" s="966"/>
      <c r="BV512" s="966"/>
      <c r="BW512" s="966"/>
      <c r="BX512" s="966"/>
      <c r="CA512" s="108"/>
      <c r="CB512" s="108"/>
      <c r="CC512" s="108"/>
      <c r="CD512" s="108"/>
      <c r="CE512" s="108"/>
      <c r="CF512" s="108"/>
      <c r="CG512" s="108"/>
      <c r="CH512" s="108"/>
      <c r="CI512" s="108"/>
    </row>
    <row r="513" spans="2:87">
      <c r="B513" s="109"/>
      <c r="C513" s="109"/>
      <c r="D513" s="541"/>
      <c r="F513" s="966"/>
      <c r="G513" s="966"/>
      <c r="H513" s="966"/>
      <c r="I513" s="966"/>
      <c r="J513" s="966"/>
      <c r="K513" s="966"/>
      <c r="L513" s="966"/>
      <c r="M513" s="966"/>
      <c r="N513" s="966"/>
      <c r="O513" s="966"/>
      <c r="R513" s="966"/>
      <c r="S513" s="966"/>
      <c r="T513" s="966"/>
      <c r="U513" s="966"/>
      <c r="V513" s="966"/>
      <c r="W513" s="966"/>
      <c r="X513" s="966"/>
      <c r="Y513" s="966"/>
      <c r="Z513" s="966"/>
      <c r="AA513" s="966"/>
      <c r="AB513" s="966"/>
      <c r="AC513" s="966"/>
      <c r="AF513" s="966"/>
      <c r="AG513" s="966"/>
      <c r="AH513" s="966"/>
      <c r="AI513" s="966"/>
      <c r="AJ513" s="966"/>
      <c r="AK513" s="966"/>
      <c r="AL513" s="966"/>
      <c r="AM513" s="966"/>
      <c r="AN513" s="966"/>
      <c r="AO513" s="966"/>
      <c r="AP513" s="966"/>
      <c r="AQ513" s="966"/>
      <c r="AT513" s="966"/>
      <c r="AU513" s="966"/>
      <c r="AV513" s="966"/>
      <c r="AW513" s="966"/>
      <c r="AX513" s="966"/>
      <c r="AY513" s="966"/>
      <c r="AZ513" s="966"/>
      <c r="BA513" s="966"/>
      <c r="BB513" s="966"/>
      <c r="BC513" s="966"/>
      <c r="BD513" s="966"/>
      <c r="BE513" s="966"/>
      <c r="BH513" s="966"/>
      <c r="BI513" s="966"/>
      <c r="BJ513" s="966"/>
      <c r="BK513" s="966"/>
      <c r="BL513" s="966"/>
      <c r="BM513" s="966"/>
      <c r="BN513" s="966"/>
      <c r="BO513" s="966"/>
      <c r="BP513" s="966"/>
      <c r="BQ513" s="966"/>
      <c r="BR513" s="966"/>
      <c r="BS513" s="966"/>
      <c r="BV513" s="966"/>
      <c r="BW513" s="966"/>
      <c r="BX513" s="966"/>
      <c r="CA513" s="108"/>
      <c r="CB513" s="108"/>
      <c r="CC513" s="108"/>
      <c r="CD513" s="108"/>
      <c r="CE513" s="108"/>
      <c r="CF513" s="108"/>
      <c r="CG513" s="108"/>
      <c r="CH513" s="108"/>
      <c r="CI513" s="108"/>
    </row>
    <row r="514" spans="2:87">
      <c r="B514" s="109"/>
      <c r="C514" s="109"/>
      <c r="D514" s="541"/>
      <c r="F514" s="966"/>
      <c r="G514" s="966"/>
      <c r="H514" s="966"/>
      <c r="I514" s="966"/>
      <c r="J514" s="966"/>
      <c r="K514" s="966"/>
      <c r="L514" s="966"/>
      <c r="M514" s="966"/>
      <c r="N514" s="966"/>
      <c r="O514" s="966"/>
      <c r="R514" s="966"/>
      <c r="S514" s="966"/>
      <c r="T514" s="966"/>
      <c r="U514" s="966"/>
      <c r="V514" s="966"/>
      <c r="W514" s="966"/>
      <c r="X514" s="966"/>
      <c r="Y514" s="966"/>
      <c r="Z514" s="966"/>
      <c r="AA514" s="966"/>
      <c r="AB514" s="966"/>
      <c r="AC514" s="966"/>
      <c r="AF514" s="966"/>
      <c r="AG514" s="966"/>
      <c r="AH514" s="966"/>
      <c r="AI514" s="966"/>
      <c r="AJ514" s="966"/>
      <c r="AK514" s="966"/>
      <c r="AL514" s="966"/>
      <c r="AM514" s="966"/>
      <c r="AN514" s="966"/>
      <c r="AO514" s="966"/>
      <c r="AP514" s="966"/>
      <c r="AQ514" s="966"/>
      <c r="AT514" s="966"/>
      <c r="AU514" s="966"/>
      <c r="AV514" s="966"/>
      <c r="AW514" s="966"/>
      <c r="AX514" s="966"/>
      <c r="AY514" s="966"/>
      <c r="AZ514" s="966"/>
      <c r="BA514" s="966"/>
      <c r="BB514" s="966"/>
      <c r="BC514" s="966"/>
      <c r="BD514" s="966"/>
      <c r="BE514" s="966"/>
      <c r="BH514" s="966"/>
      <c r="BI514" s="966"/>
      <c r="BJ514" s="966"/>
      <c r="BK514" s="966"/>
      <c r="BL514" s="966"/>
      <c r="BM514" s="966"/>
      <c r="BN514" s="966"/>
      <c r="BO514" s="966"/>
      <c r="BP514" s="966"/>
      <c r="BQ514" s="966"/>
      <c r="BR514" s="966"/>
      <c r="BS514" s="966"/>
      <c r="BV514" s="966"/>
      <c r="BW514" s="966"/>
      <c r="BX514" s="966"/>
      <c r="CA514" s="108"/>
      <c r="CB514" s="108"/>
      <c r="CC514" s="108"/>
      <c r="CD514" s="108"/>
      <c r="CE514" s="108"/>
      <c r="CF514" s="108"/>
      <c r="CG514" s="108"/>
      <c r="CH514" s="108"/>
      <c r="CI514" s="108"/>
    </row>
    <row r="515" spans="2:87">
      <c r="B515" s="109"/>
      <c r="C515" s="109"/>
      <c r="D515" s="541"/>
      <c r="F515" s="966"/>
      <c r="G515" s="966"/>
      <c r="H515" s="966"/>
      <c r="I515" s="966"/>
      <c r="J515" s="966"/>
      <c r="K515" s="966"/>
      <c r="L515" s="966"/>
      <c r="M515" s="966"/>
      <c r="N515" s="966"/>
      <c r="O515" s="966"/>
      <c r="R515" s="966"/>
      <c r="S515" s="966"/>
      <c r="T515" s="966"/>
      <c r="U515" s="966"/>
      <c r="V515" s="966"/>
      <c r="W515" s="966"/>
      <c r="X515" s="966"/>
      <c r="Y515" s="966"/>
      <c r="Z515" s="966"/>
      <c r="AA515" s="966"/>
      <c r="AB515" s="966"/>
      <c r="AC515" s="966"/>
      <c r="AF515" s="966"/>
      <c r="AG515" s="966"/>
      <c r="AH515" s="966"/>
      <c r="AI515" s="966"/>
      <c r="AJ515" s="966"/>
      <c r="AK515" s="966"/>
      <c r="AL515" s="966"/>
      <c r="AM515" s="966"/>
      <c r="AN515" s="966"/>
      <c r="AO515" s="966"/>
      <c r="AP515" s="966"/>
      <c r="AQ515" s="966"/>
      <c r="AT515" s="966"/>
      <c r="AU515" s="966"/>
      <c r="AV515" s="966"/>
      <c r="AW515" s="966"/>
      <c r="AX515" s="966"/>
      <c r="AY515" s="966"/>
      <c r="AZ515" s="966"/>
      <c r="BA515" s="966"/>
      <c r="BB515" s="966"/>
      <c r="BC515" s="966"/>
      <c r="BD515" s="966"/>
      <c r="BE515" s="966"/>
      <c r="BH515" s="966"/>
      <c r="BI515" s="966"/>
      <c r="BJ515" s="966"/>
      <c r="BK515" s="966"/>
      <c r="BL515" s="966"/>
      <c r="BM515" s="966"/>
      <c r="BN515" s="966"/>
      <c r="BO515" s="966"/>
      <c r="BP515" s="966"/>
      <c r="BQ515" s="966"/>
      <c r="BR515" s="966"/>
      <c r="BS515" s="966"/>
      <c r="BV515" s="966"/>
      <c r="BW515" s="966"/>
      <c r="BX515" s="966"/>
      <c r="CA515" s="108"/>
      <c r="CB515" s="108"/>
      <c r="CC515" s="108"/>
      <c r="CD515" s="108"/>
      <c r="CE515" s="108"/>
      <c r="CF515" s="108"/>
      <c r="CG515" s="108"/>
      <c r="CH515" s="108"/>
      <c r="CI515" s="108"/>
    </row>
    <row r="516" spans="2:87">
      <c r="B516" s="109"/>
      <c r="C516" s="109"/>
      <c r="D516" s="541"/>
      <c r="F516" s="966"/>
      <c r="G516" s="966"/>
      <c r="H516" s="966"/>
      <c r="I516" s="966"/>
      <c r="J516" s="966"/>
      <c r="K516" s="966"/>
      <c r="L516" s="966"/>
      <c r="M516" s="966"/>
      <c r="N516" s="966"/>
      <c r="O516" s="966"/>
      <c r="R516" s="966"/>
      <c r="S516" s="966"/>
      <c r="T516" s="966"/>
      <c r="U516" s="966"/>
      <c r="V516" s="966"/>
      <c r="W516" s="966"/>
      <c r="X516" s="966"/>
      <c r="Y516" s="966"/>
      <c r="Z516" s="966"/>
      <c r="AA516" s="966"/>
      <c r="AB516" s="966"/>
      <c r="AC516" s="966"/>
      <c r="AF516" s="966"/>
      <c r="AG516" s="966"/>
      <c r="AH516" s="966"/>
      <c r="AI516" s="966"/>
      <c r="AJ516" s="966"/>
      <c r="AK516" s="966"/>
      <c r="AL516" s="966"/>
      <c r="AM516" s="966"/>
      <c r="AN516" s="966"/>
      <c r="AO516" s="966"/>
      <c r="AP516" s="966"/>
      <c r="AQ516" s="966"/>
      <c r="AT516" s="966"/>
      <c r="AU516" s="966"/>
      <c r="AV516" s="966"/>
      <c r="AW516" s="966"/>
      <c r="AX516" s="966"/>
      <c r="AY516" s="966"/>
      <c r="AZ516" s="966"/>
      <c r="BA516" s="966"/>
      <c r="BB516" s="966"/>
      <c r="BC516" s="966"/>
      <c r="BD516" s="966"/>
      <c r="BE516" s="966"/>
      <c r="BH516" s="966"/>
      <c r="BI516" s="966"/>
      <c r="BJ516" s="966"/>
      <c r="BK516" s="966"/>
      <c r="BL516" s="966"/>
      <c r="BM516" s="966"/>
      <c r="BN516" s="966"/>
      <c r="BO516" s="966"/>
      <c r="BP516" s="966"/>
      <c r="BQ516" s="966"/>
      <c r="BR516" s="966"/>
      <c r="BS516" s="966"/>
      <c r="BV516" s="966"/>
      <c r="BW516" s="966"/>
      <c r="BX516" s="966"/>
      <c r="CA516" s="108"/>
      <c r="CB516" s="108"/>
      <c r="CC516" s="108"/>
      <c r="CD516" s="108"/>
      <c r="CE516" s="108"/>
      <c r="CF516" s="108"/>
      <c r="CG516" s="108"/>
      <c r="CH516" s="108"/>
      <c r="CI516" s="108"/>
    </row>
    <row r="517" spans="2:87">
      <c r="B517" s="109"/>
      <c r="C517" s="109"/>
      <c r="D517" s="541"/>
      <c r="F517" s="966"/>
      <c r="G517" s="966"/>
      <c r="H517" s="966"/>
      <c r="I517" s="966"/>
      <c r="J517" s="966"/>
      <c r="K517" s="966"/>
      <c r="L517" s="966"/>
      <c r="M517" s="966"/>
      <c r="N517" s="966"/>
      <c r="O517" s="966"/>
      <c r="R517" s="966"/>
      <c r="S517" s="966"/>
      <c r="T517" s="966"/>
      <c r="U517" s="966"/>
      <c r="V517" s="966"/>
      <c r="W517" s="966"/>
      <c r="X517" s="966"/>
      <c r="Y517" s="966"/>
      <c r="Z517" s="966"/>
      <c r="AA517" s="966"/>
      <c r="AB517" s="966"/>
      <c r="AC517" s="966"/>
      <c r="AF517" s="966"/>
      <c r="AG517" s="966"/>
      <c r="AH517" s="966"/>
      <c r="AI517" s="966"/>
      <c r="AJ517" s="966"/>
      <c r="AK517" s="966"/>
      <c r="AL517" s="966"/>
      <c r="AM517" s="966"/>
      <c r="AN517" s="966"/>
      <c r="AO517" s="966"/>
      <c r="AP517" s="966"/>
      <c r="AQ517" s="966"/>
      <c r="AT517" s="966"/>
      <c r="AU517" s="966"/>
      <c r="AV517" s="966"/>
      <c r="AW517" s="966"/>
      <c r="AX517" s="966"/>
      <c r="AY517" s="966"/>
      <c r="AZ517" s="966"/>
      <c r="BA517" s="966"/>
      <c r="BB517" s="966"/>
      <c r="BC517" s="966"/>
      <c r="BD517" s="966"/>
      <c r="BE517" s="966"/>
      <c r="BH517" s="966"/>
      <c r="BI517" s="966"/>
      <c r="BJ517" s="966"/>
      <c r="BK517" s="966"/>
      <c r="BL517" s="966"/>
      <c r="BM517" s="966"/>
      <c r="BN517" s="966"/>
      <c r="BO517" s="966"/>
      <c r="BP517" s="966"/>
      <c r="BQ517" s="966"/>
      <c r="BR517" s="966"/>
      <c r="BS517" s="966"/>
      <c r="BV517" s="966"/>
      <c r="BW517" s="966"/>
      <c r="BX517" s="966"/>
      <c r="CA517" s="108"/>
      <c r="CB517" s="108"/>
      <c r="CC517" s="108"/>
      <c r="CD517" s="108"/>
      <c r="CE517" s="108"/>
      <c r="CF517" s="108"/>
      <c r="CG517" s="108"/>
      <c r="CH517" s="108"/>
      <c r="CI517" s="108"/>
    </row>
    <row r="518" spans="2:87">
      <c r="B518" s="109"/>
      <c r="C518" s="109"/>
      <c r="D518" s="541"/>
      <c r="F518" s="966"/>
      <c r="G518" s="966"/>
      <c r="H518" s="966"/>
      <c r="I518" s="966"/>
      <c r="J518" s="966"/>
      <c r="K518" s="966"/>
      <c r="L518" s="966"/>
      <c r="M518" s="966"/>
      <c r="N518" s="966"/>
      <c r="O518" s="966"/>
      <c r="R518" s="966"/>
      <c r="S518" s="966"/>
      <c r="T518" s="966"/>
      <c r="U518" s="966"/>
      <c r="V518" s="966"/>
      <c r="W518" s="966"/>
      <c r="X518" s="966"/>
      <c r="Y518" s="966"/>
      <c r="Z518" s="966"/>
      <c r="AA518" s="966"/>
      <c r="AB518" s="966"/>
      <c r="AC518" s="966"/>
      <c r="AF518" s="966"/>
      <c r="AG518" s="966"/>
      <c r="AH518" s="966"/>
      <c r="AI518" s="966"/>
      <c r="AJ518" s="966"/>
      <c r="AK518" s="966"/>
      <c r="AL518" s="966"/>
      <c r="AM518" s="966"/>
      <c r="AN518" s="966"/>
      <c r="AO518" s="966"/>
      <c r="AP518" s="966"/>
      <c r="AQ518" s="966"/>
      <c r="AT518" s="966"/>
      <c r="AU518" s="966"/>
      <c r="AV518" s="966"/>
      <c r="AW518" s="966"/>
      <c r="AX518" s="966"/>
      <c r="AY518" s="966"/>
      <c r="AZ518" s="966"/>
      <c r="BA518" s="966"/>
      <c r="BB518" s="966"/>
      <c r="BC518" s="966"/>
      <c r="BD518" s="966"/>
      <c r="BE518" s="966"/>
      <c r="BH518" s="966"/>
      <c r="BI518" s="966"/>
      <c r="BJ518" s="966"/>
      <c r="BK518" s="966"/>
      <c r="BL518" s="966"/>
      <c r="BM518" s="966"/>
      <c r="BN518" s="966"/>
      <c r="BO518" s="966"/>
      <c r="BP518" s="966"/>
      <c r="BQ518" s="966"/>
      <c r="BR518" s="966"/>
      <c r="BS518" s="966"/>
      <c r="BV518" s="966"/>
      <c r="BW518" s="966"/>
      <c r="BX518" s="966"/>
      <c r="CA518" s="108"/>
      <c r="CB518" s="108"/>
      <c r="CC518" s="108"/>
      <c r="CD518" s="108"/>
      <c r="CE518" s="108"/>
      <c r="CF518" s="108"/>
      <c r="CG518" s="108"/>
      <c r="CH518" s="108"/>
      <c r="CI518" s="108"/>
    </row>
    <row r="519" spans="2:87">
      <c r="B519" s="109"/>
      <c r="C519" s="109"/>
      <c r="D519" s="541"/>
      <c r="F519" s="966"/>
      <c r="G519" s="966"/>
      <c r="H519" s="966"/>
      <c r="I519" s="966"/>
      <c r="J519" s="966"/>
      <c r="K519" s="966"/>
      <c r="L519" s="966"/>
      <c r="M519" s="966"/>
      <c r="N519" s="966"/>
      <c r="O519" s="966"/>
      <c r="R519" s="966"/>
      <c r="S519" s="966"/>
      <c r="T519" s="966"/>
      <c r="U519" s="966"/>
      <c r="V519" s="966"/>
      <c r="W519" s="966"/>
      <c r="X519" s="966"/>
      <c r="Y519" s="966"/>
      <c r="Z519" s="966"/>
      <c r="AA519" s="966"/>
      <c r="AB519" s="966"/>
      <c r="AC519" s="966"/>
      <c r="AF519" s="966"/>
      <c r="AG519" s="966"/>
      <c r="AH519" s="966"/>
      <c r="AI519" s="966"/>
      <c r="AJ519" s="966"/>
      <c r="AK519" s="966"/>
      <c r="AL519" s="966"/>
      <c r="AM519" s="966"/>
      <c r="AN519" s="966"/>
      <c r="AO519" s="966"/>
      <c r="AP519" s="966"/>
      <c r="AQ519" s="966"/>
      <c r="AT519" s="966"/>
      <c r="AU519" s="966"/>
      <c r="AV519" s="966"/>
      <c r="AW519" s="966"/>
      <c r="AX519" s="966"/>
      <c r="AY519" s="966"/>
      <c r="AZ519" s="966"/>
      <c r="BA519" s="966"/>
      <c r="BB519" s="966"/>
      <c r="BC519" s="966"/>
      <c r="BD519" s="966"/>
      <c r="BE519" s="966"/>
      <c r="BH519" s="966"/>
      <c r="BI519" s="966"/>
      <c r="BJ519" s="966"/>
      <c r="BK519" s="966"/>
      <c r="BL519" s="966"/>
      <c r="BM519" s="966"/>
      <c r="BN519" s="966"/>
      <c r="BO519" s="966"/>
      <c r="BP519" s="966"/>
      <c r="BQ519" s="966"/>
      <c r="BR519" s="966"/>
      <c r="BS519" s="966"/>
      <c r="BV519" s="966"/>
      <c r="BW519" s="966"/>
      <c r="BX519" s="966"/>
      <c r="CA519" s="108"/>
      <c r="CB519" s="108"/>
      <c r="CC519" s="108"/>
      <c r="CD519" s="108"/>
      <c r="CE519" s="108"/>
      <c r="CF519" s="108"/>
      <c r="CG519" s="108"/>
      <c r="CH519" s="108"/>
      <c r="CI519" s="108"/>
    </row>
    <row r="520" spans="2:87">
      <c r="B520" s="109"/>
      <c r="C520" s="109"/>
      <c r="D520" s="541"/>
      <c r="F520" s="966"/>
      <c r="G520" s="966"/>
      <c r="H520" s="966"/>
      <c r="I520" s="966"/>
      <c r="J520" s="966"/>
      <c r="K520" s="966"/>
      <c r="L520" s="966"/>
      <c r="M520" s="966"/>
      <c r="N520" s="966"/>
      <c r="O520" s="966"/>
      <c r="R520" s="966"/>
      <c r="S520" s="966"/>
      <c r="T520" s="966"/>
      <c r="U520" s="966"/>
      <c r="V520" s="966"/>
      <c r="W520" s="966"/>
      <c r="X520" s="966"/>
      <c r="Y520" s="966"/>
      <c r="Z520" s="966"/>
      <c r="AA520" s="966"/>
      <c r="AB520" s="966"/>
      <c r="AC520" s="966"/>
      <c r="AF520" s="966"/>
      <c r="AG520" s="966"/>
      <c r="AH520" s="966"/>
      <c r="AI520" s="966"/>
      <c r="AJ520" s="966"/>
      <c r="AK520" s="966"/>
      <c r="AL520" s="966"/>
      <c r="AM520" s="966"/>
      <c r="AN520" s="966"/>
      <c r="AO520" s="966"/>
      <c r="AP520" s="966"/>
      <c r="AQ520" s="966"/>
      <c r="AT520" s="966"/>
      <c r="AU520" s="966"/>
      <c r="AV520" s="966"/>
      <c r="AW520" s="966"/>
      <c r="AX520" s="966"/>
      <c r="AY520" s="966"/>
      <c r="AZ520" s="966"/>
      <c r="BA520" s="966"/>
      <c r="BB520" s="966"/>
      <c r="BC520" s="966"/>
      <c r="BD520" s="966"/>
      <c r="BE520" s="966"/>
      <c r="BH520" s="966"/>
      <c r="BI520" s="966"/>
      <c r="BJ520" s="966"/>
      <c r="BK520" s="966"/>
      <c r="BL520" s="966"/>
      <c r="BM520" s="966"/>
      <c r="BN520" s="966"/>
      <c r="BO520" s="966"/>
      <c r="BP520" s="966"/>
      <c r="BQ520" s="966"/>
      <c r="BR520" s="966"/>
      <c r="BS520" s="966"/>
      <c r="BV520" s="966"/>
      <c r="BW520" s="966"/>
      <c r="BX520" s="966"/>
      <c r="CA520" s="108"/>
      <c r="CB520" s="108"/>
      <c r="CC520" s="108"/>
      <c r="CD520" s="108"/>
      <c r="CE520" s="108"/>
      <c r="CF520" s="108"/>
      <c r="CG520" s="108"/>
      <c r="CH520" s="108"/>
      <c r="CI520" s="108"/>
    </row>
    <row r="521" spans="2:87">
      <c r="B521" s="109"/>
      <c r="C521" s="109"/>
      <c r="D521" s="541"/>
      <c r="F521" s="966"/>
      <c r="G521" s="966"/>
      <c r="H521" s="966"/>
      <c r="I521" s="966"/>
      <c r="J521" s="966"/>
      <c r="K521" s="966"/>
      <c r="L521" s="966"/>
      <c r="M521" s="966"/>
      <c r="N521" s="966"/>
      <c r="O521" s="966"/>
      <c r="R521" s="966"/>
      <c r="S521" s="966"/>
      <c r="T521" s="966"/>
      <c r="U521" s="966"/>
      <c r="V521" s="966"/>
      <c r="W521" s="966"/>
      <c r="X521" s="966"/>
      <c r="Y521" s="966"/>
      <c r="Z521" s="966"/>
      <c r="AA521" s="966"/>
      <c r="AB521" s="966"/>
      <c r="AC521" s="966"/>
      <c r="AF521" s="966"/>
      <c r="AG521" s="966"/>
      <c r="AH521" s="966"/>
      <c r="AI521" s="966"/>
      <c r="AJ521" s="966"/>
      <c r="AK521" s="966"/>
      <c r="AL521" s="966"/>
      <c r="AM521" s="966"/>
      <c r="AN521" s="966"/>
      <c r="AO521" s="966"/>
      <c r="AP521" s="966"/>
      <c r="AQ521" s="966"/>
      <c r="AT521" s="966"/>
      <c r="AU521" s="966"/>
      <c r="AV521" s="966"/>
      <c r="AW521" s="966"/>
      <c r="AX521" s="966"/>
      <c r="AY521" s="966"/>
      <c r="AZ521" s="966"/>
      <c r="BA521" s="966"/>
      <c r="BB521" s="966"/>
      <c r="BC521" s="966"/>
      <c r="BD521" s="966"/>
      <c r="BE521" s="966"/>
      <c r="BH521" s="966"/>
      <c r="BI521" s="966"/>
      <c r="BJ521" s="966"/>
      <c r="BK521" s="966"/>
      <c r="BL521" s="966"/>
      <c r="BM521" s="966"/>
      <c r="BN521" s="966"/>
      <c r="BO521" s="966"/>
      <c r="BP521" s="966"/>
      <c r="BQ521" s="966"/>
      <c r="BR521" s="966"/>
      <c r="BS521" s="966"/>
      <c r="BV521" s="966"/>
      <c r="BW521" s="966"/>
      <c r="BX521" s="966"/>
      <c r="CA521" s="108"/>
      <c r="CB521" s="108"/>
      <c r="CC521" s="108"/>
      <c r="CD521" s="108"/>
      <c r="CE521" s="108"/>
      <c r="CF521" s="108"/>
      <c r="CG521" s="108"/>
      <c r="CH521" s="108"/>
      <c r="CI521" s="108"/>
    </row>
    <row r="522" spans="2:87">
      <c r="B522" s="109"/>
      <c r="C522" s="109"/>
      <c r="D522" s="541"/>
      <c r="F522" s="966"/>
      <c r="G522" s="966"/>
      <c r="H522" s="966"/>
      <c r="I522" s="966"/>
      <c r="J522" s="966"/>
      <c r="K522" s="966"/>
      <c r="L522" s="966"/>
      <c r="M522" s="966"/>
      <c r="N522" s="966"/>
      <c r="O522" s="966"/>
      <c r="R522" s="966"/>
      <c r="S522" s="966"/>
      <c r="T522" s="966"/>
      <c r="U522" s="966"/>
      <c r="V522" s="966"/>
      <c r="W522" s="966"/>
      <c r="X522" s="966"/>
      <c r="Y522" s="966"/>
      <c r="Z522" s="966"/>
      <c r="AA522" s="966"/>
      <c r="AB522" s="966"/>
      <c r="AC522" s="966"/>
      <c r="AF522" s="966"/>
      <c r="AG522" s="966"/>
      <c r="AH522" s="966"/>
      <c r="AI522" s="966"/>
      <c r="AJ522" s="966"/>
      <c r="AK522" s="966"/>
      <c r="AL522" s="966"/>
      <c r="AM522" s="966"/>
      <c r="AN522" s="966"/>
      <c r="AO522" s="966"/>
      <c r="AP522" s="966"/>
      <c r="AQ522" s="966"/>
      <c r="AT522" s="966"/>
      <c r="AU522" s="966"/>
      <c r="AV522" s="966"/>
      <c r="AW522" s="966"/>
      <c r="AX522" s="966"/>
      <c r="AY522" s="966"/>
      <c r="AZ522" s="966"/>
      <c r="BA522" s="966"/>
      <c r="BB522" s="966"/>
      <c r="BC522" s="966"/>
      <c r="BD522" s="966"/>
      <c r="BE522" s="966"/>
      <c r="BH522" s="966"/>
      <c r="BI522" s="966"/>
      <c r="BJ522" s="966"/>
      <c r="BK522" s="966"/>
      <c r="BL522" s="966"/>
      <c r="BM522" s="966"/>
      <c r="BN522" s="966"/>
      <c r="BO522" s="966"/>
      <c r="BP522" s="966"/>
      <c r="BQ522" s="966"/>
      <c r="BR522" s="966"/>
      <c r="BS522" s="966"/>
      <c r="BV522" s="966"/>
      <c r="BW522" s="966"/>
      <c r="BX522" s="966"/>
      <c r="CA522" s="108"/>
      <c r="CB522" s="108"/>
      <c r="CC522" s="108"/>
      <c r="CD522" s="108"/>
      <c r="CE522" s="108"/>
      <c r="CF522" s="108"/>
      <c r="CG522" s="108"/>
      <c r="CH522" s="108"/>
      <c r="CI522" s="108"/>
    </row>
    <row r="523" spans="2:87">
      <c r="B523" s="109"/>
      <c r="C523" s="109"/>
      <c r="D523" s="541"/>
      <c r="F523" s="966"/>
      <c r="G523" s="966"/>
      <c r="H523" s="966"/>
      <c r="I523" s="966"/>
      <c r="J523" s="966"/>
      <c r="K523" s="966"/>
      <c r="L523" s="966"/>
      <c r="M523" s="966"/>
      <c r="N523" s="966"/>
      <c r="O523" s="966"/>
      <c r="R523" s="966"/>
      <c r="S523" s="966"/>
      <c r="T523" s="966"/>
      <c r="U523" s="966"/>
      <c r="V523" s="966"/>
      <c r="W523" s="966"/>
      <c r="X523" s="966"/>
      <c r="Y523" s="966"/>
      <c r="Z523" s="966"/>
      <c r="AA523" s="966"/>
      <c r="AB523" s="966"/>
      <c r="AC523" s="966"/>
      <c r="AF523" s="966"/>
      <c r="AG523" s="966"/>
      <c r="AH523" s="966"/>
      <c r="AI523" s="966"/>
      <c r="AJ523" s="966"/>
      <c r="AK523" s="966"/>
      <c r="AL523" s="966"/>
      <c r="AM523" s="966"/>
      <c r="AN523" s="966"/>
      <c r="AO523" s="966"/>
      <c r="AP523" s="966"/>
      <c r="AQ523" s="966"/>
      <c r="AT523" s="966"/>
      <c r="AU523" s="966"/>
      <c r="AV523" s="966"/>
      <c r="AW523" s="966"/>
      <c r="AX523" s="966"/>
      <c r="AY523" s="966"/>
      <c r="AZ523" s="966"/>
      <c r="BA523" s="966"/>
      <c r="BB523" s="966"/>
      <c r="BC523" s="966"/>
      <c r="BD523" s="966"/>
      <c r="BE523" s="966"/>
      <c r="BH523" s="966"/>
      <c r="BI523" s="966"/>
      <c r="BJ523" s="966"/>
      <c r="BK523" s="966"/>
      <c r="BL523" s="966"/>
      <c r="BM523" s="966"/>
      <c r="BN523" s="966"/>
      <c r="BO523" s="966"/>
      <c r="BP523" s="966"/>
      <c r="BQ523" s="966"/>
      <c r="BR523" s="966"/>
      <c r="BS523" s="966"/>
      <c r="BV523" s="966"/>
      <c r="BW523" s="966"/>
      <c r="BX523" s="966"/>
      <c r="CA523" s="108"/>
      <c r="CB523" s="108"/>
      <c r="CC523" s="108"/>
      <c r="CD523" s="108"/>
      <c r="CE523" s="108"/>
      <c r="CF523" s="108"/>
      <c r="CG523" s="108"/>
      <c r="CH523" s="108"/>
      <c r="CI523" s="108"/>
    </row>
    <row r="524" spans="2:87">
      <c r="B524" s="109"/>
      <c r="C524" s="109"/>
      <c r="D524" s="541"/>
      <c r="F524" s="966"/>
      <c r="G524" s="966"/>
      <c r="H524" s="966"/>
      <c r="I524" s="966"/>
      <c r="J524" s="966"/>
      <c r="K524" s="966"/>
      <c r="L524" s="966"/>
      <c r="M524" s="966"/>
      <c r="N524" s="966"/>
      <c r="O524" s="966"/>
      <c r="R524" s="966"/>
      <c r="S524" s="966"/>
      <c r="T524" s="966"/>
      <c r="U524" s="966"/>
      <c r="V524" s="966"/>
      <c r="W524" s="966"/>
      <c r="X524" s="966"/>
      <c r="Y524" s="966"/>
      <c r="Z524" s="966"/>
      <c r="AA524" s="966"/>
      <c r="AB524" s="966"/>
      <c r="AC524" s="966"/>
      <c r="AF524" s="966"/>
      <c r="AG524" s="966"/>
      <c r="AH524" s="966"/>
      <c r="AI524" s="966"/>
      <c r="AJ524" s="966"/>
      <c r="AK524" s="966"/>
      <c r="AL524" s="966"/>
      <c r="AM524" s="966"/>
      <c r="AN524" s="966"/>
      <c r="AO524" s="966"/>
      <c r="AP524" s="966"/>
      <c r="AQ524" s="966"/>
      <c r="AT524" s="966"/>
      <c r="AU524" s="966"/>
      <c r="AV524" s="966"/>
      <c r="AW524" s="966"/>
      <c r="AX524" s="966"/>
      <c r="AY524" s="966"/>
      <c r="AZ524" s="966"/>
      <c r="BA524" s="966"/>
      <c r="BB524" s="966"/>
      <c r="BC524" s="966"/>
      <c r="BD524" s="966"/>
      <c r="BE524" s="966"/>
      <c r="BH524" s="966"/>
      <c r="BI524" s="966"/>
      <c r="BJ524" s="966"/>
      <c r="BK524" s="966"/>
      <c r="BL524" s="966"/>
      <c r="BM524" s="966"/>
      <c r="BN524" s="966"/>
      <c r="BO524" s="966"/>
      <c r="BP524" s="966"/>
      <c r="BQ524" s="966"/>
      <c r="BR524" s="966"/>
      <c r="BS524" s="966"/>
      <c r="BV524" s="966"/>
      <c r="BW524" s="966"/>
      <c r="BX524" s="966"/>
      <c r="CA524" s="108"/>
      <c r="CB524" s="108"/>
      <c r="CC524" s="108"/>
      <c r="CD524" s="108"/>
      <c r="CE524" s="108"/>
      <c r="CF524" s="108"/>
      <c r="CG524" s="108"/>
      <c r="CH524" s="108"/>
      <c r="CI524" s="108"/>
    </row>
    <row r="525" spans="2:87">
      <c r="B525" s="109"/>
      <c r="C525" s="109"/>
      <c r="D525" s="541"/>
      <c r="F525" s="966"/>
      <c r="G525" s="966"/>
      <c r="H525" s="966"/>
      <c r="I525" s="966"/>
      <c r="J525" s="966"/>
      <c r="K525" s="966"/>
      <c r="L525" s="966"/>
      <c r="M525" s="966"/>
      <c r="N525" s="966"/>
      <c r="O525" s="966"/>
      <c r="R525" s="966"/>
      <c r="S525" s="966"/>
      <c r="T525" s="966"/>
      <c r="U525" s="966"/>
      <c r="V525" s="966"/>
      <c r="W525" s="966"/>
      <c r="X525" s="966"/>
      <c r="Y525" s="966"/>
      <c r="Z525" s="966"/>
      <c r="AA525" s="966"/>
      <c r="AB525" s="966"/>
      <c r="AC525" s="966"/>
      <c r="AF525" s="966"/>
      <c r="AG525" s="966"/>
      <c r="AH525" s="966"/>
      <c r="AI525" s="966"/>
      <c r="AJ525" s="966"/>
      <c r="AK525" s="966"/>
      <c r="AL525" s="966"/>
      <c r="AM525" s="966"/>
      <c r="AN525" s="966"/>
      <c r="AO525" s="966"/>
      <c r="AP525" s="966"/>
      <c r="AQ525" s="966"/>
      <c r="AT525" s="966"/>
      <c r="AU525" s="966"/>
      <c r="AV525" s="966"/>
      <c r="AW525" s="966"/>
      <c r="AX525" s="966"/>
      <c r="AY525" s="966"/>
      <c r="AZ525" s="966"/>
      <c r="BA525" s="966"/>
      <c r="BB525" s="966"/>
      <c r="BC525" s="966"/>
      <c r="BD525" s="966"/>
      <c r="BE525" s="966"/>
      <c r="BH525" s="966"/>
      <c r="BI525" s="966"/>
      <c r="BJ525" s="966"/>
      <c r="BK525" s="966"/>
      <c r="BL525" s="966"/>
      <c r="BM525" s="966"/>
      <c r="BN525" s="966"/>
      <c r="BO525" s="966"/>
      <c r="BP525" s="966"/>
      <c r="BQ525" s="966"/>
      <c r="BR525" s="966"/>
      <c r="BS525" s="966"/>
      <c r="BV525" s="966"/>
      <c r="BW525" s="966"/>
      <c r="BX525" s="966"/>
      <c r="CA525" s="108"/>
      <c r="CB525" s="108"/>
      <c r="CC525" s="108"/>
      <c r="CD525" s="108"/>
      <c r="CE525" s="108"/>
      <c r="CF525" s="108"/>
      <c r="CG525" s="108"/>
      <c r="CH525" s="108"/>
      <c r="CI525" s="108"/>
    </row>
    <row r="526" spans="2:87">
      <c r="B526" s="109"/>
      <c r="C526" s="109"/>
      <c r="D526" s="541"/>
      <c r="F526" s="966"/>
      <c r="G526" s="966"/>
      <c r="H526" s="966"/>
      <c r="I526" s="966"/>
      <c r="J526" s="966"/>
      <c r="K526" s="966"/>
      <c r="L526" s="966"/>
      <c r="M526" s="966"/>
      <c r="N526" s="966"/>
      <c r="O526" s="966"/>
      <c r="R526" s="966"/>
      <c r="S526" s="966"/>
      <c r="T526" s="966"/>
      <c r="U526" s="966"/>
      <c r="V526" s="966"/>
      <c r="W526" s="966"/>
      <c r="X526" s="966"/>
      <c r="Y526" s="966"/>
      <c r="Z526" s="966"/>
      <c r="AA526" s="966"/>
      <c r="AB526" s="966"/>
      <c r="AC526" s="966"/>
      <c r="AF526" s="966"/>
      <c r="AG526" s="966"/>
      <c r="AH526" s="966"/>
      <c r="AI526" s="966"/>
      <c r="AJ526" s="966"/>
      <c r="AK526" s="966"/>
      <c r="AL526" s="966"/>
      <c r="AM526" s="966"/>
      <c r="AN526" s="966"/>
      <c r="AO526" s="966"/>
      <c r="AP526" s="966"/>
      <c r="AQ526" s="966"/>
      <c r="AT526" s="966"/>
      <c r="AU526" s="966"/>
      <c r="AV526" s="966"/>
      <c r="AW526" s="966"/>
      <c r="AX526" s="966"/>
      <c r="AY526" s="966"/>
      <c r="AZ526" s="966"/>
      <c r="BA526" s="966"/>
      <c r="BB526" s="966"/>
      <c r="BC526" s="966"/>
      <c r="BD526" s="966"/>
      <c r="BE526" s="966"/>
      <c r="BH526" s="966"/>
      <c r="BI526" s="966"/>
      <c r="BJ526" s="966"/>
      <c r="BK526" s="966"/>
      <c r="BL526" s="966"/>
      <c r="BM526" s="966"/>
      <c r="BN526" s="966"/>
      <c r="BO526" s="966"/>
      <c r="BP526" s="966"/>
      <c r="BQ526" s="966"/>
      <c r="BR526" s="966"/>
      <c r="BS526" s="966"/>
      <c r="BV526" s="966"/>
      <c r="BW526" s="966"/>
      <c r="BX526" s="966"/>
      <c r="CA526" s="108"/>
      <c r="CB526" s="108"/>
      <c r="CC526" s="108"/>
      <c r="CD526" s="108"/>
      <c r="CE526" s="108"/>
      <c r="CF526" s="108"/>
      <c r="CG526" s="108"/>
      <c r="CH526" s="108"/>
      <c r="CI526" s="108"/>
    </row>
    <row r="527" spans="2:87">
      <c r="B527" s="109"/>
      <c r="C527" s="109"/>
      <c r="D527" s="541"/>
      <c r="F527" s="966"/>
      <c r="G527" s="966"/>
      <c r="H527" s="966"/>
      <c r="I527" s="966"/>
      <c r="J527" s="966"/>
      <c r="K527" s="966"/>
      <c r="L527" s="966"/>
      <c r="M527" s="966"/>
      <c r="N527" s="966"/>
      <c r="O527" s="966"/>
      <c r="R527" s="966"/>
      <c r="S527" s="966"/>
      <c r="T527" s="966"/>
      <c r="U527" s="966"/>
      <c r="V527" s="966"/>
      <c r="W527" s="966"/>
      <c r="X527" s="966"/>
      <c r="Y527" s="966"/>
      <c r="Z527" s="966"/>
      <c r="AA527" s="966"/>
      <c r="AB527" s="966"/>
      <c r="AC527" s="966"/>
      <c r="AF527" s="966"/>
      <c r="AG527" s="966"/>
      <c r="AH527" s="966"/>
      <c r="AI527" s="966"/>
      <c r="AJ527" s="966"/>
      <c r="AK527" s="966"/>
      <c r="AL527" s="966"/>
      <c r="AM527" s="966"/>
      <c r="AN527" s="966"/>
      <c r="AO527" s="966"/>
      <c r="AP527" s="966"/>
      <c r="AQ527" s="966"/>
      <c r="AT527" s="966"/>
      <c r="AU527" s="966"/>
      <c r="AV527" s="966"/>
      <c r="AW527" s="966"/>
      <c r="AX527" s="966"/>
      <c r="AY527" s="966"/>
      <c r="AZ527" s="966"/>
      <c r="BA527" s="966"/>
      <c r="BB527" s="966"/>
      <c r="BC527" s="966"/>
      <c r="BD527" s="966"/>
      <c r="BE527" s="966"/>
      <c r="BH527" s="966"/>
      <c r="BI527" s="966"/>
      <c r="BJ527" s="966"/>
      <c r="BK527" s="966"/>
      <c r="BL527" s="966"/>
      <c r="BM527" s="966"/>
      <c r="BN527" s="966"/>
      <c r="BO527" s="966"/>
      <c r="BP527" s="966"/>
      <c r="BQ527" s="966"/>
      <c r="BR527" s="966"/>
      <c r="BS527" s="966"/>
      <c r="BV527" s="966"/>
      <c r="BW527" s="966"/>
      <c r="BX527" s="966"/>
      <c r="CA527" s="108"/>
      <c r="CB527" s="108"/>
      <c r="CC527" s="108"/>
      <c r="CD527" s="108"/>
      <c r="CE527" s="108"/>
      <c r="CF527" s="108"/>
      <c r="CG527" s="108"/>
      <c r="CH527" s="108"/>
      <c r="CI527" s="108"/>
    </row>
    <row r="528" spans="2:87">
      <c r="B528" s="109"/>
      <c r="C528" s="109"/>
      <c r="D528" s="541"/>
      <c r="F528" s="966"/>
      <c r="G528" s="966"/>
      <c r="H528" s="966"/>
      <c r="I528" s="966"/>
      <c r="J528" s="966"/>
      <c r="K528" s="966"/>
      <c r="L528" s="966"/>
      <c r="M528" s="966"/>
      <c r="N528" s="966"/>
      <c r="O528" s="966"/>
      <c r="R528" s="966"/>
      <c r="S528" s="966"/>
      <c r="T528" s="966"/>
      <c r="U528" s="966"/>
      <c r="V528" s="966"/>
      <c r="W528" s="966"/>
      <c r="X528" s="966"/>
      <c r="Y528" s="966"/>
      <c r="Z528" s="966"/>
      <c r="AA528" s="966"/>
      <c r="AB528" s="966"/>
      <c r="AC528" s="966"/>
      <c r="AF528" s="966"/>
      <c r="AG528" s="966"/>
      <c r="AH528" s="966"/>
      <c r="AI528" s="966"/>
      <c r="AJ528" s="966"/>
      <c r="AK528" s="966"/>
      <c r="AL528" s="966"/>
      <c r="AM528" s="966"/>
      <c r="AN528" s="966"/>
      <c r="AO528" s="966"/>
      <c r="AP528" s="966"/>
      <c r="AQ528" s="966"/>
      <c r="AT528" s="966"/>
      <c r="AU528" s="966"/>
      <c r="AV528" s="966"/>
      <c r="AW528" s="966"/>
      <c r="AX528" s="966"/>
      <c r="AY528" s="966"/>
      <c r="AZ528" s="966"/>
      <c r="BA528" s="966"/>
      <c r="BB528" s="966"/>
      <c r="BC528" s="966"/>
      <c r="BD528" s="966"/>
      <c r="BE528" s="966"/>
      <c r="BH528" s="966"/>
      <c r="BI528" s="966"/>
      <c r="BJ528" s="966"/>
      <c r="BK528" s="966"/>
      <c r="BL528" s="966"/>
      <c r="BM528" s="966"/>
      <c r="BN528" s="966"/>
      <c r="BO528" s="966"/>
      <c r="BP528" s="966"/>
      <c r="BQ528" s="966"/>
      <c r="BR528" s="966"/>
      <c r="BS528" s="966"/>
      <c r="BV528" s="966"/>
      <c r="BW528" s="966"/>
      <c r="BX528" s="966"/>
      <c r="CA528" s="108"/>
      <c r="CB528" s="108"/>
      <c r="CC528" s="108"/>
      <c r="CD528" s="108"/>
      <c r="CE528" s="108"/>
      <c r="CF528" s="108"/>
      <c r="CG528" s="108"/>
      <c r="CH528" s="108"/>
      <c r="CI528" s="108"/>
    </row>
    <row r="529" spans="2:87">
      <c r="B529" s="109"/>
      <c r="C529" s="109"/>
      <c r="D529" s="541"/>
      <c r="F529" s="966"/>
      <c r="G529" s="966"/>
      <c r="H529" s="966"/>
      <c r="I529" s="966"/>
      <c r="J529" s="966"/>
      <c r="K529" s="966"/>
      <c r="L529" s="966"/>
      <c r="M529" s="966"/>
      <c r="N529" s="966"/>
      <c r="O529" s="966"/>
      <c r="R529" s="966"/>
      <c r="S529" s="966"/>
      <c r="T529" s="966"/>
      <c r="U529" s="966"/>
      <c r="V529" s="966"/>
      <c r="W529" s="966"/>
      <c r="X529" s="966"/>
      <c r="Y529" s="966"/>
      <c r="Z529" s="966"/>
      <c r="AA529" s="966"/>
      <c r="AB529" s="966"/>
      <c r="AC529" s="966"/>
      <c r="AF529" s="966"/>
      <c r="AG529" s="966"/>
      <c r="AH529" s="966"/>
      <c r="AI529" s="966"/>
      <c r="AJ529" s="966"/>
      <c r="AK529" s="966"/>
      <c r="AL529" s="966"/>
      <c r="AM529" s="966"/>
      <c r="AN529" s="966"/>
      <c r="AO529" s="966"/>
      <c r="AP529" s="966"/>
      <c r="AQ529" s="966"/>
      <c r="AT529" s="966"/>
      <c r="AU529" s="966"/>
      <c r="AV529" s="966"/>
      <c r="AW529" s="966"/>
      <c r="AX529" s="966"/>
      <c r="AY529" s="966"/>
      <c r="AZ529" s="966"/>
      <c r="BA529" s="966"/>
      <c r="BB529" s="966"/>
      <c r="BC529" s="966"/>
      <c r="BD529" s="966"/>
      <c r="BE529" s="966"/>
      <c r="BH529" s="966"/>
      <c r="BI529" s="966"/>
      <c r="BJ529" s="966"/>
      <c r="BK529" s="966"/>
      <c r="BL529" s="966"/>
      <c r="BM529" s="966"/>
      <c r="BN529" s="966"/>
      <c r="BO529" s="966"/>
      <c r="BP529" s="966"/>
      <c r="BQ529" s="966"/>
      <c r="BR529" s="966"/>
      <c r="BS529" s="966"/>
      <c r="BV529" s="966"/>
      <c r="BW529" s="966"/>
      <c r="BX529" s="966"/>
      <c r="CA529" s="108"/>
      <c r="CB529" s="108"/>
      <c r="CC529" s="108"/>
      <c r="CD529" s="108"/>
      <c r="CE529" s="108"/>
      <c r="CF529" s="108"/>
      <c r="CG529" s="108"/>
      <c r="CH529" s="108"/>
      <c r="CI529" s="108"/>
    </row>
    <row r="530" spans="2:87">
      <c r="B530" s="109"/>
      <c r="C530" s="109"/>
      <c r="D530" s="541"/>
      <c r="F530" s="966"/>
      <c r="G530" s="966"/>
      <c r="H530" s="966"/>
      <c r="I530" s="966"/>
      <c r="J530" s="966"/>
      <c r="K530" s="966"/>
      <c r="L530" s="966"/>
      <c r="M530" s="966"/>
      <c r="N530" s="966"/>
      <c r="O530" s="966"/>
      <c r="R530" s="966"/>
      <c r="S530" s="966"/>
      <c r="T530" s="966"/>
      <c r="U530" s="966"/>
      <c r="V530" s="966"/>
      <c r="W530" s="966"/>
      <c r="X530" s="966"/>
      <c r="Y530" s="966"/>
      <c r="Z530" s="966"/>
      <c r="AA530" s="966"/>
      <c r="AB530" s="966"/>
      <c r="AC530" s="966"/>
      <c r="AF530" s="966"/>
      <c r="AG530" s="966"/>
      <c r="AH530" s="966"/>
      <c r="AI530" s="966"/>
      <c r="AJ530" s="966"/>
      <c r="AK530" s="966"/>
      <c r="AL530" s="966"/>
      <c r="AM530" s="966"/>
      <c r="AN530" s="966"/>
      <c r="AO530" s="966"/>
      <c r="AP530" s="966"/>
      <c r="AQ530" s="966"/>
      <c r="AT530" s="966"/>
      <c r="AU530" s="966"/>
      <c r="AV530" s="966"/>
      <c r="AW530" s="966"/>
      <c r="AX530" s="966"/>
      <c r="AY530" s="966"/>
      <c r="AZ530" s="966"/>
      <c r="BA530" s="966"/>
      <c r="BB530" s="966"/>
      <c r="BC530" s="966"/>
      <c r="BD530" s="966"/>
      <c r="BE530" s="966"/>
      <c r="BH530" s="966"/>
      <c r="BI530" s="966"/>
      <c r="BJ530" s="966"/>
      <c r="BK530" s="966"/>
      <c r="BL530" s="966"/>
      <c r="BM530" s="966"/>
      <c r="BN530" s="966"/>
      <c r="BO530" s="966"/>
      <c r="BP530" s="966"/>
      <c r="BQ530" s="966"/>
      <c r="BR530" s="966"/>
      <c r="BS530" s="966"/>
      <c r="BV530" s="966"/>
      <c r="BW530" s="966"/>
      <c r="BX530" s="966"/>
      <c r="CA530" s="108"/>
      <c r="CB530" s="108"/>
      <c r="CC530" s="108"/>
      <c r="CD530" s="108"/>
      <c r="CE530" s="108"/>
      <c r="CF530" s="108"/>
      <c r="CG530" s="108"/>
      <c r="CH530" s="108"/>
      <c r="CI530" s="108"/>
    </row>
    <row r="531" spans="2:87">
      <c r="B531" s="109"/>
      <c r="C531" s="109"/>
      <c r="D531" s="541"/>
      <c r="F531" s="966"/>
      <c r="G531" s="966"/>
      <c r="H531" s="966"/>
      <c r="I531" s="966"/>
      <c r="J531" s="966"/>
      <c r="K531" s="966"/>
      <c r="L531" s="966"/>
      <c r="M531" s="966"/>
      <c r="N531" s="966"/>
      <c r="O531" s="966"/>
      <c r="R531" s="966"/>
      <c r="S531" s="966"/>
      <c r="T531" s="966"/>
      <c r="U531" s="966"/>
      <c r="V531" s="966"/>
      <c r="W531" s="966"/>
      <c r="X531" s="966"/>
      <c r="Y531" s="966"/>
      <c r="Z531" s="966"/>
      <c r="AA531" s="966"/>
      <c r="AB531" s="966"/>
      <c r="AC531" s="966"/>
      <c r="AF531" s="966"/>
      <c r="AG531" s="966"/>
      <c r="AH531" s="966"/>
      <c r="AI531" s="966"/>
      <c r="AJ531" s="966"/>
      <c r="AK531" s="966"/>
      <c r="AL531" s="966"/>
      <c r="AM531" s="966"/>
      <c r="AN531" s="966"/>
      <c r="AO531" s="966"/>
      <c r="AP531" s="966"/>
      <c r="AQ531" s="966"/>
      <c r="AT531" s="966"/>
      <c r="AU531" s="966"/>
      <c r="AV531" s="966"/>
      <c r="AW531" s="966"/>
      <c r="AX531" s="966"/>
      <c r="AY531" s="966"/>
      <c r="AZ531" s="966"/>
      <c r="BA531" s="966"/>
      <c r="BB531" s="966"/>
      <c r="BC531" s="966"/>
      <c r="BD531" s="966"/>
      <c r="BE531" s="966"/>
      <c r="BH531" s="966"/>
      <c r="BI531" s="966"/>
      <c r="BJ531" s="966"/>
      <c r="BK531" s="966"/>
      <c r="BL531" s="966"/>
      <c r="BM531" s="966"/>
      <c r="BN531" s="966"/>
      <c r="BO531" s="966"/>
      <c r="BP531" s="966"/>
      <c r="BQ531" s="966"/>
      <c r="BR531" s="966"/>
      <c r="BS531" s="966"/>
      <c r="BV531" s="966"/>
      <c r="BW531" s="966"/>
      <c r="BX531" s="966"/>
      <c r="CA531" s="108"/>
      <c r="CB531" s="108"/>
      <c r="CC531" s="108"/>
      <c r="CD531" s="108"/>
      <c r="CE531" s="108"/>
      <c r="CF531" s="108"/>
      <c r="CG531" s="108"/>
      <c r="CH531" s="108"/>
      <c r="CI531" s="108"/>
    </row>
    <row r="532" spans="2:87">
      <c r="B532" s="109"/>
      <c r="C532" s="109"/>
      <c r="D532" s="541"/>
      <c r="F532" s="966"/>
      <c r="G532" s="966"/>
      <c r="H532" s="966"/>
      <c r="I532" s="966"/>
      <c r="J532" s="966"/>
      <c r="K532" s="966"/>
      <c r="L532" s="966"/>
      <c r="M532" s="966"/>
      <c r="N532" s="966"/>
      <c r="O532" s="966"/>
      <c r="R532" s="966"/>
      <c r="S532" s="966"/>
      <c r="T532" s="966"/>
      <c r="U532" s="966"/>
      <c r="V532" s="966"/>
      <c r="W532" s="966"/>
      <c r="X532" s="966"/>
      <c r="Y532" s="966"/>
      <c r="Z532" s="966"/>
      <c r="AA532" s="966"/>
      <c r="AB532" s="966"/>
      <c r="AC532" s="966"/>
      <c r="AF532" s="966"/>
      <c r="AG532" s="966"/>
      <c r="AH532" s="966"/>
      <c r="AI532" s="966"/>
      <c r="AJ532" s="966"/>
      <c r="AK532" s="966"/>
      <c r="AL532" s="966"/>
      <c r="AM532" s="966"/>
      <c r="AN532" s="966"/>
      <c r="AO532" s="966"/>
      <c r="AP532" s="966"/>
      <c r="AQ532" s="966"/>
      <c r="AT532" s="966"/>
      <c r="AU532" s="966"/>
      <c r="AV532" s="966"/>
      <c r="AW532" s="966"/>
      <c r="AX532" s="966"/>
      <c r="AY532" s="966"/>
      <c r="AZ532" s="966"/>
      <c r="BA532" s="966"/>
      <c r="BB532" s="966"/>
      <c r="BC532" s="966"/>
      <c r="BD532" s="966"/>
      <c r="BE532" s="966"/>
      <c r="BH532" s="966"/>
      <c r="BI532" s="966"/>
      <c r="BJ532" s="966"/>
      <c r="BK532" s="966"/>
      <c r="BL532" s="966"/>
      <c r="BM532" s="966"/>
      <c r="BN532" s="966"/>
      <c r="BO532" s="966"/>
      <c r="BP532" s="966"/>
      <c r="BQ532" s="966"/>
      <c r="BR532" s="966"/>
      <c r="BS532" s="966"/>
      <c r="BV532" s="966"/>
      <c r="BW532" s="966"/>
      <c r="BX532" s="966"/>
      <c r="CA532" s="108"/>
      <c r="CB532" s="108"/>
      <c r="CC532" s="108"/>
      <c r="CD532" s="108"/>
      <c r="CE532" s="108"/>
      <c r="CF532" s="108"/>
      <c r="CG532" s="108"/>
      <c r="CH532" s="108"/>
      <c r="CI532" s="108"/>
    </row>
    <row r="533" spans="2:87">
      <c r="B533" s="109"/>
      <c r="C533" s="109"/>
      <c r="D533" s="541"/>
      <c r="F533" s="966"/>
      <c r="G533" s="966"/>
      <c r="H533" s="966"/>
      <c r="I533" s="966"/>
      <c r="J533" s="966"/>
      <c r="K533" s="966"/>
      <c r="L533" s="966"/>
      <c r="M533" s="966"/>
      <c r="N533" s="966"/>
      <c r="O533" s="966"/>
      <c r="R533" s="966"/>
      <c r="S533" s="966"/>
      <c r="T533" s="966"/>
      <c r="U533" s="966"/>
      <c r="V533" s="966"/>
      <c r="W533" s="966"/>
      <c r="X533" s="966"/>
      <c r="Y533" s="966"/>
      <c r="Z533" s="966"/>
      <c r="AA533" s="966"/>
      <c r="AB533" s="966"/>
      <c r="AC533" s="966"/>
      <c r="AF533" s="966"/>
      <c r="AG533" s="966"/>
      <c r="AH533" s="966"/>
      <c r="AI533" s="966"/>
      <c r="AJ533" s="966"/>
      <c r="AK533" s="966"/>
      <c r="AL533" s="966"/>
      <c r="AM533" s="966"/>
      <c r="AN533" s="966"/>
      <c r="AO533" s="966"/>
      <c r="AP533" s="966"/>
      <c r="AQ533" s="966"/>
      <c r="AT533" s="966"/>
      <c r="AU533" s="966"/>
      <c r="AV533" s="966"/>
      <c r="AW533" s="966"/>
      <c r="AX533" s="966"/>
      <c r="AY533" s="966"/>
      <c r="AZ533" s="966"/>
      <c r="BA533" s="966"/>
      <c r="BB533" s="966"/>
      <c r="BC533" s="966"/>
      <c r="BD533" s="966"/>
      <c r="BE533" s="966"/>
      <c r="BH533" s="966"/>
      <c r="BI533" s="966"/>
      <c r="BJ533" s="966"/>
      <c r="BK533" s="966"/>
      <c r="BL533" s="966"/>
      <c r="BM533" s="966"/>
      <c r="BN533" s="966"/>
      <c r="BO533" s="966"/>
      <c r="BP533" s="966"/>
      <c r="BQ533" s="966"/>
      <c r="BR533" s="966"/>
      <c r="BS533" s="966"/>
      <c r="BV533" s="966"/>
      <c r="BW533" s="966"/>
      <c r="BX533" s="966"/>
      <c r="CA533" s="108"/>
      <c r="CB533" s="108"/>
      <c r="CC533" s="108"/>
      <c r="CD533" s="108"/>
      <c r="CE533" s="108"/>
      <c r="CF533" s="108"/>
      <c r="CG533" s="108"/>
      <c r="CH533" s="108"/>
      <c r="CI533" s="108"/>
    </row>
  </sheetData>
  <autoFilter ref="C5:C533" xr:uid="{00000000-0009-0000-0000-00001B000000}"/>
  <mergeCells count="1045">
    <mergeCell ref="Z316:Z321"/>
    <mergeCell ref="AA316:AA321"/>
    <mergeCell ref="AV316:AV321"/>
    <mergeCell ref="BV316:BV321"/>
    <mergeCell ref="BW316:BW321"/>
    <mergeCell ref="BX316:BX321"/>
    <mergeCell ref="AW316:AW321"/>
    <mergeCell ref="AL316:AL321"/>
    <mergeCell ref="AM316:AM321"/>
    <mergeCell ref="AN316:AN321"/>
    <mergeCell ref="AO316:AO321"/>
    <mergeCell ref="AP316:AP321"/>
    <mergeCell ref="AQ316:AQ321"/>
    <mergeCell ref="AF316:AF321"/>
    <mergeCell ref="AG316:AG321"/>
    <mergeCell ref="AH316:AH321"/>
    <mergeCell ref="AI316:AI321"/>
    <mergeCell ref="AJ316:AJ321"/>
    <mergeCell ref="AK316:AK321"/>
    <mergeCell ref="L316:L321"/>
    <mergeCell ref="M316:M321"/>
    <mergeCell ref="BY316:BY321"/>
    <mergeCell ref="BZ316:BZ321"/>
    <mergeCell ref="BP316:BP321"/>
    <mergeCell ref="BQ316:BQ321"/>
    <mergeCell ref="BR316:BR321"/>
    <mergeCell ref="BS316:BS321"/>
    <mergeCell ref="BT316:BT321"/>
    <mergeCell ref="BU316:BU321"/>
    <mergeCell ref="BJ316:BJ321"/>
    <mergeCell ref="BK316:BK321"/>
    <mergeCell ref="BL316:BL321"/>
    <mergeCell ref="BM316:BM321"/>
    <mergeCell ref="BN316:BN321"/>
    <mergeCell ref="BO316:BO321"/>
    <mergeCell ref="BD316:BD321"/>
    <mergeCell ref="BE316:BE321"/>
    <mergeCell ref="BF316:BF321"/>
    <mergeCell ref="BG316:BG321"/>
    <mergeCell ref="BH316:BH321"/>
    <mergeCell ref="BI316:BI321"/>
    <mergeCell ref="AX316:AX321"/>
    <mergeCell ref="AY316:AY321"/>
    <mergeCell ref="AZ316:AZ321"/>
    <mergeCell ref="BA316:BA321"/>
    <mergeCell ref="BB316:BB321"/>
    <mergeCell ref="BC316:BC321"/>
    <mergeCell ref="AR316:AR321"/>
    <mergeCell ref="AS316:AS321"/>
    <mergeCell ref="AT316:AT321"/>
    <mergeCell ref="AU316:AU321"/>
    <mergeCell ref="BD295:BD304"/>
    <mergeCell ref="BE295:BE304"/>
    <mergeCell ref="BF295:BF304"/>
    <mergeCell ref="BG295:BG304"/>
    <mergeCell ref="BH295:BH304"/>
    <mergeCell ref="BI295:BI304"/>
    <mergeCell ref="AX295:AX304"/>
    <mergeCell ref="AY295:AY304"/>
    <mergeCell ref="AZ295:AZ304"/>
    <mergeCell ref="BA295:BA304"/>
    <mergeCell ref="F316:F321"/>
    <mergeCell ref="G316:G321"/>
    <mergeCell ref="AB316:AB321"/>
    <mergeCell ref="AC316:AC321"/>
    <mergeCell ref="AD316:AD321"/>
    <mergeCell ref="AE316:AE321"/>
    <mergeCell ref="T316:T321"/>
    <mergeCell ref="U316:U321"/>
    <mergeCell ref="V316:V321"/>
    <mergeCell ref="W316:W321"/>
    <mergeCell ref="X316:X321"/>
    <mergeCell ref="Y316:Y321"/>
    <mergeCell ref="N316:N321"/>
    <mergeCell ref="O316:O321"/>
    <mergeCell ref="P316:P321"/>
    <mergeCell ref="Q316:Q321"/>
    <mergeCell ref="R316:R321"/>
    <mergeCell ref="S316:S321"/>
    <mergeCell ref="H316:H321"/>
    <mergeCell ref="I316:I321"/>
    <mergeCell ref="J316:J321"/>
    <mergeCell ref="K316:K321"/>
    <mergeCell ref="BV295:BV304"/>
    <mergeCell ref="BW295:BW304"/>
    <mergeCell ref="BX295:BX304"/>
    <mergeCell ref="BY295:BY304"/>
    <mergeCell ref="BZ295:BZ304"/>
    <mergeCell ref="BP295:BP304"/>
    <mergeCell ref="BQ295:BQ304"/>
    <mergeCell ref="BR295:BR304"/>
    <mergeCell ref="BS295:BS304"/>
    <mergeCell ref="BT295:BT304"/>
    <mergeCell ref="BU295:BU304"/>
    <mergeCell ref="BJ295:BJ304"/>
    <mergeCell ref="BK295:BK304"/>
    <mergeCell ref="BL295:BL304"/>
    <mergeCell ref="BM295:BM304"/>
    <mergeCell ref="BN295:BN304"/>
    <mergeCell ref="BO295:BO304"/>
    <mergeCell ref="BB295:BB304"/>
    <mergeCell ref="BC295:BC304"/>
    <mergeCell ref="AR295:AR304"/>
    <mergeCell ref="AS295:AS304"/>
    <mergeCell ref="AT295:AT304"/>
    <mergeCell ref="AU295:AU304"/>
    <mergeCell ref="AV295:AV304"/>
    <mergeCell ref="AW295:AW304"/>
    <mergeCell ref="AL295:AL304"/>
    <mergeCell ref="AM295:AM304"/>
    <mergeCell ref="AN295:AN304"/>
    <mergeCell ref="AO295:AO304"/>
    <mergeCell ref="AP295:AP304"/>
    <mergeCell ref="AQ295:AQ304"/>
    <mergeCell ref="AF295:AF304"/>
    <mergeCell ref="AG295:AG304"/>
    <mergeCell ref="AH295:AH304"/>
    <mergeCell ref="AI295:AI304"/>
    <mergeCell ref="AJ295:AJ304"/>
    <mergeCell ref="AK295:AK304"/>
    <mergeCell ref="H295:H304"/>
    <mergeCell ref="I295:I304"/>
    <mergeCell ref="J295:J304"/>
    <mergeCell ref="K295:K304"/>
    <mergeCell ref="L295:L304"/>
    <mergeCell ref="M295:M304"/>
    <mergeCell ref="F295:F304"/>
    <mergeCell ref="G295:G304"/>
    <mergeCell ref="Z295:Z304"/>
    <mergeCell ref="AA295:AA304"/>
    <mergeCell ref="AB295:AB304"/>
    <mergeCell ref="AC295:AC304"/>
    <mergeCell ref="AD295:AD304"/>
    <mergeCell ref="AE295:AE304"/>
    <mergeCell ref="T295:T304"/>
    <mergeCell ref="U295:U304"/>
    <mergeCell ref="V295:V304"/>
    <mergeCell ref="W295:W304"/>
    <mergeCell ref="X295:X304"/>
    <mergeCell ref="Y295:Y304"/>
    <mergeCell ref="N295:N304"/>
    <mergeCell ref="O295:O304"/>
    <mergeCell ref="P295:P304"/>
    <mergeCell ref="Q295:Q304"/>
    <mergeCell ref="R295:R304"/>
    <mergeCell ref="S295:S304"/>
    <mergeCell ref="BW285:BW288"/>
    <mergeCell ref="BX285:BX288"/>
    <mergeCell ref="BY285:BY288"/>
    <mergeCell ref="BZ285:BZ288"/>
    <mergeCell ref="BP285:BP288"/>
    <mergeCell ref="BQ285:BQ288"/>
    <mergeCell ref="BR285:BR288"/>
    <mergeCell ref="BS285:BS288"/>
    <mergeCell ref="BT285:BT288"/>
    <mergeCell ref="BV285:BV288"/>
    <mergeCell ref="BJ285:BJ288"/>
    <mergeCell ref="BK285:BK288"/>
    <mergeCell ref="BL285:BL288"/>
    <mergeCell ref="BM285:BM288"/>
    <mergeCell ref="BN285:BN288"/>
    <mergeCell ref="BO285:BO288"/>
    <mergeCell ref="BC285:BC288"/>
    <mergeCell ref="BD285:BD288"/>
    <mergeCell ref="BE285:BE288"/>
    <mergeCell ref="BF285:BF288"/>
    <mergeCell ref="BH285:BH288"/>
    <mergeCell ref="BI285:BI288"/>
    <mergeCell ref="BA285:BA288"/>
    <mergeCell ref="BB285:BB288"/>
    <mergeCell ref="AP285:AP288"/>
    <mergeCell ref="AQ285:AQ288"/>
    <mergeCell ref="AR285:AR288"/>
    <mergeCell ref="AT285:AT288"/>
    <mergeCell ref="AU285:AU288"/>
    <mergeCell ref="AV285:AV288"/>
    <mergeCell ref="AJ285:AJ288"/>
    <mergeCell ref="AK285:AK288"/>
    <mergeCell ref="AL285:AL288"/>
    <mergeCell ref="AM285:AM288"/>
    <mergeCell ref="AN285:AN288"/>
    <mergeCell ref="AO285:AO288"/>
    <mergeCell ref="AC285:AC288"/>
    <mergeCell ref="AD285:AD288"/>
    <mergeCell ref="AF285:AF288"/>
    <mergeCell ref="AG285:AG288"/>
    <mergeCell ref="AH285:AH288"/>
    <mergeCell ref="AI285:AI288"/>
    <mergeCell ref="AW285:AW288"/>
    <mergeCell ref="AX285:AX288"/>
    <mergeCell ref="AY285:AY288"/>
    <mergeCell ref="AZ285:AZ288"/>
    <mergeCell ref="F285:F288"/>
    <mergeCell ref="G285:G288"/>
    <mergeCell ref="H285:H288"/>
    <mergeCell ref="I285:I288"/>
    <mergeCell ref="W285:W288"/>
    <mergeCell ref="X285:X288"/>
    <mergeCell ref="Y285:Y288"/>
    <mergeCell ref="Z285:Z288"/>
    <mergeCell ref="AA285:AA288"/>
    <mergeCell ref="AB285:AB288"/>
    <mergeCell ref="P285:P288"/>
    <mergeCell ref="R285:R288"/>
    <mergeCell ref="S285:S288"/>
    <mergeCell ref="T285:T288"/>
    <mergeCell ref="U285:U288"/>
    <mergeCell ref="V285:V288"/>
    <mergeCell ref="J285:J288"/>
    <mergeCell ref="K285:K288"/>
    <mergeCell ref="L285:L288"/>
    <mergeCell ref="M285:M288"/>
    <mergeCell ref="N285:N288"/>
    <mergeCell ref="O285:O288"/>
    <mergeCell ref="BV249:BV255"/>
    <mergeCell ref="BW249:BW255"/>
    <mergeCell ref="BX249:BX255"/>
    <mergeCell ref="BY249:BY255"/>
    <mergeCell ref="BZ249:BZ255"/>
    <mergeCell ref="BN249:BN255"/>
    <mergeCell ref="BO249:BO255"/>
    <mergeCell ref="BP249:BP255"/>
    <mergeCell ref="BQ249:BQ255"/>
    <mergeCell ref="BR249:BR255"/>
    <mergeCell ref="BS249:BS255"/>
    <mergeCell ref="BH249:BH255"/>
    <mergeCell ref="BI249:BI255"/>
    <mergeCell ref="BJ249:BJ255"/>
    <mergeCell ref="BK249:BK255"/>
    <mergeCell ref="BL249:BL255"/>
    <mergeCell ref="BM249:BM255"/>
    <mergeCell ref="BC249:BC255"/>
    <mergeCell ref="BD249:BD255"/>
    <mergeCell ref="BE249:BE255"/>
    <mergeCell ref="BF249:BF255"/>
    <mergeCell ref="AU249:AU255"/>
    <mergeCell ref="AV249:AV255"/>
    <mergeCell ref="AW249:AW255"/>
    <mergeCell ref="AX249:AX255"/>
    <mergeCell ref="AY249:AY255"/>
    <mergeCell ref="AZ249:AZ255"/>
    <mergeCell ref="AN249:AN255"/>
    <mergeCell ref="AO249:AO255"/>
    <mergeCell ref="AP249:AP255"/>
    <mergeCell ref="AQ249:AQ255"/>
    <mergeCell ref="AR249:AR255"/>
    <mergeCell ref="AT249:AT255"/>
    <mergeCell ref="BT249:BT255"/>
    <mergeCell ref="AK249:AK255"/>
    <mergeCell ref="AL249:AL255"/>
    <mergeCell ref="AM249:AM255"/>
    <mergeCell ref="AA249:AA255"/>
    <mergeCell ref="AB249:AB255"/>
    <mergeCell ref="AC249:AC255"/>
    <mergeCell ref="AD249:AD255"/>
    <mergeCell ref="AF249:AF255"/>
    <mergeCell ref="AG249:AG255"/>
    <mergeCell ref="U249:U255"/>
    <mergeCell ref="V249:V255"/>
    <mergeCell ref="W249:W255"/>
    <mergeCell ref="X249:X255"/>
    <mergeCell ref="Y249:Y255"/>
    <mergeCell ref="Z249:Z255"/>
    <mergeCell ref="BA249:BA255"/>
    <mergeCell ref="BB249:BB255"/>
    <mergeCell ref="N249:N255"/>
    <mergeCell ref="O249:O255"/>
    <mergeCell ref="P249:P255"/>
    <mergeCell ref="R249:R255"/>
    <mergeCell ref="S249:S255"/>
    <mergeCell ref="T249:T255"/>
    <mergeCell ref="H249:H255"/>
    <mergeCell ref="I249:I255"/>
    <mergeCell ref="J249:J255"/>
    <mergeCell ref="K249:K255"/>
    <mergeCell ref="L249:L255"/>
    <mergeCell ref="M249:M255"/>
    <mergeCell ref="F249:F255"/>
    <mergeCell ref="G249:G255"/>
    <mergeCell ref="AH249:AH255"/>
    <mergeCell ref="AI249:AI255"/>
    <mergeCell ref="AJ249:AJ255"/>
    <mergeCell ref="BV236:BV243"/>
    <mergeCell ref="BW236:BW243"/>
    <mergeCell ref="BX236:BX243"/>
    <mergeCell ref="BY236:BY243"/>
    <mergeCell ref="BZ236:BZ243"/>
    <mergeCell ref="BO236:BO243"/>
    <mergeCell ref="BP236:BP243"/>
    <mergeCell ref="BQ236:BQ243"/>
    <mergeCell ref="BR236:BR243"/>
    <mergeCell ref="BS236:BS243"/>
    <mergeCell ref="BT236:BT243"/>
    <mergeCell ref="BI236:BI243"/>
    <mergeCell ref="BJ236:BJ243"/>
    <mergeCell ref="BK236:BK243"/>
    <mergeCell ref="BL236:BL243"/>
    <mergeCell ref="BM236:BM243"/>
    <mergeCell ref="BN236:BN243"/>
    <mergeCell ref="S236:S243"/>
    <mergeCell ref="T236:T243"/>
    <mergeCell ref="U236:U243"/>
    <mergeCell ref="BF236:BF243"/>
    <mergeCell ref="BH236:BH243"/>
    <mergeCell ref="AV236:AV243"/>
    <mergeCell ref="AW236:AW243"/>
    <mergeCell ref="AX236:AX243"/>
    <mergeCell ref="AY236:AY243"/>
    <mergeCell ref="AZ236:AZ243"/>
    <mergeCell ref="BA236:BA243"/>
    <mergeCell ref="AO236:AO243"/>
    <mergeCell ref="AP236:AP243"/>
    <mergeCell ref="AQ236:AQ243"/>
    <mergeCell ref="AR236:AR243"/>
    <mergeCell ref="AT236:AT243"/>
    <mergeCell ref="AU236:AU243"/>
    <mergeCell ref="AI236:AI243"/>
    <mergeCell ref="AJ236:AJ243"/>
    <mergeCell ref="AK236:AK243"/>
    <mergeCell ref="AL236:AL243"/>
    <mergeCell ref="AM236:AM243"/>
    <mergeCell ref="AN236:AN243"/>
    <mergeCell ref="BB236:BB243"/>
    <mergeCell ref="BC236:BC243"/>
    <mergeCell ref="BD236:BD243"/>
    <mergeCell ref="BE236:BE243"/>
    <mergeCell ref="BA225:BA231"/>
    <mergeCell ref="BB225:BB231"/>
    <mergeCell ref="BC225:BC231"/>
    <mergeCell ref="BD225:BD231"/>
    <mergeCell ref="BE225:BE231"/>
    <mergeCell ref="BF225:BF231"/>
    <mergeCell ref="AU225:AU231"/>
    <mergeCell ref="AV225:AV231"/>
    <mergeCell ref="I236:I243"/>
    <mergeCell ref="J236:J243"/>
    <mergeCell ref="K236:K243"/>
    <mergeCell ref="L236:L243"/>
    <mergeCell ref="M236:M243"/>
    <mergeCell ref="N236:N243"/>
    <mergeCell ref="F236:F243"/>
    <mergeCell ref="G236:G243"/>
    <mergeCell ref="H236:H243"/>
    <mergeCell ref="AB236:AB243"/>
    <mergeCell ref="AC236:AC243"/>
    <mergeCell ref="AD236:AD243"/>
    <mergeCell ref="AF236:AF243"/>
    <mergeCell ref="AG236:AG243"/>
    <mergeCell ref="AH236:AH243"/>
    <mergeCell ref="V236:V243"/>
    <mergeCell ref="W236:W243"/>
    <mergeCell ref="X236:X243"/>
    <mergeCell ref="Y236:Y243"/>
    <mergeCell ref="Z236:Z243"/>
    <mergeCell ref="AA236:AA243"/>
    <mergeCell ref="O236:O243"/>
    <mergeCell ref="P236:P243"/>
    <mergeCell ref="R236:R243"/>
    <mergeCell ref="BT225:BT231"/>
    <mergeCell ref="BV225:BV231"/>
    <mergeCell ref="BW225:BW231"/>
    <mergeCell ref="BX225:BX231"/>
    <mergeCell ref="BY225:BY231"/>
    <mergeCell ref="BZ225:BZ231"/>
    <mergeCell ref="BN225:BN231"/>
    <mergeCell ref="BO225:BO231"/>
    <mergeCell ref="BP225:BP231"/>
    <mergeCell ref="BQ225:BQ231"/>
    <mergeCell ref="BR225:BR231"/>
    <mergeCell ref="BS225:BS231"/>
    <mergeCell ref="BH225:BH231"/>
    <mergeCell ref="BI225:BI231"/>
    <mergeCell ref="BJ225:BJ231"/>
    <mergeCell ref="BK225:BK231"/>
    <mergeCell ref="BL225:BL231"/>
    <mergeCell ref="BM225:BM231"/>
    <mergeCell ref="AW225:AW231"/>
    <mergeCell ref="AX225:AX231"/>
    <mergeCell ref="AY225:AY231"/>
    <mergeCell ref="AZ225:AZ231"/>
    <mergeCell ref="AN225:AN231"/>
    <mergeCell ref="AO225:AO231"/>
    <mergeCell ref="AP225:AP231"/>
    <mergeCell ref="AQ225:AQ231"/>
    <mergeCell ref="AR225:AR231"/>
    <mergeCell ref="AT225:AT231"/>
    <mergeCell ref="AH225:AH231"/>
    <mergeCell ref="AI225:AI231"/>
    <mergeCell ref="AJ225:AJ231"/>
    <mergeCell ref="AK225:AK231"/>
    <mergeCell ref="AL225:AL231"/>
    <mergeCell ref="AM225:AM231"/>
    <mergeCell ref="AA225:AA231"/>
    <mergeCell ref="AB225:AB231"/>
    <mergeCell ref="AC225:AC231"/>
    <mergeCell ref="AD225:AD231"/>
    <mergeCell ref="AF225:AF231"/>
    <mergeCell ref="AG225:AG231"/>
    <mergeCell ref="F225:F231"/>
    <mergeCell ref="G225:G231"/>
    <mergeCell ref="U225:U231"/>
    <mergeCell ref="V225:V231"/>
    <mergeCell ref="W225:W231"/>
    <mergeCell ref="X225:X231"/>
    <mergeCell ref="Y225:Y231"/>
    <mergeCell ref="Z225:Z231"/>
    <mergeCell ref="N225:N231"/>
    <mergeCell ref="O225:O231"/>
    <mergeCell ref="P225:P231"/>
    <mergeCell ref="R225:R231"/>
    <mergeCell ref="S225:S231"/>
    <mergeCell ref="T225:T231"/>
    <mergeCell ref="H225:H231"/>
    <mergeCell ref="I225:I231"/>
    <mergeCell ref="J225:J231"/>
    <mergeCell ref="K225:K231"/>
    <mergeCell ref="L225:L231"/>
    <mergeCell ref="M225:M231"/>
    <mergeCell ref="BV213:BV214"/>
    <mergeCell ref="BW213:BW214"/>
    <mergeCell ref="BX213:BX214"/>
    <mergeCell ref="BY213:BY214"/>
    <mergeCell ref="BZ213:BZ214"/>
    <mergeCell ref="BN213:BN214"/>
    <mergeCell ref="BO213:BO214"/>
    <mergeCell ref="BP213:BP214"/>
    <mergeCell ref="BQ213:BQ214"/>
    <mergeCell ref="BR213:BR214"/>
    <mergeCell ref="BS213:BS214"/>
    <mergeCell ref="BH213:BH214"/>
    <mergeCell ref="BI213:BI214"/>
    <mergeCell ref="BJ213:BJ214"/>
    <mergeCell ref="BK213:BK214"/>
    <mergeCell ref="BL213:BL214"/>
    <mergeCell ref="BM213:BM214"/>
    <mergeCell ref="BC213:BC214"/>
    <mergeCell ref="BD213:BD214"/>
    <mergeCell ref="BE213:BE214"/>
    <mergeCell ref="BF213:BF214"/>
    <mergeCell ref="AU213:AU214"/>
    <mergeCell ref="AV213:AV214"/>
    <mergeCell ref="AW213:AW214"/>
    <mergeCell ref="AX213:AX214"/>
    <mergeCell ref="AY213:AY214"/>
    <mergeCell ref="AZ213:AZ214"/>
    <mergeCell ref="AN213:AN214"/>
    <mergeCell ref="AO213:AO214"/>
    <mergeCell ref="AP213:AP214"/>
    <mergeCell ref="AQ213:AQ214"/>
    <mergeCell ref="AR213:AR214"/>
    <mergeCell ref="AT213:AT214"/>
    <mergeCell ref="BT213:BT214"/>
    <mergeCell ref="AK213:AK214"/>
    <mergeCell ref="AL213:AL214"/>
    <mergeCell ref="AM213:AM214"/>
    <mergeCell ref="AA213:AA214"/>
    <mergeCell ref="AB213:AB214"/>
    <mergeCell ref="AC213:AC214"/>
    <mergeCell ref="AD213:AD214"/>
    <mergeCell ref="AF213:AF214"/>
    <mergeCell ref="AG213:AG214"/>
    <mergeCell ref="U213:U214"/>
    <mergeCell ref="V213:V214"/>
    <mergeCell ref="W213:W214"/>
    <mergeCell ref="X213:X214"/>
    <mergeCell ref="Y213:Y214"/>
    <mergeCell ref="Z213:Z214"/>
    <mergeCell ref="BA213:BA214"/>
    <mergeCell ref="BB213:BB214"/>
    <mergeCell ref="N213:N214"/>
    <mergeCell ref="O213:O214"/>
    <mergeCell ref="P213:P214"/>
    <mergeCell ref="R213:R214"/>
    <mergeCell ref="S213:S214"/>
    <mergeCell ref="T213:T214"/>
    <mergeCell ref="H213:H214"/>
    <mergeCell ref="I213:I214"/>
    <mergeCell ref="J213:J214"/>
    <mergeCell ref="K213:K214"/>
    <mergeCell ref="L213:L214"/>
    <mergeCell ref="M213:M214"/>
    <mergeCell ref="F213:F214"/>
    <mergeCell ref="G213:G214"/>
    <mergeCell ref="AH213:AH214"/>
    <mergeCell ref="AI213:AI214"/>
    <mergeCell ref="AJ213:AJ214"/>
    <mergeCell ref="AO207:AO211"/>
    <mergeCell ref="AP207:AP211"/>
    <mergeCell ref="AQ207:AQ211"/>
    <mergeCell ref="BV207:BV211"/>
    <mergeCell ref="BW207:BW211"/>
    <mergeCell ref="BX207:BX211"/>
    <mergeCell ref="BY207:BY211"/>
    <mergeCell ref="BZ207:BZ211"/>
    <mergeCell ref="BP207:BP211"/>
    <mergeCell ref="BQ207:BQ211"/>
    <mergeCell ref="BR207:BR211"/>
    <mergeCell ref="BS207:BS211"/>
    <mergeCell ref="BT207:BT211"/>
    <mergeCell ref="BU207:BU211"/>
    <mergeCell ref="BJ207:BJ211"/>
    <mergeCell ref="BK207:BK211"/>
    <mergeCell ref="BL207:BL211"/>
    <mergeCell ref="BM207:BM211"/>
    <mergeCell ref="BN207:BN211"/>
    <mergeCell ref="BO207:BO211"/>
    <mergeCell ref="BD207:BD211"/>
    <mergeCell ref="BE207:BE211"/>
    <mergeCell ref="BF207:BF211"/>
    <mergeCell ref="BG207:BG211"/>
    <mergeCell ref="AI207:AI211"/>
    <mergeCell ref="AJ207:AJ211"/>
    <mergeCell ref="AK207:AK211"/>
    <mergeCell ref="Z207:Z211"/>
    <mergeCell ref="AA207:AA211"/>
    <mergeCell ref="AB207:AB211"/>
    <mergeCell ref="AC207:AC211"/>
    <mergeCell ref="AD207:AD211"/>
    <mergeCell ref="AE207:AE211"/>
    <mergeCell ref="T207:T211"/>
    <mergeCell ref="U207:U211"/>
    <mergeCell ref="V207:V211"/>
    <mergeCell ref="W207:W211"/>
    <mergeCell ref="X207:X211"/>
    <mergeCell ref="Y207:Y211"/>
    <mergeCell ref="BH207:BH211"/>
    <mergeCell ref="BI207:BI211"/>
    <mergeCell ref="AX207:AX211"/>
    <mergeCell ref="AY207:AY211"/>
    <mergeCell ref="AZ207:AZ211"/>
    <mergeCell ref="BA207:BA211"/>
    <mergeCell ref="BB207:BB211"/>
    <mergeCell ref="BC207:BC211"/>
    <mergeCell ref="AR207:AR211"/>
    <mergeCell ref="AS207:AS211"/>
    <mergeCell ref="AT207:AT211"/>
    <mergeCell ref="AU207:AU211"/>
    <mergeCell ref="AV207:AV211"/>
    <mergeCell ref="AW207:AW211"/>
    <mergeCell ref="AL207:AL211"/>
    <mergeCell ref="AM207:AM211"/>
    <mergeCell ref="AN207:AN211"/>
    <mergeCell ref="N207:N211"/>
    <mergeCell ref="O207:O211"/>
    <mergeCell ref="P207:P211"/>
    <mergeCell ref="Q207:Q211"/>
    <mergeCell ref="R207:R211"/>
    <mergeCell ref="S207:S211"/>
    <mergeCell ref="H207:H211"/>
    <mergeCell ref="I207:I211"/>
    <mergeCell ref="J207:J211"/>
    <mergeCell ref="K207:K211"/>
    <mergeCell ref="L207:L211"/>
    <mergeCell ref="M207:M211"/>
    <mergeCell ref="F207:F211"/>
    <mergeCell ref="G207:G211"/>
    <mergeCell ref="AF207:AF211"/>
    <mergeCell ref="AG207:AG211"/>
    <mergeCell ref="AH207:AH211"/>
    <mergeCell ref="BT175:BT177"/>
    <mergeCell ref="BV175:BV177"/>
    <mergeCell ref="BW175:BW177"/>
    <mergeCell ref="BX175:BX177"/>
    <mergeCell ref="BY175:BY177"/>
    <mergeCell ref="BZ175:BZ177"/>
    <mergeCell ref="BE175:BE177"/>
    <mergeCell ref="BF175:BF177"/>
    <mergeCell ref="BK175:BK177"/>
    <mergeCell ref="BO175:BO177"/>
    <mergeCell ref="BR175:BR177"/>
    <mergeCell ref="BS175:BS177"/>
    <mergeCell ref="AV175:AV177"/>
    <mergeCell ref="AW175:AW177"/>
    <mergeCell ref="BA175:BA177"/>
    <mergeCell ref="BB175:BB177"/>
    <mergeCell ref="BC175:BC177"/>
    <mergeCell ref="BD175:BD177"/>
    <mergeCell ref="U175:U177"/>
    <mergeCell ref="I175:I177"/>
    <mergeCell ref="J175:J177"/>
    <mergeCell ref="K175:K177"/>
    <mergeCell ref="L175:L177"/>
    <mergeCell ref="M175:M177"/>
    <mergeCell ref="N175:N177"/>
    <mergeCell ref="AO175:AO177"/>
    <mergeCell ref="AP175:AP177"/>
    <mergeCell ref="AQ175:AQ177"/>
    <mergeCell ref="AR175:AR177"/>
    <mergeCell ref="AT175:AT177"/>
    <mergeCell ref="AU175:AU177"/>
    <mergeCell ref="AI175:AI177"/>
    <mergeCell ref="AJ175:AJ177"/>
    <mergeCell ref="AK175:AK177"/>
    <mergeCell ref="AL175:AL177"/>
    <mergeCell ref="AM175:AM177"/>
    <mergeCell ref="AN175:AN177"/>
    <mergeCell ref="AB175:AB177"/>
    <mergeCell ref="AC175:AC177"/>
    <mergeCell ref="AD175:AD177"/>
    <mergeCell ref="AF175:AF177"/>
    <mergeCell ref="AG175:AG177"/>
    <mergeCell ref="AH175:AH177"/>
    <mergeCell ref="F175:F177"/>
    <mergeCell ref="G175:G177"/>
    <mergeCell ref="H175:H177"/>
    <mergeCell ref="BX165:BX168"/>
    <mergeCell ref="BY165:BY168"/>
    <mergeCell ref="BZ165:BZ168"/>
    <mergeCell ref="AT165:AT168"/>
    <mergeCell ref="AU165:AU168"/>
    <mergeCell ref="AV165:AV168"/>
    <mergeCell ref="AW165:AW168"/>
    <mergeCell ref="AK165:AK168"/>
    <mergeCell ref="AL165:AL168"/>
    <mergeCell ref="AM165:AM168"/>
    <mergeCell ref="AN165:AN168"/>
    <mergeCell ref="AO165:AO168"/>
    <mergeCell ref="AP165:AP168"/>
    <mergeCell ref="AD165:AD168"/>
    <mergeCell ref="AF165:AF168"/>
    <mergeCell ref="AG165:AG168"/>
    <mergeCell ref="AH165:AH168"/>
    <mergeCell ref="AI165:AI168"/>
    <mergeCell ref="V175:V177"/>
    <mergeCell ref="W175:W177"/>
    <mergeCell ref="X175:X177"/>
    <mergeCell ref="Y175:Y177"/>
    <mergeCell ref="Z175:Z177"/>
    <mergeCell ref="AA175:AA177"/>
    <mergeCell ref="O175:O177"/>
    <mergeCell ref="P175:P177"/>
    <mergeCell ref="R175:R177"/>
    <mergeCell ref="S175:S177"/>
    <mergeCell ref="T175:T177"/>
    <mergeCell ref="L165:L168"/>
    <mergeCell ref="M165:M168"/>
    <mergeCell ref="N165:N168"/>
    <mergeCell ref="O165:O168"/>
    <mergeCell ref="P165:P168"/>
    <mergeCell ref="BQ165:BQ168"/>
    <mergeCell ref="BR165:BR168"/>
    <mergeCell ref="BS165:BS168"/>
    <mergeCell ref="BT165:BT168"/>
    <mergeCell ref="BV165:BV168"/>
    <mergeCell ref="BW165:BW168"/>
    <mergeCell ref="BK165:BK168"/>
    <mergeCell ref="BL165:BL168"/>
    <mergeCell ref="BM165:BM168"/>
    <mergeCell ref="BN165:BN168"/>
    <mergeCell ref="BO165:BO168"/>
    <mergeCell ref="BP165:BP168"/>
    <mergeCell ref="BD165:BD168"/>
    <mergeCell ref="BE165:BE168"/>
    <mergeCell ref="BF165:BF168"/>
    <mergeCell ref="BH165:BH168"/>
    <mergeCell ref="BI165:BI168"/>
    <mergeCell ref="BJ165:BJ168"/>
    <mergeCell ref="AX165:AX168"/>
    <mergeCell ref="AY165:AY168"/>
    <mergeCell ref="AZ165:AZ168"/>
    <mergeCell ref="BA165:BA168"/>
    <mergeCell ref="BB165:BB168"/>
    <mergeCell ref="BC165:BC168"/>
    <mergeCell ref="AQ165:AQ168"/>
    <mergeCell ref="AR165:AR168"/>
    <mergeCell ref="F165:F168"/>
    <mergeCell ref="G165:G168"/>
    <mergeCell ref="H165:H168"/>
    <mergeCell ref="I165:I168"/>
    <mergeCell ref="J165:J168"/>
    <mergeCell ref="BX160:BX164"/>
    <mergeCell ref="BY160:BY164"/>
    <mergeCell ref="BZ160:BZ164"/>
    <mergeCell ref="BQ160:BQ164"/>
    <mergeCell ref="BR160:BR164"/>
    <mergeCell ref="BS160:BS164"/>
    <mergeCell ref="BT160:BT164"/>
    <mergeCell ref="BV160:BV164"/>
    <mergeCell ref="BW160:BW164"/>
    <mergeCell ref="BK160:BK164"/>
    <mergeCell ref="BL160:BL164"/>
    <mergeCell ref="BM160:BM164"/>
    <mergeCell ref="BN160:BN164"/>
    <mergeCell ref="AJ165:AJ168"/>
    <mergeCell ref="X165:X168"/>
    <mergeCell ref="Y165:Y168"/>
    <mergeCell ref="Z165:Z168"/>
    <mergeCell ref="AA165:AA168"/>
    <mergeCell ref="AB165:AB168"/>
    <mergeCell ref="AC165:AC168"/>
    <mergeCell ref="R165:R168"/>
    <mergeCell ref="S165:S168"/>
    <mergeCell ref="T165:T168"/>
    <mergeCell ref="U165:U168"/>
    <mergeCell ref="V165:V168"/>
    <mergeCell ref="W165:W168"/>
    <mergeCell ref="K165:K168"/>
    <mergeCell ref="BO160:BO164"/>
    <mergeCell ref="BP160:BP164"/>
    <mergeCell ref="BD160:BD164"/>
    <mergeCell ref="BE160:BE164"/>
    <mergeCell ref="BF160:BF164"/>
    <mergeCell ref="BH160:BH164"/>
    <mergeCell ref="BI160:BI164"/>
    <mergeCell ref="BJ160:BJ164"/>
    <mergeCell ref="AX160:AX164"/>
    <mergeCell ref="AY160:AY164"/>
    <mergeCell ref="AZ160:AZ164"/>
    <mergeCell ref="BA160:BA164"/>
    <mergeCell ref="BB160:BB164"/>
    <mergeCell ref="BC160:BC164"/>
    <mergeCell ref="AQ160:AQ164"/>
    <mergeCell ref="AR160:AR164"/>
    <mergeCell ref="AT160:AT164"/>
    <mergeCell ref="AU160:AU164"/>
    <mergeCell ref="AV160:AV164"/>
    <mergeCell ref="AW160:AW164"/>
    <mergeCell ref="AK160:AK164"/>
    <mergeCell ref="AL160:AL164"/>
    <mergeCell ref="AM160:AM164"/>
    <mergeCell ref="AN160:AN164"/>
    <mergeCell ref="AO160:AO164"/>
    <mergeCell ref="AP160:AP164"/>
    <mergeCell ref="AD160:AD164"/>
    <mergeCell ref="AF160:AF164"/>
    <mergeCell ref="AG160:AG164"/>
    <mergeCell ref="AH160:AH164"/>
    <mergeCell ref="AI160:AI164"/>
    <mergeCell ref="AJ160:AJ164"/>
    <mergeCell ref="X160:X164"/>
    <mergeCell ref="Y160:Y164"/>
    <mergeCell ref="Z160:Z164"/>
    <mergeCell ref="AA160:AA164"/>
    <mergeCell ref="AB160:AB164"/>
    <mergeCell ref="AC160:AC164"/>
    <mergeCell ref="R160:R164"/>
    <mergeCell ref="S160:S164"/>
    <mergeCell ref="T160:T164"/>
    <mergeCell ref="U160:U164"/>
    <mergeCell ref="V160:V164"/>
    <mergeCell ref="W160:W164"/>
    <mergeCell ref="K160:K164"/>
    <mergeCell ref="L160:L164"/>
    <mergeCell ref="M160:M164"/>
    <mergeCell ref="N160:N164"/>
    <mergeCell ref="O160:O164"/>
    <mergeCell ref="P160:P164"/>
    <mergeCell ref="F160:F164"/>
    <mergeCell ref="G160:G164"/>
    <mergeCell ref="H160:H164"/>
    <mergeCell ref="I160:I164"/>
    <mergeCell ref="J160:J164"/>
    <mergeCell ref="AQ109:AQ110"/>
    <mergeCell ref="AR109:AR110"/>
    <mergeCell ref="AT109:AT110"/>
    <mergeCell ref="CA109:CA110"/>
    <mergeCell ref="BT109:BT110"/>
    <mergeCell ref="BV109:BV110"/>
    <mergeCell ref="BW109:BW110"/>
    <mergeCell ref="BX109:BX110"/>
    <mergeCell ref="BY109:BY110"/>
    <mergeCell ref="BZ109:BZ110"/>
    <mergeCell ref="BN109:BN110"/>
    <mergeCell ref="BO109:BO110"/>
    <mergeCell ref="BP109:BP110"/>
    <mergeCell ref="BQ109:BQ110"/>
    <mergeCell ref="BR109:BR110"/>
    <mergeCell ref="BS109:BS110"/>
    <mergeCell ref="BH109:BH110"/>
    <mergeCell ref="BI109:BI110"/>
    <mergeCell ref="BJ109:BJ110"/>
    <mergeCell ref="BK109:BK110"/>
    <mergeCell ref="AK109:AK110"/>
    <mergeCell ref="AL109:AL110"/>
    <mergeCell ref="AM109:AM110"/>
    <mergeCell ref="AA109:AA110"/>
    <mergeCell ref="AB109:AB110"/>
    <mergeCell ref="AC109:AC110"/>
    <mergeCell ref="AD109:AD110"/>
    <mergeCell ref="AF109:AF110"/>
    <mergeCell ref="AG109:AG110"/>
    <mergeCell ref="U109:U110"/>
    <mergeCell ref="V109:V110"/>
    <mergeCell ref="W109:W110"/>
    <mergeCell ref="X109:X110"/>
    <mergeCell ref="Y109:Y110"/>
    <mergeCell ref="Z109:Z110"/>
    <mergeCell ref="BL109:BL110"/>
    <mergeCell ref="BM109:BM110"/>
    <mergeCell ref="BA109:BA110"/>
    <mergeCell ref="BB109:BB110"/>
    <mergeCell ref="BC109:BC110"/>
    <mergeCell ref="BD109:BD110"/>
    <mergeCell ref="BE109:BE110"/>
    <mergeCell ref="BF109:BF110"/>
    <mergeCell ref="AU109:AU110"/>
    <mergeCell ref="AV109:AV110"/>
    <mergeCell ref="AW109:AW110"/>
    <mergeCell ref="AX109:AX110"/>
    <mergeCell ref="AY109:AY110"/>
    <mergeCell ref="AZ109:AZ110"/>
    <mergeCell ref="AN109:AN110"/>
    <mergeCell ref="AO109:AO110"/>
    <mergeCell ref="AP109:AP110"/>
    <mergeCell ref="N109:N110"/>
    <mergeCell ref="O109:O110"/>
    <mergeCell ref="P109:P110"/>
    <mergeCell ref="R109:R110"/>
    <mergeCell ref="S109:S110"/>
    <mergeCell ref="T109:T110"/>
    <mergeCell ref="H109:H110"/>
    <mergeCell ref="I109:I110"/>
    <mergeCell ref="J109:J110"/>
    <mergeCell ref="K109:K110"/>
    <mergeCell ref="L109:L110"/>
    <mergeCell ref="M109:M110"/>
    <mergeCell ref="F109:F110"/>
    <mergeCell ref="G109:G110"/>
    <mergeCell ref="AH109:AH110"/>
    <mergeCell ref="AI109:AI110"/>
    <mergeCell ref="AJ109:AJ110"/>
    <mergeCell ref="BY102:BY105"/>
    <mergeCell ref="BZ102:BZ105"/>
    <mergeCell ref="CA102:CA105"/>
    <mergeCell ref="BR102:BR105"/>
    <mergeCell ref="BS102:BS105"/>
    <mergeCell ref="BT102:BT105"/>
    <mergeCell ref="BV102:BV105"/>
    <mergeCell ref="BW102:BW105"/>
    <mergeCell ref="BX102:BX105"/>
    <mergeCell ref="BL102:BL105"/>
    <mergeCell ref="BM102:BM105"/>
    <mergeCell ref="BN102:BN105"/>
    <mergeCell ref="BO102:BO105"/>
    <mergeCell ref="BP102:BP105"/>
    <mergeCell ref="BQ102:BQ105"/>
    <mergeCell ref="BE102:BE105"/>
    <mergeCell ref="BF102:BF105"/>
    <mergeCell ref="BH102:BH105"/>
    <mergeCell ref="BI102:BI105"/>
    <mergeCell ref="BJ102:BJ105"/>
    <mergeCell ref="BK102:BK105"/>
    <mergeCell ref="BD102:BD105"/>
    <mergeCell ref="AR102:AR105"/>
    <mergeCell ref="AT102:AT105"/>
    <mergeCell ref="AU102:AU105"/>
    <mergeCell ref="AV102:AV105"/>
    <mergeCell ref="AW102:AW105"/>
    <mergeCell ref="AX102:AX105"/>
    <mergeCell ref="AL102:AL105"/>
    <mergeCell ref="AM102:AM105"/>
    <mergeCell ref="AN102:AN105"/>
    <mergeCell ref="AO102:AO105"/>
    <mergeCell ref="AP102:AP105"/>
    <mergeCell ref="AQ102:AQ105"/>
    <mergeCell ref="AF102:AF105"/>
    <mergeCell ref="AG102:AG105"/>
    <mergeCell ref="AH102:AH105"/>
    <mergeCell ref="AI102:AI105"/>
    <mergeCell ref="AJ102:AJ105"/>
    <mergeCell ref="AK102:AK105"/>
    <mergeCell ref="AY102:AY105"/>
    <mergeCell ref="AZ102:AZ105"/>
    <mergeCell ref="BA102:BA105"/>
    <mergeCell ref="BB102:BB105"/>
    <mergeCell ref="BA29:BA31"/>
    <mergeCell ref="BB29:BB31"/>
    <mergeCell ref="BC29:BC31"/>
    <mergeCell ref="F102:F105"/>
    <mergeCell ref="G102:G105"/>
    <mergeCell ref="H102:H105"/>
    <mergeCell ref="I102:I105"/>
    <mergeCell ref="J102:J105"/>
    <mergeCell ref="K102:K105"/>
    <mergeCell ref="Y102:Y105"/>
    <mergeCell ref="Z102:Z105"/>
    <mergeCell ref="AA102:AA105"/>
    <mergeCell ref="AB102:AB105"/>
    <mergeCell ref="AC102:AC105"/>
    <mergeCell ref="AD102:AD105"/>
    <mergeCell ref="S102:S105"/>
    <mergeCell ref="T102:T105"/>
    <mergeCell ref="U102:U105"/>
    <mergeCell ref="V102:V105"/>
    <mergeCell ref="W102:W105"/>
    <mergeCell ref="X102:X105"/>
    <mergeCell ref="L102:L105"/>
    <mergeCell ref="M102:M105"/>
    <mergeCell ref="N102:N105"/>
    <mergeCell ref="O102:O105"/>
    <mergeCell ref="P102:P105"/>
    <mergeCell ref="R102:R105"/>
    <mergeCell ref="BC102:BC105"/>
    <mergeCell ref="AR29:AR31"/>
    <mergeCell ref="AT29:AT31"/>
    <mergeCell ref="AU29:AU31"/>
    <mergeCell ref="AV29:AV31"/>
    <mergeCell ref="BY29:BY31"/>
    <mergeCell ref="BZ29:BZ31"/>
    <mergeCell ref="BR29:BR31"/>
    <mergeCell ref="BS29:BS31"/>
    <mergeCell ref="BT29:BT31"/>
    <mergeCell ref="BV29:BV31"/>
    <mergeCell ref="BW29:BW31"/>
    <mergeCell ref="BX29:BX31"/>
    <mergeCell ref="BL29:BL31"/>
    <mergeCell ref="BM29:BM31"/>
    <mergeCell ref="BN29:BN31"/>
    <mergeCell ref="BO29:BO31"/>
    <mergeCell ref="BP29:BP31"/>
    <mergeCell ref="BQ29:BQ31"/>
    <mergeCell ref="BE29:BE31"/>
    <mergeCell ref="BF29:BF31"/>
    <mergeCell ref="BH29:BH31"/>
    <mergeCell ref="BI29:BI31"/>
    <mergeCell ref="BJ29:BJ31"/>
    <mergeCell ref="BK29:BK31"/>
    <mergeCell ref="AW29:AW31"/>
    <mergeCell ref="AX29:AX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AZ12:AZ13"/>
    <mergeCell ref="AY29:AY31"/>
    <mergeCell ref="AZ29:AZ31"/>
    <mergeCell ref="BA12:BA13"/>
    <mergeCell ref="BB12:BB13"/>
    <mergeCell ref="BC12:BC13"/>
    <mergeCell ref="BD12:BD13"/>
    <mergeCell ref="BE12:BE13"/>
    <mergeCell ref="AT12:AT13"/>
    <mergeCell ref="F29:F31"/>
    <mergeCell ref="G29:G31"/>
    <mergeCell ref="H29:H31"/>
    <mergeCell ref="I29:I31"/>
    <mergeCell ref="J29:J31"/>
    <mergeCell ref="K29:K31"/>
    <mergeCell ref="Y29:Y31"/>
    <mergeCell ref="Z29:Z31"/>
    <mergeCell ref="AA29:AA31"/>
    <mergeCell ref="AB29:AB31"/>
    <mergeCell ref="AC29:AC31"/>
    <mergeCell ref="AD29:AD31"/>
    <mergeCell ref="S29:S31"/>
    <mergeCell ref="T29:T31"/>
    <mergeCell ref="U29:U31"/>
    <mergeCell ref="V29:V31"/>
    <mergeCell ref="W29:W31"/>
    <mergeCell ref="X29:X31"/>
    <mergeCell ref="L29:L31"/>
    <mergeCell ref="M29:M31"/>
    <mergeCell ref="N29:N31"/>
    <mergeCell ref="O29:O31"/>
    <mergeCell ref="P29:P31"/>
    <mergeCell ref="R29:R31"/>
    <mergeCell ref="BD29:BD31"/>
    <mergeCell ref="T12:T13"/>
    <mergeCell ref="BZ12:BZ13"/>
    <mergeCell ref="BS12:BS13"/>
    <mergeCell ref="BT12:BT13"/>
    <mergeCell ref="BV12:BV13"/>
    <mergeCell ref="BW12:BW13"/>
    <mergeCell ref="BX12:BX13"/>
    <mergeCell ref="BY12:BY13"/>
    <mergeCell ref="BM12:BM13"/>
    <mergeCell ref="BN12:BN13"/>
    <mergeCell ref="BO12:BO13"/>
    <mergeCell ref="BP12:BP13"/>
    <mergeCell ref="BQ12:BQ13"/>
    <mergeCell ref="BR12:BR13"/>
    <mergeCell ref="BF12:BF13"/>
    <mergeCell ref="BH12:BH13"/>
    <mergeCell ref="BI12:BI13"/>
    <mergeCell ref="BJ12:BJ13"/>
    <mergeCell ref="BK12:BK13"/>
    <mergeCell ref="BL12:BL13"/>
    <mergeCell ref="U12:U13"/>
    <mergeCell ref="V12:V13"/>
    <mergeCell ref="W12:W13"/>
    <mergeCell ref="X12:X13"/>
    <mergeCell ref="Y12:Y13"/>
    <mergeCell ref="M12:M13"/>
    <mergeCell ref="N12:N13"/>
    <mergeCell ref="O12:O13"/>
    <mergeCell ref="P12:P13"/>
    <mergeCell ref="R12:R13"/>
    <mergeCell ref="S12:S13"/>
    <mergeCell ref="AU12:AU13"/>
    <mergeCell ref="AV12:AV13"/>
    <mergeCell ref="AW12:AW13"/>
    <mergeCell ref="AX12:AX13"/>
    <mergeCell ref="AY12:AY13"/>
    <mergeCell ref="AM12:AM13"/>
    <mergeCell ref="AN12:AN13"/>
    <mergeCell ref="AO12:AO13"/>
    <mergeCell ref="AP12:AP13"/>
    <mergeCell ref="AQ12:AQ13"/>
    <mergeCell ref="AR12:AR13"/>
    <mergeCell ref="AG12:AG13"/>
    <mergeCell ref="AH12:AH13"/>
    <mergeCell ref="AI12:AI13"/>
    <mergeCell ref="AJ12:AJ13"/>
    <mergeCell ref="AK12:AK13"/>
    <mergeCell ref="AL12:AL13"/>
    <mergeCell ref="F4:BZ4"/>
    <mergeCell ref="A5:A6"/>
    <mergeCell ref="B5:B6"/>
    <mergeCell ref="C5:C6"/>
    <mergeCell ref="D5:D6"/>
    <mergeCell ref="B4:D4"/>
    <mergeCell ref="AD5:AD6"/>
    <mergeCell ref="AF5:AQ5"/>
    <mergeCell ref="G12:G13"/>
    <mergeCell ref="H12:H13"/>
    <mergeCell ref="I12:I13"/>
    <mergeCell ref="J12:J13"/>
    <mergeCell ref="K12:K13"/>
    <mergeCell ref="L12:L13"/>
    <mergeCell ref="F12:F13"/>
    <mergeCell ref="BY5:BY6"/>
    <mergeCell ref="BZ5:BZ6"/>
    <mergeCell ref="AR5:AR6"/>
    <mergeCell ref="AT5:BE5"/>
    <mergeCell ref="BF5:BF6"/>
    <mergeCell ref="BH5:BS5"/>
    <mergeCell ref="BT5:BT6"/>
    <mergeCell ref="BV5:BX5"/>
    <mergeCell ref="F5:O5"/>
    <mergeCell ref="P5:P6"/>
    <mergeCell ref="R5:AC5"/>
    <mergeCell ref="Z12:Z13"/>
    <mergeCell ref="AA12:AA13"/>
    <mergeCell ref="AB12:AB13"/>
    <mergeCell ref="AC12:AC13"/>
    <mergeCell ref="AD12:AD13"/>
    <mergeCell ref="AF12:AF13"/>
  </mergeCells>
  <conditionalFormatting sqref="C1:C1048576">
    <cfRule type="expression" dxfId="15" priority="1">
      <formula>$C1="Sí"</formula>
    </cfRule>
    <cfRule type="expression" dxfId="14" priority="2">
      <formula>$C1="Si"</formula>
    </cfRule>
  </conditionalFormatting>
  <conditionalFormatting sqref="D244">
    <cfRule type="expression" dxfId="13" priority="5">
      <formula>$C244="Sí"</formula>
    </cfRule>
    <cfRule type="expression" dxfId="12" priority="6">
      <formula>$C244="Si"</formula>
    </cfRule>
  </conditionalFormatting>
  <conditionalFormatting sqref="D251">
    <cfRule type="expression" dxfId="11" priority="3">
      <formula>$C251="Sí"</formula>
    </cfRule>
    <cfRule type="expression" dxfId="10" priority="4">
      <formula>$C251="Si"</formula>
    </cfRule>
  </conditionalFormatting>
  <pageMargins left="0.7" right="0.7" top="0.75" bottom="0.75" header="0.3" footer="0.3"/>
  <pageSetup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197"/>
  <sheetViews>
    <sheetView showGridLines="0" zoomScale="85" zoomScaleNormal="85" workbookViewId="0">
      <selection activeCell="B7" sqref="B7"/>
    </sheetView>
  </sheetViews>
  <sheetFormatPr baseColWidth="10" defaultColWidth="9.1640625" defaultRowHeight="15"/>
  <cols>
    <col min="1" max="1" width="15.5" style="252" customWidth="1"/>
    <col min="2" max="2" width="44.1640625" style="252" customWidth="1"/>
    <col min="3" max="3" width="13.5" style="252" customWidth="1"/>
    <col min="4" max="6" width="9.1640625" style="252"/>
    <col min="7" max="7" width="14.5" style="252" customWidth="1"/>
    <col min="8" max="16384" width="9.1640625" style="252"/>
  </cols>
  <sheetData>
    <row r="1" spans="1:30" ht="17">
      <c r="A1" s="250" t="s">
        <v>2648</v>
      </c>
      <c r="B1" s="251" t="s">
        <v>2250</v>
      </c>
    </row>
    <row r="2" spans="1:30" ht="34">
      <c r="A2" s="250" t="s">
        <v>2649</v>
      </c>
      <c r="B2" s="251" t="s">
        <v>3</v>
      </c>
    </row>
    <row r="3" spans="1:30" ht="34">
      <c r="A3" s="250" t="s">
        <v>2650</v>
      </c>
      <c r="B3" s="251"/>
    </row>
    <row r="4" spans="1:30" ht="34">
      <c r="A4" s="250" t="s">
        <v>2651</v>
      </c>
      <c r="B4" s="251" t="s">
        <v>4</v>
      </c>
    </row>
    <row r="5" spans="1:30" ht="17">
      <c r="A5" s="250" t="s">
        <v>2652</v>
      </c>
      <c r="B5" s="251"/>
      <c r="E5" s="4158" t="s">
        <v>1112</v>
      </c>
      <c r="F5" s="4158"/>
      <c r="G5" s="267" t="e">
        <f>'9_Resumen del PA - MH (3)'!B6+'9_Resumen del PA - MH (3)'!B7+'9_Resumen del PA - MH (3)'!B8+'9_Resumen del PA - MH (3)'!B9+'9_Resumen del PA - MH (3)'!B10</f>
        <v>#REF!</v>
      </c>
      <c r="AC5" s="253"/>
      <c r="AD5" s="253"/>
    </row>
    <row r="6" spans="1:30" ht="17">
      <c r="A6" s="250" t="s">
        <v>2653</v>
      </c>
      <c r="B6" s="254"/>
      <c r="C6" s="255"/>
      <c r="E6" s="4158" t="s">
        <v>2256</v>
      </c>
      <c r="F6" s="4158"/>
      <c r="G6" s="267">
        <f>SUM(C16:C433)</f>
        <v>0</v>
      </c>
      <c r="AC6" s="253"/>
      <c r="AD6" s="253"/>
    </row>
    <row r="7" spans="1:30" ht="34">
      <c r="A7" s="250" t="s">
        <v>2654</v>
      </c>
      <c r="B7" s="254">
        <f>+'9.1_PA_OB&amp;S - MH (3)'!D10+'9.1_PA_OB&amp;S - MH (3)'!D25</f>
        <v>1791123</v>
      </c>
      <c r="C7" s="256"/>
      <c r="E7" s="4158" t="s">
        <v>2258</v>
      </c>
      <c r="F7" s="4158"/>
      <c r="G7" s="269" t="e">
        <f>G5+G6</f>
        <v>#REF!</v>
      </c>
      <c r="AC7" s="253"/>
      <c r="AD7" s="253"/>
    </row>
    <row r="8" spans="1:30" ht="34">
      <c r="A8" s="250" t="s">
        <v>2655</v>
      </c>
      <c r="B8" s="254" t="e">
        <f>+'9.2_PA_SC - MH (3)'!D36+'9.2_PA_SC - MH (3)'!D56+'9.2_PA_SC - MH (3)'!D70+'9.2_PA_SC - MH (3)'!D158</f>
        <v>#REF!</v>
      </c>
      <c r="AC8" s="253"/>
      <c r="AD8" s="253"/>
    </row>
    <row r="9" spans="1:30" ht="17">
      <c r="A9" s="250" t="s">
        <v>2656</v>
      </c>
      <c r="B9" s="254" t="e">
        <f>+'9.3_PA_Aud. - MH (3)'!D8</f>
        <v>#REF!</v>
      </c>
      <c r="D9" s="257"/>
      <c r="AC9" s="253"/>
      <c r="AD9" s="253"/>
    </row>
    <row r="10" spans="1:30" ht="34">
      <c r="A10" s="258" t="s">
        <v>2657</v>
      </c>
      <c r="B10" s="254"/>
      <c r="G10" s="257"/>
      <c r="AC10" s="253" t="s">
        <v>2262</v>
      </c>
      <c r="AD10" s="253" t="s">
        <v>2263</v>
      </c>
    </row>
    <row r="11" spans="1:30" ht="17">
      <c r="A11" s="250" t="s">
        <v>2658</v>
      </c>
      <c r="B11" s="259"/>
      <c r="AC11" s="253" t="s">
        <v>2265</v>
      </c>
      <c r="AD11" s="253" t="s">
        <v>2266</v>
      </c>
    </row>
    <row r="12" spans="1:30">
      <c r="B12" s="260"/>
      <c r="AC12" s="253" t="s">
        <v>2267</v>
      </c>
      <c r="AD12" s="253" t="s">
        <v>2268</v>
      </c>
    </row>
    <row r="15" spans="1:30" s="264" customFormat="1" ht="16" thickBot="1">
      <c r="A15" s="261" t="s">
        <v>484</v>
      </c>
      <c r="B15" s="262" t="s">
        <v>2659</v>
      </c>
      <c r="C15" s="263" t="s">
        <v>610</v>
      </c>
    </row>
    <row r="16" spans="1:30" s="265" customFormat="1">
      <c r="A16" s="271"/>
      <c r="B16" s="268"/>
      <c r="C16" s="266"/>
    </row>
    <row r="17" spans="1:7" s="265" customFormat="1">
      <c r="A17" s="271"/>
      <c r="B17" s="268"/>
      <c r="C17" s="266"/>
    </row>
    <row r="18" spans="1:7" s="265" customFormat="1" ht="14.5" customHeight="1">
      <c r="A18" s="271"/>
      <c r="B18" s="268"/>
      <c r="C18" s="266"/>
    </row>
    <row r="19" spans="1:7" s="265" customFormat="1">
      <c r="A19" s="271"/>
      <c r="B19" s="268"/>
      <c r="C19" s="266"/>
    </row>
    <row r="20" spans="1:7" s="265" customFormat="1">
      <c r="A20" s="271"/>
      <c r="B20" s="268"/>
      <c r="C20" s="266"/>
    </row>
    <row r="21" spans="1:7" s="265" customFormat="1">
      <c r="A21" s="271"/>
      <c r="B21" s="268"/>
      <c r="C21" s="266"/>
      <c r="D21" s="1985"/>
      <c r="G21" s="270"/>
    </row>
    <row r="22" spans="1:7" s="265" customFormat="1">
      <c r="A22" s="271"/>
      <c r="B22" s="268"/>
      <c r="C22" s="266"/>
      <c r="G22" s="266"/>
    </row>
    <row r="23" spans="1:7" s="265" customFormat="1">
      <c r="A23" s="271"/>
      <c r="B23" s="268"/>
      <c r="C23" s="266"/>
    </row>
    <row r="24" spans="1:7" s="265" customFormat="1">
      <c r="A24" s="271"/>
      <c r="B24" s="268"/>
      <c r="C24" s="266"/>
      <c r="G24" s="266"/>
    </row>
    <row r="25" spans="1:7" s="265" customFormat="1">
      <c r="A25" s="271"/>
      <c r="B25" s="268"/>
      <c r="C25" s="266"/>
      <c r="D25" s="1985"/>
    </row>
    <row r="26" spans="1:7" s="265" customFormat="1">
      <c r="A26" s="271"/>
      <c r="B26" s="268"/>
      <c r="C26" s="266"/>
      <c r="D26" s="1985"/>
    </row>
    <row r="27" spans="1:7" s="265" customFormat="1">
      <c r="A27" s="271"/>
      <c r="B27" s="268"/>
      <c r="C27" s="266"/>
    </row>
    <row r="28" spans="1:7" s="265" customFormat="1">
      <c r="A28" s="271"/>
      <c r="B28" s="268"/>
      <c r="C28" s="266"/>
    </row>
    <row r="29" spans="1:7" s="265" customFormat="1">
      <c r="A29" s="271"/>
      <c r="B29" s="268"/>
      <c r="C29" s="266"/>
    </row>
    <row r="30" spans="1:7" s="265" customFormat="1">
      <c r="A30" s="271"/>
      <c r="B30" s="268"/>
      <c r="C30" s="266"/>
    </row>
    <row r="31" spans="1:7" s="265" customFormat="1">
      <c r="A31" s="271"/>
      <c r="C31" s="266"/>
    </row>
    <row r="32" spans="1:7" s="265" customFormat="1">
      <c r="A32" s="271"/>
      <c r="B32" s="268"/>
      <c r="C32" s="266"/>
    </row>
    <row r="33" spans="1:5" s="265" customFormat="1">
      <c r="A33" s="271"/>
      <c r="B33" s="268"/>
      <c r="C33" s="266"/>
    </row>
    <row r="34" spans="1:5" s="265" customFormat="1">
      <c r="A34" s="271"/>
      <c r="B34" s="268"/>
      <c r="C34" s="266"/>
    </row>
    <row r="35" spans="1:5" s="265" customFormat="1">
      <c r="A35" s="271"/>
      <c r="B35" s="268"/>
      <c r="C35" s="266"/>
    </row>
    <row r="36" spans="1:5" s="265" customFormat="1">
      <c r="A36" s="271"/>
      <c r="B36" s="268"/>
      <c r="C36" s="266"/>
    </row>
    <row r="37" spans="1:5" s="265" customFormat="1">
      <c r="A37" s="271"/>
      <c r="B37" s="268"/>
      <c r="C37" s="266"/>
    </row>
    <row r="38" spans="1:5" s="265" customFormat="1">
      <c r="A38" s="271"/>
      <c r="B38" s="268"/>
      <c r="C38" s="266"/>
    </row>
    <row r="39" spans="1:5" s="265" customFormat="1">
      <c r="A39" s="271"/>
      <c r="B39" s="268"/>
      <c r="C39" s="266"/>
    </row>
    <row r="40" spans="1:5" s="265" customFormat="1">
      <c r="A40" s="271"/>
      <c r="B40" s="268"/>
      <c r="C40" s="266"/>
    </row>
    <row r="41" spans="1:5" s="265" customFormat="1">
      <c r="A41" s="271"/>
      <c r="B41" s="268"/>
      <c r="C41" s="266"/>
    </row>
    <row r="42" spans="1:5" s="265" customFormat="1">
      <c r="A42" s="271"/>
      <c r="B42" s="268"/>
      <c r="C42" s="266"/>
    </row>
    <row r="43" spans="1:5" s="265" customFormat="1">
      <c r="A43" s="271"/>
      <c r="B43" s="268"/>
      <c r="C43" s="266"/>
      <c r="D43" s="1985"/>
    </row>
    <row r="44" spans="1:5" s="265" customFormat="1">
      <c r="A44" s="271"/>
      <c r="B44" s="268"/>
      <c r="C44" s="266"/>
      <c r="D44" s="1985"/>
    </row>
    <row r="45" spans="1:5" s="265" customFormat="1">
      <c r="A45" s="271"/>
      <c r="B45" s="268"/>
      <c r="C45" s="266"/>
    </row>
    <row r="46" spans="1:5" s="265" customFormat="1">
      <c r="A46" s="271"/>
      <c r="B46" s="268"/>
      <c r="C46" s="266"/>
      <c r="D46" s="1985"/>
      <c r="E46" s="1985"/>
    </row>
    <row r="47" spans="1:5" s="265" customFormat="1">
      <c r="A47" s="275"/>
      <c r="B47" s="276"/>
      <c r="C47" s="274"/>
      <c r="D47" s="1985"/>
    </row>
    <row r="48" spans="1:5" s="265" customFormat="1">
      <c r="A48" s="271"/>
      <c r="B48" s="268"/>
      <c r="C48" s="1987"/>
      <c r="D48" s="1987"/>
      <c r="E48" s="1987"/>
    </row>
    <row r="49" spans="1:5" s="265" customFormat="1">
      <c r="A49" s="271"/>
      <c r="B49" s="268"/>
      <c r="C49" s="1987"/>
      <c r="D49" s="1987"/>
      <c r="E49" s="1987"/>
    </row>
    <row r="50" spans="1:5" s="265" customFormat="1">
      <c r="A50" s="271"/>
      <c r="B50" s="268"/>
      <c r="C50" s="266"/>
      <c r="E50" s="1985"/>
    </row>
    <row r="51" spans="1:5" s="265" customFormat="1">
      <c r="A51" s="271"/>
      <c r="B51" s="268"/>
      <c r="C51" s="266"/>
    </row>
    <row r="52" spans="1:5" s="265" customFormat="1">
      <c r="A52" s="271"/>
      <c r="B52" s="268"/>
      <c r="C52" s="266"/>
    </row>
    <row r="53" spans="1:5" s="265" customFormat="1">
      <c r="A53" s="271"/>
      <c r="B53" s="268"/>
      <c r="C53" s="266"/>
    </row>
    <row r="54" spans="1:5" s="265" customFormat="1">
      <c r="A54" s="271"/>
      <c r="B54" s="268"/>
      <c r="C54" s="266"/>
      <c r="D54" s="1985"/>
    </row>
    <row r="55" spans="1:5" s="265" customFormat="1">
      <c r="A55" s="275"/>
      <c r="B55" s="276"/>
      <c r="C55" s="274"/>
    </row>
    <row r="56" spans="1:5" s="265" customFormat="1">
      <c r="A56" s="275"/>
      <c r="B56" s="276"/>
      <c r="C56" s="274"/>
    </row>
    <row r="57" spans="1:5" s="265" customFormat="1">
      <c r="A57" s="275"/>
      <c r="B57" s="276"/>
      <c r="C57" s="274"/>
    </row>
    <row r="58" spans="1:5" s="265" customFormat="1">
      <c r="A58" s="275"/>
      <c r="B58" s="276"/>
      <c r="C58" s="274"/>
    </row>
    <row r="59" spans="1:5" s="265" customFormat="1">
      <c r="A59" s="271"/>
      <c r="B59" s="268"/>
      <c r="C59" s="266"/>
    </row>
    <row r="60" spans="1:5" s="265" customFormat="1">
      <c r="A60" s="271"/>
      <c r="B60" s="268"/>
      <c r="C60" s="266"/>
    </row>
    <row r="61" spans="1:5" s="265" customFormat="1">
      <c r="A61" s="271"/>
      <c r="B61" s="268"/>
      <c r="C61" s="266"/>
    </row>
    <row r="62" spans="1:5" s="265" customFormat="1">
      <c r="A62" s="271"/>
      <c r="B62" s="268"/>
      <c r="C62" s="266"/>
    </row>
    <row r="63" spans="1:5" s="265" customFormat="1">
      <c r="A63" s="271"/>
      <c r="B63" s="268"/>
      <c r="C63" s="266"/>
    </row>
    <row r="64" spans="1:5" s="265" customFormat="1">
      <c r="A64" s="271"/>
      <c r="B64" s="268"/>
      <c r="C64" s="266"/>
    </row>
    <row r="65" spans="1:4" s="265" customFormat="1" ht="94.25" customHeight="1">
      <c r="A65" s="271"/>
      <c r="B65" s="268"/>
      <c r="C65" s="266"/>
    </row>
    <row r="66" spans="1:4" s="265" customFormat="1">
      <c r="A66" s="271"/>
      <c r="B66" s="268"/>
      <c r="C66" s="266"/>
    </row>
    <row r="67" spans="1:4" s="265" customFormat="1">
      <c r="A67" s="275"/>
      <c r="B67" s="276"/>
      <c r="C67" s="274"/>
    </row>
    <row r="68" spans="1:4" s="265" customFormat="1">
      <c r="A68" s="275"/>
      <c r="B68" s="276"/>
      <c r="C68" s="274"/>
    </row>
    <row r="69" spans="1:4" s="265" customFormat="1">
      <c r="A69" s="275"/>
      <c r="B69" s="276"/>
      <c r="C69" s="274"/>
    </row>
    <row r="70" spans="1:4" s="265" customFormat="1">
      <c r="A70" s="275"/>
      <c r="B70" s="276"/>
      <c r="C70" s="274"/>
    </row>
    <row r="71" spans="1:4" s="265" customFormat="1">
      <c r="A71" s="275"/>
      <c r="B71" s="276"/>
      <c r="C71" s="274"/>
    </row>
    <row r="72" spans="1:4" s="265" customFormat="1">
      <c r="A72" s="275"/>
      <c r="B72" s="276"/>
      <c r="C72" s="274"/>
    </row>
    <row r="73" spans="1:4" s="265" customFormat="1" ht="14.5" customHeight="1">
      <c r="A73" s="275"/>
      <c r="B73" s="273"/>
      <c r="C73" s="274"/>
      <c r="D73" s="1985"/>
    </row>
    <row r="74" spans="1:4" s="265" customFormat="1">
      <c r="A74" s="275"/>
      <c r="B74" s="273"/>
      <c r="C74" s="274"/>
    </row>
    <row r="75" spans="1:4" s="265" customFormat="1">
      <c r="A75" s="275"/>
      <c r="B75" s="273"/>
      <c r="C75" s="274"/>
    </row>
    <row r="76" spans="1:4" s="265" customFormat="1">
      <c r="A76" s="275"/>
      <c r="B76" s="273"/>
      <c r="C76" s="274"/>
    </row>
    <row r="77" spans="1:4" s="265" customFormat="1">
      <c r="A77" s="275"/>
      <c r="B77" s="273"/>
      <c r="C77" s="274"/>
    </row>
    <row r="78" spans="1:4" s="265" customFormat="1">
      <c r="A78" s="275"/>
      <c r="B78" s="276"/>
      <c r="C78" s="274"/>
    </row>
    <row r="79" spans="1:4" s="265" customFormat="1">
      <c r="A79" s="275"/>
      <c r="B79" s="276"/>
      <c r="C79" s="274"/>
    </row>
    <row r="80" spans="1:4" s="265" customFormat="1">
      <c r="A80" s="275"/>
      <c r="B80" s="276"/>
      <c r="C80" s="274"/>
    </row>
    <row r="81" spans="1:4" s="265" customFormat="1">
      <c r="A81" s="275"/>
      <c r="B81" s="276"/>
      <c r="C81" s="274"/>
    </row>
    <row r="82" spans="1:4" s="265" customFormat="1">
      <c r="A82" s="275"/>
      <c r="B82" s="276"/>
      <c r="C82" s="274"/>
    </row>
    <row r="83" spans="1:4" s="265" customFormat="1">
      <c r="A83" s="275"/>
      <c r="B83" s="276"/>
      <c r="C83" s="274"/>
    </row>
    <row r="84" spans="1:4" s="265" customFormat="1">
      <c r="A84" s="275"/>
      <c r="B84" s="273"/>
      <c r="C84" s="274"/>
    </row>
    <row r="85" spans="1:4" s="265" customFormat="1">
      <c r="A85" s="275"/>
      <c r="B85" s="276"/>
      <c r="C85" s="274"/>
    </row>
    <row r="86" spans="1:4" s="265" customFormat="1">
      <c r="A86" s="275"/>
      <c r="B86" s="273"/>
      <c r="C86" s="274"/>
    </row>
    <row r="87" spans="1:4" s="265" customFormat="1">
      <c r="A87" s="275"/>
      <c r="B87" s="276"/>
      <c r="C87" s="274"/>
    </row>
    <row r="88" spans="1:4" s="265" customFormat="1">
      <c r="A88" s="275"/>
      <c r="B88" s="276"/>
      <c r="C88" s="274"/>
    </row>
    <row r="89" spans="1:4" s="265" customFormat="1">
      <c r="A89" s="275"/>
      <c r="B89" s="276"/>
      <c r="C89" s="274"/>
    </row>
    <row r="90" spans="1:4" s="265" customFormat="1">
      <c r="A90" s="275"/>
      <c r="B90" s="276"/>
      <c r="C90" s="274"/>
    </row>
    <row r="91" spans="1:4" s="265" customFormat="1">
      <c r="A91" s="275"/>
      <c r="B91" s="276"/>
      <c r="C91" s="267"/>
      <c r="D91" s="1987"/>
    </row>
    <row r="92" spans="1:4" s="265" customFormat="1">
      <c r="A92" s="275"/>
      <c r="B92" s="276"/>
      <c r="C92" s="267"/>
      <c r="D92" s="1987"/>
    </row>
    <row r="93" spans="1:4" s="265" customFormat="1">
      <c r="A93" s="275"/>
      <c r="B93" s="276"/>
      <c r="C93" s="267"/>
      <c r="D93" s="1987"/>
    </row>
    <row r="94" spans="1:4" s="265" customFormat="1">
      <c r="A94" s="275"/>
      <c r="B94" s="276"/>
      <c r="C94" s="267"/>
      <c r="D94" s="1987"/>
    </row>
    <row r="95" spans="1:4" s="265" customFormat="1">
      <c r="A95" s="275"/>
      <c r="B95" s="276"/>
      <c r="C95" s="267"/>
      <c r="D95" s="1987"/>
    </row>
    <row r="96" spans="1:4" s="265" customFormat="1">
      <c r="A96" s="275"/>
      <c r="B96" s="276"/>
      <c r="C96" s="267"/>
      <c r="D96" s="1987"/>
    </row>
    <row r="97" spans="1:4" s="265" customFormat="1">
      <c r="A97" s="275"/>
      <c r="B97" s="276"/>
      <c r="C97" s="267"/>
      <c r="D97" s="1987"/>
    </row>
    <row r="98" spans="1:4" s="265" customFormat="1">
      <c r="A98" s="275"/>
      <c r="B98" s="276"/>
      <c r="C98" s="267"/>
      <c r="D98" s="1987"/>
    </row>
    <row r="99" spans="1:4" s="265" customFormat="1">
      <c r="A99" s="275"/>
      <c r="B99" s="276"/>
      <c r="C99" s="267"/>
      <c r="D99" s="1987"/>
    </row>
    <row r="100" spans="1:4" s="265" customFormat="1">
      <c r="A100" s="275"/>
      <c r="B100" s="276"/>
      <c r="C100" s="267"/>
      <c r="D100" s="1987"/>
    </row>
    <row r="101" spans="1:4" s="265" customFormat="1">
      <c r="A101" s="275"/>
      <c r="B101" s="276"/>
      <c r="C101" s="267"/>
      <c r="D101" s="1987"/>
    </row>
    <row r="102" spans="1:4" s="265" customFormat="1">
      <c r="A102" s="275"/>
      <c r="B102" s="276"/>
      <c r="C102" s="267"/>
      <c r="D102" s="1987"/>
    </row>
    <row r="103" spans="1:4" s="265" customFormat="1">
      <c r="A103" s="275"/>
      <c r="B103" s="276"/>
      <c r="C103" s="267"/>
      <c r="D103" s="1987"/>
    </row>
    <row r="104" spans="1:4" s="265" customFormat="1">
      <c r="A104" s="275"/>
      <c r="B104" s="276"/>
      <c r="C104" s="267"/>
      <c r="D104" s="1987"/>
    </row>
    <row r="105" spans="1:4" s="265" customFormat="1">
      <c r="A105" s="275"/>
      <c r="B105" s="276"/>
      <c r="C105" s="267"/>
      <c r="D105" s="1987"/>
    </row>
    <row r="106" spans="1:4" s="265" customFormat="1">
      <c r="A106" s="275"/>
      <c r="B106" s="276"/>
      <c r="C106" s="267"/>
      <c r="D106" s="1987"/>
    </row>
    <row r="107" spans="1:4" s="265" customFormat="1">
      <c r="A107" s="275"/>
      <c r="B107" s="276"/>
      <c r="C107" s="267"/>
      <c r="D107" s="1987"/>
    </row>
    <row r="108" spans="1:4" s="265" customFormat="1">
      <c r="A108" s="275"/>
      <c r="B108" s="276"/>
      <c r="C108" s="267"/>
      <c r="D108" s="1987"/>
    </row>
    <row r="109" spans="1:4" s="265" customFormat="1">
      <c r="A109" s="275"/>
      <c r="B109" s="276"/>
      <c r="C109" s="267"/>
      <c r="D109" s="1987"/>
    </row>
    <row r="110" spans="1:4" s="265" customFormat="1">
      <c r="A110" s="275"/>
      <c r="B110" s="276"/>
      <c r="C110" s="267"/>
      <c r="D110" s="1987"/>
    </row>
    <row r="111" spans="1:4" s="265" customFormat="1">
      <c r="A111" s="275"/>
      <c r="B111" s="276"/>
      <c r="C111" s="267"/>
      <c r="D111" s="1987"/>
    </row>
    <row r="112" spans="1:4" s="265" customFormat="1">
      <c r="A112" s="275"/>
      <c r="B112" s="276"/>
      <c r="C112" s="267"/>
      <c r="D112" s="1987"/>
    </row>
    <row r="113" spans="1:4" s="265" customFormat="1">
      <c r="A113" s="275"/>
      <c r="B113" s="273"/>
      <c r="C113" s="267"/>
      <c r="D113" s="1987"/>
    </row>
    <row r="114" spans="1:4" s="265" customFormat="1">
      <c r="A114" s="275"/>
      <c r="B114" s="273"/>
      <c r="C114" s="274"/>
    </row>
    <row r="115" spans="1:4" s="265" customFormat="1">
      <c r="A115" s="275"/>
      <c r="B115" s="273"/>
      <c r="C115" s="274"/>
    </row>
    <row r="116" spans="1:4" s="265" customFormat="1">
      <c r="A116" s="275"/>
      <c r="B116" s="273"/>
      <c r="C116" s="274"/>
    </row>
    <row r="117" spans="1:4" s="265" customFormat="1">
      <c r="A117" s="275"/>
      <c r="B117" s="273"/>
      <c r="C117" s="274"/>
    </row>
    <row r="118" spans="1:4" s="265" customFormat="1">
      <c r="A118" s="275"/>
      <c r="B118" s="273"/>
      <c r="C118" s="274"/>
    </row>
    <row r="119" spans="1:4" s="265" customFormat="1">
      <c r="A119" s="275"/>
      <c r="B119" s="273"/>
      <c r="C119" s="274"/>
    </row>
    <row r="120" spans="1:4" s="265" customFormat="1">
      <c r="A120" s="275"/>
      <c r="B120" s="273"/>
      <c r="C120" s="274"/>
    </row>
    <row r="121" spans="1:4" s="265" customFormat="1">
      <c r="A121" s="275"/>
      <c r="B121" s="273"/>
      <c r="C121" s="274"/>
    </row>
    <row r="122" spans="1:4" s="265" customFormat="1">
      <c r="A122" s="275"/>
      <c r="B122" s="273"/>
      <c r="C122" s="274"/>
    </row>
    <row r="123" spans="1:4" s="265" customFormat="1">
      <c r="A123" s="275"/>
      <c r="B123" s="273"/>
      <c r="C123" s="274"/>
    </row>
    <row r="124" spans="1:4" s="265" customFormat="1">
      <c r="A124" s="275"/>
      <c r="B124" s="273"/>
      <c r="C124" s="274"/>
    </row>
    <row r="125" spans="1:4" s="265" customFormat="1">
      <c r="A125" s="275"/>
      <c r="B125" s="273"/>
      <c r="C125" s="274"/>
    </row>
    <row r="126" spans="1:4" s="265" customFormat="1">
      <c r="A126" s="275"/>
      <c r="B126" s="273"/>
      <c r="C126" s="274"/>
    </row>
    <row r="127" spans="1:4" s="265" customFormat="1">
      <c r="A127" s="275"/>
      <c r="B127" s="273"/>
      <c r="C127" s="274"/>
    </row>
    <row r="128" spans="1:4" s="265" customFormat="1">
      <c r="A128" s="275"/>
      <c r="B128" s="273"/>
      <c r="C128" s="274"/>
    </row>
    <row r="129" spans="1:3" s="265" customFormat="1">
      <c r="A129" s="275"/>
      <c r="B129" s="273"/>
      <c r="C129" s="274"/>
    </row>
    <row r="130" spans="1:3" s="265" customFormat="1">
      <c r="A130" s="275"/>
      <c r="B130" s="273"/>
      <c r="C130" s="274"/>
    </row>
    <row r="131" spans="1:3" s="265" customFormat="1">
      <c r="A131" s="275"/>
      <c r="B131" s="273"/>
      <c r="C131" s="274"/>
    </row>
    <row r="132" spans="1:3" s="265" customFormat="1">
      <c r="A132" s="275"/>
      <c r="B132" s="273"/>
      <c r="C132" s="274"/>
    </row>
    <row r="133" spans="1:3" s="265" customFormat="1">
      <c r="A133" s="275"/>
      <c r="B133" s="273"/>
      <c r="C133" s="274"/>
    </row>
    <row r="134" spans="1:3" s="265" customFormat="1">
      <c r="A134" s="275"/>
      <c r="B134" s="273"/>
      <c r="C134" s="274"/>
    </row>
    <row r="135" spans="1:3" s="265" customFormat="1">
      <c r="A135" s="275"/>
      <c r="B135" s="273"/>
      <c r="C135" s="274"/>
    </row>
    <row r="136" spans="1:3" s="265" customFormat="1">
      <c r="A136" s="275"/>
      <c r="B136" s="273"/>
      <c r="C136" s="274"/>
    </row>
    <row r="137" spans="1:3" s="265" customFormat="1">
      <c r="A137" s="275"/>
      <c r="B137" s="273"/>
      <c r="C137" s="274"/>
    </row>
    <row r="138" spans="1:3" s="265" customFormat="1">
      <c r="A138" s="275"/>
      <c r="B138" s="273"/>
      <c r="C138" s="274"/>
    </row>
    <row r="139" spans="1:3" s="265" customFormat="1">
      <c r="A139" s="275"/>
      <c r="B139" s="273"/>
      <c r="C139" s="274"/>
    </row>
    <row r="140" spans="1:3" s="265" customFormat="1">
      <c r="A140" s="275"/>
      <c r="B140" s="273"/>
      <c r="C140" s="274"/>
    </row>
    <row r="141" spans="1:3" s="265" customFormat="1">
      <c r="A141" s="275"/>
      <c r="B141" s="273"/>
      <c r="C141" s="274"/>
    </row>
    <row r="142" spans="1:3" s="265" customFormat="1">
      <c r="A142" s="275"/>
      <c r="B142" s="273"/>
      <c r="C142" s="274"/>
    </row>
    <row r="143" spans="1:3" s="265" customFormat="1">
      <c r="A143" s="275"/>
      <c r="B143" s="273"/>
      <c r="C143" s="274"/>
    </row>
    <row r="144" spans="1:3" s="265" customFormat="1">
      <c r="A144" s="275"/>
      <c r="B144" s="273"/>
      <c r="C144" s="274"/>
    </row>
    <row r="145" spans="1:3" s="265" customFormat="1">
      <c r="A145" s="275"/>
      <c r="B145" s="273"/>
      <c r="C145" s="274"/>
    </row>
    <row r="146" spans="1:3" s="265" customFormat="1">
      <c r="A146" s="275"/>
      <c r="B146" s="273"/>
      <c r="C146" s="274"/>
    </row>
    <row r="147" spans="1:3" s="265" customFormat="1">
      <c r="A147" s="275"/>
      <c r="B147" s="273"/>
      <c r="C147" s="274"/>
    </row>
    <row r="148" spans="1:3" s="265" customFormat="1">
      <c r="A148" s="275"/>
      <c r="B148" s="273"/>
      <c r="C148" s="274"/>
    </row>
    <row r="149" spans="1:3" s="265" customFormat="1">
      <c r="A149" s="275"/>
      <c r="B149" s="273"/>
      <c r="C149" s="274"/>
    </row>
    <row r="150" spans="1:3" s="265" customFormat="1">
      <c r="A150" s="275"/>
      <c r="B150" s="273"/>
      <c r="C150" s="274"/>
    </row>
    <row r="151" spans="1:3" s="265" customFormat="1">
      <c r="A151" s="275"/>
      <c r="B151" s="273"/>
      <c r="C151" s="274"/>
    </row>
    <row r="152" spans="1:3" s="265" customFormat="1">
      <c r="A152" s="275"/>
      <c r="B152" s="273"/>
      <c r="C152" s="274"/>
    </row>
    <row r="153" spans="1:3" s="265" customFormat="1">
      <c r="A153" s="275"/>
      <c r="B153" s="273"/>
      <c r="C153" s="274"/>
    </row>
    <row r="154" spans="1:3" s="265" customFormat="1">
      <c r="A154" s="275"/>
      <c r="B154" s="273"/>
      <c r="C154" s="274"/>
    </row>
    <row r="155" spans="1:3" s="265" customFormat="1">
      <c r="A155" s="275"/>
      <c r="B155" s="273"/>
      <c r="C155" s="274"/>
    </row>
    <row r="156" spans="1:3" s="265" customFormat="1">
      <c r="A156" s="275"/>
      <c r="B156" s="273"/>
      <c r="C156" s="274"/>
    </row>
    <row r="157" spans="1:3" s="265" customFormat="1">
      <c r="A157" s="275"/>
      <c r="B157" s="273"/>
      <c r="C157" s="274"/>
    </row>
    <row r="158" spans="1:3" s="265" customFormat="1">
      <c r="A158" s="275"/>
      <c r="B158" s="273"/>
      <c r="C158" s="274"/>
    </row>
    <row r="159" spans="1:3" s="265" customFormat="1">
      <c r="A159" s="275"/>
      <c r="B159" s="273"/>
      <c r="C159" s="274"/>
    </row>
    <row r="160" spans="1:3" s="265" customFormat="1">
      <c r="A160" s="275"/>
      <c r="B160" s="273"/>
      <c r="C160" s="274"/>
    </row>
    <row r="161" spans="1:3" s="265" customFormat="1">
      <c r="A161" s="275"/>
      <c r="B161" s="273"/>
      <c r="C161" s="274"/>
    </row>
    <row r="162" spans="1:3" s="265" customFormat="1">
      <c r="A162" s="275"/>
      <c r="B162" s="273"/>
      <c r="C162" s="274"/>
    </row>
    <row r="163" spans="1:3" s="265" customFormat="1">
      <c r="A163" s="275"/>
      <c r="B163" s="273"/>
      <c r="C163" s="274"/>
    </row>
    <row r="164" spans="1:3" s="265" customFormat="1">
      <c r="A164" s="275"/>
      <c r="B164" s="273"/>
      <c r="C164" s="274"/>
    </row>
    <row r="165" spans="1:3" s="265" customFormat="1">
      <c r="A165" s="275"/>
      <c r="B165" s="273"/>
      <c r="C165" s="274"/>
    </row>
    <row r="166" spans="1:3" s="265" customFormat="1">
      <c r="A166" s="275"/>
      <c r="B166" s="273"/>
      <c r="C166" s="274"/>
    </row>
    <row r="167" spans="1:3" s="265" customFormat="1">
      <c r="A167" s="275"/>
      <c r="B167" s="273"/>
      <c r="C167" s="274"/>
    </row>
    <row r="168" spans="1:3" s="265" customFormat="1">
      <c r="A168" s="275"/>
      <c r="B168" s="273"/>
      <c r="C168" s="274"/>
    </row>
    <row r="169" spans="1:3" s="265" customFormat="1">
      <c r="A169" s="275"/>
      <c r="B169" s="273"/>
      <c r="C169" s="274"/>
    </row>
    <row r="170" spans="1:3" s="265" customFormat="1">
      <c r="A170" s="275"/>
      <c r="B170" s="273"/>
      <c r="C170" s="274"/>
    </row>
    <row r="171" spans="1:3" s="265" customFormat="1">
      <c r="A171" s="275"/>
      <c r="B171" s="273"/>
      <c r="C171" s="274"/>
    </row>
    <row r="172" spans="1:3" s="265" customFormat="1">
      <c r="A172" s="275"/>
      <c r="B172" s="273"/>
      <c r="C172" s="274"/>
    </row>
    <row r="173" spans="1:3" s="265" customFormat="1">
      <c r="A173" s="275"/>
      <c r="B173" s="273"/>
      <c r="C173" s="274"/>
    </row>
    <row r="174" spans="1:3" s="265" customFormat="1">
      <c r="A174" s="275"/>
      <c r="B174" s="273"/>
      <c r="C174" s="274"/>
    </row>
    <row r="175" spans="1:3" s="265" customFormat="1">
      <c r="A175" s="275"/>
      <c r="B175" s="273"/>
      <c r="C175" s="274"/>
    </row>
    <row r="176" spans="1:3" s="265" customFormat="1">
      <c r="A176" s="275"/>
      <c r="B176" s="273"/>
      <c r="C176" s="274"/>
    </row>
    <row r="177" spans="1:3" s="265" customFormat="1">
      <c r="A177" s="275"/>
      <c r="B177" s="273"/>
      <c r="C177" s="274"/>
    </row>
    <row r="178" spans="1:3" s="265" customFormat="1">
      <c r="A178" s="275"/>
      <c r="B178" s="273"/>
      <c r="C178" s="274"/>
    </row>
    <row r="179" spans="1:3" s="265" customFormat="1">
      <c r="A179" s="275"/>
      <c r="B179" s="273"/>
      <c r="C179" s="274"/>
    </row>
    <row r="180" spans="1:3" s="265" customFormat="1">
      <c r="A180" s="275"/>
      <c r="B180" s="273"/>
      <c r="C180" s="274"/>
    </row>
    <row r="181" spans="1:3" s="265" customFormat="1">
      <c r="A181" s="275"/>
      <c r="B181" s="273"/>
      <c r="C181" s="274"/>
    </row>
    <row r="182" spans="1:3" s="265" customFormat="1">
      <c r="A182" s="275"/>
      <c r="B182" s="273"/>
      <c r="C182" s="274"/>
    </row>
    <row r="183" spans="1:3" s="265" customFormat="1">
      <c r="A183" s="275"/>
      <c r="B183" s="273"/>
      <c r="C183" s="274"/>
    </row>
    <row r="184" spans="1:3" s="265" customFormat="1">
      <c r="A184" s="275"/>
      <c r="B184" s="276"/>
      <c r="C184" s="274"/>
    </row>
    <row r="185" spans="1:3" s="273" customFormat="1">
      <c r="A185" s="275"/>
      <c r="C185" s="274"/>
    </row>
    <row r="186" spans="1:3" s="265" customFormat="1">
      <c r="A186" s="272"/>
      <c r="B186" s="273"/>
      <c r="C186" s="274"/>
    </row>
    <row r="187" spans="1:3" s="265" customFormat="1">
      <c r="A187" s="275"/>
      <c r="B187" s="273"/>
      <c r="C187" s="274"/>
    </row>
    <row r="188" spans="1:3" s="265" customFormat="1">
      <c r="A188" s="275"/>
      <c r="B188" s="273"/>
      <c r="C188" s="274"/>
    </row>
    <row r="189" spans="1:3" s="265" customFormat="1">
      <c r="A189" s="275"/>
      <c r="B189" s="273"/>
      <c r="C189" s="274"/>
    </row>
    <row r="190" spans="1:3" s="265" customFormat="1">
      <c r="A190" s="275"/>
      <c r="B190" s="273"/>
      <c r="C190" s="274"/>
    </row>
    <row r="191" spans="1:3" s="273" customFormat="1">
      <c r="A191" s="272"/>
      <c r="C191" s="274"/>
    </row>
    <row r="192" spans="1:3" s="265" customFormat="1">
      <c r="A192" s="275"/>
      <c r="B192" s="273"/>
      <c r="C192" s="274"/>
    </row>
    <row r="193" spans="1:3" s="265" customFormat="1">
      <c r="A193" s="272"/>
      <c r="B193" s="273"/>
      <c r="C193" s="274"/>
    </row>
    <row r="194" spans="1:3" s="273" customFormat="1">
      <c r="A194" s="272"/>
      <c r="C194" s="274"/>
    </row>
    <row r="195" spans="1:3" s="265" customFormat="1">
      <c r="A195" s="272"/>
      <c r="B195" s="273"/>
      <c r="C195" s="274"/>
    </row>
    <row r="196" spans="1:3" s="273" customFormat="1">
      <c r="A196" s="272"/>
      <c r="C196" s="274"/>
    </row>
    <row r="197" spans="1:3" s="273" customFormat="1">
      <c r="A197" s="272"/>
      <c r="C197" s="274"/>
    </row>
  </sheetData>
  <mergeCells count="3">
    <mergeCell ref="E5:F5"/>
    <mergeCell ref="E6:F6"/>
    <mergeCell ref="E7:F7"/>
  </mergeCells>
  <dataValidations count="2">
    <dataValidation type="list" allowBlank="1" showInputMessage="1" showErrorMessage="1" sqref="I20 M15:M19 M21:M27" xr:uid="{00000000-0002-0000-1C00-000000000000}">
      <formula1>$AD$10:$AD$12</formula1>
    </dataValidation>
    <dataValidation type="list" allowBlank="1" showInputMessage="1" showErrorMessage="1" sqref="K20 O15:O19 O21:O27" xr:uid="{00000000-0002-0000-1C00-000001000000}">
      <formula1>$AC$11:$AC$12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2000000}">
          <x14:formula1>
            <xm:f>'9.1_PA_OB&amp;S - MH (3)'!#REF!</xm:f>
          </x14:formula1>
          <xm:sqref>J20 N15:N19 N21:N28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2:HG255"/>
  <sheetViews>
    <sheetView showGridLines="0" topLeftCell="A17" zoomScale="80" zoomScaleNormal="80" workbookViewId="0">
      <selection activeCell="A7" sqref="A7:AF15"/>
    </sheetView>
  </sheetViews>
  <sheetFormatPr baseColWidth="10" defaultColWidth="11.5" defaultRowHeight="15" outlineLevelRow="1"/>
  <cols>
    <col min="1" max="1" width="7.5" style="273" bestFit="1" customWidth="1"/>
    <col min="2" max="2" width="46.5" style="273" bestFit="1" customWidth="1"/>
    <col min="3" max="3" width="12.5" style="273" customWidth="1"/>
    <col min="4" max="4" width="19.5" style="273" customWidth="1"/>
    <col min="5" max="5" width="15.5" style="273" customWidth="1"/>
    <col min="6" max="6" width="12.5" style="273" customWidth="1"/>
    <col min="7" max="7" width="15" style="273" customWidth="1"/>
    <col min="8" max="8" width="12.5" style="273" customWidth="1"/>
    <col min="9" max="10" width="13.5" style="273" customWidth="1"/>
    <col min="11" max="11" width="15.5" style="273" customWidth="1"/>
    <col min="12" max="12" width="13.83203125" style="273" customWidth="1"/>
    <col min="13" max="14" width="14.5" style="273" customWidth="1"/>
    <col min="15" max="15" width="16.5" style="273" customWidth="1"/>
    <col min="16" max="16" width="18.5" style="273" customWidth="1"/>
    <col min="17" max="17" width="15.5" style="273" customWidth="1"/>
    <col min="18" max="18" width="13.5" style="273" customWidth="1"/>
    <col min="19" max="20" width="20.5" style="273" customWidth="1"/>
    <col min="21" max="21" width="21" style="273" customWidth="1"/>
    <col min="22" max="22" width="21.1640625" style="273" customWidth="1"/>
    <col min="23" max="16384" width="11.5" style="273"/>
  </cols>
  <sheetData>
    <row r="2" spans="1:215" s="315" customFormat="1" ht="34">
      <c r="A2" s="4184" t="s">
        <v>2660</v>
      </c>
      <c r="B2" s="4184"/>
      <c r="C2" s="4184"/>
      <c r="D2" s="4184"/>
      <c r="E2" s="4184"/>
      <c r="F2" s="4184"/>
      <c r="G2" s="4184"/>
      <c r="H2" s="4184"/>
      <c r="I2" s="4184"/>
      <c r="J2" s="4184"/>
      <c r="K2" s="4184"/>
      <c r="L2" s="4184"/>
      <c r="M2" s="4184"/>
      <c r="N2" s="4184"/>
      <c r="O2" s="4184"/>
      <c r="P2" s="4184"/>
      <c r="Q2" s="4184"/>
      <c r="R2" s="4184"/>
      <c r="S2" s="4184"/>
      <c r="T2" s="4184"/>
      <c r="U2" s="4184"/>
      <c r="V2" s="4184"/>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73"/>
      <c r="CB2" s="273"/>
      <c r="CC2" s="273"/>
      <c r="CD2" s="273"/>
      <c r="CE2" s="273"/>
      <c r="CF2" s="273"/>
      <c r="CG2" s="273"/>
      <c r="CH2" s="273"/>
      <c r="CI2" s="273"/>
      <c r="CJ2" s="273"/>
      <c r="CK2" s="273"/>
      <c r="CL2" s="273"/>
      <c r="CM2" s="273"/>
      <c r="CN2" s="273"/>
      <c r="CO2" s="273"/>
      <c r="CP2" s="273"/>
      <c r="CQ2" s="273"/>
      <c r="CR2" s="273"/>
      <c r="CS2" s="273"/>
      <c r="CT2" s="273"/>
      <c r="CU2" s="273"/>
      <c r="CV2" s="273"/>
      <c r="CW2" s="273"/>
      <c r="CX2" s="273"/>
      <c r="CY2" s="273"/>
      <c r="CZ2" s="273"/>
      <c r="DA2" s="273"/>
      <c r="DB2" s="273"/>
      <c r="DC2" s="273"/>
      <c r="DD2" s="273"/>
      <c r="DE2" s="273"/>
      <c r="DF2" s="273"/>
      <c r="DG2" s="273"/>
      <c r="DH2" s="273"/>
      <c r="DI2" s="273"/>
      <c r="DJ2" s="273"/>
      <c r="DK2" s="273"/>
      <c r="DL2" s="273"/>
      <c r="DM2" s="273"/>
      <c r="DN2" s="273"/>
      <c r="DO2" s="273"/>
      <c r="DP2" s="273"/>
      <c r="DQ2" s="273"/>
      <c r="DR2" s="273"/>
      <c r="DS2" s="273"/>
      <c r="DT2" s="273"/>
      <c r="DU2" s="273"/>
      <c r="DV2" s="273"/>
      <c r="DW2" s="273"/>
      <c r="DX2" s="273"/>
      <c r="DY2" s="273"/>
      <c r="DZ2" s="273"/>
      <c r="EA2" s="273"/>
      <c r="EB2" s="273"/>
      <c r="EC2" s="273"/>
      <c r="ED2" s="273"/>
      <c r="EE2" s="273"/>
      <c r="EF2" s="273"/>
      <c r="EG2" s="273"/>
      <c r="EH2" s="273"/>
      <c r="EI2" s="273"/>
      <c r="EJ2" s="273"/>
      <c r="EK2" s="273"/>
      <c r="EL2" s="273"/>
      <c r="EM2" s="273"/>
      <c r="EN2" s="273"/>
      <c r="EO2" s="273"/>
      <c r="EP2" s="273"/>
      <c r="EQ2" s="273"/>
      <c r="ER2" s="273"/>
      <c r="ES2" s="273"/>
      <c r="ET2" s="273"/>
      <c r="EU2" s="273"/>
      <c r="EV2" s="273"/>
      <c r="EW2" s="273"/>
      <c r="EX2" s="273"/>
      <c r="EY2" s="273"/>
      <c r="EZ2" s="273"/>
      <c r="FA2" s="273"/>
      <c r="FB2" s="273"/>
      <c r="FC2" s="273"/>
      <c r="FD2" s="273"/>
      <c r="FE2" s="273"/>
      <c r="FF2" s="273"/>
      <c r="FG2" s="273"/>
      <c r="FH2" s="273"/>
      <c r="FI2" s="273"/>
      <c r="FJ2" s="273"/>
      <c r="FK2" s="273"/>
      <c r="FL2" s="273"/>
      <c r="FM2" s="273"/>
      <c r="FN2" s="273"/>
      <c r="FO2" s="273"/>
      <c r="FP2" s="273"/>
      <c r="FQ2" s="273"/>
      <c r="FR2" s="273"/>
      <c r="FS2" s="273"/>
      <c r="FT2" s="273"/>
      <c r="FU2" s="273"/>
      <c r="FV2" s="273"/>
      <c r="FW2" s="273"/>
      <c r="FX2" s="273"/>
      <c r="FY2" s="273"/>
      <c r="FZ2" s="273"/>
      <c r="GA2" s="273"/>
      <c r="GB2" s="273"/>
      <c r="GC2" s="273"/>
      <c r="GD2" s="273"/>
      <c r="GE2" s="273"/>
      <c r="GF2" s="273"/>
      <c r="GG2" s="273"/>
      <c r="GH2" s="273"/>
      <c r="GI2" s="273"/>
      <c r="GJ2" s="273"/>
      <c r="GK2" s="273"/>
      <c r="GL2" s="273"/>
      <c r="GM2" s="273"/>
      <c r="GN2" s="273"/>
      <c r="GO2" s="273"/>
      <c r="GP2" s="273"/>
      <c r="GQ2" s="273"/>
      <c r="GR2" s="273"/>
      <c r="GS2" s="273"/>
      <c r="GT2" s="273"/>
      <c r="GU2" s="273"/>
      <c r="GV2" s="273"/>
      <c r="GW2" s="273"/>
      <c r="GX2" s="273"/>
      <c r="GY2" s="273"/>
      <c r="GZ2" s="273"/>
      <c r="HA2" s="273"/>
      <c r="HB2" s="273"/>
      <c r="HC2" s="273"/>
      <c r="HD2" s="273"/>
      <c r="HE2" s="273"/>
      <c r="HF2" s="273"/>
      <c r="HG2" s="273"/>
    </row>
    <row r="3" spans="1:215" s="265" customFormat="1"/>
    <row r="4" spans="1:215" ht="31">
      <c r="A4" s="4185" t="s">
        <v>2661</v>
      </c>
      <c r="B4" s="4185"/>
      <c r="C4" s="4185"/>
      <c r="D4" s="4185"/>
      <c r="E4" s="4185"/>
      <c r="F4" s="4185"/>
      <c r="G4" s="4185"/>
      <c r="H4" s="4185"/>
      <c r="I4" s="4185"/>
      <c r="J4" s="4185"/>
      <c r="K4" s="4185"/>
      <c r="L4" s="4185"/>
      <c r="M4" s="4185"/>
      <c r="N4" s="4185"/>
      <c r="O4" s="4185"/>
      <c r="P4" s="4185"/>
      <c r="Q4" s="4185"/>
      <c r="R4" s="4185"/>
      <c r="S4" s="4185"/>
      <c r="T4" s="4185"/>
      <c r="U4" s="4185"/>
      <c r="V4" s="4185"/>
    </row>
    <row r="5" spans="1:215" ht="24">
      <c r="A5" s="4186" t="s">
        <v>2662</v>
      </c>
      <c r="B5" s="4186"/>
      <c r="C5" s="4186"/>
      <c r="D5" s="4186" t="s">
        <v>2663</v>
      </c>
      <c r="E5" s="4186"/>
      <c r="F5" s="4186"/>
      <c r="G5" s="4186"/>
      <c r="H5" s="4186"/>
      <c r="I5" s="4187" t="s">
        <v>1686</v>
      </c>
      <c r="J5" s="4187" t="s">
        <v>610</v>
      </c>
      <c r="K5" s="4186" t="s">
        <v>2664</v>
      </c>
      <c r="L5" s="4186"/>
      <c r="M5" s="4186"/>
      <c r="N5" s="4186"/>
      <c r="O5" s="4186"/>
      <c r="P5" s="4186"/>
      <c r="Q5" s="4186"/>
      <c r="R5" s="4186"/>
      <c r="S5" s="4186"/>
      <c r="T5" s="4186"/>
      <c r="U5" s="4186" t="s">
        <v>2665</v>
      </c>
      <c r="V5" s="4186"/>
    </row>
    <row r="6" spans="1:215" ht="51">
      <c r="A6" s="410" t="s">
        <v>2666</v>
      </c>
      <c r="B6" s="309" t="s">
        <v>2667</v>
      </c>
      <c r="C6" s="309" t="s">
        <v>2668</v>
      </c>
      <c r="D6" s="309" t="s">
        <v>2669</v>
      </c>
      <c r="E6" s="309" t="s">
        <v>2670</v>
      </c>
      <c r="F6" s="309" t="s">
        <v>2671</v>
      </c>
      <c r="G6" s="309" t="s">
        <v>2672</v>
      </c>
      <c r="H6" s="309" t="s">
        <v>2673</v>
      </c>
      <c r="I6" s="4187"/>
      <c r="J6" s="4187"/>
      <c r="K6" s="4183" t="s">
        <v>2674</v>
      </c>
      <c r="L6" s="4183"/>
      <c r="M6" s="4183" t="s">
        <v>2675</v>
      </c>
      <c r="N6" s="4183"/>
      <c r="O6" s="4183" t="s">
        <v>2676</v>
      </c>
      <c r="P6" s="4183"/>
      <c r="Q6" s="4183" t="s">
        <v>2677</v>
      </c>
      <c r="R6" s="4183"/>
      <c r="S6" s="4183" t="s">
        <v>2678</v>
      </c>
      <c r="T6" s="4183"/>
      <c r="U6" s="309" t="s">
        <v>2679</v>
      </c>
      <c r="V6" s="309" t="s">
        <v>2680</v>
      </c>
    </row>
    <row r="7" spans="1:215" ht="48">
      <c r="A7" s="287">
        <v>1</v>
      </c>
      <c r="B7" s="284" t="s">
        <v>2681</v>
      </c>
      <c r="C7" s="310" t="s">
        <v>2005</v>
      </c>
      <c r="D7" s="311">
        <f>+J7</f>
        <v>1314423</v>
      </c>
      <c r="E7" s="287"/>
      <c r="F7" s="312">
        <v>1</v>
      </c>
      <c r="G7" s="312">
        <v>0</v>
      </c>
      <c r="H7" s="312">
        <v>0</v>
      </c>
      <c r="I7" s="310" t="str">
        <f>'8_MP'!$D$105</f>
        <v>1.2.1.7.2</v>
      </c>
      <c r="J7" s="313">
        <f>'8_MP'!$AI$105</f>
        <v>1314423</v>
      </c>
      <c r="K7" s="2127">
        <v>45597</v>
      </c>
      <c r="L7" s="286" t="s">
        <v>2682</v>
      </c>
      <c r="M7" s="2127">
        <v>45639</v>
      </c>
      <c r="N7" s="286" t="s">
        <v>2682</v>
      </c>
      <c r="O7" s="2127">
        <v>45715</v>
      </c>
      <c r="P7" s="286" t="s">
        <v>2682</v>
      </c>
      <c r="Q7" s="2127">
        <v>45737</v>
      </c>
      <c r="R7" s="286" t="s">
        <v>2682</v>
      </c>
      <c r="S7" s="2127">
        <v>45754</v>
      </c>
      <c r="T7" s="286" t="s">
        <v>2682</v>
      </c>
      <c r="U7" s="287" t="s">
        <v>1340</v>
      </c>
      <c r="V7" s="287" t="s">
        <v>774</v>
      </c>
    </row>
    <row r="8" spans="1:215">
      <c r="A8" s="4188" t="s">
        <v>2683</v>
      </c>
      <c r="B8" s="4188"/>
      <c r="C8" s="4188"/>
      <c r="D8" s="412">
        <f>SUM(D7:D7)</f>
        <v>1314423</v>
      </c>
      <c r="E8" s="412">
        <f>SUM(E7:E7)</f>
        <v>0</v>
      </c>
      <c r="F8" s="4189"/>
      <c r="G8" s="4189"/>
      <c r="H8" s="4189"/>
      <c r="I8" s="4189"/>
      <c r="J8" s="4189"/>
      <c r="K8" s="4189"/>
      <c r="L8" s="4189"/>
      <c r="M8" s="4189"/>
      <c r="N8" s="4189"/>
      <c r="O8" s="4189"/>
      <c r="P8" s="4189"/>
      <c r="Q8" s="4189"/>
      <c r="R8" s="4189"/>
      <c r="S8" s="4189"/>
      <c r="T8" s="4189"/>
      <c r="U8" s="4189"/>
      <c r="V8" s="4189"/>
    </row>
    <row r="9" spans="1:215" s="265" customFormat="1"/>
    <row r="10" spans="1:215" ht="31.25" customHeight="1">
      <c r="A10" s="4185" t="s">
        <v>2684</v>
      </c>
      <c r="B10" s="4185"/>
      <c r="C10" s="4185"/>
      <c r="D10" s="4185"/>
      <c r="E10" s="4185"/>
      <c r="F10" s="4185"/>
      <c r="G10" s="4185"/>
      <c r="H10" s="4185"/>
      <c r="I10" s="4185"/>
      <c r="J10" s="4185"/>
      <c r="K10" s="4185"/>
      <c r="L10" s="4185"/>
      <c r="M10" s="4185"/>
      <c r="N10" s="4185"/>
      <c r="O10" s="4185"/>
      <c r="P10" s="4185"/>
      <c r="Q10" s="4185"/>
      <c r="R10" s="4185"/>
      <c r="S10" s="4185"/>
      <c r="T10" s="4185"/>
      <c r="U10" s="4185"/>
      <c r="V10" s="4185"/>
    </row>
    <row r="11" spans="1:215" ht="23.5" hidden="1" customHeight="1" outlineLevel="1">
      <c r="A11" s="4186" t="s">
        <v>2662</v>
      </c>
      <c r="B11" s="4186"/>
      <c r="C11" s="4186"/>
      <c r="D11" s="4186" t="s">
        <v>2663</v>
      </c>
      <c r="E11" s="4186"/>
      <c r="F11" s="4186"/>
      <c r="G11" s="4186"/>
      <c r="H11" s="4186"/>
      <c r="I11" s="4187" t="s">
        <v>1686</v>
      </c>
      <c r="J11" s="4187" t="s">
        <v>610</v>
      </c>
      <c r="K11" s="4186" t="s">
        <v>2664</v>
      </c>
      <c r="L11" s="4186"/>
      <c r="M11" s="4186"/>
      <c r="N11" s="4186"/>
      <c r="O11" s="4186"/>
      <c r="P11" s="4186"/>
      <c r="Q11" s="4186"/>
      <c r="R11" s="4186"/>
      <c r="S11" s="4186"/>
      <c r="T11" s="4186"/>
      <c r="U11" s="4186"/>
      <c r="V11" s="4186"/>
    </row>
    <row r="12" spans="1:215" ht="68" hidden="1" outlineLevel="1">
      <c r="A12" s="410" t="s">
        <v>2666</v>
      </c>
      <c r="B12" s="309" t="s">
        <v>2667</v>
      </c>
      <c r="C12" s="309" t="s">
        <v>2668</v>
      </c>
      <c r="D12" s="309" t="s">
        <v>2669</v>
      </c>
      <c r="E12" s="309" t="s">
        <v>2670</v>
      </c>
      <c r="F12" s="309" t="s">
        <v>2671</v>
      </c>
      <c r="G12" s="309" t="s">
        <v>2672</v>
      </c>
      <c r="H12" s="309" t="s">
        <v>2673</v>
      </c>
      <c r="I12" s="4187"/>
      <c r="J12" s="4187"/>
      <c r="K12" s="411" t="s">
        <v>2685</v>
      </c>
      <c r="L12" s="411" t="s">
        <v>2685</v>
      </c>
      <c r="M12" s="411" t="s">
        <v>2686</v>
      </c>
      <c r="N12" s="411" t="s">
        <v>2687</v>
      </c>
      <c r="O12" s="411" t="s">
        <v>2688</v>
      </c>
      <c r="P12" s="411" t="s">
        <v>2688</v>
      </c>
      <c r="Q12" s="411" t="s">
        <v>2689</v>
      </c>
      <c r="R12" s="411" t="s">
        <v>2689</v>
      </c>
      <c r="S12" s="411" t="s">
        <v>2690</v>
      </c>
      <c r="T12" s="411" t="s">
        <v>2690</v>
      </c>
      <c r="U12" s="411" t="s">
        <v>2676</v>
      </c>
      <c r="V12" s="411" t="s">
        <v>2676</v>
      </c>
    </row>
    <row r="13" spans="1:215" ht="16" hidden="1" outlineLevel="1">
      <c r="A13" s="301"/>
      <c r="B13" s="301"/>
      <c r="C13" s="301"/>
      <c r="D13" s="301"/>
      <c r="E13" s="301"/>
      <c r="F13" s="301"/>
      <c r="G13" s="301"/>
      <c r="H13" s="301"/>
      <c r="I13" s="301"/>
      <c r="J13" s="301"/>
      <c r="K13" s="286" t="s">
        <v>2691</v>
      </c>
      <c r="L13" s="286" t="s">
        <v>2682</v>
      </c>
      <c r="M13" s="286" t="s">
        <v>2691</v>
      </c>
      <c r="N13" s="286" t="s">
        <v>2682</v>
      </c>
      <c r="O13" s="286" t="s">
        <v>2691</v>
      </c>
      <c r="P13" s="286" t="s">
        <v>2682</v>
      </c>
      <c r="Q13" s="286" t="s">
        <v>2691</v>
      </c>
      <c r="R13" s="286" t="s">
        <v>2682</v>
      </c>
      <c r="S13" s="286" t="s">
        <v>2691</v>
      </c>
      <c r="T13" s="286" t="s">
        <v>2682</v>
      </c>
      <c r="U13" s="286" t="s">
        <v>2691</v>
      </c>
      <c r="V13" s="286" t="s">
        <v>2682</v>
      </c>
    </row>
    <row r="14" spans="1:215" s="265" customFormat="1" hidden="1" outlineLevel="1"/>
    <row r="15" spans="1:215" s="265" customFormat="1" collapsed="1"/>
    <row r="16" spans="1:215" ht="31.25" customHeight="1">
      <c r="A16" s="4185" t="s">
        <v>2692</v>
      </c>
      <c r="B16" s="4185"/>
      <c r="C16" s="4185"/>
      <c r="D16" s="4185"/>
      <c r="E16" s="4185"/>
      <c r="F16" s="4185"/>
      <c r="G16" s="4185"/>
      <c r="H16" s="4185"/>
      <c r="I16" s="4185"/>
      <c r="J16" s="4185"/>
      <c r="K16" s="4185"/>
      <c r="L16" s="4185"/>
      <c r="M16" s="4185"/>
      <c r="N16" s="4185"/>
      <c r="O16" s="4185"/>
      <c r="P16" s="4185"/>
      <c r="Q16" s="4185"/>
      <c r="R16" s="4185"/>
      <c r="S16" s="4185"/>
      <c r="T16" s="4185"/>
      <c r="U16" s="4185"/>
      <c r="V16" s="4185"/>
    </row>
    <row r="17" spans="1:22" ht="23.5" customHeight="1">
      <c r="A17" s="4186" t="s">
        <v>2662</v>
      </c>
      <c r="B17" s="4186"/>
      <c r="C17" s="4186"/>
      <c r="D17" s="4186" t="s">
        <v>2663</v>
      </c>
      <c r="E17" s="4186"/>
      <c r="F17" s="4186"/>
      <c r="G17" s="4186"/>
      <c r="H17" s="4186"/>
      <c r="I17" s="4187" t="s">
        <v>1686</v>
      </c>
      <c r="J17" s="4187" t="s">
        <v>610</v>
      </c>
      <c r="K17" s="4186" t="s">
        <v>2664</v>
      </c>
      <c r="L17" s="4186"/>
      <c r="M17" s="4186"/>
      <c r="N17" s="4186"/>
      <c r="O17" s="4186" t="s">
        <v>2665</v>
      </c>
      <c r="P17" s="4186"/>
      <c r="Q17" s="4186"/>
      <c r="R17" s="4186"/>
      <c r="S17" s="4186"/>
      <c r="T17" s="4186"/>
      <c r="U17" s="4186"/>
      <c r="V17" s="4186"/>
    </row>
    <row r="18" spans="1:22" ht="47" customHeight="1">
      <c r="A18" s="410" t="s">
        <v>2666</v>
      </c>
      <c r="B18" s="309" t="s">
        <v>2667</v>
      </c>
      <c r="C18" s="309" t="s">
        <v>2668</v>
      </c>
      <c r="D18" s="309" t="s">
        <v>2669</v>
      </c>
      <c r="E18" s="309" t="s">
        <v>2670</v>
      </c>
      <c r="F18" s="309" t="s">
        <v>2671</v>
      </c>
      <c r="G18" s="309" t="s">
        <v>2672</v>
      </c>
      <c r="H18" s="309" t="s">
        <v>2673</v>
      </c>
      <c r="I18" s="4187"/>
      <c r="J18" s="4187"/>
      <c r="K18" s="4183" t="s">
        <v>2693</v>
      </c>
      <c r="L18" s="4183"/>
      <c r="M18" s="4183" t="s">
        <v>2694</v>
      </c>
      <c r="N18" s="4183"/>
      <c r="O18" s="309" t="s">
        <v>2679</v>
      </c>
      <c r="P18" s="309" t="s">
        <v>2680</v>
      </c>
      <c r="Q18" s="309" t="s">
        <v>2695</v>
      </c>
      <c r="R18" s="309" t="s">
        <v>2696</v>
      </c>
      <c r="S18" s="309" t="s">
        <v>2697</v>
      </c>
      <c r="T18" s="309" t="s">
        <v>2698</v>
      </c>
      <c r="U18" s="309" t="s">
        <v>2699</v>
      </c>
      <c r="V18" s="309" t="s">
        <v>2700</v>
      </c>
    </row>
    <row r="19" spans="1:22" ht="48">
      <c r="A19" s="287">
        <f>+A7+1</f>
        <v>2</v>
      </c>
      <c r="B19" s="284" t="s">
        <v>2701</v>
      </c>
      <c r="C19" s="310" t="s">
        <v>2036</v>
      </c>
      <c r="D19" s="298">
        <f>+J19</f>
        <v>176700</v>
      </c>
      <c r="E19" s="298"/>
      <c r="F19" s="312">
        <v>1</v>
      </c>
      <c r="G19" s="312">
        <v>0</v>
      </c>
      <c r="H19" s="312">
        <v>0</v>
      </c>
      <c r="I19" s="310" t="str">
        <f>'8_MP'!$D$115</f>
        <v>1.2.1.8.2.3</v>
      </c>
      <c r="J19" s="281">
        <f>'8_MP'!$AN$115</f>
        <v>176700</v>
      </c>
      <c r="K19" s="2127">
        <v>45387</v>
      </c>
      <c r="L19" s="286" t="s">
        <v>2682</v>
      </c>
      <c r="M19" s="2127">
        <v>45397</v>
      </c>
      <c r="N19" s="286" t="s">
        <v>2682</v>
      </c>
      <c r="O19" s="287" t="s">
        <v>1340</v>
      </c>
      <c r="P19" s="287" t="s">
        <v>802</v>
      </c>
      <c r="Q19" s="1967" t="s">
        <v>2267</v>
      </c>
      <c r="R19" s="301"/>
      <c r="S19" s="301"/>
      <c r="T19" s="287"/>
      <c r="U19" s="301"/>
      <c r="V19" s="301"/>
    </row>
    <row r="20" spans="1:22">
      <c r="A20" s="4188" t="s">
        <v>2702</v>
      </c>
      <c r="B20" s="4188"/>
      <c r="C20" s="4188"/>
      <c r="D20" s="412">
        <f>SUM(D19:D19)</f>
        <v>176700</v>
      </c>
      <c r="E20" s="412">
        <f>SUM(E19:E19)</f>
        <v>0</v>
      </c>
      <c r="F20" s="4190"/>
      <c r="G20" s="4190"/>
      <c r="H20" s="4190"/>
      <c r="I20" s="4190"/>
      <c r="J20" s="4190"/>
      <c r="K20" s="4190"/>
      <c r="L20" s="4190"/>
      <c r="M20" s="4190"/>
      <c r="N20" s="4190"/>
      <c r="O20" s="4190"/>
      <c r="P20" s="4190"/>
      <c r="Q20" s="4190"/>
      <c r="R20" s="4190"/>
      <c r="S20" s="4190"/>
      <c r="T20" s="4190"/>
      <c r="U20" s="4190"/>
      <c r="V20" s="4190"/>
    </row>
    <row r="21" spans="1:22" s="265" customFormat="1"/>
    <row r="22" spans="1:22" ht="31">
      <c r="A22" s="3036" t="s">
        <v>2703</v>
      </c>
      <c r="B22" s="3036"/>
      <c r="C22" s="3036"/>
      <c r="D22" s="3036"/>
      <c r="E22" s="3036"/>
      <c r="F22" s="3036"/>
      <c r="G22" s="3036"/>
      <c r="H22" s="3036"/>
      <c r="I22" s="3036"/>
      <c r="J22" s="3036"/>
      <c r="K22" s="3036"/>
      <c r="L22" s="3036"/>
      <c r="M22" s="3036"/>
      <c r="N22" s="3036"/>
      <c r="O22" s="3036"/>
      <c r="P22" s="3036"/>
      <c r="Q22" s="3036"/>
      <c r="R22" s="3036"/>
      <c r="S22" s="3036"/>
      <c r="T22" s="3036"/>
      <c r="U22" s="3036"/>
      <c r="V22" s="3036"/>
    </row>
    <row r="23" spans="1:22" ht="24" outlineLevel="1">
      <c r="A23" s="4186" t="s">
        <v>2662</v>
      </c>
      <c r="B23" s="4186"/>
      <c r="C23" s="4186"/>
      <c r="D23" s="4186" t="s">
        <v>2663</v>
      </c>
      <c r="E23" s="4186"/>
      <c r="F23" s="4186"/>
      <c r="G23" s="4186"/>
      <c r="H23" s="4186"/>
      <c r="I23" s="4187" t="s">
        <v>1686</v>
      </c>
      <c r="J23" s="4187" t="s">
        <v>610</v>
      </c>
      <c r="K23" s="4186" t="s">
        <v>2664</v>
      </c>
      <c r="L23" s="4186"/>
      <c r="M23" s="4186"/>
      <c r="N23" s="4186"/>
      <c r="O23" s="4186"/>
      <c r="P23" s="4186"/>
      <c r="Q23" s="4186"/>
      <c r="R23" s="4186"/>
      <c r="S23" s="4186"/>
      <c r="T23" s="4186"/>
      <c r="U23" s="4186" t="s">
        <v>2665</v>
      </c>
      <c r="V23" s="4186"/>
    </row>
    <row r="24" spans="1:22" ht="51" outlineLevel="1">
      <c r="A24" s="410" t="s">
        <v>2666</v>
      </c>
      <c r="B24" s="309" t="s">
        <v>2667</v>
      </c>
      <c r="C24" s="309" t="s">
        <v>2668</v>
      </c>
      <c r="D24" s="309" t="s">
        <v>2669</v>
      </c>
      <c r="E24" s="309" t="s">
        <v>2670</v>
      </c>
      <c r="F24" s="309" t="s">
        <v>2671</v>
      </c>
      <c r="G24" s="309" t="s">
        <v>2672</v>
      </c>
      <c r="H24" s="309" t="s">
        <v>2673</v>
      </c>
      <c r="I24" s="4187"/>
      <c r="J24" s="4187"/>
      <c r="K24" s="4183" t="s">
        <v>2689</v>
      </c>
      <c r="L24" s="4183"/>
      <c r="M24" s="4183" t="s">
        <v>2690</v>
      </c>
      <c r="N24" s="4183"/>
      <c r="O24" s="4183" t="s">
        <v>2676</v>
      </c>
      <c r="P24" s="4183"/>
      <c r="Q24" s="4183" t="s">
        <v>2677</v>
      </c>
      <c r="R24" s="4183"/>
      <c r="S24" s="4183" t="s">
        <v>2678</v>
      </c>
      <c r="T24" s="4183"/>
      <c r="U24" s="309" t="s">
        <v>2679</v>
      </c>
      <c r="V24" s="309" t="s">
        <v>2680</v>
      </c>
    </row>
    <row r="25" spans="1:22" ht="16" outlineLevel="1">
      <c r="A25" s="301"/>
      <c r="B25" s="301"/>
      <c r="C25" s="301"/>
      <c r="D25" s="301"/>
      <c r="E25" s="301"/>
      <c r="F25" s="301"/>
      <c r="G25" s="301"/>
      <c r="H25" s="301"/>
      <c r="I25" s="301"/>
      <c r="J25" s="301"/>
      <c r="K25" s="286" t="s">
        <v>2691</v>
      </c>
      <c r="L25" s="286" t="s">
        <v>2682</v>
      </c>
      <c r="M25" s="286" t="s">
        <v>2691</v>
      </c>
      <c r="N25" s="286" t="s">
        <v>2682</v>
      </c>
      <c r="O25" s="286" t="s">
        <v>2691</v>
      </c>
      <c r="P25" s="286" t="s">
        <v>2682</v>
      </c>
      <c r="Q25" s="286" t="s">
        <v>2691</v>
      </c>
      <c r="R25" s="286" t="s">
        <v>2682</v>
      </c>
      <c r="S25" s="286" t="s">
        <v>2691</v>
      </c>
      <c r="T25" s="286" t="s">
        <v>2682</v>
      </c>
      <c r="U25" s="301"/>
      <c r="V25" s="301"/>
    </row>
    <row r="26" spans="1:22" s="265" customFormat="1" outlineLevel="1"/>
    <row r="27" spans="1:22" s="265" customFormat="1"/>
    <row r="28" spans="1:22" ht="31.25" customHeight="1">
      <c r="A28" s="3036" t="s">
        <v>2704</v>
      </c>
      <c r="B28" s="3036"/>
      <c r="C28" s="3036"/>
      <c r="D28" s="3036"/>
      <c r="E28" s="3036"/>
      <c r="F28" s="3036"/>
      <c r="G28" s="3036"/>
      <c r="H28" s="3036"/>
      <c r="I28" s="3036"/>
      <c r="J28" s="3036"/>
      <c r="K28" s="3036"/>
      <c r="L28" s="3036"/>
      <c r="M28" s="3036"/>
      <c r="N28" s="3036"/>
      <c r="O28" s="3036"/>
      <c r="P28" s="3036"/>
      <c r="Q28" s="3036"/>
      <c r="R28" s="3036"/>
      <c r="S28" s="3036"/>
      <c r="T28" s="3036"/>
      <c r="U28" s="3036"/>
      <c r="V28" s="3036"/>
    </row>
    <row r="29" spans="1:22" ht="23.5" hidden="1" customHeight="1" outlineLevel="1">
      <c r="A29" s="4186" t="s">
        <v>2662</v>
      </c>
      <c r="B29" s="4186"/>
      <c r="C29" s="4186"/>
      <c r="D29" s="4186" t="s">
        <v>2663</v>
      </c>
      <c r="E29" s="4186"/>
      <c r="F29" s="4186"/>
      <c r="G29" s="4186"/>
      <c r="H29" s="4186"/>
      <c r="I29" s="4187" t="s">
        <v>1686</v>
      </c>
      <c r="J29" s="4187" t="s">
        <v>610</v>
      </c>
      <c r="K29" s="4186" t="s">
        <v>2664</v>
      </c>
      <c r="L29" s="4186"/>
      <c r="M29" s="4186"/>
      <c r="N29" s="4186"/>
      <c r="O29" s="4186"/>
      <c r="P29" s="4186"/>
      <c r="Q29" s="4186"/>
      <c r="R29" s="4186"/>
      <c r="S29" s="4186"/>
      <c r="T29" s="4186"/>
      <c r="U29" s="4186"/>
      <c r="V29" s="4186"/>
    </row>
    <row r="30" spans="1:22" ht="47" hidden="1" customHeight="1" outlineLevel="1">
      <c r="A30" s="410" t="s">
        <v>2666</v>
      </c>
      <c r="B30" s="309" t="s">
        <v>2667</v>
      </c>
      <c r="C30" s="309" t="s">
        <v>2668</v>
      </c>
      <c r="D30" s="309" t="s">
        <v>2669</v>
      </c>
      <c r="E30" s="309" t="s">
        <v>2670</v>
      </c>
      <c r="F30" s="309" t="s">
        <v>2671</v>
      </c>
      <c r="G30" s="309" t="s">
        <v>2672</v>
      </c>
      <c r="H30" s="309" t="s">
        <v>2673</v>
      </c>
      <c r="I30" s="4187"/>
      <c r="J30" s="4187"/>
      <c r="K30" s="4183" t="s">
        <v>2685</v>
      </c>
      <c r="L30" s="4183"/>
      <c r="M30" s="4183" t="s">
        <v>2687</v>
      </c>
      <c r="N30" s="4183"/>
      <c r="O30" s="4183" t="s">
        <v>2705</v>
      </c>
      <c r="P30" s="4183"/>
      <c r="Q30" s="4183" t="s">
        <v>2689</v>
      </c>
      <c r="R30" s="4183"/>
      <c r="S30" s="4183" t="s">
        <v>2675</v>
      </c>
      <c r="T30" s="4183"/>
      <c r="U30" s="4183" t="s">
        <v>2676</v>
      </c>
      <c r="V30" s="4183"/>
    </row>
    <row r="31" spans="1:22" ht="16" hidden="1" outlineLevel="1">
      <c r="A31" s="301"/>
      <c r="B31" s="301"/>
      <c r="C31" s="301"/>
      <c r="D31" s="301"/>
      <c r="E31" s="301"/>
      <c r="F31" s="301"/>
      <c r="G31" s="301"/>
      <c r="H31" s="301"/>
      <c r="I31" s="301"/>
      <c r="J31" s="301"/>
      <c r="K31" s="286" t="s">
        <v>2691</v>
      </c>
      <c r="L31" s="286" t="s">
        <v>2682</v>
      </c>
      <c r="M31" s="286" t="s">
        <v>2691</v>
      </c>
      <c r="N31" s="286" t="s">
        <v>2682</v>
      </c>
      <c r="O31" s="286" t="s">
        <v>2691</v>
      </c>
      <c r="P31" s="286" t="s">
        <v>2682</v>
      </c>
      <c r="Q31" s="286" t="s">
        <v>2691</v>
      </c>
      <c r="R31" s="286" t="s">
        <v>2682</v>
      </c>
      <c r="S31" s="286" t="s">
        <v>2691</v>
      </c>
      <c r="T31" s="286" t="s">
        <v>2682</v>
      </c>
      <c r="U31" s="286" t="s">
        <v>2691</v>
      </c>
      <c r="V31" s="286" t="s">
        <v>2682</v>
      </c>
    </row>
    <row r="32" spans="1:22" s="265" customFormat="1" hidden="1" outlineLevel="1"/>
    <row r="33" spans="1:22" s="265" customFormat="1" collapsed="1"/>
    <row r="34" spans="1:22" ht="31.25" customHeight="1">
      <c r="A34" s="3036" t="s">
        <v>2706</v>
      </c>
      <c r="B34" s="3036"/>
      <c r="C34" s="3036"/>
      <c r="D34" s="3036"/>
      <c r="E34" s="3036"/>
      <c r="F34" s="3036"/>
      <c r="G34" s="3036"/>
      <c r="H34" s="3036"/>
      <c r="I34" s="3036"/>
      <c r="J34" s="3036"/>
      <c r="K34" s="3036"/>
      <c r="L34" s="3036"/>
      <c r="M34" s="3036"/>
      <c r="N34" s="3036"/>
      <c r="O34" s="3036"/>
      <c r="P34" s="3036"/>
      <c r="Q34" s="3036"/>
      <c r="R34" s="3036"/>
      <c r="S34" s="3036"/>
      <c r="T34" s="3036"/>
      <c r="U34" s="3036"/>
      <c r="V34" s="3036"/>
    </row>
    <row r="35" spans="1:22" ht="23.5" hidden="1" customHeight="1" outlineLevel="1">
      <c r="A35" s="4186" t="s">
        <v>2662</v>
      </c>
      <c r="B35" s="4186"/>
      <c r="C35" s="4186"/>
      <c r="D35" s="4186" t="s">
        <v>2663</v>
      </c>
      <c r="E35" s="4186"/>
      <c r="F35" s="4186"/>
      <c r="G35" s="4186"/>
      <c r="H35" s="4186"/>
      <c r="I35" s="4187" t="s">
        <v>1686</v>
      </c>
      <c r="J35" s="4187" t="s">
        <v>610</v>
      </c>
      <c r="K35" s="4186" t="s">
        <v>2664</v>
      </c>
      <c r="L35" s="4186"/>
      <c r="M35" s="4186"/>
      <c r="N35" s="4186"/>
      <c r="O35" s="4186"/>
      <c r="P35" s="4186"/>
      <c r="Q35" s="4186"/>
      <c r="R35" s="4186"/>
      <c r="S35" s="4186"/>
      <c r="T35" s="4186"/>
      <c r="U35" s="4186"/>
      <c r="V35" s="4186"/>
    </row>
    <row r="36" spans="1:22" ht="31.25" hidden="1" customHeight="1" outlineLevel="1">
      <c r="A36" s="410" t="s">
        <v>2666</v>
      </c>
      <c r="B36" s="309" t="s">
        <v>2667</v>
      </c>
      <c r="C36" s="309" t="s">
        <v>2668</v>
      </c>
      <c r="D36" s="309" t="s">
        <v>2669</v>
      </c>
      <c r="E36" s="309" t="s">
        <v>2670</v>
      </c>
      <c r="F36" s="309" t="s">
        <v>2671</v>
      </c>
      <c r="G36" s="309" t="s">
        <v>2672</v>
      </c>
      <c r="H36" s="309" t="s">
        <v>2673</v>
      </c>
      <c r="I36" s="4187"/>
      <c r="J36" s="4187"/>
      <c r="K36" s="4183" t="s">
        <v>2674</v>
      </c>
      <c r="L36" s="4183"/>
      <c r="M36" s="4183" t="s">
        <v>2690</v>
      </c>
      <c r="N36" s="4183"/>
      <c r="O36" s="4183" t="s">
        <v>2676</v>
      </c>
      <c r="P36" s="4183"/>
      <c r="Q36" s="4183" t="s">
        <v>2690</v>
      </c>
      <c r="R36" s="4183"/>
      <c r="S36" s="4183" t="s">
        <v>2707</v>
      </c>
      <c r="T36" s="4183"/>
      <c r="U36" s="4183" t="s">
        <v>2677</v>
      </c>
      <c r="V36" s="4183"/>
    </row>
    <row r="37" spans="1:22" ht="16" hidden="1" outlineLevel="1">
      <c r="A37" s="301"/>
      <c r="B37" s="301"/>
      <c r="C37" s="301"/>
      <c r="D37" s="301"/>
      <c r="E37" s="301"/>
      <c r="F37" s="301"/>
      <c r="G37" s="301"/>
      <c r="H37" s="301"/>
      <c r="I37" s="301"/>
      <c r="J37" s="301"/>
      <c r="K37" s="286" t="s">
        <v>2691</v>
      </c>
      <c r="L37" s="286" t="s">
        <v>2682</v>
      </c>
      <c r="M37" s="286" t="s">
        <v>2691</v>
      </c>
      <c r="N37" s="286" t="s">
        <v>2682</v>
      </c>
      <c r="O37" s="286" t="s">
        <v>2691</v>
      </c>
      <c r="P37" s="286" t="s">
        <v>2682</v>
      </c>
      <c r="Q37" s="286" t="s">
        <v>2691</v>
      </c>
      <c r="R37" s="286" t="s">
        <v>2682</v>
      </c>
      <c r="S37" s="286" t="s">
        <v>2691</v>
      </c>
      <c r="T37" s="286" t="s">
        <v>2682</v>
      </c>
      <c r="U37" s="286" t="s">
        <v>2691</v>
      </c>
      <c r="V37" s="286" t="s">
        <v>2682</v>
      </c>
    </row>
    <row r="38" spans="1:22" s="265" customFormat="1" hidden="1" outlineLevel="1">
      <c r="K38" s="317"/>
      <c r="L38" s="317"/>
      <c r="M38" s="317"/>
      <c r="N38" s="317"/>
      <c r="O38" s="317"/>
      <c r="P38" s="317"/>
      <c r="Q38" s="317"/>
      <c r="R38" s="317"/>
      <c r="S38" s="317"/>
      <c r="T38" s="317"/>
      <c r="U38" s="317"/>
      <c r="V38" s="317"/>
    </row>
    <row r="39" spans="1:22" s="265" customFormat="1" collapsed="1"/>
    <row r="40" spans="1:22" ht="31.25" customHeight="1">
      <c r="A40" s="3036" t="s">
        <v>2708</v>
      </c>
      <c r="B40" s="3036"/>
      <c r="C40" s="3036"/>
      <c r="D40" s="3036"/>
      <c r="E40" s="3036"/>
      <c r="F40" s="3036"/>
      <c r="G40" s="3036"/>
      <c r="H40" s="3036"/>
      <c r="I40" s="3036"/>
      <c r="J40" s="3036"/>
      <c r="K40" s="3036"/>
      <c r="L40" s="3036"/>
      <c r="M40" s="3036"/>
      <c r="N40" s="3036"/>
      <c r="O40" s="3036"/>
      <c r="P40" s="3036"/>
      <c r="Q40" s="3036"/>
      <c r="R40" s="3036"/>
      <c r="S40" s="3036"/>
      <c r="T40" s="3036"/>
      <c r="U40" s="3036"/>
      <c r="V40" s="3036"/>
    </row>
    <row r="41" spans="1:22" ht="23.5" hidden="1" customHeight="1" outlineLevel="1">
      <c r="A41" s="4186" t="s">
        <v>2662</v>
      </c>
      <c r="B41" s="4186"/>
      <c r="C41" s="4186"/>
      <c r="D41" s="4186" t="s">
        <v>2663</v>
      </c>
      <c r="E41" s="4186"/>
      <c r="F41" s="4186"/>
      <c r="G41" s="4186"/>
      <c r="H41" s="4186"/>
      <c r="I41" s="4187" t="s">
        <v>1686</v>
      </c>
      <c r="J41" s="4187" t="s">
        <v>610</v>
      </c>
      <c r="K41" s="4186" t="s">
        <v>2664</v>
      </c>
      <c r="L41" s="4186"/>
      <c r="M41" s="4186"/>
      <c r="N41" s="4186"/>
      <c r="O41" s="4186"/>
      <c r="P41" s="4186"/>
      <c r="Q41" s="4186" t="s">
        <v>2665</v>
      </c>
      <c r="R41" s="4186"/>
      <c r="S41" s="4186"/>
      <c r="T41" s="4186"/>
      <c r="U41" s="4186"/>
      <c r="V41" s="4186"/>
    </row>
    <row r="42" spans="1:22" ht="51" hidden="1" outlineLevel="1">
      <c r="A42" s="410" t="s">
        <v>2666</v>
      </c>
      <c r="B42" s="309" t="s">
        <v>2667</v>
      </c>
      <c r="C42" s="309" t="s">
        <v>2668</v>
      </c>
      <c r="D42" s="309" t="s">
        <v>2669</v>
      </c>
      <c r="E42" s="309" t="s">
        <v>2670</v>
      </c>
      <c r="F42" s="309" t="s">
        <v>2671</v>
      </c>
      <c r="G42" s="309" t="s">
        <v>2672</v>
      </c>
      <c r="H42" s="309" t="s">
        <v>2673</v>
      </c>
      <c r="I42" s="4187"/>
      <c r="J42" s="4187"/>
      <c r="K42" s="4183" t="s">
        <v>2709</v>
      </c>
      <c r="L42" s="4183"/>
      <c r="M42" s="4183" t="s">
        <v>2710</v>
      </c>
      <c r="N42" s="4183"/>
      <c r="O42" s="4183" t="s">
        <v>2678</v>
      </c>
      <c r="P42" s="4183"/>
      <c r="Q42" s="309" t="s">
        <v>2679</v>
      </c>
      <c r="R42" s="309" t="s">
        <v>2680</v>
      </c>
      <c r="S42" s="309" t="s">
        <v>2695</v>
      </c>
      <c r="T42" s="309" t="s">
        <v>2696</v>
      </c>
      <c r="U42" s="309" t="s">
        <v>2697</v>
      </c>
      <c r="V42" s="309" t="s">
        <v>2698</v>
      </c>
    </row>
    <row r="43" spans="1:22" ht="16" hidden="1" outlineLevel="1">
      <c r="A43" s="301"/>
      <c r="B43" s="301"/>
      <c r="C43" s="301"/>
      <c r="D43" s="301"/>
      <c r="E43" s="301"/>
      <c r="F43" s="301"/>
      <c r="G43" s="301"/>
      <c r="H43" s="301"/>
      <c r="I43" s="301"/>
      <c r="J43" s="301"/>
      <c r="K43" s="286" t="s">
        <v>2691</v>
      </c>
      <c r="L43" s="286" t="s">
        <v>2682</v>
      </c>
      <c r="M43" s="286" t="s">
        <v>2691</v>
      </c>
      <c r="N43" s="286" t="s">
        <v>2682</v>
      </c>
      <c r="O43" s="286" t="s">
        <v>2691</v>
      </c>
      <c r="P43" s="286" t="s">
        <v>2682</v>
      </c>
      <c r="Q43" s="301"/>
      <c r="R43" s="301"/>
      <c r="S43" s="301"/>
      <c r="T43" s="301"/>
      <c r="U43" s="301"/>
      <c r="V43" s="301"/>
    </row>
    <row r="44" spans="1:22" s="265" customFormat="1" hidden="1" outlineLevel="1"/>
    <row r="45" spans="1:22" s="265" customFormat="1" collapsed="1"/>
    <row r="46" spans="1:22" ht="31.25" customHeight="1">
      <c r="A46" s="3036" t="s">
        <v>2711</v>
      </c>
      <c r="B46" s="3036"/>
      <c r="C46" s="3036"/>
      <c r="D46" s="3036"/>
      <c r="E46" s="3036"/>
      <c r="F46" s="3036"/>
      <c r="G46" s="3036"/>
      <c r="H46" s="3036"/>
      <c r="I46" s="3036"/>
      <c r="J46" s="3036"/>
      <c r="K46" s="3036"/>
      <c r="L46" s="3036"/>
      <c r="M46" s="3036"/>
      <c r="N46" s="3036"/>
      <c r="O46" s="3036"/>
      <c r="P46" s="3036"/>
      <c r="Q46" s="3036"/>
      <c r="R46" s="3036"/>
      <c r="S46" s="3036"/>
      <c r="T46" s="3036"/>
      <c r="U46" s="3036"/>
      <c r="V46" s="3036"/>
    </row>
    <row r="47" spans="1:22" ht="23.5" hidden="1" customHeight="1" outlineLevel="1">
      <c r="A47" s="4186" t="s">
        <v>2662</v>
      </c>
      <c r="B47" s="4186"/>
      <c r="C47" s="4186"/>
      <c r="D47" s="4186" t="s">
        <v>2663</v>
      </c>
      <c r="E47" s="4186"/>
      <c r="F47" s="4186"/>
      <c r="G47" s="4186"/>
      <c r="H47" s="4186"/>
      <c r="I47" s="4187" t="s">
        <v>1686</v>
      </c>
      <c r="J47" s="4187" t="s">
        <v>610</v>
      </c>
      <c r="K47" s="4186" t="s">
        <v>2664</v>
      </c>
      <c r="L47" s="4186"/>
      <c r="M47" s="4186" t="s">
        <v>2665</v>
      </c>
      <c r="N47" s="4186"/>
      <c r="O47" s="4186"/>
      <c r="P47" s="4186"/>
      <c r="Q47" s="4186"/>
      <c r="R47" s="4186"/>
      <c r="S47" s="4186"/>
      <c r="T47" s="4186"/>
    </row>
    <row r="48" spans="1:22" ht="68" hidden="1" outlineLevel="1">
      <c r="A48" s="410" t="s">
        <v>2666</v>
      </c>
      <c r="B48" s="309" t="s">
        <v>2667</v>
      </c>
      <c r="C48" s="309" t="s">
        <v>2668</v>
      </c>
      <c r="D48" s="309" t="s">
        <v>2669</v>
      </c>
      <c r="E48" s="309" t="s">
        <v>2670</v>
      </c>
      <c r="F48" s="309" t="s">
        <v>2671</v>
      </c>
      <c r="G48" s="309" t="s">
        <v>2672</v>
      </c>
      <c r="H48" s="309" t="s">
        <v>2673</v>
      </c>
      <c r="I48" s="4187"/>
      <c r="J48" s="4187"/>
      <c r="K48" s="4183" t="s">
        <v>2712</v>
      </c>
      <c r="L48" s="4183"/>
      <c r="M48" s="309" t="s">
        <v>2679</v>
      </c>
      <c r="N48" s="309" t="s">
        <v>2680</v>
      </c>
      <c r="O48" s="309" t="s">
        <v>2695</v>
      </c>
      <c r="P48" s="309" t="s">
        <v>2696</v>
      </c>
      <c r="Q48" s="309" t="s">
        <v>2697</v>
      </c>
      <c r="R48" s="309" t="s">
        <v>2698</v>
      </c>
      <c r="S48" s="309" t="s">
        <v>2699</v>
      </c>
      <c r="T48" s="309" t="s">
        <v>2700</v>
      </c>
    </row>
    <row r="49" spans="1:20" ht="16" hidden="1" outlineLevel="1">
      <c r="A49" s="301"/>
      <c r="B49" s="301"/>
      <c r="C49" s="301"/>
      <c r="D49" s="301"/>
      <c r="E49" s="301"/>
      <c r="F49" s="301"/>
      <c r="G49" s="301"/>
      <c r="H49" s="301"/>
      <c r="I49" s="301"/>
      <c r="J49" s="301"/>
      <c r="K49" s="286" t="s">
        <v>2691</v>
      </c>
      <c r="L49" s="286" t="s">
        <v>2682</v>
      </c>
      <c r="M49" s="301"/>
      <c r="N49" s="301"/>
      <c r="O49" s="301"/>
      <c r="P49" s="301"/>
      <c r="Q49" s="301"/>
      <c r="R49" s="301"/>
      <c r="S49" s="301"/>
      <c r="T49" s="301"/>
    </row>
    <row r="50" spans="1:20" s="265" customFormat="1" hidden="1" outlineLevel="1"/>
    <row r="51" spans="1:20" s="265" customFormat="1" collapsed="1"/>
    <row r="52" spans="1:20" s="265" customFormat="1"/>
    <row r="53" spans="1:20" s="265" customFormat="1"/>
    <row r="54" spans="1:20" s="265" customFormat="1"/>
    <row r="232" s="265" customFormat="1"/>
    <row r="233" s="265" customFormat="1"/>
    <row r="234" s="265" customFormat="1"/>
    <row r="235" s="265" customFormat="1"/>
    <row r="236" s="265" customFormat="1"/>
    <row r="237" s="265" customFormat="1"/>
    <row r="238" s="265" customFormat="1"/>
    <row r="239" s="265" customFormat="1"/>
    <row r="240" s="265" customFormat="1"/>
    <row r="241" spans="5:7" s="265" customFormat="1"/>
    <row r="242" spans="5:7" s="265" customFormat="1"/>
    <row r="243" spans="5:7" s="265" customFormat="1"/>
    <row r="244" spans="5:7" s="265" customFormat="1"/>
    <row r="245" spans="5:7" s="265" customFormat="1"/>
    <row r="246" spans="5:7" s="265" customFormat="1"/>
    <row r="247" spans="5:7" s="265" customFormat="1">
      <c r="E247" s="273"/>
      <c r="F247" s="273"/>
      <c r="G247" s="273"/>
    </row>
    <row r="248" spans="5:7" s="265" customFormat="1">
      <c r="E248" s="273"/>
      <c r="F248" s="273"/>
      <c r="G248" s="273"/>
    </row>
    <row r="249" spans="5:7" s="265" customFormat="1">
      <c r="E249" s="273"/>
      <c r="F249" s="273"/>
      <c r="G249" s="273"/>
    </row>
    <row r="250" spans="5:7" s="265" customFormat="1">
      <c r="E250" s="273"/>
      <c r="F250" s="273"/>
      <c r="G250" s="273"/>
    </row>
    <row r="251" spans="5:7" s="265" customFormat="1">
      <c r="E251" s="273"/>
      <c r="F251" s="273"/>
      <c r="G251" s="273"/>
    </row>
    <row r="252" spans="5:7" s="265" customFormat="1">
      <c r="E252" s="273"/>
      <c r="F252" s="273"/>
      <c r="G252" s="273"/>
    </row>
    <row r="253" spans="5:7" s="265" customFormat="1">
      <c r="E253" s="273"/>
      <c r="F253" s="273"/>
      <c r="G253" s="273"/>
    </row>
    <row r="254" spans="5:7" s="265" customFormat="1">
      <c r="E254" s="273"/>
      <c r="F254" s="273"/>
      <c r="G254" s="273"/>
    </row>
    <row r="255" spans="5:7" s="265" customFormat="1">
      <c r="E255" s="273"/>
      <c r="F255" s="273"/>
      <c r="G255" s="273"/>
    </row>
  </sheetData>
  <mergeCells count="81">
    <mergeCell ref="A35:C35"/>
    <mergeCell ref="D35:H35"/>
    <mergeCell ref="I35:I36"/>
    <mergeCell ref="J35:J36"/>
    <mergeCell ref="K35:V35"/>
    <mergeCell ref="K36:L36"/>
    <mergeCell ref="M36:N36"/>
    <mergeCell ref="O36:P36"/>
    <mergeCell ref="Q36:R36"/>
    <mergeCell ref="S36:T36"/>
    <mergeCell ref="U36:V36"/>
    <mergeCell ref="M47:T47"/>
    <mergeCell ref="K48:L48"/>
    <mergeCell ref="A41:C41"/>
    <mergeCell ref="D41:H41"/>
    <mergeCell ref="I41:I42"/>
    <mergeCell ref="J41:J42"/>
    <mergeCell ref="K41:P41"/>
    <mergeCell ref="Q41:V41"/>
    <mergeCell ref="K42:L42"/>
    <mergeCell ref="M42:N42"/>
    <mergeCell ref="O42:P42"/>
    <mergeCell ref="A47:C47"/>
    <mergeCell ref="D47:H47"/>
    <mergeCell ref="I47:I48"/>
    <mergeCell ref="J47:J48"/>
    <mergeCell ref="K47:L47"/>
    <mergeCell ref="A29:C29"/>
    <mergeCell ref="D29:H29"/>
    <mergeCell ref="I29:I30"/>
    <mergeCell ref="J29:J30"/>
    <mergeCell ref="K29:V29"/>
    <mergeCell ref="U30:V30"/>
    <mergeCell ref="K30:L30"/>
    <mergeCell ref="M30:N30"/>
    <mergeCell ref="O30:P30"/>
    <mergeCell ref="Q30:R30"/>
    <mergeCell ref="S30:T30"/>
    <mergeCell ref="A20:C20"/>
    <mergeCell ref="F20:V20"/>
    <mergeCell ref="A23:C23"/>
    <mergeCell ref="D23:H23"/>
    <mergeCell ref="I23:I24"/>
    <mergeCell ref="J23:J24"/>
    <mergeCell ref="K23:T23"/>
    <mergeCell ref="U23:V23"/>
    <mergeCell ref="K24:L24"/>
    <mergeCell ref="M24:N24"/>
    <mergeCell ref="O24:P24"/>
    <mergeCell ref="Q24:R24"/>
    <mergeCell ref="S24:T24"/>
    <mergeCell ref="A16:V16"/>
    <mergeCell ref="A17:C17"/>
    <mergeCell ref="D17:H17"/>
    <mergeCell ref="I17:I18"/>
    <mergeCell ref="J17:J18"/>
    <mergeCell ref="K17:N17"/>
    <mergeCell ref="O17:V17"/>
    <mergeCell ref="K18:L18"/>
    <mergeCell ref="M18:N18"/>
    <mergeCell ref="A8:C8"/>
    <mergeCell ref="F8:V8"/>
    <mergeCell ref="A11:C11"/>
    <mergeCell ref="D11:H11"/>
    <mergeCell ref="K11:V11"/>
    <mergeCell ref="J11:J12"/>
    <mergeCell ref="I11:I12"/>
    <mergeCell ref="A10:V10"/>
    <mergeCell ref="O6:P6"/>
    <mergeCell ref="Q6:R6"/>
    <mergeCell ref="S6:T6"/>
    <mergeCell ref="A2:V2"/>
    <mergeCell ref="A4:V4"/>
    <mergeCell ref="A5:C5"/>
    <mergeCell ref="D5:H5"/>
    <mergeCell ref="I5:I6"/>
    <mergeCell ref="J5:J6"/>
    <mergeCell ref="K5:T5"/>
    <mergeCell ref="U5:V5"/>
    <mergeCell ref="K6:L6"/>
    <mergeCell ref="M6:N6"/>
  </mergeCells>
  <dataValidations count="1">
    <dataValidation type="list" allowBlank="1" showInputMessage="1" showErrorMessage="1" sqref="V26:V27 R44:R45 V9 P21 N50:N54" xr:uid="{00000000-0002-0000-1D00-000000000000}">
      <formula1>#REF!</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D00-000001000000}">
          <x14:formula1>
            <xm:f>'9_Resumen del PA - MH'!$AD$10:$AD$12</xm:f>
          </x14:formula1>
          <xm:sqref>O21 U26:U27 Q44:Q45 U9 M50:M54</xm:sqref>
        </x14:dataValidation>
        <x14:dataValidation type="list" allowBlank="1" showInputMessage="1" showErrorMessage="1" xr:uid="{00000000-0002-0000-1D00-000002000000}">
          <x14:formula1>
            <xm:f>'9_Resumen del PA - MH'!$AC$11:$AC$12</xm:f>
          </x14:formula1>
          <xm:sqref>Q21 S44:S45 O50:O54 Q19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1:P111"/>
  <sheetViews>
    <sheetView showGridLines="0" topLeftCell="A28" zoomScale="130" zoomScaleNormal="130" zoomScalePageLayoutView="125" workbookViewId="0">
      <selection activeCell="B43" sqref="B43"/>
    </sheetView>
  </sheetViews>
  <sheetFormatPr baseColWidth="10" defaultColWidth="85.5" defaultRowHeight="12" outlineLevelRow="3"/>
  <cols>
    <col min="1" max="1" width="0.5" style="56" customWidth="1"/>
    <col min="2" max="2" width="34.5" style="213" customWidth="1"/>
    <col min="3" max="3" width="12.5" style="214" customWidth="1"/>
    <col min="4" max="4" width="7" style="56" customWidth="1"/>
    <col min="5" max="5" width="7.5" style="214" customWidth="1"/>
    <col min="6" max="6" width="5.83203125" style="214" bestFit="1" customWidth="1"/>
    <col min="7" max="7" width="6.5" style="214" bestFit="1" customWidth="1"/>
    <col min="8" max="10" width="5" style="214" bestFit="1" customWidth="1"/>
    <col min="11" max="11" width="5.83203125" style="214" bestFit="1" customWidth="1"/>
    <col min="12" max="12" width="7.5" style="214" customWidth="1"/>
    <col min="13" max="13" width="10.5" style="56" customWidth="1"/>
    <col min="14" max="14" width="11" style="56" customWidth="1"/>
    <col min="15" max="15" width="27.5" style="386" customWidth="1"/>
    <col min="16" max="16" width="26" style="56" customWidth="1"/>
    <col min="17" max="18" width="18.83203125" style="56" customWidth="1"/>
    <col min="19" max="16384" width="85.5" style="56"/>
  </cols>
  <sheetData>
    <row r="1" spans="2:16" ht="6" customHeight="1"/>
    <row r="2" spans="2:16">
      <c r="B2" s="3598" t="s">
        <v>136</v>
      </c>
      <c r="C2" s="3598"/>
      <c r="D2" s="3598"/>
      <c r="E2" s="3598"/>
      <c r="F2" s="3598"/>
      <c r="G2" s="3598"/>
      <c r="H2" s="3598"/>
      <c r="I2" s="3598"/>
      <c r="J2" s="3598"/>
      <c r="K2" s="3598"/>
      <c r="L2" s="3598"/>
      <c r="M2" s="3598"/>
      <c r="N2" s="3598"/>
      <c r="O2" s="3598"/>
    </row>
    <row r="3" spans="2:16" ht="13" outlineLevel="2">
      <c r="B3" s="771" t="s">
        <v>137</v>
      </c>
      <c r="C3" s="3600" t="s">
        <v>138</v>
      </c>
      <c r="D3" s="3600"/>
      <c r="E3" s="3600"/>
      <c r="F3" s="3600"/>
      <c r="G3" s="3600"/>
      <c r="H3" s="3600"/>
      <c r="I3" s="3600"/>
      <c r="J3" s="3600"/>
      <c r="K3" s="3600"/>
      <c r="L3" s="3600"/>
      <c r="M3" s="3600"/>
      <c r="N3" s="3600"/>
      <c r="O3" s="3600"/>
    </row>
    <row r="4" spans="2:16" ht="13" outlineLevel="2">
      <c r="B4" s="771" t="s">
        <v>139</v>
      </c>
      <c r="C4" s="3599" t="s">
        <v>140</v>
      </c>
      <c r="D4" s="3599"/>
      <c r="E4" s="3599"/>
      <c r="F4" s="3599"/>
      <c r="G4" s="3599"/>
      <c r="H4" s="3599"/>
      <c r="I4" s="3599"/>
      <c r="J4" s="3599"/>
      <c r="K4" s="3599"/>
      <c r="L4" s="3599"/>
      <c r="M4" s="3599"/>
      <c r="N4" s="3599"/>
      <c r="O4" s="3599"/>
    </row>
    <row r="5" spans="2:16" ht="39.5" customHeight="1" outlineLevel="2">
      <c r="B5" s="771" t="s">
        <v>141</v>
      </c>
      <c r="C5" s="3599" t="s">
        <v>142</v>
      </c>
      <c r="D5" s="3599"/>
      <c r="E5" s="3599"/>
      <c r="F5" s="3599"/>
      <c r="G5" s="3599"/>
      <c r="H5" s="3599"/>
      <c r="I5" s="3599"/>
      <c r="J5" s="3599"/>
      <c r="K5" s="3599"/>
      <c r="L5" s="3599"/>
      <c r="M5" s="3599"/>
      <c r="N5" s="3599"/>
      <c r="O5" s="3599"/>
    </row>
    <row r="6" spans="2:16" ht="12" customHeight="1" outlineLevel="1">
      <c r="B6" s="215"/>
      <c r="C6" s="215"/>
      <c r="D6" s="216"/>
      <c r="E6" s="216"/>
      <c r="F6" s="216"/>
      <c r="G6" s="216"/>
      <c r="H6" s="216"/>
      <c r="I6" s="216"/>
      <c r="J6" s="217"/>
      <c r="K6" s="217"/>
      <c r="L6" s="217"/>
      <c r="M6" s="217"/>
      <c r="N6" s="218"/>
      <c r="O6" s="387"/>
      <c r="P6" s="212"/>
    </row>
    <row r="7" spans="2:16" outlineLevel="1">
      <c r="B7" s="3595" t="s">
        <v>143</v>
      </c>
      <c r="C7" s="3595"/>
      <c r="D7" s="3595"/>
      <c r="E7" s="3595"/>
      <c r="F7" s="3595"/>
      <c r="G7" s="3595"/>
      <c r="H7" s="3595"/>
      <c r="I7" s="3595"/>
      <c r="J7" s="3595"/>
      <c r="K7" s="3595"/>
      <c r="L7" s="3595"/>
      <c r="M7" s="3595"/>
      <c r="N7" s="3595"/>
      <c r="O7" s="3595"/>
      <c r="P7" s="212"/>
    </row>
    <row r="8" spans="2:16" ht="17" customHeight="1" outlineLevel="2">
      <c r="B8" s="3607" t="s">
        <v>144</v>
      </c>
      <c r="C8" s="3607"/>
      <c r="D8" s="3601" t="s">
        <v>145</v>
      </c>
      <c r="E8" s="3596" t="s">
        <v>146</v>
      </c>
      <c r="F8" s="3602" t="s">
        <v>147</v>
      </c>
      <c r="G8" s="3603"/>
      <c r="H8" s="3601" t="s">
        <v>148</v>
      </c>
      <c r="I8" s="3601"/>
      <c r="J8" s="3601" t="s">
        <v>149</v>
      </c>
      <c r="K8" s="3601"/>
      <c r="L8" s="3601" t="s">
        <v>150</v>
      </c>
      <c r="M8" s="3601"/>
      <c r="N8" s="3601" t="s">
        <v>151</v>
      </c>
      <c r="O8" s="3601"/>
      <c r="P8" s="212"/>
    </row>
    <row r="9" spans="2:16" ht="17.5" customHeight="1" outlineLevel="2">
      <c r="B9" s="3607"/>
      <c r="C9" s="3607"/>
      <c r="D9" s="3601"/>
      <c r="E9" s="3597"/>
      <c r="F9" s="3604"/>
      <c r="G9" s="3605"/>
      <c r="H9" s="772" t="s">
        <v>152</v>
      </c>
      <c r="I9" s="772" t="s">
        <v>153</v>
      </c>
      <c r="J9" s="772" t="s">
        <v>152</v>
      </c>
      <c r="K9" s="772" t="s">
        <v>153</v>
      </c>
      <c r="L9" s="3601"/>
      <c r="M9" s="3601"/>
      <c r="N9" s="3601"/>
      <c r="O9" s="3601"/>
      <c r="P9" s="212"/>
    </row>
    <row r="10" spans="2:16" s="1108" customFormat="1" ht="17" customHeight="1" outlineLevel="2">
      <c r="B10" s="3590" t="s">
        <v>154</v>
      </c>
      <c r="C10" s="3590"/>
      <c r="D10" s="3590"/>
      <c r="E10" s="3590"/>
      <c r="F10" s="3590"/>
      <c r="G10" s="3590"/>
      <c r="H10" s="3590"/>
      <c r="I10" s="3590"/>
      <c r="J10" s="3590"/>
      <c r="K10" s="3590"/>
      <c r="L10" s="3590"/>
      <c r="M10" s="3590"/>
      <c r="N10" s="3590"/>
      <c r="O10" s="3590"/>
      <c r="P10" s="1107"/>
    </row>
    <row r="11" spans="2:16" ht="42.75" customHeight="1" outlineLevel="3">
      <c r="B11" s="3591" t="s">
        <v>155</v>
      </c>
      <c r="C11" s="3592"/>
      <c r="D11" s="1806" t="s">
        <v>156</v>
      </c>
      <c r="E11" s="1806">
        <v>0</v>
      </c>
      <c r="F11" s="3561">
        <v>2020</v>
      </c>
      <c r="G11" s="3562"/>
      <c r="H11" s="1806" t="s">
        <v>157</v>
      </c>
      <c r="I11" s="1806" t="s">
        <v>157</v>
      </c>
      <c r="J11" s="1806">
        <v>60</v>
      </c>
      <c r="K11" s="1806">
        <v>2028</v>
      </c>
      <c r="L11" s="3589" t="s">
        <v>158</v>
      </c>
      <c r="M11" s="3589"/>
      <c r="N11" s="3589"/>
      <c r="O11" s="3589"/>
      <c r="P11" s="212" t="s">
        <v>159</v>
      </c>
    </row>
    <row r="12" spans="2:16" ht="42" customHeight="1" outlineLevel="3">
      <c r="B12" s="3591" t="s">
        <v>160</v>
      </c>
      <c r="C12" s="3592"/>
      <c r="D12" s="1806" t="s">
        <v>156</v>
      </c>
      <c r="E12" s="1806">
        <v>58.43</v>
      </c>
      <c r="F12" s="3561">
        <v>2022</v>
      </c>
      <c r="G12" s="3562"/>
      <c r="H12" s="1806" t="s">
        <v>157</v>
      </c>
      <c r="I12" s="1806" t="s">
        <v>157</v>
      </c>
      <c r="J12" s="1806">
        <v>45</v>
      </c>
      <c r="K12" s="1806">
        <v>2028</v>
      </c>
      <c r="L12" s="3589" t="s">
        <v>158</v>
      </c>
      <c r="M12" s="3589"/>
      <c r="N12" s="3589" t="s">
        <v>161</v>
      </c>
      <c r="O12" s="3589"/>
      <c r="P12" s="212" t="s">
        <v>162</v>
      </c>
    </row>
    <row r="13" spans="2:16" ht="39" customHeight="1" outlineLevel="3">
      <c r="B13" s="3591" t="s">
        <v>163</v>
      </c>
      <c r="C13" s="3592"/>
      <c r="D13" s="1806" t="s">
        <v>156</v>
      </c>
      <c r="E13" s="1806">
        <v>7.64</v>
      </c>
      <c r="F13" s="3561">
        <v>2022</v>
      </c>
      <c r="G13" s="3562"/>
      <c r="H13" s="1806" t="s">
        <v>157</v>
      </c>
      <c r="I13" s="1806" t="s">
        <v>157</v>
      </c>
      <c r="J13" s="1806">
        <v>10</v>
      </c>
      <c r="K13" s="1806">
        <v>2028</v>
      </c>
      <c r="L13" s="3589" t="s">
        <v>158</v>
      </c>
      <c r="M13" s="3589"/>
      <c r="N13" s="3589" t="s">
        <v>164</v>
      </c>
      <c r="O13" s="3589"/>
      <c r="P13" s="212"/>
    </row>
    <row r="14" spans="2:16" ht="36.5" customHeight="1" outlineLevel="3">
      <c r="B14" s="3593" t="s">
        <v>165</v>
      </c>
      <c r="C14" s="3594"/>
      <c r="D14" s="1806" t="s">
        <v>156</v>
      </c>
      <c r="E14" s="1806">
        <v>0</v>
      </c>
      <c r="F14" s="3561">
        <v>2021</v>
      </c>
      <c r="G14" s="3562"/>
      <c r="H14" s="1806" t="s">
        <v>157</v>
      </c>
      <c r="I14" s="1806" t="s">
        <v>157</v>
      </c>
      <c r="J14" s="1806">
        <v>60</v>
      </c>
      <c r="K14" s="1806">
        <v>2028</v>
      </c>
      <c r="L14" s="3589" t="s">
        <v>166</v>
      </c>
      <c r="M14" s="3589"/>
      <c r="N14" s="3589" t="s">
        <v>167</v>
      </c>
      <c r="O14" s="3589"/>
      <c r="P14" s="212" t="s">
        <v>168</v>
      </c>
    </row>
    <row r="15" spans="2:16" s="1108" customFormat="1" ht="17" customHeight="1" outlineLevel="2">
      <c r="B15" s="3590" t="s">
        <v>169</v>
      </c>
      <c r="C15" s="3590"/>
      <c r="D15" s="3590"/>
      <c r="E15" s="3590"/>
      <c r="F15" s="3590"/>
      <c r="G15" s="3590"/>
      <c r="H15" s="3590"/>
      <c r="I15" s="3590"/>
      <c r="J15" s="3590"/>
      <c r="K15" s="3590"/>
      <c r="L15" s="3590"/>
      <c r="M15" s="3590"/>
      <c r="N15" s="3590"/>
      <c r="O15" s="3590"/>
      <c r="P15" s="1107"/>
    </row>
    <row r="16" spans="2:16" ht="55.25" customHeight="1" outlineLevel="3">
      <c r="B16" s="3589" t="s">
        <v>170</v>
      </c>
      <c r="C16" s="3589"/>
      <c r="D16" s="1806" t="s">
        <v>156</v>
      </c>
      <c r="E16" s="1806">
        <v>0</v>
      </c>
      <c r="F16" s="3561">
        <v>2021</v>
      </c>
      <c r="G16" s="3562"/>
      <c r="H16" s="1806" t="s">
        <v>157</v>
      </c>
      <c r="I16" s="1806" t="s">
        <v>157</v>
      </c>
      <c r="J16" s="1806">
        <v>30</v>
      </c>
      <c r="K16" s="1806">
        <v>2028</v>
      </c>
      <c r="L16" s="3589" t="s">
        <v>171</v>
      </c>
      <c r="M16" s="3589"/>
      <c r="N16" s="3589" t="s">
        <v>172</v>
      </c>
      <c r="O16" s="3589"/>
      <c r="P16" s="212"/>
    </row>
    <row r="17" spans="2:16" s="1108" customFormat="1" ht="17" customHeight="1" outlineLevel="2">
      <c r="B17" s="3590" t="s">
        <v>173</v>
      </c>
      <c r="C17" s="3590"/>
      <c r="D17" s="3590"/>
      <c r="E17" s="3590"/>
      <c r="F17" s="3590"/>
      <c r="G17" s="3590"/>
      <c r="H17" s="3590"/>
      <c r="I17" s="3590"/>
      <c r="J17" s="3590"/>
      <c r="K17" s="3590"/>
      <c r="L17" s="3590"/>
      <c r="M17" s="3590"/>
      <c r="N17" s="3590"/>
      <c r="O17" s="3590"/>
      <c r="P17" s="1107"/>
    </row>
    <row r="18" spans="2:16" ht="44" customHeight="1" outlineLevel="3">
      <c r="B18" s="3589" t="s">
        <v>174</v>
      </c>
      <c r="C18" s="3589"/>
      <c r="D18" s="1806" t="s">
        <v>156</v>
      </c>
      <c r="E18" s="1806">
        <v>12.8</v>
      </c>
      <c r="F18" s="3561">
        <v>2020</v>
      </c>
      <c r="G18" s="3562"/>
      <c r="H18" s="1806" t="s">
        <v>157</v>
      </c>
      <c r="I18" s="1806" t="s">
        <v>157</v>
      </c>
      <c r="J18" s="1807">
        <v>0.05</v>
      </c>
      <c r="K18" s="1806">
        <v>2028</v>
      </c>
      <c r="L18" s="3589" t="s">
        <v>175</v>
      </c>
      <c r="M18" s="3589"/>
      <c r="N18" s="3589" t="s">
        <v>176</v>
      </c>
      <c r="O18" s="3589"/>
      <c r="P18" s="212"/>
    </row>
    <row r="19" spans="2:16" ht="39.5" customHeight="1" outlineLevel="3">
      <c r="B19" s="3589" t="s">
        <v>177</v>
      </c>
      <c r="C19" s="3589"/>
      <c r="D19" s="1806" t="s">
        <v>178</v>
      </c>
      <c r="E19" s="1806">
        <v>172</v>
      </c>
      <c r="F19" s="3561">
        <v>2020</v>
      </c>
      <c r="G19" s="3562"/>
      <c r="H19" s="1806" t="s">
        <v>157</v>
      </c>
      <c r="I19" s="1806" t="s">
        <v>157</v>
      </c>
      <c r="J19" s="1806">
        <v>100</v>
      </c>
      <c r="K19" s="1806">
        <v>2028</v>
      </c>
      <c r="L19" s="3589" t="s">
        <v>175</v>
      </c>
      <c r="M19" s="3589"/>
      <c r="N19" s="3589"/>
      <c r="O19" s="3589"/>
      <c r="P19" s="212"/>
    </row>
    <row r="20" spans="2:16" ht="37.25" customHeight="1" outlineLevel="3">
      <c r="B20" s="3589" t="s">
        <v>179</v>
      </c>
      <c r="C20" s="3589"/>
      <c r="D20" s="1806" t="s">
        <v>180</v>
      </c>
      <c r="E20" s="1806">
        <v>3</v>
      </c>
      <c r="F20" s="3561">
        <v>2020</v>
      </c>
      <c r="G20" s="3562"/>
      <c r="H20" s="1806" t="s">
        <v>157</v>
      </c>
      <c r="I20" s="1806" t="s">
        <v>157</v>
      </c>
      <c r="J20" s="1806">
        <v>1</v>
      </c>
      <c r="K20" s="1806">
        <v>2028</v>
      </c>
      <c r="L20" s="3589" t="s">
        <v>175</v>
      </c>
      <c r="M20" s="3589"/>
      <c r="N20" s="3589" t="s">
        <v>181</v>
      </c>
      <c r="O20" s="3589"/>
      <c r="P20" s="212"/>
    </row>
    <row r="21" spans="2:16" ht="39" customHeight="1" outlineLevel="3">
      <c r="B21" s="3589" t="s">
        <v>182</v>
      </c>
      <c r="C21" s="3589"/>
      <c r="D21" s="1806" t="s">
        <v>156</v>
      </c>
      <c r="E21" s="1806">
        <v>17</v>
      </c>
      <c r="F21" s="3561">
        <v>2021</v>
      </c>
      <c r="G21" s="3562"/>
      <c r="H21" s="1806" t="s">
        <v>157</v>
      </c>
      <c r="I21" s="1806" t="s">
        <v>157</v>
      </c>
      <c r="J21" s="1806">
        <v>5</v>
      </c>
      <c r="K21" s="1806">
        <v>2028</v>
      </c>
      <c r="L21" s="3589" t="s">
        <v>175</v>
      </c>
      <c r="M21" s="3589"/>
      <c r="N21" s="3589" t="s">
        <v>183</v>
      </c>
      <c r="O21" s="3589"/>
      <c r="P21" s="212"/>
    </row>
    <row r="22" spans="2:16" outlineLevel="2">
      <c r="B22" s="217"/>
      <c r="C22" s="217"/>
      <c r="D22" s="216"/>
      <c r="E22" s="216"/>
      <c r="F22" s="216"/>
      <c r="G22" s="216"/>
      <c r="H22" s="216"/>
      <c r="I22" s="216"/>
      <c r="J22" s="217"/>
      <c r="K22" s="217"/>
      <c r="L22" s="217"/>
      <c r="M22" s="216"/>
      <c r="N22" s="216"/>
      <c r="O22" s="216"/>
      <c r="P22" s="212"/>
    </row>
    <row r="23" spans="2:16" ht="11" customHeight="1" outlineLevel="1">
      <c r="B23" s="215"/>
      <c r="C23" s="215"/>
      <c r="D23" s="216"/>
      <c r="E23" s="216"/>
      <c r="F23" s="216"/>
      <c r="G23" s="216"/>
      <c r="H23" s="216"/>
      <c r="I23" s="216"/>
      <c r="J23" s="217"/>
      <c r="K23" s="217"/>
      <c r="L23" s="217"/>
      <c r="M23" s="217"/>
      <c r="N23" s="218"/>
      <c r="O23" s="387"/>
      <c r="P23" s="212"/>
    </row>
    <row r="24" spans="2:16">
      <c r="B24" s="3569" t="e">
        <f>+'8_MP'!#REF!</f>
        <v>#REF!</v>
      </c>
      <c r="C24" s="3569"/>
      <c r="D24" s="3569"/>
      <c r="E24" s="3569"/>
      <c r="F24" s="3569"/>
      <c r="G24" s="3569"/>
      <c r="H24" s="3569"/>
      <c r="I24" s="3569"/>
      <c r="J24" s="3569"/>
      <c r="K24" s="3569"/>
      <c r="L24" s="3569"/>
      <c r="M24" s="3569"/>
      <c r="N24" s="3569"/>
      <c r="O24" s="3569"/>
    </row>
    <row r="25" spans="2:16" ht="26">
      <c r="B25" s="388" t="s">
        <v>184</v>
      </c>
      <c r="C25" s="389" t="s">
        <v>185</v>
      </c>
      <c r="D25" s="389" t="s">
        <v>186</v>
      </c>
      <c r="E25" s="389" t="s">
        <v>147</v>
      </c>
      <c r="F25" s="389" t="s">
        <v>187</v>
      </c>
      <c r="G25" s="389" t="s">
        <v>188</v>
      </c>
      <c r="H25" s="389" t="s">
        <v>189</v>
      </c>
      <c r="I25" s="389" t="s">
        <v>190</v>
      </c>
      <c r="J25" s="389" t="s">
        <v>191</v>
      </c>
      <c r="K25" s="389" t="s">
        <v>192</v>
      </c>
      <c r="L25" s="389" t="s">
        <v>193</v>
      </c>
      <c r="M25" s="3570" t="s">
        <v>194</v>
      </c>
      <c r="N25" s="3571"/>
      <c r="O25" s="389" t="s">
        <v>151</v>
      </c>
    </row>
    <row r="26" spans="2:16" ht="19.25" customHeight="1">
      <c r="B26" s="3573" t="str">
        <f>+'8_MP'!H8</f>
        <v>Subcomponente 1.1 Transparencia en finanzas públicas</v>
      </c>
      <c r="C26" s="3573"/>
      <c r="D26" s="3573"/>
      <c r="E26" s="3573"/>
      <c r="F26" s="3573"/>
      <c r="G26" s="3573"/>
      <c r="H26" s="3573"/>
      <c r="I26" s="3573"/>
      <c r="J26" s="3573"/>
      <c r="K26" s="3573"/>
      <c r="L26" s="3573"/>
      <c r="M26" s="3573"/>
      <c r="N26" s="3573"/>
      <c r="O26" s="3573"/>
    </row>
    <row r="27" spans="2:16" ht="96" outlineLevel="1">
      <c r="B27" s="1881" t="s">
        <v>195</v>
      </c>
      <c r="C27" s="1882" t="s">
        <v>196</v>
      </c>
      <c r="D27" s="1883">
        <v>0</v>
      </c>
      <c r="E27" s="1884">
        <v>2021</v>
      </c>
      <c r="F27" s="1884" t="s">
        <v>157</v>
      </c>
      <c r="G27" s="1884" t="s">
        <v>157</v>
      </c>
      <c r="H27" s="1884" t="s">
        <v>157</v>
      </c>
      <c r="I27" s="1884">
        <v>1</v>
      </c>
      <c r="J27" s="1884">
        <v>1</v>
      </c>
      <c r="K27" s="1884">
        <v>1</v>
      </c>
      <c r="L27" s="1884">
        <f>SUM(F27:K27)</f>
        <v>3</v>
      </c>
      <c r="M27" s="3560" t="s">
        <v>197</v>
      </c>
      <c r="N27" s="3560"/>
      <c r="O27" s="1886" t="s">
        <v>198</v>
      </c>
    </row>
    <row r="28" spans="2:16" s="385" customFormat="1" ht="49.25" customHeight="1" outlineLevel="1">
      <c r="B28" s="1887" t="s">
        <v>199</v>
      </c>
      <c r="C28" s="1855" t="s">
        <v>200</v>
      </c>
      <c r="D28" s="1856">
        <v>0</v>
      </c>
      <c r="E28" s="1857">
        <v>2021</v>
      </c>
      <c r="F28" s="1884" t="s">
        <v>157</v>
      </c>
      <c r="G28" s="1884" t="s">
        <v>157</v>
      </c>
      <c r="H28" s="1857">
        <v>1</v>
      </c>
      <c r="I28" s="1884" t="s">
        <v>157</v>
      </c>
      <c r="J28" s="1884" t="s">
        <v>157</v>
      </c>
      <c r="K28" s="1884" t="s">
        <v>157</v>
      </c>
      <c r="L28" s="1884">
        <f>SUM(F28:K28)</f>
        <v>1</v>
      </c>
      <c r="M28" s="3578"/>
      <c r="N28" s="3579"/>
      <c r="O28" s="1888"/>
    </row>
    <row r="29" spans="2:16" ht="37.25" customHeight="1" outlineLevel="1">
      <c r="B29" s="1889" t="s">
        <v>13</v>
      </c>
      <c r="C29" s="1882" t="s">
        <v>201</v>
      </c>
      <c r="D29" s="1883">
        <v>0</v>
      </c>
      <c r="E29" s="1884">
        <v>2021</v>
      </c>
      <c r="F29" s="1884"/>
      <c r="G29" s="1884" t="s">
        <v>157</v>
      </c>
      <c r="H29" s="1884"/>
      <c r="I29" s="1884">
        <v>1</v>
      </c>
      <c r="J29" s="1885" t="s">
        <v>157</v>
      </c>
      <c r="K29" s="1884" t="s">
        <v>157</v>
      </c>
      <c r="L29" s="1884">
        <f t="shared" ref="L29:L36" si="0">SUM(F29:K29)</f>
        <v>1</v>
      </c>
      <c r="M29" s="3560" t="s">
        <v>202</v>
      </c>
      <c r="N29" s="3560"/>
      <c r="O29" s="1890" t="s">
        <v>203</v>
      </c>
    </row>
    <row r="30" spans="2:16" s="385" customFormat="1" ht="24" outlineLevel="1">
      <c r="B30" s="1876" t="s">
        <v>204</v>
      </c>
      <c r="C30" s="1877" t="s">
        <v>205</v>
      </c>
      <c r="D30" s="1878">
        <v>0</v>
      </c>
      <c r="E30" s="1861">
        <v>2021</v>
      </c>
      <c r="F30" s="1861" t="s">
        <v>157</v>
      </c>
      <c r="G30" s="1852" t="s">
        <v>157</v>
      </c>
      <c r="H30" s="1879" t="s">
        <v>157</v>
      </c>
      <c r="I30" s="1861">
        <v>2</v>
      </c>
      <c r="J30" s="1861" t="s">
        <v>157</v>
      </c>
      <c r="K30" s="1861" t="s">
        <v>157</v>
      </c>
      <c r="L30" s="1852">
        <f t="shared" si="0"/>
        <v>2</v>
      </c>
      <c r="M30" s="3576" t="s">
        <v>206</v>
      </c>
      <c r="N30" s="3577"/>
      <c r="O30" s="1880"/>
    </row>
    <row r="31" spans="2:16" ht="39.5" customHeight="1" outlineLevel="1">
      <c r="B31" s="1839" t="s">
        <v>14</v>
      </c>
      <c r="C31" s="1774" t="s">
        <v>207</v>
      </c>
      <c r="D31" s="1874">
        <v>0</v>
      </c>
      <c r="E31" s="1776">
        <v>2021</v>
      </c>
      <c r="F31" s="1776" t="s">
        <v>157</v>
      </c>
      <c r="G31" s="1776" t="s">
        <v>157</v>
      </c>
      <c r="H31" s="1776" t="s">
        <v>157</v>
      </c>
      <c r="I31" s="1776" t="s">
        <v>157</v>
      </c>
      <c r="J31" s="1776">
        <v>1</v>
      </c>
      <c r="K31" s="1776" t="s">
        <v>157</v>
      </c>
      <c r="L31" s="1776">
        <f t="shared" si="0"/>
        <v>1</v>
      </c>
      <c r="M31" s="3558" t="s">
        <v>202</v>
      </c>
      <c r="N31" s="3559"/>
      <c r="O31" s="1527"/>
    </row>
    <row r="32" spans="2:16" ht="26" customHeight="1" outlineLevel="1">
      <c r="B32" s="1842" t="s">
        <v>208</v>
      </c>
      <c r="C32" s="1774" t="s">
        <v>200</v>
      </c>
      <c r="D32" s="1874">
        <v>0</v>
      </c>
      <c r="E32" s="1776">
        <v>2021</v>
      </c>
      <c r="F32" s="1776" t="s">
        <v>157</v>
      </c>
      <c r="G32" s="1776">
        <v>1</v>
      </c>
      <c r="H32" s="1781" t="s">
        <v>157</v>
      </c>
      <c r="I32" s="1776" t="s">
        <v>157</v>
      </c>
      <c r="J32" s="1776" t="s">
        <v>157</v>
      </c>
      <c r="K32" s="1776" t="s">
        <v>157</v>
      </c>
      <c r="L32" s="1776">
        <f t="shared" si="0"/>
        <v>1</v>
      </c>
      <c r="M32" s="3558" t="s">
        <v>209</v>
      </c>
      <c r="N32" s="3559"/>
      <c r="O32" s="1527"/>
    </row>
    <row r="33" spans="2:15" ht="26" customHeight="1" outlineLevel="1">
      <c r="B33" s="1843" t="s">
        <v>210</v>
      </c>
      <c r="C33" s="1774" t="s">
        <v>211</v>
      </c>
      <c r="D33" s="1874">
        <v>0</v>
      </c>
      <c r="E33" s="1776">
        <v>2021</v>
      </c>
      <c r="F33" s="1776" t="s">
        <v>157</v>
      </c>
      <c r="G33" s="1776" t="s">
        <v>157</v>
      </c>
      <c r="H33" s="1776">
        <v>2</v>
      </c>
      <c r="I33" s="1781" t="s">
        <v>157</v>
      </c>
      <c r="J33" s="1776" t="s">
        <v>157</v>
      </c>
      <c r="K33" s="1776" t="s">
        <v>157</v>
      </c>
      <c r="L33" s="1776">
        <f t="shared" si="0"/>
        <v>2</v>
      </c>
      <c r="M33" s="3558" t="s">
        <v>212</v>
      </c>
      <c r="N33" s="3559"/>
      <c r="O33" s="1527"/>
    </row>
    <row r="34" spans="2:15" ht="26" customHeight="1" outlineLevel="1">
      <c r="B34" s="1839" t="s">
        <v>15</v>
      </c>
      <c r="C34" s="1774" t="s">
        <v>213</v>
      </c>
      <c r="D34" s="1874">
        <v>0</v>
      </c>
      <c r="E34" s="1776">
        <v>2021</v>
      </c>
      <c r="F34" s="1776" t="s">
        <v>157</v>
      </c>
      <c r="G34" s="1776" t="s">
        <v>157</v>
      </c>
      <c r="H34" s="1776" t="s">
        <v>157</v>
      </c>
      <c r="I34" s="1776" t="s">
        <v>157</v>
      </c>
      <c r="J34" s="1776" t="s">
        <v>157</v>
      </c>
      <c r="K34" s="1776">
        <v>1</v>
      </c>
      <c r="L34" s="1776">
        <f t="shared" si="0"/>
        <v>1</v>
      </c>
      <c r="M34" s="3558" t="s">
        <v>214</v>
      </c>
      <c r="N34" s="3559"/>
      <c r="O34" s="1527"/>
    </row>
    <row r="35" spans="2:15" ht="26" customHeight="1" outlineLevel="1">
      <c r="B35" s="1843" t="s">
        <v>215</v>
      </c>
      <c r="C35" s="1788" t="s">
        <v>216</v>
      </c>
      <c r="D35" s="1874">
        <v>0</v>
      </c>
      <c r="E35" s="1776">
        <v>2021</v>
      </c>
      <c r="F35" s="1776" t="s">
        <v>157</v>
      </c>
      <c r="G35" s="1776" t="s">
        <v>157</v>
      </c>
      <c r="H35" s="1776">
        <v>1</v>
      </c>
      <c r="I35" s="1776" t="s">
        <v>157</v>
      </c>
      <c r="J35" s="1776" t="s">
        <v>157</v>
      </c>
      <c r="K35" s="1776" t="s">
        <v>157</v>
      </c>
      <c r="L35" s="1776">
        <f t="shared" si="0"/>
        <v>1</v>
      </c>
      <c r="M35" s="3558" t="s">
        <v>217</v>
      </c>
      <c r="N35" s="3559"/>
      <c r="O35" s="1527"/>
    </row>
    <row r="36" spans="2:15" ht="60" outlineLevel="1">
      <c r="B36" s="1843" t="s">
        <v>218</v>
      </c>
      <c r="C36" s="1774" t="s">
        <v>219</v>
      </c>
      <c r="D36" s="1874">
        <v>0</v>
      </c>
      <c r="E36" s="1776">
        <v>2021</v>
      </c>
      <c r="F36" s="1776" t="s">
        <v>157</v>
      </c>
      <c r="G36" s="1776" t="s">
        <v>157</v>
      </c>
      <c r="H36" s="1776">
        <v>5</v>
      </c>
      <c r="I36" s="1776">
        <v>5</v>
      </c>
      <c r="J36" s="1776">
        <v>5</v>
      </c>
      <c r="K36" s="1776">
        <v>3</v>
      </c>
      <c r="L36" s="1776">
        <f t="shared" si="0"/>
        <v>18</v>
      </c>
      <c r="M36" s="3558" t="s">
        <v>220</v>
      </c>
      <c r="N36" s="3559"/>
      <c r="O36" s="1527" t="s">
        <v>221</v>
      </c>
    </row>
    <row r="37" spans="2:15" ht="24" outlineLevel="1">
      <c r="B37" s="1875" t="s">
        <v>17</v>
      </c>
      <c r="C37" s="1774" t="s">
        <v>196</v>
      </c>
      <c r="D37" s="1874">
        <v>0</v>
      </c>
      <c r="E37" s="1776">
        <v>2021</v>
      </c>
      <c r="F37" s="1776" t="s">
        <v>157</v>
      </c>
      <c r="G37" s="1776" t="s">
        <v>157</v>
      </c>
      <c r="H37" s="1776">
        <v>1</v>
      </c>
      <c r="I37" s="1776">
        <v>1</v>
      </c>
      <c r="J37" s="1776">
        <v>1</v>
      </c>
      <c r="K37" s="1776">
        <v>1</v>
      </c>
      <c r="L37" s="1776">
        <f>SUM(F37:K37)</f>
        <v>4</v>
      </c>
      <c r="M37" s="3558" t="s">
        <v>222</v>
      </c>
      <c r="N37" s="3559"/>
      <c r="O37" s="1527"/>
    </row>
    <row r="38" spans="2:15" ht="21" customHeight="1">
      <c r="B38" s="3569" t="str">
        <f>+'8_MP'!H73</f>
        <v>Subcomponente 1.2 Eficiencia en las contrataciones públicas</v>
      </c>
      <c r="C38" s="3569"/>
      <c r="D38" s="3569"/>
      <c r="E38" s="3569"/>
      <c r="F38" s="3569"/>
      <c r="G38" s="3569"/>
      <c r="H38" s="3569"/>
      <c r="I38" s="3569"/>
      <c r="J38" s="3569"/>
      <c r="K38" s="3569"/>
      <c r="L38" s="3569"/>
      <c r="M38" s="3569"/>
      <c r="N38" s="3569"/>
      <c r="O38" s="3569"/>
    </row>
    <row r="39" spans="2:15" s="708" customFormat="1" ht="132" outlineLevel="1">
      <c r="B39" s="1837" t="str">
        <f>+'8_MP'!H74</f>
        <v>Producto 4: Modernización del Sistema de Contrataciones Públicas con accesibilidad para personas con discapacidad desarrollada. Incluye ajustes al sistema de información acutal de contrataciones y Sistema de detección de irregularidades y alertas tempranas</v>
      </c>
      <c r="C39" s="1774" t="s">
        <v>213</v>
      </c>
      <c r="D39" s="1775">
        <v>0</v>
      </c>
      <c r="E39" s="1776">
        <v>2021</v>
      </c>
      <c r="F39" s="1779" t="s">
        <v>157</v>
      </c>
      <c r="G39" s="1779" t="s">
        <v>157</v>
      </c>
      <c r="H39" s="1779" t="s">
        <v>157</v>
      </c>
      <c r="I39" s="1779" t="s">
        <v>157</v>
      </c>
      <c r="J39" s="1779">
        <v>1</v>
      </c>
      <c r="K39" s="1779" t="s">
        <v>157</v>
      </c>
      <c r="L39" s="1776">
        <f>SUM(F39:K39)</f>
        <v>1</v>
      </c>
      <c r="M39" s="3558" t="s">
        <v>202</v>
      </c>
      <c r="N39" s="3559"/>
      <c r="O39" s="1477" t="s">
        <v>223</v>
      </c>
    </row>
    <row r="40" spans="2:15" s="1361" customFormat="1" outlineLevel="1">
      <c r="B40" s="1845" t="s">
        <v>224</v>
      </c>
      <c r="C40" s="1778" t="s">
        <v>213</v>
      </c>
      <c r="D40" s="1783">
        <v>0</v>
      </c>
      <c r="E40" s="1777">
        <v>2021</v>
      </c>
      <c r="F40" s="1782" t="s">
        <v>157</v>
      </c>
      <c r="G40" s="1782">
        <v>1</v>
      </c>
      <c r="H40" s="1782" t="s">
        <v>157</v>
      </c>
      <c r="I40" s="1782" t="s">
        <v>157</v>
      </c>
      <c r="J40" s="1782" t="s">
        <v>157</v>
      </c>
      <c r="K40" s="1782" t="s">
        <v>157</v>
      </c>
      <c r="L40" s="1777">
        <f t="shared" ref="L40:L54" si="1">SUM(F40:K40)</f>
        <v>1</v>
      </c>
      <c r="M40" s="3565" t="s">
        <v>225</v>
      </c>
      <c r="N40" s="3566"/>
      <c r="O40" s="1478"/>
    </row>
    <row r="41" spans="2:15" s="1361" customFormat="1" ht="33" customHeight="1" outlineLevel="2">
      <c r="B41" s="1854" t="s">
        <v>226</v>
      </c>
      <c r="C41" s="1855" t="s">
        <v>213</v>
      </c>
      <c r="D41" s="1856">
        <v>0</v>
      </c>
      <c r="E41" s="1857">
        <v>2021</v>
      </c>
      <c r="F41" s="1782" t="s">
        <v>157</v>
      </c>
      <c r="G41" s="1782" t="s">
        <v>157</v>
      </c>
      <c r="H41" s="1782" t="s">
        <v>157</v>
      </c>
      <c r="I41" s="1858">
        <v>1</v>
      </c>
      <c r="J41" s="1782" t="s">
        <v>157</v>
      </c>
      <c r="K41" s="1782" t="s">
        <v>157</v>
      </c>
      <c r="L41" s="1777">
        <f t="shared" si="1"/>
        <v>1</v>
      </c>
      <c r="M41" s="3563" t="s">
        <v>202</v>
      </c>
      <c r="N41" s="3564"/>
      <c r="O41" s="1859"/>
    </row>
    <row r="42" spans="2:15" s="1361" customFormat="1" ht="33" customHeight="1" outlineLevel="2">
      <c r="B42" s="1854" t="s">
        <v>227</v>
      </c>
      <c r="C42" s="1855" t="s">
        <v>213</v>
      </c>
      <c r="D42" s="1856">
        <v>0</v>
      </c>
      <c r="E42" s="1857">
        <v>2021</v>
      </c>
      <c r="F42" s="1782" t="s">
        <v>157</v>
      </c>
      <c r="G42" s="1782" t="s">
        <v>157</v>
      </c>
      <c r="H42" s="1782" t="s">
        <v>157</v>
      </c>
      <c r="I42" s="1782" t="s">
        <v>157</v>
      </c>
      <c r="J42" s="1858">
        <v>1</v>
      </c>
      <c r="K42" s="1782" t="s">
        <v>157</v>
      </c>
      <c r="L42" s="1777">
        <f t="shared" si="1"/>
        <v>1</v>
      </c>
      <c r="M42" s="3563" t="s">
        <v>202</v>
      </c>
      <c r="N42" s="3564"/>
      <c r="O42" s="1859"/>
    </row>
    <row r="43" spans="2:15" s="708" customFormat="1" outlineLevel="1">
      <c r="B43" s="1846" t="e">
        <f>+'8_MP'!#REF!</f>
        <v>#REF!</v>
      </c>
      <c r="C43" s="1850" t="s">
        <v>213</v>
      </c>
      <c r="D43" s="1851">
        <v>0</v>
      </c>
      <c r="E43" s="1852">
        <v>2021</v>
      </c>
      <c r="F43" s="1853" t="s">
        <v>157</v>
      </c>
      <c r="G43" s="1853" t="s">
        <v>157</v>
      </c>
      <c r="H43" s="1853" t="s">
        <v>157</v>
      </c>
      <c r="I43" s="1853">
        <v>1</v>
      </c>
      <c r="J43" s="1853" t="s">
        <v>157</v>
      </c>
      <c r="K43" s="1853" t="s">
        <v>157</v>
      </c>
      <c r="L43" s="1852">
        <f t="shared" si="1"/>
        <v>1</v>
      </c>
      <c r="M43" s="3558" t="s">
        <v>202</v>
      </c>
      <c r="N43" s="3585"/>
      <c r="O43" s="3582" t="s">
        <v>228</v>
      </c>
    </row>
    <row r="44" spans="2:15" s="1361" customFormat="1" ht="24" outlineLevel="2">
      <c r="B44" s="1860" t="s">
        <v>229</v>
      </c>
      <c r="C44" s="1855" t="s">
        <v>213</v>
      </c>
      <c r="D44" s="1856">
        <v>0</v>
      </c>
      <c r="E44" s="1852">
        <v>2021</v>
      </c>
      <c r="F44" s="1783" t="s">
        <v>157</v>
      </c>
      <c r="G44" s="1783" t="s">
        <v>157</v>
      </c>
      <c r="H44" s="1783">
        <v>1</v>
      </c>
      <c r="I44" s="1783" t="s">
        <v>157</v>
      </c>
      <c r="J44" s="1783" t="s">
        <v>157</v>
      </c>
      <c r="K44" s="1783" t="s">
        <v>157</v>
      </c>
      <c r="L44" s="1861">
        <f t="shared" si="1"/>
        <v>1</v>
      </c>
      <c r="M44" s="3574"/>
      <c r="N44" s="3586"/>
      <c r="O44" s="3583"/>
    </row>
    <row r="45" spans="2:15" s="1361" customFormat="1" ht="24" outlineLevel="2">
      <c r="B45" s="1860" t="s">
        <v>230</v>
      </c>
      <c r="C45" s="1855" t="s">
        <v>213</v>
      </c>
      <c r="D45" s="1856">
        <v>0</v>
      </c>
      <c r="E45" s="1852">
        <v>2021</v>
      </c>
      <c r="F45" s="1783" t="s">
        <v>157</v>
      </c>
      <c r="G45" s="1783" t="s">
        <v>157</v>
      </c>
      <c r="H45" s="1783">
        <v>1</v>
      </c>
      <c r="I45" s="1783" t="s">
        <v>157</v>
      </c>
      <c r="J45" s="1783" t="s">
        <v>157</v>
      </c>
      <c r="K45" s="1783" t="s">
        <v>157</v>
      </c>
      <c r="L45" s="1861">
        <f t="shared" si="1"/>
        <v>1</v>
      </c>
      <c r="M45" s="3574"/>
      <c r="N45" s="3586"/>
      <c r="O45" s="3583"/>
    </row>
    <row r="46" spans="2:15" s="1361" customFormat="1" ht="14.5" customHeight="1" outlineLevel="2">
      <c r="B46" s="1860" t="s">
        <v>231</v>
      </c>
      <c r="C46" s="1855" t="s">
        <v>213</v>
      </c>
      <c r="D46" s="1856">
        <v>0</v>
      </c>
      <c r="E46" s="1852">
        <v>2021</v>
      </c>
      <c r="F46" s="1783" t="s">
        <v>157</v>
      </c>
      <c r="G46" s="1783">
        <v>1</v>
      </c>
      <c r="H46" s="1783" t="s">
        <v>157</v>
      </c>
      <c r="I46" s="1783" t="s">
        <v>157</v>
      </c>
      <c r="J46" s="1783" t="s">
        <v>157</v>
      </c>
      <c r="K46" s="1783" t="s">
        <v>157</v>
      </c>
      <c r="L46" s="1861">
        <f t="shared" si="1"/>
        <v>1</v>
      </c>
      <c r="M46" s="3574"/>
      <c r="N46" s="3586"/>
      <c r="O46" s="3583"/>
    </row>
    <row r="47" spans="2:15" s="1361" customFormat="1" outlineLevel="2">
      <c r="B47" s="1854" t="s">
        <v>232</v>
      </c>
      <c r="C47" s="1855" t="s">
        <v>213</v>
      </c>
      <c r="D47" s="1856">
        <v>0</v>
      </c>
      <c r="E47" s="1852">
        <v>2021</v>
      </c>
      <c r="F47" s="1783" t="s">
        <v>157</v>
      </c>
      <c r="G47" s="1783" t="s">
        <v>157</v>
      </c>
      <c r="H47" s="1783">
        <v>1</v>
      </c>
      <c r="I47" s="1783" t="s">
        <v>157</v>
      </c>
      <c r="J47" s="1783" t="s">
        <v>157</v>
      </c>
      <c r="K47" s="1783" t="s">
        <v>157</v>
      </c>
      <c r="L47" s="1861">
        <f t="shared" si="1"/>
        <v>1</v>
      </c>
      <c r="M47" s="3587"/>
      <c r="N47" s="3588"/>
      <c r="O47" s="3584"/>
    </row>
    <row r="48" spans="2:15" s="708" customFormat="1" ht="33.5" customHeight="1" outlineLevel="1">
      <c r="B48" s="1846" t="str">
        <f>+'8_MP'!H108</f>
        <v>Sistema de detección de irregularidades y alertas tempranas diseñado e implementado</v>
      </c>
      <c r="C48" s="1850" t="s">
        <v>213</v>
      </c>
      <c r="D48" s="1851">
        <v>0</v>
      </c>
      <c r="E48" s="1852">
        <v>2021</v>
      </c>
      <c r="F48" s="1853" t="s">
        <v>157</v>
      </c>
      <c r="G48" s="1853" t="s">
        <v>157</v>
      </c>
      <c r="H48" s="1853">
        <v>1</v>
      </c>
      <c r="I48" s="1853" t="s">
        <v>157</v>
      </c>
      <c r="J48" s="1853" t="s">
        <v>157</v>
      </c>
      <c r="K48" s="1853" t="s">
        <v>157</v>
      </c>
      <c r="L48" s="1852">
        <v>1</v>
      </c>
      <c r="M48" s="3574" t="s">
        <v>202</v>
      </c>
      <c r="N48" s="3575"/>
      <c r="O48" s="1477" t="s">
        <v>233</v>
      </c>
    </row>
    <row r="49" spans="2:15" s="708" customFormat="1" ht="20.5" customHeight="1" outlineLevel="1">
      <c r="B49" s="1837">
        <f>+'8_MP'!H120</f>
        <v>0</v>
      </c>
      <c r="C49" s="1774" t="s">
        <v>213</v>
      </c>
      <c r="D49" s="1775">
        <v>0</v>
      </c>
      <c r="E49" s="1776">
        <v>2021</v>
      </c>
      <c r="F49" s="1891" t="s">
        <v>157</v>
      </c>
      <c r="G49" s="1891" t="s">
        <v>157</v>
      </c>
      <c r="H49" s="1891" t="s">
        <v>157</v>
      </c>
      <c r="I49" s="1891">
        <v>1</v>
      </c>
      <c r="J49" s="1891" t="s">
        <v>157</v>
      </c>
      <c r="K49" s="1891" t="s">
        <v>157</v>
      </c>
      <c r="L49" s="1892">
        <f>SUM(F49:K49)</f>
        <v>1</v>
      </c>
      <c r="M49" s="3558" t="s">
        <v>234</v>
      </c>
      <c r="N49" s="3559"/>
      <c r="O49" s="1477" t="s">
        <v>235</v>
      </c>
    </row>
    <row r="50" spans="2:15" s="1361" customFormat="1" ht="24" outlineLevel="2">
      <c r="B50" s="1854" t="s">
        <v>236</v>
      </c>
      <c r="C50" s="1778" t="s">
        <v>213</v>
      </c>
      <c r="D50" s="1783">
        <v>0</v>
      </c>
      <c r="E50" s="1777">
        <v>2021</v>
      </c>
      <c r="F50" s="1782" t="s">
        <v>157</v>
      </c>
      <c r="G50" s="1782" t="s">
        <v>157</v>
      </c>
      <c r="H50" s="1862">
        <v>1</v>
      </c>
      <c r="I50" s="1782" t="s">
        <v>157</v>
      </c>
      <c r="J50" s="1782" t="s">
        <v>157</v>
      </c>
      <c r="K50" s="1782" t="s">
        <v>157</v>
      </c>
      <c r="L50" s="1861">
        <f t="shared" si="1"/>
        <v>1</v>
      </c>
      <c r="M50" s="3578"/>
      <c r="N50" s="3579"/>
      <c r="O50" s="1859"/>
    </row>
    <row r="51" spans="2:15" s="1361" customFormat="1" outlineLevel="2">
      <c r="B51" s="1854" t="s">
        <v>237</v>
      </c>
      <c r="C51" s="1778" t="s">
        <v>213</v>
      </c>
      <c r="D51" s="1783">
        <v>0</v>
      </c>
      <c r="E51" s="1777">
        <v>2021</v>
      </c>
      <c r="F51" s="1782" t="s">
        <v>157</v>
      </c>
      <c r="G51" s="1782" t="s">
        <v>157</v>
      </c>
      <c r="H51" s="1862">
        <v>1</v>
      </c>
      <c r="I51" s="1782" t="s">
        <v>157</v>
      </c>
      <c r="J51" s="1782" t="s">
        <v>157</v>
      </c>
      <c r="K51" s="1782" t="s">
        <v>157</v>
      </c>
      <c r="L51" s="1861">
        <f t="shared" si="1"/>
        <v>1</v>
      </c>
      <c r="M51" s="3578"/>
      <c r="N51" s="3579"/>
      <c r="O51" s="1859"/>
    </row>
    <row r="52" spans="2:15" s="1361" customFormat="1" outlineLevel="2">
      <c r="B52" s="1854" t="s">
        <v>238</v>
      </c>
      <c r="C52" s="1778" t="s">
        <v>213</v>
      </c>
      <c r="D52" s="1783">
        <v>0</v>
      </c>
      <c r="E52" s="1777">
        <v>2021</v>
      </c>
      <c r="F52" s="1782" t="s">
        <v>157</v>
      </c>
      <c r="G52" s="1782" t="s">
        <v>157</v>
      </c>
      <c r="H52" s="1782" t="s">
        <v>157</v>
      </c>
      <c r="I52" s="1862">
        <v>1</v>
      </c>
      <c r="J52" s="1782" t="s">
        <v>157</v>
      </c>
      <c r="K52" s="1782" t="s">
        <v>157</v>
      </c>
      <c r="L52" s="1861">
        <f t="shared" si="1"/>
        <v>1</v>
      </c>
      <c r="M52" s="3578"/>
      <c r="N52" s="3579"/>
      <c r="O52" s="1859"/>
    </row>
    <row r="53" spans="2:15" s="1361" customFormat="1" outlineLevel="2">
      <c r="B53" s="1854" t="s">
        <v>239</v>
      </c>
      <c r="C53" s="1778" t="s">
        <v>213</v>
      </c>
      <c r="D53" s="1783">
        <v>0</v>
      </c>
      <c r="E53" s="1777">
        <v>2021</v>
      </c>
      <c r="F53" s="1782" t="s">
        <v>157</v>
      </c>
      <c r="G53" s="1862">
        <v>1</v>
      </c>
      <c r="H53" s="1782" t="s">
        <v>157</v>
      </c>
      <c r="I53" s="1782" t="s">
        <v>157</v>
      </c>
      <c r="J53" s="1782" t="s">
        <v>157</v>
      </c>
      <c r="K53" s="1782" t="s">
        <v>157</v>
      </c>
      <c r="L53" s="1861">
        <f t="shared" si="1"/>
        <v>1</v>
      </c>
      <c r="M53" s="3578"/>
      <c r="N53" s="3579"/>
      <c r="O53" s="1859"/>
    </row>
    <row r="54" spans="2:15" s="708" customFormat="1" ht="21" customHeight="1" outlineLevel="1">
      <c r="B54" s="1846" t="str">
        <f>+'8_MP'!H134</f>
        <v>Centro de Estudios de Investigación en las Contrataciones Públicas</v>
      </c>
      <c r="C54" s="1850" t="s">
        <v>213</v>
      </c>
      <c r="D54" s="1851">
        <v>0</v>
      </c>
      <c r="E54" s="1852">
        <v>2021</v>
      </c>
      <c r="F54" s="1853" t="s">
        <v>157</v>
      </c>
      <c r="G54" s="1853" t="s">
        <v>157</v>
      </c>
      <c r="H54" s="1853">
        <v>1</v>
      </c>
      <c r="I54" s="1853" t="s">
        <v>157</v>
      </c>
      <c r="J54" s="1853" t="s">
        <v>157</v>
      </c>
      <c r="K54" s="1853" t="s">
        <v>157</v>
      </c>
      <c r="L54" s="1852">
        <f t="shared" si="1"/>
        <v>1</v>
      </c>
      <c r="M54" s="3558" t="s">
        <v>240</v>
      </c>
      <c r="N54" s="3559"/>
      <c r="O54" s="3580" t="s">
        <v>241</v>
      </c>
    </row>
    <row r="55" spans="2:15" s="1361" customFormat="1" ht="33.5" customHeight="1" outlineLevel="2">
      <c r="B55" s="1854" t="s">
        <v>242</v>
      </c>
      <c r="C55" s="1778" t="s">
        <v>213</v>
      </c>
      <c r="D55" s="1783">
        <v>0</v>
      </c>
      <c r="E55" s="1777">
        <v>2021</v>
      </c>
      <c r="F55" s="1782" t="s">
        <v>157</v>
      </c>
      <c r="G55" s="1862">
        <v>1</v>
      </c>
      <c r="H55" s="1782" t="s">
        <v>157</v>
      </c>
      <c r="I55" s="1782" t="s">
        <v>157</v>
      </c>
      <c r="J55" s="1782" t="s">
        <v>157</v>
      </c>
      <c r="K55" s="1782" t="s">
        <v>157</v>
      </c>
      <c r="L55" s="1861">
        <f>SUM(F55:K55)</f>
        <v>1</v>
      </c>
      <c r="M55" s="3556"/>
      <c r="N55" s="3557"/>
      <c r="O55" s="3581"/>
    </row>
    <row r="56" spans="2:15" s="708" customFormat="1" ht="6" customHeight="1" outlineLevel="1">
      <c r="B56" s="1408"/>
      <c r="C56" s="1409"/>
      <c r="D56" s="1410"/>
      <c r="E56" s="1411"/>
      <c r="F56" s="1412"/>
      <c r="G56" s="1412"/>
      <c r="H56" s="1412"/>
      <c r="I56" s="1412"/>
      <c r="J56" s="1412"/>
      <c r="K56" s="1412"/>
      <c r="L56" s="1413"/>
      <c r="M56" s="1414"/>
      <c r="N56" s="1414"/>
      <c r="O56" s="1415"/>
    </row>
    <row r="57" spans="2:15" ht="21" customHeight="1">
      <c r="B57" s="3569">
        <f>+'8_MP'!H142</f>
        <v>0</v>
      </c>
      <c r="C57" s="3569"/>
      <c r="D57" s="3569"/>
      <c r="E57" s="3569"/>
      <c r="F57" s="3573"/>
      <c r="G57" s="3573"/>
      <c r="H57" s="3573"/>
      <c r="I57" s="3573"/>
      <c r="J57" s="3569"/>
      <c r="K57" s="3569"/>
      <c r="L57" s="3569"/>
      <c r="M57" s="3569"/>
      <c r="N57" s="3569"/>
      <c r="O57" s="3569"/>
    </row>
    <row r="58" spans="2:15" s="708" customFormat="1" ht="43.25" customHeight="1" outlineLevel="1">
      <c r="B58" s="1837" t="s">
        <v>30</v>
      </c>
      <c r="C58" s="1774" t="s">
        <v>213</v>
      </c>
      <c r="D58" s="1783">
        <v>0</v>
      </c>
      <c r="E58" s="1777">
        <v>2021</v>
      </c>
      <c r="F58" s="1782" t="s">
        <v>157</v>
      </c>
      <c r="G58" s="1782" t="s">
        <v>157</v>
      </c>
      <c r="H58" s="1782" t="s">
        <v>157</v>
      </c>
      <c r="I58" s="1894">
        <v>1</v>
      </c>
      <c r="J58" s="1782" t="s">
        <v>157</v>
      </c>
      <c r="K58" s="1779" t="s">
        <v>157</v>
      </c>
      <c r="L58" s="1893">
        <f>SUM(F58:K58)</f>
        <v>1</v>
      </c>
      <c r="M58" s="3567" t="s">
        <v>202</v>
      </c>
      <c r="N58" s="3568"/>
      <c r="O58" s="1477"/>
    </row>
    <row r="59" spans="2:15" s="708" customFormat="1" ht="60" outlineLevel="1">
      <c r="B59" s="1837" t="s">
        <v>31</v>
      </c>
      <c r="C59" s="1774" t="s">
        <v>213</v>
      </c>
      <c r="D59" s="1783">
        <v>0</v>
      </c>
      <c r="E59" s="1777">
        <v>2021</v>
      </c>
      <c r="F59" s="1782" t="s">
        <v>157</v>
      </c>
      <c r="G59" s="1782" t="s">
        <v>157</v>
      </c>
      <c r="H59" s="1782" t="s">
        <v>157</v>
      </c>
      <c r="I59" s="1894" t="s">
        <v>157</v>
      </c>
      <c r="J59" s="1782" t="s">
        <v>157</v>
      </c>
      <c r="K59" s="1779">
        <v>1</v>
      </c>
      <c r="L59" s="1893">
        <f>SUM(F59:K59)</f>
        <v>1</v>
      </c>
      <c r="M59" s="3558" t="s">
        <v>202</v>
      </c>
      <c r="N59" s="3559"/>
      <c r="O59" s="1477" t="s">
        <v>243</v>
      </c>
    </row>
    <row r="60" spans="2:15" ht="92" customHeight="1" outlineLevel="1">
      <c r="B60" s="1780" t="s">
        <v>244</v>
      </c>
      <c r="C60" s="1774" t="s">
        <v>213</v>
      </c>
      <c r="D60" s="1783">
        <v>0</v>
      </c>
      <c r="E60" s="1777">
        <v>2021</v>
      </c>
      <c r="F60" s="1782" t="s">
        <v>157</v>
      </c>
      <c r="G60" s="1776" t="s">
        <v>157</v>
      </c>
      <c r="H60" s="1776" t="s">
        <v>157</v>
      </c>
      <c r="I60" s="1776" t="s">
        <v>157</v>
      </c>
      <c r="J60" s="1782">
        <v>1</v>
      </c>
      <c r="K60" s="1782" t="s">
        <v>157</v>
      </c>
      <c r="L60" s="1893">
        <f>SUM(F60:K60)</f>
        <v>1</v>
      </c>
      <c r="M60" s="3558" t="s">
        <v>245</v>
      </c>
      <c r="N60" s="3559"/>
      <c r="O60" s="1109" t="s">
        <v>246</v>
      </c>
    </row>
    <row r="61" spans="2:15" ht="21" customHeight="1">
      <c r="B61" s="3572" t="str">
        <f>+'8_MP'!H177</f>
        <v>Adquisición e implementación de la Infraestructura y servicios TIC necesarios para la migración del SNIP ajustado y el nuevo sistema de Monitoreo, Seguimiento &amp; Evaluación.</v>
      </c>
      <c r="C61" s="3572"/>
      <c r="D61" s="3572"/>
      <c r="E61" s="3572"/>
      <c r="F61" s="3572"/>
      <c r="G61" s="3572"/>
      <c r="H61" s="3572"/>
      <c r="I61" s="3572"/>
      <c r="J61" s="3572"/>
      <c r="K61" s="3572"/>
      <c r="L61" s="3572"/>
      <c r="M61" s="3572"/>
      <c r="N61" s="3572"/>
      <c r="O61" s="3572"/>
    </row>
    <row r="62" spans="2:15" s="708" customFormat="1" ht="48" outlineLevel="1">
      <c r="B62" s="1837" t="str">
        <f>+'8_MP'!H178</f>
        <v>Adquisición e implementación de la Infraestructura y servicios TIC necesarios para la migración del SNIP ajustado y el nuevo sistema de Monitoreo, Seguimiento &amp; Evaluación.</v>
      </c>
      <c r="C62" s="1774" t="s">
        <v>247</v>
      </c>
      <c r="D62" s="1775">
        <v>0</v>
      </c>
      <c r="E62" s="1776">
        <v>2021</v>
      </c>
      <c r="F62" s="1779" t="s">
        <v>157</v>
      </c>
      <c r="G62" s="1779" t="s">
        <v>157</v>
      </c>
      <c r="H62" s="1779" t="s">
        <v>157</v>
      </c>
      <c r="I62" s="1779" t="s">
        <v>157</v>
      </c>
      <c r="J62" s="1779">
        <v>1</v>
      </c>
      <c r="K62" s="1779" t="s">
        <v>157</v>
      </c>
      <c r="L62" s="1776">
        <f>SUM(F62:J62)</f>
        <v>1</v>
      </c>
      <c r="M62" s="3558" t="s">
        <v>248</v>
      </c>
      <c r="N62" s="3559"/>
      <c r="O62" s="1477" t="s">
        <v>249</v>
      </c>
    </row>
    <row r="63" spans="2:15" s="708" customFormat="1" ht="24" outlineLevel="1">
      <c r="B63" s="1896" t="s">
        <v>250</v>
      </c>
      <c r="C63" s="1788" t="s">
        <v>251</v>
      </c>
      <c r="D63" s="1874">
        <v>0</v>
      </c>
      <c r="E63" s="1776">
        <v>2021</v>
      </c>
      <c r="F63" s="1776" t="s">
        <v>157</v>
      </c>
      <c r="G63" s="1776" t="s">
        <v>157</v>
      </c>
      <c r="H63" s="1776">
        <v>1</v>
      </c>
      <c r="I63" s="1776" t="s">
        <v>157</v>
      </c>
      <c r="J63" s="1776" t="s">
        <v>157</v>
      </c>
      <c r="K63" s="1776" t="s">
        <v>157</v>
      </c>
      <c r="L63" s="1776">
        <f>SUM(G63:J63)</f>
        <v>1</v>
      </c>
      <c r="M63" s="3558" t="s">
        <v>252</v>
      </c>
      <c r="N63" s="3559"/>
      <c r="O63" s="1527"/>
    </row>
    <row r="64" spans="2:15" s="1506" customFormat="1" outlineLevel="1">
      <c r="B64" s="1896" t="s">
        <v>253</v>
      </c>
      <c r="C64" s="1788" t="s">
        <v>205</v>
      </c>
      <c r="D64" s="1874">
        <v>0</v>
      </c>
      <c r="E64" s="1776">
        <v>2021</v>
      </c>
      <c r="F64" s="1776" t="s">
        <v>157</v>
      </c>
      <c r="G64" s="1776" t="s">
        <v>157</v>
      </c>
      <c r="H64" s="1776" t="s">
        <v>157</v>
      </c>
      <c r="I64" s="1776">
        <v>1</v>
      </c>
      <c r="J64" s="1776" t="s">
        <v>157</v>
      </c>
      <c r="K64" s="1776" t="s">
        <v>157</v>
      </c>
      <c r="L64" s="1776">
        <f>SUM(G64:J64)</f>
        <v>1</v>
      </c>
      <c r="M64" s="3558" t="s">
        <v>254</v>
      </c>
      <c r="N64" s="3559"/>
      <c r="O64" s="1527"/>
    </row>
    <row r="65" spans="2:15" s="708" customFormat="1" ht="96" outlineLevel="1">
      <c r="B65" s="1844" t="str">
        <f>+'8_MP'!H205</f>
        <v>Diseño de funciones de analítica avanzada sobre la base de los requisitos recogidos</v>
      </c>
      <c r="C65" s="1788" t="s">
        <v>255</v>
      </c>
      <c r="D65" s="1874">
        <v>0</v>
      </c>
      <c r="E65" s="1776">
        <v>2021</v>
      </c>
      <c r="F65" s="1776" t="s">
        <v>157</v>
      </c>
      <c r="G65" s="1776" t="s">
        <v>157</v>
      </c>
      <c r="H65" s="1776" t="s">
        <v>157</v>
      </c>
      <c r="I65" s="1776">
        <v>1</v>
      </c>
      <c r="J65" s="1776" t="s">
        <v>157</v>
      </c>
      <c r="K65" s="1776">
        <v>1</v>
      </c>
      <c r="L65" s="1776">
        <f>SUM(F65:J65)</f>
        <v>1</v>
      </c>
      <c r="M65" s="3558" t="s">
        <v>256</v>
      </c>
      <c r="N65" s="3559"/>
      <c r="O65" s="1527" t="s">
        <v>257</v>
      </c>
    </row>
    <row r="66" spans="2:15" ht="8.5" customHeight="1" outlineLevel="1">
      <c r="B66" s="1416"/>
      <c r="C66" s="1409"/>
      <c r="D66" s="1417"/>
      <c r="E66" s="1418"/>
      <c r="F66" s="1418"/>
      <c r="G66" s="1411"/>
      <c r="H66" s="1411"/>
      <c r="I66" s="1411"/>
      <c r="J66" s="1411"/>
      <c r="K66" s="1411"/>
      <c r="L66" s="1411"/>
      <c r="M66" s="1419"/>
      <c r="N66" s="1419"/>
      <c r="O66" s="1420"/>
    </row>
    <row r="67" spans="2:15" ht="21" customHeight="1">
      <c r="B67" s="3569" t="s">
        <v>258</v>
      </c>
      <c r="C67" s="3569"/>
      <c r="D67" s="3569"/>
      <c r="E67" s="3569"/>
      <c r="F67" s="3569"/>
      <c r="G67" s="3569"/>
      <c r="H67" s="3569"/>
      <c r="I67" s="3569"/>
      <c r="J67" s="3569"/>
      <c r="K67" s="3569"/>
      <c r="L67" s="3569"/>
      <c r="M67" s="3569"/>
      <c r="N67" s="3569"/>
      <c r="O67" s="3569"/>
    </row>
    <row r="68" spans="2:15" ht="32.5" customHeight="1">
      <c r="B68" s="389" t="s">
        <v>184</v>
      </c>
      <c r="C68" s="389" t="s">
        <v>185</v>
      </c>
      <c r="D68" s="389" t="s">
        <v>186</v>
      </c>
      <c r="E68" s="389" t="s">
        <v>147</v>
      </c>
      <c r="F68" s="389" t="s">
        <v>187</v>
      </c>
      <c r="G68" s="389" t="s">
        <v>188</v>
      </c>
      <c r="H68" s="389" t="s">
        <v>189</v>
      </c>
      <c r="I68" s="389" t="s">
        <v>190</v>
      </c>
      <c r="J68" s="389" t="s">
        <v>191</v>
      </c>
      <c r="K68" s="389" t="s">
        <v>192</v>
      </c>
      <c r="L68" s="389" t="s">
        <v>193</v>
      </c>
      <c r="M68" s="3570" t="s">
        <v>194</v>
      </c>
      <c r="N68" s="3571"/>
      <c r="O68" s="389" t="s">
        <v>151</v>
      </c>
    </row>
    <row r="69" spans="2:15" ht="21" customHeight="1">
      <c r="B69" s="3569" t="s">
        <v>259</v>
      </c>
      <c r="C69" s="3569"/>
      <c r="D69" s="3569"/>
      <c r="E69" s="3569"/>
      <c r="F69" s="3569"/>
      <c r="G69" s="3569"/>
      <c r="H69" s="3569"/>
      <c r="I69" s="3569"/>
      <c r="J69" s="3569"/>
      <c r="K69" s="3569"/>
      <c r="L69" s="3569"/>
      <c r="M69" s="3569"/>
      <c r="N69" s="3569"/>
      <c r="O69" s="3569"/>
    </row>
    <row r="70" spans="2:15" s="708" customFormat="1" ht="23" customHeight="1" outlineLevel="1">
      <c r="B70" s="1837" t="s">
        <v>260</v>
      </c>
      <c r="C70" s="1774" t="s">
        <v>251</v>
      </c>
      <c r="D70" s="1775">
        <v>0</v>
      </c>
      <c r="E70" s="1776">
        <v>2021</v>
      </c>
      <c r="F70" s="1779" t="s">
        <v>157</v>
      </c>
      <c r="G70" s="1779" t="s">
        <v>157</v>
      </c>
      <c r="H70" s="1779">
        <v>1</v>
      </c>
      <c r="I70" s="1779" t="s">
        <v>157</v>
      </c>
      <c r="J70" s="1779" t="s">
        <v>157</v>
      </c>
      <c r="K70" s="1779" t="s">
        <v>157</v>
      </c>
      <c r="L70" s="1776">
        <f>SUM(F70:K70)</f>
        <v>1</v>
      </c>
      <c r="M70" s="3558" t="s">
        <v>234</v>
      </c>
      <c r="N70" s="3559"/>
      <c r="O70" s="1477"/>
    </row>
    <row r="71" spans="2:15" s="708" customFormat="1" ht="19.25" customHeight="1" outlineLevel="1">
      <c r="B71" s="1844" t="s">
        <v>261</v>
      </c>
      <c r="C71" s="1774" t="s">
        <v>251</v>
      </c>
      <c r="D71" s="1874">
        <v>0</v>
      </c>
      <c r="E71" s="1776">
        <v>2021</v>
      </c>
      <c r="F71" s="1779" t="s">
        <v>157</v>
      </c>
      <c r="G71" s="1779" t="s">
        <v>157</v>
      </c>
      <c r="H71" s="1779" t="s">
        <v>157</v>
      </c>
      <c r="I71" s="1779">
        <v>1</v>
      </c>
      <c r="J71" s="1779" t="s">
        <v>157</v>
      </c>
      <c r="K71" s="1779" t="s">
        <v>157</v>
      </c>
      <c r="L71" s="1776">
        <f>SUM(F71:K71)</f>
        <v>1</v>
      </c>
      <c r="M71" s="3558" t="s">
        <v>234</v>
      </c>
      <c r="N71" s="3559"/>
      <c r="O71" s="1477"/>
    </row>
    <row r="72" spans="2:15" s="708" customFormat="1" ht="36" outlineLevel="1">
      <c r="B72" s="1844" t="s">
        <v>262</v>
      </c>
      <c r="C72" s="1774" t="s">
        <v>263</v>
      </c>
      <c r="D72" s="1874">
        <v>0</v>
      </c>
      <c r="E72" s="1776">
        <v>2021</v>
      </c>
      <c r="F72" s="1779" t="s">
        <v>157</v>
      </c>
      <c r="G72" s="1779" t="s">
        <v>157</v>
      </c>
      <c r="H72" s="1779" t="s">
        <v>157</v>
      </c>
      <c r="I72" s="1779">
        <v>1</v>
      </c>
      <c r="J72" s="1779" t="s">
        <v>157</v>
      </c>
      <c r="K72" s="1779" t="s">
        <v>157</v>
      </c>
      <c r="L72" s="1776">
        <f>SUM(F72:K72)</f>
        <v>1</v>
      </c>
      <c r="M72" s="3558" t="s">
        <v>264</v>
      </c>
      <c r="N72" s="3559"/>
      <c r="O72" s="1477"/>
    </row>
    <row r="73" spans="2:15" s="708" customFormat="1" ht="48" outlineLevel="1">
      <c r="B73" s="1844" t="s">
        <v>265</v>
      </c>
      <c r="C73" s="1774" t="s">
        <v>266</v>
      </c>
      <c r="D73" s="1874">
        <v>0</v>
      </c>
      <c r="E73" s="1776">
        <v>2021</v>
      </c>
      <c r="F73" s="1779" t="s">
        <v>157</v>
      </c>
      <c r="G73" s="1779" t="s">
        <v>157</v>
      </c>
      <c r="H73" s="1779">
        <v>1</v>
      </c>
      <c r="I73" s="1779">
        <v>1</v>
      </c>
      <c r="J73" s="1779">
        <v>1</v>
      </c>
      <c r="K73" s="1779">
        <v>1</v>
      </c>
      <c r="L73" s="1776">
        <f>SUM(F73:K73)</f>
        <v>4</v>
      </c>
      <c r="M73" s="3558" t="s">
        <v>234</v>
      </c>
      <c r="N73" s="3559"/>
      <c r="O73" s="1477" t="s">
        <v>267</v>
      </c>
    </row>
    <row r="74" spans="2:15" ht="21" customHeight="1">
      <c r="B74" s="3569" t="s">
        <v>268</v>
      </c>
      <c r="C74" s="3611"/>
      <c r="D74" s="3611"/>
      <c r="E74" s="3611"/>
      <c r="F74" s="3611"/>
      <c r="G74" s="3611"/>
      <c r="H74" s="3611"/>
      <c r="I74" s="3611"/>
      <c r="J74" s="3611"/>
      <c r="K74" s="3611"/>
      <c r="L74" s="3611"/>
      <c r="M74" s="3611"/>
      <c r="N74" s="3611"/>
      <c r="O74" s="3611"/>
    </row>
    <row r="75" spans="2:15" s="708" customFormat="1" ht="24" outlineLevel="1">
      <c r="B75" s="1837" t="s">
        <v>269</v>
      </c>
      <c r="C75" s="1774" t="s">
        <v>251</v>
      </c>
      <c r="D75" s="1775">
        <v>0</v>
      </c>
      <c r="E75" s="1776">
        <v>2021</v>
      </c>
      <c r="F75" s="1779" t="s">
        <v>157</v>
      </c>
      <c r="G75" s="1779" t="s">
        <v>157</v>
      </c>
      <c r="H75" s="1779" t="s">
        <v>157</v>
      </c>
      <c r="I75" s="1779" t="s">
        <v>157</v>
      </c>
      <c r="J75" s="1779">
        <v>1</v>
      </c>
      <c r="K75" s="1782" t="s">
        <v>157</v>
      </c>
      <c r="L75" s="1776">
        <f>SUM(F75:K75)</f>
        <v>1</v>
      </c>
      <c r="M75" s="3558" t="s">
        <v>234</v>
      </c>
      <c r="N75" s="3559"/>
      <c r="O75" s="1477" t="s">
        <v>270</v>
      </c>
    </row>
    <row r="76" spans="2:15" s="1361" customFormat="1" ht="24" outlineLevel="1">
      <c r="B76" s="1845" t="s">
        <v>271</v>
      </c>
      <c r="C76" s="1778" t="s">
        <v>272</v>
      </c>
      <c r="D76" s="1783">
        <v>0</v>
      </c>
      <c r="E76" s="1777">
        <v>2021</v>
      </c>
      <c r="F76" s="1782" t="s">
        <v>157</v>
      </c>
      <c r="G76" s="1782" t="s">
        <v>157</v>
      </c>
      <c r="H76" s="1782" t="s">
        <v>157</v>
      </c>
      <c r="I76" s="1782">
        <v>1</v>
      </c>
      <c r="J76" s="1782" t="s">
        <v>157</v>
      </c>
      <c r="K76" s="1782" t="s">
        <v>157</v>
      </c>
      <c r="L76" s="1777">
        <f>SUM(F76:K76)</f>
        <v>1</v>
      </c>
      <c r="M76" s="3565" t="s">
        <v>273</v>
      </c>
      <c r="N76" s="3566"/>
      <c r="O76" s="1478" t="s">
        <v>274</v>
      </c>
    </row>
    <row r="77" spans="2:15" s="708" customFormat="1" ht="36" outlineLevel="1">
      <c r="B77" s="1837" t="s">
        <v>275</v>
      </c>
      <c r="C77" s="1774" t="s">
        <v>276</v>
      </c>
      <c r="D77" s="1775">
        <v>0</v>
      </c>
      <c r="E77" s="1776">
        <v>2021</v>
      </c>
      <c r="F77" s="1779" t="s">
        <v>157</v>
      </c>
      <c r="G77" s="1779">
        <v>56</v>
      </c>
      <c r="H77" s="1779">
        <v>4</v>
      </c>
      <c r="I77" s="1779">
        <v>50</v>
      </c>
      <c r="J77" s="1779" t="s">
        <v>157</v>
      </c>
      <c r="K77" s="1782" t="s">
        <v>157</v>
      </c>
      <c r="L77" s="1776">
        <f>SUM(F77:K77)</f>
        <v>110</v>
      </c>
      <c r="M77" s="3558" t="s">
        <v>234</v>
      </c>
      <c r="N77" s="3559"/>
      <c r="O77" s="1477" t="s">
        <v>277</v>
      </c>
    </row>
    <row r="78" spans="2:15" s="708" customFormat="1" ht="48" outlineLevel="1">
      <c r="B78" s="1837" t="s">
        <v>278</v>
      </c>
      <c r="C78" s="1784" t="s">
        <v>255</v>
      </c>
      <c r="D78" s="1785">
        <v>0</v>
      </c>
      <c r="E78" s="1786">
        <v>2021</v>
      </c>
      <c r="F78" s="1891" t="s">
        <v>157</v>
      </c>
      <c r="G78" s="1891">
        <v>1</v>
      </c>
      <c r="H78" s="1891" t="s">
        <v>157</v>
      </c>
      <c r="I78" s="1891">
        <v>1</v>
      </c>
      <c r="J78" s="1891" t="s">
        <v>157</v>
      </c>
      <c r="K78" s="1900" t="s">
        <v>157</v>
      </c>
      <c r="L78" s="1786">
        <f>SUM(F78:K78)</f>
        <v>2</v>
      </c>
      <c r="M78" s="3558" t="s">
        <v>234</v>
      </c>
      <c r="N78" s="3559"/>
      <c r="O78" s="1477" t="s">
        <v>279</v>
      </c>
    </row>
    <row r="79" spans="2:15" s="708" customFormat="1" ht="36" customHeight="1" outlineLevel="1">
      <c r="B79" s="1901" t="s">
        <v>280</v>
      </c>
      <c r="C79" s="1882" t="s">
        <v>213</v>
      </c>
      <c r="D79" s="1883">
        <v>0</v>
      </c>
      <c r="E79" s="1884">
        <v>2021</v>
      </c>
      <c r="F79" s="1894" t="s">
        <v>157</v>
      </c>
      <c r="G79" s="1894" t="s">
        <v>157</v>
      </c>
      <c r="H79" s="1894" t="s">
        <v>157</v>
      </c>
      <c r="I79" s="1894" t="s">
        <v>157</v>
      </c>
      <c r="J79" s="1884">
        <v>1</v>
      </c>
      <c r="K79" s="1894" t="s">
        <v>157</v>
      </c>
      <c r="L79" s="1884">
        <f>SUM(F79:K79)</f>
        <v>1</v>
      </c>
      <c r="M79" s="3560" t="s">
        <v>234</v>
      </c>
      <c r="N79" s="3560"/>
      <c r="O79" s="1902"/>
    </row>
    <row r="80" spans="2:15" ht="21" customHeight="1">
      <c r="B80" s="3573" t="s">
        <v>281</v>
      </c>
      <c r="C80" s="3609"/>
      <c r="D80" s="3609"/>
      <c r="E80" s="3609"/>
      <c r="F80" s="3609"/>
      <c r="G80" s="3609"/>
      <c r="H80" s="3609"/>
      <c r="I80" s="3609"/>
      <c r="J80" s="3609"/>
      <c r="K80" s="3609"/>
      <c r="L80" s="3609"/>
      <c r="M80" s="3609"/>
      <c r="N80" s="3609"/>
      <c r="O80" s="3610"/>
    </row>
    <row r="81" spans="2:15" s="708" customFormat="1" ht="30.5" customHeight="1" outlineLevel="1">
      <c r="B81" s="1897" t="s">
        <v>282</v>
      </c>
      <c r="C81" s="1898" t="s">
        <v>255</v>
      </c>
      <c r="D81" s="1883">
        <v>0</v>
      </c>
      <c r="E81" s="1884">
        <v>2021</v>
      </c>
      <c r="F81" s="1777" t="s">
        <v>157</v>
      </c>
      <c r="G81" s="1777" t="s">
        <v>157</v>
      </c>
      <c r="H81" s="1777" t="s">
        <v>157</v>
      </c>
      <c r="I81" s="1891">
        <v>1</v>
      </c>
      <c r="J81" s="1777" t="s">
        <v>157</v>
      </c>
      <c r="K81" s="1891">
        <v>1</v>
      </c>
      <c r="L81" s="1895">
        <f>SUM(F81:K81)</f>
        <v>2</v>
      </c>
      <c r="M81" s="3556" t="s">
        <v>248</v>
      </c>
      <c r="N81" s="3557"/>
      <c r="O81" s="1899" t="s">
        <v>283</v>
      </c>
    </row>
    <row r="82" spans="2:15" s="708" customFormat="1" ht="36" outlineLevel="1">
      <c r="B82" s="1897" t="s">
        <v>284</v>
      </c>
      <c r="C82" s="1898" t="s">
        <v>255</v>
      </c>
      <c r="D82" s="1883">
        <v>0</v>
      </c>
      <c r="E82" s="1884">
        <v>2021</v>
      </c>
      <c r="F82" s="1777" t="s">
        <v>157</v>
      </c>
      <c r="G82" s="1777" t="s">
        <v>157</v>
      </c>
      <c r="H82" s="1777" t="s">
        <v>157</v>
      </c>
      <c r="I82" s="1891">
        <v>1</v>
      </c>
      <c r="J82" s="1777" t="s">
        <v>157</v>
      </c>
      <c r="K82" s="1891">
        <v>1</v>
      </c>
      <c r="L82" s="1895">
        <f>SUM(F82:K82)</f>
        <v>2</v>
      </c>
      <c r="M82" s="3556" t="s">
        <v>248</v>
      </c>
      <c r="N82" s="3557"/>
      <c r="O82" s="1899" t="s">
        <v>283</v>
      </c>
    </row>
    <row r="83" spans="2:15" s="708" customFormat="1" ht="48" outlineLevel="1">
      <c r="B83" s="1897" t="s">
        <v>285</v>
      </c>
      <c r="C83" s="1898" t="s">
        <v>207</v>
      </c>
      <c r="D83" s="1883">
        <v>0</v>
      </c>
      <c r="E83" s="1884">
        <v>2021</v>
      </c>
      <c r="F83" s="1777" t="s">
        <v>157</v>
      </c>
      <c r="G83" s="1777" t="s">
        <v>157</v>
      </c>
      <c r="H83" s="1777" t="s">
        <v>157</v>
      </c>
      <c r="I83" s="1777" t="s">
        <v>157</v>
      </c>
      <c r="J83" s="1891">
        <v>1</v>
      </c>
      <c r="K83" s="1777" t="s">
        <v>157</v>
      </c>
      <c r="L83" s="1895">
        <f>SUM(F83:K83)</f>
        <v>1</v>
      </c>
      <c r="M83" s="3556" t="s">
        <v>248</v>
      </c>
      <c r="N83" s="3557"/>
      <c r="O83" s="1873"/>
    </row>
    <row r="84" spans="2:15" s="708" customFormat="1" ht="40.25" customHeight="1" outlineLevel="1">
      <c r="B84" s="1897" t="s">
        <v>286</v>
      </c>
      <c r="C84" s="1898" t="s">
        <v>287</v>
      </c>
      <c r="D84" s="1883">
        <v>0</v>
      </c>
      <c r="E84" s="1884">
        <v>2021</v>
      </c>
      <c r="F84" s="1777" t="s">
        <v>157</v>
      </c>
      <c r="G84" s="1777" t="s">
        <v>157</v>
      </c>
      <c r="H84" s="1777" t="s">
        <v>157</v>
      </c>
      <c r="I84" s="1777" t="s">
        <v>157</v>
      </c>
      <c r="J84" s="1891">
        <v>1</v>
      </c>
      <c r="K84" s="1777" t="s">
        <v>157</v>
      </c>
      <c r="L84" s="1895">
        <f>SUM(F84:K84)</f>
        <v>1</v>
      </c>
      <c r="M84" s="3558" t="s">
        <v>248</v>
      </c>
      <c r="N84" s="3559"/>
      <c r="O84" s="1873"/>
    </row>
    <row r="85" spans="2:15" s="708" customFormat="1" ht="34.25" customHeight="1" outlineLevel="1">
      <c r="B85" s="1897" t="s">
        <v>288</v>
      </c>
      <c r="C85" s="1898" t="s">
        <v>289</v>
      </c>
      <c r="D85" s="1883">
        <v>0</v>
      </c>
      <c r="E85" s="1884">
        <v>2021</v>
      </c>
      <c r="F85" s="1777" t="s">
        <v>157</v>
      </c>
      <c r="G85" s="1777" t="s">
        <v>157</v>
      </c>
      <c r="H85" s="1777" t="s">
        <v>157</v>
      </c>
      <c r="I85" s="1777" t="s">
        <v>157</v>
      </c>
      <c r="J85" s="1891">
        <v>1</v>
      </c>
      <c r="K85" s="1777" t="s">
        <v>157</v>
      </c>
      <c r="L85" s="1895">
        <f>SUM(F85:K85)</f>
        <v>1</v>
      </c>
      <c r="M85" s="3558" t="s">
        <v>248</v>
      </c>
      <c r="N85" s="3559"/>
      <c r="O85" s="1899"/>
    </row>
    <row r="86" spans="2:15" s="708" customFormat="1" ht="9.5" customHeight="1">
      <c r="B86" s="1736"/>
      <c r="C86" s="1737"/>
      <c r="D86" s="1738"/>
      <c r="E86" s="1739"/>
      <c r="F86" s="1740"/>
      <c r="G86" s="1740"/>
      <c r="H86" s="1740"/>
      <c r="I86" s="1740"/>
      <c r="J86" s="1740"/>
      <c r="K86" s="1740"/>
      <c r="L86" s="1741"/>
      <c r="M86" s="1414"/>
      <c r="N86" s="1414"/>
      <c r="O86" s="1742"/>
    </row>
    <row r="87" spans="2:15" ht="15.5" customHeight="1">
      <c r="B87" s="3572" t="str">
        <f>+'8_MP'!H368</f>
        <v xml:space="preserve">Componente 3: Fortalecimiento del acceso a la información, participación ciudadana e integridad en la administración pública y sector privado </v>
      </c>
      <c r="C87" s="3609"/>
      <c r="D87" s="3609"/>
      <c r="E87" s="3609"/>
      <c r="F87" s="3609"/>
      <c r="G87" s="3609"/>
      <c r="H87" s="3609"/>
      <c r="I87" s="3609"/>
      <c r="J87" s="3609"/>
      <c r="K87" s="3609"/>
      <c r="L87" s="3609"/>
      <c r="M87" s="3609"/>
      <c r="N87" s="3609"/>
      <c r="O87" s="3610"/>
    </row>
    <row r="88" spans="2:15" ht="21" customHeight="1">
      <c r="B88" s="389" t="s">
        <v>184</v>
      </c>
      <c r="C88" s="389" t="s">
        <v>185</v>
      </c>
      <c r="D88" s="389" t="s">
        <v>186</v>
      </c>
      <c r="E88" s="389" t="s">
        <v>147</v>
      </c>
      <c r="F88" s="389" t="s">
        <v>187</v>
      </c>
      <c r="G88" s="389" t="s">
        <v>188</v>
      </c>
      <c r="H88" s="389" t="s">
        <v>189</v>
      </c>
      <c r="I88" s="389" t="s">
        <v>190</v>
      </c>
      <c r="J88" s="389" t="s">
        <v>191</v>
      </c>
      <c r="K88" s="389" t="s">
        <v>192</v>
      </c>
      <c r="L88" s="389" t="s">
        <v>193</v>
      </c>
      <c r="M88" s="3570" t="s">
        <v>194</v>
      </c>
      <c r="N88" s="3571"/>
      <c r="O88" s="390" t="s">
        <v>151</v>
      </c>
    </row>
    <row r="89" spans="2:15" ht="14" customHeight="1">
      <c r="B89" s="3573" t="str">
        <f>+'8_MP'!H369</f>
        <v>Subcomponente 3.1. Innovación pública para la Integridad y prevención de la corrupción</v>
      </c>
      <c r="C89" s="3608"/>
      <c r="D89" s="3608"/>
      <c r="E89" s="3609"/>
      <c r="F89" s="3609"/>
      <c r="G89" s="3609"/>
      <c r="H89" s="3609"/>
      <c r="I89" s="3609"/>
      <c r="J89" s="3609"/>
      <c r="K89" s="3609"/>
      <c r="L89" s="3609"/>
      <c r="M89" s="3609"/>
      <c r="N89" s="3609"/>
      <c r="O89" s="3610"/>
    </row>
    <row r="90" spans="2:15" s="708" customFormat="1" ht="35.5" customHeight="1" outlineLevel="1">
      <c r="B90" s="1907" t="str">
        <f>+'8_MP'!H370</f>
        <v>Producto 16: Sistema Nacional Integrado de Transparencia e Integridad Implementado. Incluye Plataforma de seguimiento y evaluación de componentes de integridad y sistema para el seguimiento de compromisos internacionales</v>
      </c>
      <c r="C90" s="1882" t="s">
        <v>247</v>
      </c>
      <c r="D90" s="1908">
        <v>0</v>
      </c>
      <c r="E90" s="1905">
        <v>2021</v>
      </c>
      <c r="F90" s="1777" t="s">
        <v>157</v>
      </c>
      <c r="G90" s="1777" t="s">
        <v>157</v>
      </c>
      <c r="H90" s="1777" t="s">
        <v>157</v>
      </c>
      <c r="I90" s="1777" t="s">
        <v>157</v>
      </c>
      <c r="J90" s="1777">
        <v>1</v>
      </c>
      <c r="K90" s="1777" t="s">
        <v>157</v>
      </c>
      <c r="L90" s="1779">
        <f>SUM(F90:K90)</f>
        <v>1</v>
      </c>
      <c r="M90" s="3558" t="s">
        <v>248</v>
      </c>
      <c r="N90" s="3559"/>
      <c r="O90" s="707"/>
    </row>
    <row r="91" spans="2:15" s="1361" customFormat="1" ht="36" outlineLevel="1">
      <c r="B91" s="1909" t="s">
        <v>290</v>
      </c>
      <c r="C91" s="1855" t="s">
        <v>291</v>
      </c>
      <c r="D91" s="1908">
        <v>0</v>
      </c>
      <c r="E91" s="1905">
        <v>2021</v>
      </c>
      <c r="F91" s="1777" t="s">
        <v>157</v>
      </c>
      <c r="G91" s="1782">
        <v>1</v>
      </c>
      <c r="H91" s="1777" t="s">
        <v>157</v>
      </c>
      <c r="I91" s="1777" t="s">
        <v>157</v>
      </c>
      <c r="J91" s="1777" t="s">
        <v>157</v>
      </c>
      <c r="K91" s="1777" t="s">
        <v>157</v>
      </c>
      <c r="L91" s="1779">
        <f>SUM(F91:K91)</f>
        <v>1</v>
      </c>
      <c r="M91" s="3558" t="s">
        <v>248</v>
      </c>
      <c r="N91" s="3559"/>
      <c r="O91" s="1700"/>
    </row>
    <row r="92" spans="2:15" s="708" customFormat="1" ht="36" customHeight="1" outlineLevel="1">
      <c r="B92" s="1906" t="str">
        <f>+'8_MP'!H393</f>
        <v>Producto 17: Marco regulatorio en materia de integridad, fortalecido. Incluye protección a denunciantes y normativas sobre conflictos de interes</v>
      </c>
      <c r="C92" s="1850" t="s">
        <v>292</v>
      </c>
      <c r="D92" s="1851">
        <v>0</v>
      </c>
      <c r="E92" s="1776">
        <v>2021</v>
      </c>
      <c r="F92" s="1777" t="s">
        <v>157</v>
      </c>
      <c r="G92" s="1779" t="s">
        <v>157</v>
      </c>
      <c r="H92" s="1777" t="s">
        <v>157</v>
      </c>
      <c r="I92" s="1777">
        <v>1</v>
      </c>
      <c r="J92" s="1777" t="s">
        <v>157</v>
      </c>
      <c r="K92" s="1777" t="s">
        <v>157</v>
      </c>
      <c r="L92" s="1779">
        <f>SUM(F92:K92)</f>
        <v>1</v>
      </c>
      <c r="M92" s="3558" t="s">
        <v>248</v>
      </c>
      <c r="N92" s="3559"/>
      <c r="O92" s="1477" t="s">
        <v>293</v>
      </c>
    </row>
    <row r="93" spans="2:15" ht="35.5" customHeight="1" outlineLevel="1">
      <c r="B93" s="1837" t="str">
        <f>+'8_MP'!H378</f>
        <v>Plataforma TI de Seguimiento y Evaluación de componentes de integridad desarrollado e implementado</v>
      </c>
      <c r="C93" s="1774" t="s">
        <v>294</v>
      </c>
      <c r="D93" s="1775">
        <v>0</v>
      </c>
      <c r="E93" s="1776">
        <v>2021</v>
      </c>
      <c r="F93" s="1777" t="s">
        <v>157</v>
      </c>
      <c r="G93" s="1777" t="s">
        <v>157</v>
      </c>
      <c r="H93" s="1776" t="s">
        <v>157</v>
      </c>
      <c r="I93" s="1777">
        <v>1</v>
      </c>
      <c r="J93" s="1777" t="s">
        <v>157</v>
      </c>
      <c r="K93" s="1777" t="s">
        <v>157</v>
      </c>
      <c r="L93" s="1779">
        <f>SUM(F93:K93)</f>
        <v>1</v>
      </c>
      <c r="M93" s="3558" t="s">
        <v>202</v>
      </c>
      <c r="N93" s="3559"/>
      <c r="O93" s="701" t="s">
        <v>295</v>
      </c>
    </row>
    <row r="94" spans="2:15" ht="48" outlineLevel="1">
      <c r="B94" s="1844" t="str">
        <f>+'8_MP'!H398</f>
        <v>Producto 18: Programa de cumplimiento e integridad para el sector privado desarrollado</v>
      </c>
      <c r="C94" s="1774" t="s">
        <v>266</v>
      </c>
      <c r="D94" s="1775">
        <v>0</v>
      </c>
      <c r="E94" s="1776">
        <v>2021</v>
      </c>
      <c r="F94" s="1777" t="s">
        <v>157</v>
      </c>
      <c r="G94" s="1777" t="s">
        <v>157</v>
      </c>
      <c r="H94" s="1777">
        <v>1</v>
      </c>
      <c r="I94" s="1776">
        <v>1</v>
      </c>
      <c r="J94" s="1777" t="s">
        <v>157</v>
      </c>
      <c r="K94" s="1777" t="s">
        <v>157</v>
      </c>
      <c r="L94" s="1776">
        <f>SUM(F94:J94)</f>
        <v>2</v>
      </c>
      <c r="M94" s="3567" t="s">
        <v>296</v>
      </c>
      <c r="N94" s="3568"/>
      <c r="O94" s="1864" t="s">
        <v>297</v>
      </c>
    </row>
    <row r="95" spans="2:15" ht="62.5" customHeight="1" outlineLevel="1">
      <c r="B95" s="1840" t="str">
        <f>+'8_MP'!H382</f>
        <v>Estándar OCDE piloteado</v>
      </c>
      <c r="C95" s="1784" t="s">
        <v>294</v>
      </c>
      <c r="D95" s="1785">
        <v>0</v>
      </c>
      <c r="E95" s="1786">
        <v>2021</v>
      </c>
      <c r="F95" s="1787" t="s">
        <v>157</v>
      </c>
      <c r="G95" s="1787" t="s">
        <v>157</v>
      </c>
      <c r="H95" s="1787" t="s">
        <v>157</v>
      </c>
      <c r="I95" s="1787">
        <v>1</v>
      </c>
      <c r="J95" s="1786" t="s">
        <v>157</v>
      </c>
      <c r="K95" s="1787" t="s">
        <v>157</v>
      </c>
      <c r="L95" s="1786">
        <f>SUM(F95:J95)</f>
        <v>1</v>
      </c>
      <c r="M95" s="3558" t="s">
        <v>202</v>
      </c>
      <c r="N95" s="3559"/>
      <c r="O95" s="1865" t="s">
        <v>298</v>
      </c>
    </row>
    <row r="96" spans="2:15" ht="21" customHeight="1">
      <c r="B96" s="3572" t="str">
        <f>+'8_MP'!H405</f>
        <v>Subcomponente 3.2. Participación, control social y gestión de denuncias de corrupción administrativa</v>
      </c>
      <c r="C96" s="3612"/>
      <c r="D96" s="3612"/>
      <c r="E96" s="3612"/>
      <c r="F96" s="3612"/>
      <c r="G96" s="3612"/>
      <c r="H96" s="3612"/>
      <c r="I96" s="3612"/>
      <c r="J96" s="3612"/>
      <c r="K96" s="3612"/>
      <c r="L96" s="3612"/>
      <c r="M96" s="3612"/>
      <c r="N96" s="3612"/>
      <c r="O96" s="3613"/>
    </row>
    <row r="97" spans="2:15" ht="72" outlineLevel="1">
      <c r="B97" s="1841" t="str">
        <f>+'8_MP'!H406</f>
        <v>Producto 19: Sistema para realizar investigaciones, seguimiento y respuesta a las denuncias ciudadanas desarrollado. Incluye metodologías y plataforma tecnológica de participación ciudadana y seguimiento de denuncias con enfoque de género y diversidad.</v>
      </c>
      <c r="C97" s="1788" t="s">
        <v>255</v>
      </c>
      <c r="D97" s="1775">
        <v>0</v>
      </c>
      <c r="E97" s="1776">
        <v>2021</v>
      </c>
      <c r="F97" s="1777" t="s">
        <v>157</v>
      </c>
      <c r="G97" s="1777" t="s">
        <v>157</v>
      </c>
      <c r="H97" s="1776">
        <v>1</v>
      </c>
      <c r="I97" s="1777" t="s">
        <v>157</v>
      </c>
      <c r="J97" s="1777">
        <v>1</v>
      </c>
      <c r="K97" s="1777" t="s">
        <v>157</v>
      </c>
      <c r="L97" s="1776">
        <f>SUM(F97:J97)</f>
        <v>2</v>
      </c>
      <c r="M97" s="3558" t="s">
        <v>248</v>
      </c>
      <c r="N97" s="3559"/>
      <c r="O97" s="1865" t="s">
        <v>299</v>
      </c>
    </row>
    <row r="98" spans="2:15" ht="59.5" customHeight="1" outlineLevel="1">
      <c r="B98" s="1841" t="str">
        <f>+'8_MP'!H411</f>
        <v>Plataforma tecnológica de participación ciudadana con enfoque de género y diversidad, implementado</v>
      </c>
      <c r="C98" s="1788" t="s">
        <v>294</v>
      </c>
      <c r="D98" s="1775">
        <v>0</v>
      </c>
      <c r="E98" s="1776">
        <v>2021</v>
      </c>
      <c r="F98" s="1777" t="s">
        <v>157</v>
      </c>
      <c r="G98" s="1777" t="s">
        <v>157</v>
      </c>
      <c r="H98" s="1776" t="s">
        <v>157</v>
      </c>
      <c r="I98" s="1777">
        <v>1</v>
      </c>
      <c r="J98" s="1777" t="s">
        <v>157</v>
      </c>
      <c r="K98" s="1777" t="s">
        <v>157</v>
      </c>
      <c r="L98" s="1776">
        <f>SUM(F98:J98)</f>
        <v>1</v>
      </c>
      <c r="M98" s="3558" t="s">
        <v>248</v>
      </c>
      <c r="N98" s="3559"/>
      <c r="O98" s="1866" t="s">
        <v>300</v>
      </c>
    </row>
    <row r="99" spans="2:15" s="385" customFormat="1" ht="36.5" customHeight="1" outlineLevel="1">
      <c r="B99" s="1790" t="s">
        <v>301</v>
      </c>
      <c r="C99" s="1791" t="s">
        <v>213</v>
      </c>
      <c r="D99" s="1775">
        <v>0</v>
      </c>
      <c r="E99" s="1777">
        <v>2021</v>
      </c>
      <c r="F99" s="1777" t="s">
        <v>157</v>
      </c>
      <c r="G99" s="1777">
        <v>1</v>
      </c>
      <c r="H99" s="1777" t="s">
        <v>157</v>
      </c>
      <c r="I99" s="1777" t="s">
        <v>157</v>
      </c>
      <c r="J99" s="1777" t="s">
        <v>157</v>
      </c>
      <c r="K99" s="1777" t="s">
        <v>157</v>
      </c>
      <c r="L99" s="1777">
        <f>SUM(F99:J99)</f>
        <v>1</v>
      </c>
      <c r="M99" s="3614" t="s">
        <v>302</v>
      </c>
      <c r="N99" s="3615"/>
      <c r="O99" s="393"/>
    </row>
    <row r="100" spans="2:15" ht="21" customHeight="1">
      <c r="B100" s="3569" t="str">
        <f>+'8_MP'!H421</f>
        <v xml:space="preserve">Subcomponente 3.3. Innovación para la transparencia y el acceso a la información </v>
      </c>
      <c r="C100" s="3609"/>
      <c r="D100" s="3609"/>
      <c r="E100" s="3609"/>
      <c r="F100" s="3609"/>
      <c r="G100" s="3609"/>
      <c r="H100" s="3609"/>
      <c r="I100" s="3609"/>
      <c r="J100" s="3609"/>
      <c r="K100" s="3609"/>
      <c r="L100" s="3609"/>
      <c r="M100" s="3609"/>
      <c r="N100" s="3609"/>
      <c r="O100" s="3610"/>
    </row>
    <row r="101" spans="2:15" ht="93.5" customHeight="1" outlineLevel="1">
      <c r="B101" s="1789" t="str">
        <f>+'8_MP'!H422</f>
        <v>Producto 20: Plataforma tecnológica Nacional de Transparencia diseñado e implementado</v>
      </c>
      <c r="C101" s="1788" t="s">
        <v>213</v>
      </c>
      <c r="D101" s="1775">
        <v>0</v>
      </c>
      <c r="E101" s="1776">
        <v>2021</v>
      </c>
      <c r="F101" s="1777" t="s">
        <v>157</v>
      </c>
      <c r="G101" s="1777" t="s">
        <v>157</v>
      </c>
      <c r="H101" s="1777" t="s">
        <v>157</v>
      </c>
      <c r="I101" s="1777" t="s">
        <v>157</v>
      </c>
      <c r="J101" s="1776" t="s">
        <v>157</v>
      </c>
      <c r="K101" s="1777">
        <v>1</v>
      </c>
      <c r="L101" s="1776">
        <f>SUM(F101:K101)</f>
        <v>1</v>
      </c>
      <c r="M101" s="3558" t="s">
        <v>248</v>
      </c>
      <c r="N101" s="3559"/>
      <c r="O101" s="1871" t="s">
        <v>303</v>
      </c>
    </row>
    <row r="102" spans="2:15" ht="24.5" customHeight="1" outlineLevel="1">
      <c r="B102" s="1790" t="s">
        <v>304</v>
      </c>
      <c r="C102" s="1791" t="s">
        <v>213</v>
      </c>
      <c r="D102" s="1775">
        <v>0</v>
      </c>
      <c r="E102" s="1777">
        <v>2021</v>
      </c>
      <c r="F102" s="1777" t="s">
        <v>157</v>
      </c>
      <c r="G102" s="1776">
        <v>1</v>
      </c>
      <c r="H102" s="1776">
        <v>1</v>
      </c>
      <c r="I102" s="1776">
        <v>1</v>
      </c>
      <c r="J102" s="1776">
        <v>1</v>
      </c>
      <c r="K102" s="1777" t="s">
        <v>157</v>
      </c>
      <c r="L102" s="1776">
        <f>SUM(F102:J102)</f>
        <v>4</v>
      </c>
      <c r="M102" s="3614" t="s">
        <v>305</v>
      </c>
      <c r="N102" s="3615"/>
      <c r="O102" s="393"/>
    </row>
    <row r="103" spans="2:15" ht="21" customHeight="1">
      <c r="B103" s="3569" t="str">
        <f>+'8_MP'!H439</f>
        <v>Subcomponente 3.4. Comunicación y capacitación para la transparencia y la integridad</v>
      </c>
      <c r="C103" s="3609"/>
      <c r="D103" s="3609"/>
      <c r="E103" s="3609"/>
      <c r="F103" s="3609"/>
      <c r="G103" s="3609"/>
      <c r="H103" s="3609"/>
      <c r="I103" s="3609"/>
      <c r="J103" s="3609"/>
      <c r="K103" s="3609"/>
      <c r="L103" s="3609"/>
      <c r="M103" s="3609"/>
      <c r="N103" s="3609"/>
      <c r="O103" s="3610"/>
    </row>
    <row r="104" spans="2:15" outlineLevel="1">
      <c r="B104" s="1841" t="str">
        <f>+'8_MP'!H441</f>
        <v xml:space="preserve"> Programa de comunicación, desarrollado</v>
      </c>
      <c r="C104" s="1788" t="s">
        <v>213</v>
      </c>
      <c r="D104" s="1775">
        <v>0</v>
      </c>
      <c r="E104" s="1776">
        <v>2021</v>
      </c>
      <c r="F104" s="1777" t="s">
        <v>157</v>
      </c>
      <c r="G104" s="1776" t="s">
        <v>157</v>
      </c>
      <c r="H104" s="1777" t="s">
        <v>157</v>
      </c>
      <c r="I104" s="1777" t="s">
        <v>157</v>
      </c>
      <c r="J104" s="1777">
        <v>1</v>
      </c>
      <c r="K104" s="1777" t="s">
        <v>157</v>
      </c>
      <c r="L104" s="1776">
        <f>SUM(F104:K104)</f>
        <v>1</v>
      </c>
      <c r="M104" s="3558" t="s">
        <v>248</v>
      </c>
      <c r="N104" s="3559"/>
      <c r="O104" s="1869"/>
    </row>
    <row r="105" spans="2:15" ht="60" outlineLevel="1">
      <c r="B105" s="1870" t="s">
        <v>306</v>
      </c>
      <c r="C105" s="1788" t="s">
        <v>213</v>
      </c>
      <c r="D105" s="1867">
        <v>0</v>
      </c>
      <c r="E105" s="1903">
        <v>2021</v>
      </c>
      <c r="F105" s="1904" t="s">
        <v>157</v>
      </c>
      <c r="G105" s="1904">
        <v>1</v>
      </c>
      <c r="H105" s="1904" t="s">
        <v>157</v>
      </c>
      <c r="I105" s="1904" t="s">
        <v>157</v>
      </c>
      <c r="J105" s="1904" t="s">
        <v>157</v>
      </c>
      <c r="K105" s="1904" t="s">
        <v>157</v>
      </c>
      <c r="L105" s="1776">
        <f>SUM(F105:K105)</f>
        <v>1</v>
      </c>
      <c r="M105" s="3567" t="s">
        <v>248</v>
      </c>
      <c r="N105" s="3568"/>
      <c r="O105" s="1868" t="s">
        <v>307</v>
      </c>
    </row>
    <row r="106" spans="2:15" ht="24" outlineLevel="1">
      <c r="B106" s="1870" t="s">
        <v>308</v>
      </c>
      <c r="C106" s="1788" t="s">
        <v>309</v>
      </c>
      <c r="D106" s="1867">
        <v>0</v>
      </c>
      <c r="E106" s="1903">
        <v>2021</v>
      </c>
      <c r="F106" s="1904" t="s">
        <v>157</v>
      </c>
      <c r="G106" s="1904" t="s">
        <v>157</v>
      </c>
      <c r="H106" s="1904">
        <v>1</v>
      </c>
      <c r="I106" s="1904">
        <v>1</v>
      </c>
      <c r="J106" s="1904">
        <v>1</v>
      </c>
      <c r="K106" s="1904" t="s">
        <v>157</v>
      </c>
      <c r="L106" s="1776">
        <f>SUM(F106:K106)</f>
        <v>3</v>
      </c>
      <c r="M106" s="3567" t="s">
        <v>310</v>
      </c>
      <c r="N106" s="3568"/>
      <c r="O106" s="1868" t="s">
        <v>311</v>
      </c>
    </row>
    <row r="107" spans="2:15" ht="48" outlineLevel="1">
      <c r="B107" s="1870" t="s">
        <v>312</v>
      </c>
      <c r="C107" s="1788" t="s">
        <v>313</v>
      </c>
      <c r="D107" s="1867">
        <v>0</v>
      </c>
      <c r="E107" s="1903">
        <v>2021</v>
      </c>
      <c r="F107" s="1904" t="s">
        <v>157</v>
      </c>
      <c r="G107" s="1904">
        <v>1</v>
      </c>
      <c r="H107" s="1904">
        <v>1</v>
      </c>
      <c r="I107" s="1904">
        <v>1</v>
      </c>
      <c r="J107" s="1904">
        <v>1</v>
      </c>
      <c r="K107" s="1904" t="s">
        <v>157</v>
      </c>
      <c r="L107" s="1776">
        <f>SUM(F107:K107)</f>
        <v>4</v>
      </c>
      <c r="M107" s="3567" t="s">
        <v>314</v>
      </c>
      <c r="N107" s="3568"/>
      <c r="O107" s="1868" t="s">
        <v>315</v>
      </c>
    </row>
    <row r="108" spans="2:15" ht="20" customHeight="1" outlineLevel="1">
      <c r="B108" s="1789" t="str">
        <f>+'8_MP'!H444</f>
        <v>Programa de capacitación, desarrollado</v>
      </c>
      <c r="C108" s="1788" t="s">
        <v>213</v>
      </c>
      <c r="D108" s="1775">
        <v>0</v>
      </c>
      <c r="E108" s="1776">
        <v>2021</v>
      </c>
      <c r="F108" s="1777" t="s">
        <v>157</v>
      </c>
      <c r="G108" s="1776" t="s">
        <v>157</v>
      </c>
      <c r="H108" s="1776" t="s">
        <v>157</v>
      </c>
      <c r="I108" s="1776" t="s">
        <v>157</v>
      </c>
      <c r="J108" s="1776" t="s">
        <v>157</v>
      </c>
      <c r="K108" s="1777">
        <v>1</v>
      </c>
      <c r="L108" s="1776">
        <f>SUM(F108:K108)</f>
        <v>1</v>
      </c>
      <c r="M108" s="3558" t="s">
        <v>248</v>
      </c>
      <c r="N108" s="3559"/>
      <c r="O108" s="1838"/>
    </row>
    <row r="110" spans="2:15" ht="13">
      <c r="B110" s="213" t="s">
        <v>316</v>
      </c>
    </row>
    <row r="111" spans="2:15">
      <c r="B111" s="3606" t="s">
        <v>317</v>
      </c>
      <c r="C111" s="3606"/>
      <c r="D111" s="3606"/>
      <c r="E111" s="3606"/>
      <c r="F111" s="3606"/>
      <c r="G111" s="3606"/>
      <c r="H111" s="3606"/>
      <c r="I111" s="3606"/>
      <c r="J111" s="3606"/>
      <c r="K111" s="3606"/>
      <c r="L111" s="3606"/>
      <c r="M111" s="3606"/>
      <c r="N111" s="3606"/>
      <c r="O111" s="3606"/>
    </row>
  </sheetData>
  <mergeCells count="132">
    <mergeCell ref="M104:N104"/>
    <mergeCell ref="M105:N105"/>
    <mergeCell ref="M106:N106"/>
    <mergeCell ref="M107:N107"/>
    <mergeCell ref="M108:N108"/>
    <mergeCell ref="B80:O80"/>
    <mergeCell ref="M53:N53"/>
    <mergeCell ref="M52:N52"/>
    <mergeCell ref="M51:N51"/>
    <mergeCell ref="M88:N88"/>
    <mergeCell ref="M97:N97"/>
    <mergeCell ref="M98:N98"/>
    <mergeCell ref="M94:N94"/>
    <mergeCell ref="M95:N95"/>
    <mergeCell ref="B96:O96"/>
    <mergeCell ref="B100:O100"/>
    <mergeCell ref="B103:O103"/>
    <mergeCell ref="M101:N101"/>
    <mergeCell ref="M102:N102"/>
    <mergeCell ref="M99:N99"/>
    <mergeCell ref="M91:N91"/>
    <mergeCell ref="M90:N90"/>
    <mergeCell ref="M93:N93"/>
    <mergeCell ref="M92:N92"/>
    <mergeCell ref="M77:N77"/>
    <mergeCell ref="B74:O74"/>
    <mergeCell ref="M75:N75"/>
    <mergeCell ref="M76:N76"/>
    <mergeCell ref="M73:N73"/>
    <mergeCell ref="M65:N65"/>
    <mergeCell ref="M62:N62"/>
    <mergeCell ref="M63:N63"/>
    <mergeCell ref="M64:N64"/>
    <mergeCell ref="B111:O111"/>
    <mergeCell ref="B8:C9"/>
    <mergeCell ref="D8:D9"/>
    <mergeCell ref="N8:O9"/>
    <mergeCell ref="L8:M9"/>
    <mergeCell ref="J8:K8"/>
    <mergeCell ref="L14:M14"/>
    <mergeCell ref="N14:O14"/>
    <mergeCell ref="B20:C20"/>
    <mergeCell ref="B21:C21"/>
    <mergeCell ref="L20:M20"/>
    <mergeCell ref="N20:O20"/>
    <mergeCell ref="L21:M21"/>
    <mergeCell ref="N21:O21"/>
    <mergeCell ref="B15:O15"/>
    <mergeCell ref="B18:C18"/>
    <mergeCell ref="B10:O10"/>
    <mergeCell ref="M29:N29"/>
    <mergeCell ref="B89:O89"/>
    <mergeCell ref="B87:O87"/>
    <mergeCell ref="M39:N39"/>
    <mergeCell ref="M32:N32"/>
    <mergeCell ref="M33:N33"/>
    <mergeCell ref="M37:N37"/>
    <mergeCell ref="B7:O7"/>
    <mergeCell ref="L11:M11"/>
    <mergeCell ref="N11:O11"/>
    <mergeCell ref="E8:E9"/>
    <mergeCell ref="B2:O2"/>
    <mergeCell ref="C4:O4"/>
    <mergeCell ref="C3:O3"/>
    <mergeCell ref="C5:O5"/>
    <mergeCell ref="H8:I8"/>
    <mergeCell ref="B11:C11"/>
    <mergeCell ref="F8:G9"/>
    <mergeCell ref="F11:G11"/>
    <mergeCell ref="N12:O12"/>
    <mergeCell ref="L18:M18"/>
    <mergeCell ref="N18:O18"/>
    <mergeCell ref="L19:M19"/>
    <mergeCell ref="N19:O19"/>
    <mergeCell ref="L13:M13"/>
    <mergeCell ref="N13:O13"/>
    <mergeCell ref="L16:M16"/>
    <mergeCell ref="N16:O16"/>
    <mergeCell ref="B17:O17"/>
    <mergeCell ref="B16:C16"/>
    <mergeCell ref="B19:C19"/>
    <mergeCell ref="B12:C12"/>
    <mergeCell ref="B13:C13"/>
    <mergeCell ref="B14:C14"/>
    <mergeCell ref="F19:G19"/>
    <mergeCell ref="F18:G18"/>
    <mergeCell ref="F16:G16"/>
    <mergeCell ref="F14:G14"/>
    <mergeCell ref="F13:G13"/>
    <mergeCell ref="F12:G12"/>
    <mergeCell ref="L12:M12"/>
    <mergeCell ref="B24:O24"/>
    <mergeCell ref="B61:O61"/>
    <mergeCell ref="B57:O57"/>
    <mergeCell ref="B26:O26"/>
    <mergeCell ref="B38:O38"/>
    <mergeCell ref="M27:N27"/>
    <mergeCell ref="M48:N48"/>
    <mergeCell ref="M49:N49"/>
    <mergeCell ref="M30:N30"/>
    <mergeCell ref="M36:N36"/>
    <mergeCell ref="M31:N31"/>
    <mergeCell ref="M28:N28"/>
    <mergeCell ref="M50:N50"/>
    <mergeCell ref="M54:N55"/>
    <mergeCell ref="O54:O55"/>
    <mergeCell ref="O43:O47"/>
    <mergeCell ref="M43:N47"/>
    <mergeCell ref="M81:N81"/>
    <mergeCell ref="M82:N82"/>
    <mergeCell ref="M83:N83"/>
    <mergeCell ref="M85:N85"/>
    <mergeCell ref="M84:N84"/>
    <mergeCell ref="M79:N79"/>
    <mergeCell ref="F21:G21"/>
    <mergeCell ref="F20:G20"/>
    <mergeCell ref="M42:N42"/>
    <mergeCell ref="M41:N41"/>
    <mergeCell ref="M34:N34"/>
    <mergeCell ref="M35:N35"/>
    <mergeCell ref="M40:N40"/>
    <mergeCell ref="M60:N60"/>
    <mergeCell ref="M59:N59"/>
    <mergeCell ref="M58:N58"/>
    <mergeCell ref="B67:O67"/>
    <mergeCell ref="M68:N68"/>
    <mergeCell ref="B69:O69"/>
    <mergeCell ref="M70:N70"/>
    <mergeCell ref="M71:N71"/>
    <mergeCell ref="M72:N72"/>
    <mergeCell ref="M78:N78"/>
    <mergeCell ref="M25:N25"/>
  </mergeCells>
  <phoneticPr fontId="9" type="noConversion"/>
  <pageMargins left="0.7" right="0.7" top="0.75" bottom="0.75" header="0.3" footer="0.3"/>
  <pageSetup paperSize="9" orientation="portrait" r:id="rId1"/>
  <ignoredErrors>
    <ignoredError sqref="L50:L53"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EG169"/>
  <sheetViews>
    <sheetView showGridLines="0" topLeftCell="A11" zoomScale="90" zoomScaleNormal="90" workbookViewId="0">
      <selection activeCell="A7" sqref="A7:AF15"/>
    </sheetView>
  </sheetViews>
  <sheetFormatPr baseColWidth="10" defaultColWidth="11.5" defaultRowHeight="15" outlineLevelRow="1"/>
  <cols>
    <col min="1" max="1" width="7.5" style="252" bestFit="1" customWidth="1"/>
    <col min="2" max="2" width="58.5" style="252" customWidth="1"/>
    <col min="3" max="3" width="11.5" style="252" bestFit="1" customWidth="1"/>
    <col min="4" max="4" width="15.5" style="252" customWidth="1"/>
    <col min="5" max="5" width="8.5" style="252" bestFit="1" customWidth="1"/>
    <col min="6" max="7" width="12.5" style="252" bestFit="1" customWidth="1"/>
    <col min="8" max="8" width="9.5" style="252" bestFit="1" customWidth="1"/>
    <col min="9" max="9" width="12" style="252" bestFit="1" customWidth="1"/>
    <col min="10" max="10" width="11.1640625" style="252" customWidth="1"/>
    <col min="11" max="11" width="14.5" style="252" bestFit="1" customWidth="1"/>
    <col min="12" max="12" width="11.5" style="252" bestFit="1" customWidth="1"/>
    <col min="13" max="13" width="14.5" style="252" bestFit="1" customWidth="1"/>
    <col min="14" max="14" width="11.5" style="252" bestFit="1" customWidth="1"/>
    <col min="15" max="15" width="18.1640625" style="252" bestFit="1" customWidth="1"/>
    <col min="16" max="16" width="13" style="252" bestFit="1" customWidth="1"/>
    <col min="17" max="17" width="18.1640625" style="252" bestFit="1" customWidth="1"/>
    <col min="18" max="18" width="13" style="252" bestFit="1" customWidth="1"/>
    <col min="19" max="19" width="16.83203125" style="252" bestFit="1" customWidth="1"/>
    <col min="20" max="20" width="11.5" style="252" bestFit="1" customWidth="1"/>
    <col min="21" max="21" width="18.1640625" style="252" bestFit="1" customWidth="1"/>
    <col min="22" max="22" width="21.5" style="252" bestFit="1" customWidth="1"/>
    <col min="23" max="23" width="16.83203125" style="252" bestFit="1" customWidth="1"/>
    <col min="24" max="24" width="11.5" style="252" bestFit="1" customWidth="1"/>
    <col min="25" max="25" width="18.1640625" style="252" bestFit="1" customWidth="1"/>
    <col min="26" max="26" width="13" style="252" bestFit="1" customWidth="1"/>
    <col min="27" max="27" width="15.5" style="252" bestFit="1" customWidth="1"/>
    <col min="28" max="28" width="20" style="252" bestFit="1" customWidth="1"/>
    <col min="29" max="29" width="14.5" style="252" customWidth="1"/>
    <col min="30" max="31" width="10.5" style="252" customWidth="1"/>
    <col min="32" max="32" width="8.83203125" style="252" customWidth="1"/>
    <col min="33" max="37" width="11.5" style="252"/>
    <col min="38" max="38" width="41.5" style="252" bestFit="1" customWidth="1"/>
    <col min="39" max="42" width="11.5" style="252"/>
    <col min="43" max="43" width="21.5" style="252" bestFit="1" customWidth="1"/>
    <col min="44" max="44" width="66.5" style="252" bestFit="1" customWidth="1"/>
    <col min="45" max="45" width="34" style="252" bestFit="1" customWidth="1"/>
    <col min="46" max="16384" width="11.5" style="252"/>
  </cols>
  <sheetData>
    <row r="1" spans="1:137">
      <c r="AQ1" s="253"/>
      <c r="AR1" s="253"/>
      <c r="AS1" s="253"/>
      <c r="AT1" s="1939"/>
    </row>
    <row r="2" spans="1:137" s="1943" customFormat="1" ht="34">
      <c r="A2" s="4223" t="s">
        <v>2713</v>
      </c>
      <c r="B2" s="4223"/>
      <c r="C2" s="4223"/>
      <c r="D2" s="4223"/>
      <c r="E2" s="4223"/>
      <c r="F2" s="4223"/>
      <c r="G2" s="4223"/>
      <c r="H2" s="4223"/>
      <c r="I2" s="4223"/>
      <c r="J2" s="4223"/>
      <c r="K2" s="4223"/>
      <c r="L2" s="4223"/>
      <c r="M2" s="4223"/>
      <c r="N2" s="4223"/>
      <c r="O2" s="4223"/>
      <c r="P2" s="4223"/>
      <c r="Q2" s="4223"/>
      <c r="R2" s="4223"/>
      <c r="S2" s="4223"/>
      <c r="T2" s="4223"/>
      <c r="U2" s="4223"/>
      <c r="V2" s="4223"/>
      <c r="W2" s="4223"/>
      <c r="X2" s="4223"/>
      <c r="Y2" s="4223"/>
      <c r="Z2" s="4223"/>
      <c r="AA2" s="4223"/>
      <c r="AB2" s="4223"/>
      <c r="AC2" s="4223"/>
      <c r="AD2" s="4223"/>
      <c r="AE2" s="4223"/>
      <c r="AF2" s="4223"/>
      <c r="AG2" s="1940"/>
      <c r="AH2" s="1940"/>
      <c r="AI2" s="1940"/>
      <c r="AJ2" s="1940"/>
      <c r="AK2" s="1940"/>
      <c r="AL2" s="1940"/>
      <c r="AM2" s="1940"/>
      <c r="AN2" s="1940"/>
      <c r="AO2" s="1940"/>
      <c r="AP2" s="1940"/>
      <c r="AQ2" s="1941" t="s">
        <v>2263</v>
      </c>
      <c r="AR2" s="1941" t="s">
        <v>2714</v>
      </c>
      <c r="AS2" s="1941" t="s">
        <v>2262</v>
      </c>
      <c r="AT2" s="1942"/>
      <c r="AU2" s="1940"/>
      <c r="AV2" s="1940"/>
      <c r="AW2" s="1940"/>
      <c r="AX2" s="1940"/>
      <c r="AY2" s="1940"/>
      <c r="AZ2" s="1940"/>
      <c r="BA2" s="1940"/>
      <c r="BB2" s="1940"/>
      <c r="BC2" s="1940"/>
      <c r="BD2" s="1940"/>
      <c r="BE2" s="1940"/>
      <c r="BF2" s="1940"/>
      <c r="BG2" s="1940"/>
      <c r="BH2" s="1940"/>
      <c r="BI2" s="1940"/>
      <c r="BJ2" s="1940"/>
      <c r="BK2" s="1940"/>
      <c r="BL2" s="1940"/>
      <c r="BM2" s="1940"/>
      <c r="BN2" s="1940"/>
      <c r="BO2" s="1940"/>
      <c r="BP2" s="1940"/>
      <c r="BQ2" s="1940"/>
      <c r="BR2" s="1940"/>
      <c r="BS2" s="1940"/>
      <c r="BT2" s="1940"/>
      <c r="BU2" s="1940"/>
      <c r="BV2" s="1940"/>
      <c r="BW2" s="1940"/>
      <c r="BX2" s="1940"/>
      <c r="BY2" s="1940"/>
      <c r="BZ2" s="1940"/>
      <c r="CA2" s="1940"/>
      <c r="CB2" s="1940"/>
      <c r="CC2" s="1940"/>
      <c r="CD2" s="1940"/>
      <c r="CE2" s="1940"/>
      <c r="CF2" s="1940"/>
      <c r="CG2" s="1940"/>
      <c r="CH2" s="1940"/>
      <c r="CI2" s="1940"/>
      <c r="CJ2" s="1940"/>
      <c r="CK2" s="1940"/>
      <c r="CL2" s="1940"/>
      <c r="CM2" s="1940"/>
      <c r="CN2" s="1940"/>
      <c r="CO2" s="1940"/>
      <c r="CP2" s="1940"/>
      <c r="CQ2" s="1940"/>
      <c r="CR2" s="1940"/>
      <c r="CS2" s="1940"/>
      <c r="CT2" s="1940"/>
      <c r="CU2" s="1940"/>
      <c r="CV2" s="1940"/>
      <c r="CW2" s="1940"/>
      <c r="CX2" s="1940"/>
      <c r="CY2" s="1940"/>
      <c r="CZ2" s="1940"/>
      <c r="DA2" s="1940"/>
      <c r="DB2" s="1940"/>
      <c r="DC2" s="1940"/>
      <c r="DD2" s="1940"/>
      <c r="DE2" s="1940"/>
      <c r="DF2" s="1940"/>
      <c r="DG2" s="1940"/>
      <c r="DH2" s="1940"/>
      <c r="DI2" s="1940"/>
      <c r="DJ2" s="1940"/>
      <c r="DK2" s="1940"/>
      <c r="DL2" s="1940"/>
      <c r="DM2" s="1940"/>
      <c r="DN2" s="1940"/>
      <c r="DO2" s="1940"/>
      <c r="DP2" s="1940"/>
      <c r="DQ2" s="1940"/>
      <c r="DR2" s="1940"/>
      <c r="DS2" s="1940"/>
      <c r="DT2" s="1940"/>
      <c r="DU2" s="1940"/>
      <c r="DV2" s="1940"/>
      <c r="DW2" s="1940"/>
      <c r="DX2" s="1940"/>
      <c r="DY2" s="1940"/>
      <c r="DZ2" s="1940"/>
      <c r="EA2" s="1940"/>
      <c r="EB2" s="1940"/>
      <c r="EC2" s="1940"/>
      <c r="ED2" s="1940"/>
      <c r="EE2" s="1940"/>
      <c r="EF2" s="1940"/>
      <c r="EG2" s="1940"/>
    </row>
    <row r="3" spans="1:137">
      <c r="AQ3" s="253" t="s">
        <v>2266</v>
      </c>
      <c r="AR3" s="253" t="s">
        <v>2715</v>
      </c>
      <c r="AS3" s="253" t="s">
        <v>2265</v>
      </c>
      <c r="AT3" s="1939"/>
    </row>
    <row r="4" spans="1:137" ht="31">
      <c r="A4" s="4218" t="s">
        <v>2716</v>
      </c>
      <c r="B4" s="4219"/>
      <c r="C4" s="4219"/>
      <c r="D4" s="4219"/>
      <c r="E4" s="4219"/>
      <c r="F4" s="4219"/>
      <c r="G4" s="4219"/>
      <c r="H4" s="4219"/>
      <c r="I4" s="4219"/>
      <c r="J4" s="4219"/>
      <c r="K4" s="4219"/>
      <c r="L4" s="4219"/>
      <c r="M4" s="4219"/>
      <c r="N4" s="4219"/>
      <c r="O4" s="4219"/>
      <c r="P4" s="4219"/>
      <c r="Q4" s="4219"/>
      <c r="R4" s="4219"/>
      <c r="S4" s="4219"/>
      <c r="T4" s="4219"/>
      <c r="U4" s="4219"/>
      <c r="V4" s="4219"/>
      <c r="W4" s="4219"/>
      <c r="X4" s="4219"/>
      <c r="Y4" s="4219"/>
      <c r="Z4" s="4219"/>
      <c r="AA4" s="4219"/>
      <c r="AB4" s="4219"/>
      <c r="AC4" s="4219"/>
      <c r="AD4" s="4219"/>
      <c r="AE4" s="4219"/>
      <c r="AF4" s="4220"/>
      <c r="AQ4" s="253" t="s">
        <v>2268</v>
      </c>
      <c r="AR4" s="253" t="s">
        <v>2717</v>
      </c>
      <c r="AS4" s="253" t="s">
        <v>2267</v>
      </c>
      <c r="AT4" s="1939"/>
    </row>
    <row r="5" spans="1:137" ht="24">
      <c r="A5" s="4186" t="s">
        <v>2662</v>
      </c>
      <c r="B5" s="4186"/>
      <c r="C5" s="4186"/>
      <c r="D5" s="4186" t="s">
        <v>2663</v>
      </c>
      <c r="E5" s="4186"/>
      <c r="F5" s="4186"/>
      <c r="G5" s="4186"/>
      <c r="H5" s="4186"/>
      <c r="I5" s="4187" t="s">
        <v>1686</v>
      </c>
      <c r="J5" s="4187" t="s">
        <v>610</v>
      </c>
      <c r="K5" s="4186" t="s">
        <v>2664</v>
      </c>
      <c r="L5" s="4186"/>
      <c r="M5" s="4186"/>
      <c r="N5" s="4186"/>
      <c r="O5" s="4186"/>
      <c r="P5" s="4186"/>
      <c r="Q5" s="4186"/>
      <c r="R5" s="4186"/>
      <c r="S5" s="4186"/>
      <c r="T5" s="4186"/>
      <c r="U5" s="4186"/>
      <c r="V5" s="4186"/>
      <c r="W5" s="4186"/>
      <c r="X5" s="4186"/>
      <c r="Y5" s="4186"/>
      <c r="Z5" s="4186"/>
      <c r="AA5" s="4186" t="s">
        <v>2665</v>
      </c>
      <c r="AB5" s="4186"/>
      <c r="AC5" s="4186"/>
      <c r="AD5" s="4186"/>
      <c r="AE5" s="4186"/>
      <c r="AF5" s="4186"/>
      <c r="AQ5" s="253" t="s">
        <v>2718</v>
      </c>
      <c r="AR5" s="253" t="s">
        <v>2719</v>
      </c>
      <c r="AS5" s="253"/>
      <c r="AT5" s="1939"/>
    </row>
    <row r="6" spans="1:137" ht="51">
      <c r="A6" s="410" t="s">
        <v>2666</v>
      </c>
      <c r="B6" s="309" t="s">
        <v>2667</v>
      </c>
      <c r="C6" s="309" t="s">
        <v>2668</v>
      </c>
      <c r="D6" s="309" t="s">
        <v>2669</v>
      </c>
      <c r="E6" s="309" t="s">
        <v>2670</v>
      </c>
      <c r="F6" s="309" t="s">
        <v>2671</v>
      </c>
      <c r="G6" s="309" t="s">
        <v>2672</v>
      </c>
      <c r="H6" s="309" t="s">
        <v>2673</v>
      </c>
      <c r="I6" s="4187"/>
      <c r="J6" s="4187"/>
      <c r="K6" s="4183" t="s">
        <v>2720</v>
      </c>
      <c r="L6" s="4183"/>
      <c r="M6" s="4183" t="s">
        <v>2721</v>
      </c>
      <c r="N6" s="4183"/>
      <c r="O6" s="4183" t="s">
        <v>2722</v>
      </c>
      <c r="P6" s="4183"/>
      <c r="Q6" s="4183" t="s">
        <v>2676</v>
      </c>
      <c r="R6" s="4183"/>
      <c r="S6" s="4183" t="s">
        <v>2722</v>
      </c>
      <c r="T6" s="4183"/>
      <c r="U6" s="4183" t="s">
        <v>2707</v>
      </c>
      <c r="V6" s="4183"/>
      <c r="W6" s="4183" t="s">
        <v>2710</v>
      </c>
      <c r="X6" s="4183"/>
      <c r="Y6" s="4183" t="s">
        <v>2678</v>
      </c>
      <c r="Z6" s="4183"/>
      <c r="AA6" s="309" t="s">
        <v>2723</v>
      </c>
      <c r="AB6" s="309" t="s">
        <v>2724</v>
      </c>
      <c r="AC6" s="309" t="s">
        <v>2695</v>
      </c>
      <c r="AD6" s="309" t="s">
        <v>2696</v>
      </c>
      <c r="AE6" s="309" t="s">
        <v>2697</v>
      </c>
      <c r="AF6" s="309" t="s">
        <v>2698</v>
      </c>
      <c r="AQ6" s="253" t="s">
        <v>2725</v>
      </c>
      <c r="AR6" s="253" t="s">
        <v>2726</v>
      </c>
      <c r="AS6" s="253"/>
      <c r="AT6" s="1939"/>
    </row>
    <row r="7" spans="1:137" s="1944" customFormat="1">
      <c r="A7" s="4205">
        <f>+'9.1_PA_OB&amp;S - MH'!A19+1</f>
        <v>3</v>
      </c>
      <c r="B7" s="4207" t="s">
        <v>2295</v>
      </c>
      <c r="C7" s="4205" t="s">
        <v>1994</v>
      </c>
      <c r="D7" s="4203">
        <f>SUM(J7:J15)</f>
        <v>1000000</v>
      </c>
      <c r="E7" s="4203">
        <v>0</v>
      </c>
      <c r="F7" s="4209">
        <v>1</v>
      </c>
      <c r="G7" s="4209">
        <v>0</v>
      </c>
      <c r="H7" s="4209">
        <v>0</v>
      </c>
      <c r="I7" s="1966" t="str">
        <f>'8_MP'!D11</f>
        <v>1.1.1.1.2</v>
      </c>
      <c r="J7" s="2492">
        <f>'8_MP'!AN11</f>
        <v>0</v>
      </c>
      <c r="K7" s="4191">
        <v>45419</v>
      </c>
      <c r="L7" s="4194" t="s">
        <v>2682</v>
      </c>
      <c r="M7" s="4191">
        <v>45463</v>
      </c>
      <c r="N7" s="4194" t="s">
        <v>2682</v>
      </c>
      <c r="O7" s="4191">
        <v>45498</v>
      </c>
      <c r="P7" s="4194" t="s">
        <v>2682</v>
      </c>
      <c r="Q7" s="4191">
        <v>45547</v>
      </c>
      <c r="R7" s="4194" t="s">
        <v>2682</v>
      </c>
      <c r="S7" s="4191">
        <v>45548</v>
      </c>
      <c r="T7" s="4194" t="s">
        <v>2682</v>
      </c>
      <c r="U7" s="4191">
        <v>45596</v>
      </c>
      <c r="V7" s="4194" t="s">
        <v>2682</v>
      </c>
      <c r="W7" s="4191">
        <v>45616</v>
      </c>
      <c r="X7" s="4194" t="s">
        <v>2682</v>
      </c>
      <c r="Y7" s="4191">
        <v>45632</v>
      </c>
      <c r="Z7" s="4194" t="s">
        <v>2682</v>
      </c>
      <c r="AA7" s="4197" t="s">
        <v>1195</v>
      </c>
      <c r="AB7" s="4197" t="s">
        <v>2296</v>
      </c>
      <c r="AC7" s="4200" t="s">
        <v>2727</v>
      </c>
      <c r="AD7" s="4211"/>
      <c r="AE7" s="4211"/>
      <c r="AF7" s="4211"/>
      <c r="AQ7" s="1945"/>
      <c r="AR7" s="1945"/>
      <c r="AS7" s="1945"/>
      <c r="AT7" s="1946"/>
    </row>
    <row r="8" spans="1:137" s="1944" customFormat="1">
      <c r="A8" s="4217"/>
      <c r="B8" s="4216"/>
      <c r="C8" s="4217"/>
      <c r="D8" s="4215"/>
      <c r="E8" s="4215"/>
      <c r="F8" s="4214"/>
      <c r="G8" s="4214"/>
      <c r="H8" s="4214"/>
      <c r="I8" s="1966" t="str">
        <f>'8_MP'!D12</f>
        <v>1.1.1.1.5</v>
      </c>
      <c r="J8" s="2493"/>
      <c r="K8" s="4192"/>
      <c r="L8" s="4195"/>
      <c r="M8" s="4192"/>
      <c r="N8" s="4195"/>
      <c r="O8" s="4192"/>
      <c r="P8" s="4195"/>
      <c r="Q8" s="4192"/>
      <c r="R8" s="4195"/>
      <c r="S8" s="4192"/>
      <c r="T8" s="4195"/>
      <c r="U8" s="4192"/>
      <c r="V8" s="4195"/>
      <c r="W8" s="4192"/>
      <c r="X8" s="4195"/>
      <c r="Y8" s="4192"/>
      <c r="Z8" s="4195"/>
      <c r="AA8" s="4198"/>
      <c r="AB8" s="4198"/>
      <c r="AC8" s="4201"/>
      <c r="AD8" s="4212"/>
      <c r="AE8" s="4212"/>
      <c r="AF8" s="4212"/>
      <c r="AQ8" s="1945"/>
      <c r="AR8" s="1945"/>
      <c r="AS8" s="1945"/>
      <c r="AT8" s="1946"/>
    </row>
    <row r="9" spans="1:137" s="1944" customFormat="1">
      <c r="A9" s="4217"/>
      <c r="B9" s="4216"/>
      <c r="C9" s="4217"/>
      <c r="D9" s="4215"/>
      <c r="E9" s="4215"/>
      <c r="F9" s="4214"/>
      <c r="G9" s="4214"/>
      <c r="H9" s="4214"/>
      <c r="I9" s="1966" t="str">
        <f>'8_MP'!D40</f>
        <v>1.1.1.1.4.1</v>
      </c>
      <c r="J9" s="4203">
        <f>'8_MP'!AN40</f>
        <v>30000</v>
      </c>
      <c r="K9" s="4192"/>
      <c r="L9" s="4195"/>
      <c r="M9" s="4192"/>
      <c r="N9" s="4195"/>
      <c r="O9" s="4192"/>
      <c r="P9" s="4195"/>
      <c r="Q9" s="4192"/>
      <c r="R9" s="4195"/>
      <c r="S9" s="4192"/>
      <c r="T9" s="4195"/>
      <c r="U9" s="4192"/>
      <c r="V9" s="4195"/>
      <c r="W9" s="4192"/>
      <c r="X9" s="4195"/>
      <c r="Y9" s="4192"/>
      <c r="Z9" s="4195"/>
      <c r="AA9" s="4198"/>
      <c r="AB9" s="4198"/>
      <c r="AC9" s="4201"/>
      <c r="AD9" s="4212"/>
      <c r="AE9" s="4212"/>
      <c r="AF9" s="4212"/>
      <c r="AQ9" s="1945"/>
      <c r="AR9" s="1945"/>
      <c r="AS9" s="1945"/>
      <c r="AT9" s="1946"/>
    </row>
    <row r="10" spans="1:137" s="1944" customFormat="1">
      <c r="A10" s="4217"/>
      <c r="B10" s="4216"/>
      <c r="C10" s="4217"/>
      <c r="D10" s="4215"/>
      <c r="E10" s="4215"/>
      <c r="F10" s="4214"/>
      <c r="G10" s="4214"/>
      <c r="H10" s="4214"/>
      <c r="I10" s="1966" t="str">
        <f>'8_MP'!D41</f>
        <v>1.1.1.1.4.2</v>
      </c>
      <c r="J10" s="4215"/>
      <c r="K10" s="4192"/>
      <c r="L10" s="4195"/>
      <c r="M10" s="4192"/>
      <c r="N10" s="4195"/>
      <c r="O10" s="4192"/>
      <c r="P10" s="4195"/>
      <c r="Q10" s="4192"/>
      <c r="R10" s="4195"/>
      <c r="S10" s="4192"/>
      <c r="T10" s="4195"/>
      <c r="U10" s="4192"/>
      <c r="V10" s="4195"/>
      <c r="W10" s="4192"/>
      <c r="X10" s="4195"/>
      <c r="Y10" s="4192"/>
      <c r="Z10" s="4195"/>
      <c r="AA10" s="4198"/>
      <c r="AB10" s="4198"/>
      <c r="AC10" s="4201"/>
      <c r="AD10" s="4212"/>
      <c r="AE10" s="4212"/>
      <c r="AF10" s="4212"/>
      <c r="AQ10" s="1945"/>
      <c r="AR10" s="1945"/>
      <c r="AS10" s="1945"/>
      <c r="AT10" s="1946"/>
    </row>
    <row r="11" spans="1:137" s="1944" customFormat="1">
      <c r="A11" s="4217"/>
      <c r="B11" s="4216"/>
      <c r="C11" s="4206"/>
      <c r="D11" s="4215"/>
      <c r="E11" s="4215"/>
      <c r="F11" s="4214"/>
      <c r="G11" s="4214"/>
      <c r="H11" s="4214"/>
      <c r="I11" s="1966" t="e">
        <f>'8_MP'!#REF!</f>
        <v>#REF!</v>
      </c>
      <c r="J11" s="4204"/>
      <c r="K11" s="4192"/>
      <c r="L11" s="4195"/>
      <c r="M11" s="4192"/>
      <c r="N11" s="4195"/>
      <c r="O11" s="4192"/>
      <c r="P11" s="4195"/>
      <c r="Q11" s="4192"/>
      <c r="R11" s="4195"/>
      <c r="S11" s="4192"/>
      <c r="T11" s="4195"/>
      <c r="U11" s="4192"/>
      <c r="V11" s="4195"/>
      <c r="W11" s="4192"/>
      <c r="X11" s="4195"/>
      <c r="Y11" s="4192"/>
      <c r="Z11" s="4195"/>
      <c r="AA11" s="4198"/>
      <c r="AB11" s="4198"/>
      <c r="AC11" s="4201"/>
      <c r="AD11" s="4212"/>
      <c r="AE11" s="4212"/>
      <c r="AF11" s="4212"/>
      <c r="AQ11" s="1945"/>
      <c r="AR11" s="1945"/>
      <c r="AS11" s="1945"/>
      <c r="AT11" s="1946"/>
    </row>
    <row r="12" spans="1:137" s="1944" customFormat="1">
      <c r="A12" s="4217"/>
      <c r="B12" s="4216"/>
      <c r="C12" s="4205" t="s">
        <v>2102</v>
      </c>
      <c r="D12" s="4215"/>
      <c r="E12" s="4215"/>
      <c r="F12" s="4214"/>
      <c r="G12" s="4214"/>
      <c r="H12" s="4214"/>
      <c r="I12" s="1966" t="str">
        <f>'8_MP'!D64</f>
        <v>1.1.2.2.1.2</v>
      </c>
      <c r="J12" s="4203">
        <f>'8_MP'!AN64</f>
        <v>970000</v>
      </c>
      <c r="K12" s="4192"/>
      <c r="L12" s="4195"/>
      <c r="M12" s="4192"/>
      <c r="N12" s="4195"/>
      <c r="O12" s="4192"/>
      <c r="P12" s="4195"/>
      <c r="Q12" s="4192"/>
      <c r="R12" s="4195"/>
      <c r="S12" s="4192"/>
      <c r="T12" s="4195"/>
      <c r="U12" s="4192"/>
      <c r="V12" s="4195"/>
      <c r="W12" s="4192"/>
      <c r="X12" s="4195"/>
      <c r="Y12" s="4192"/>
      <c r="Z12" s="4195"/>
      <c r="AA12" s="4198"/>
      <c r="AB12" s="4198"/>
      <c r="AC12" s="4201"/>
      <c r="AD12" s="4212"/>
      <c r="AE12" s="4212"/>
      <c r="AF12" s="4212"/>
      <c r="AQ12" s="1945"/>
      <c r="AR12" s="1945"/>
      <c r="AS12" s="1945"/>
      <c r="AT12" s="1946"/>
    </row>
    <row r="13" spans="1:137" s="1944" customFormat="1">
      <c r="A13" s="4217"/>
      <c r="B13" s="4216"/>
      <c r="C13" s="4217"/>
      <c r="D13" s="4215"/>
      <c r="E13" s="4215"/>
      <c r="F13" s="4214"/>
      <c r="G13" s="4214"/>
      <c r="H13" s="4214"/>
      <c r="I13" s="1966" t="str">
        <f>'8_MP'!D65</f>
        <v>1.1.2.2.1.3</v>
      </c>
      <c r="J13" s="4215"/>
      <c r="K13" s="4192"/>
      <c r="L13" s="4195"/>
      <c r="M13" s="4192"/>
      <c r="N13" s="4195"/>
      <c r="O13" s="4192"/>
      <c r="P13" s="4195"/>
      <c r="Q13" s="4192"/>
      <c r="R13" s="4195"/>
      <c r="S13" s="4192"/>
      <c r="T13" s="4195"/>
      <c r="U13" s="4192"/>
      <c r="V13" s="4195"/>
      <c r="W13" s="4192"/>
      <c r="X13" s="4195"/>
      <c r="Y13" s="4192"/>
      <c r="Z13" s="4195"/>
      <c r="AA13" s="4198"/>
      <c r="AB13" s="4198"/>
      <c r="AC13" s="4201"/>
      <c r="AD13" s="4212"/>
      <c r="AE13" s="4212"/>
      <c r="AF13" s="4212"/>
      <c r="AQ13" s="1945"/>
      <c r="AR13" s="1945"/>
      <c r="AS13" s="1945"/>
      <c r="AT13" s="1946"/>
    </row>
    <row r="14" spans="1:137" s="1944" customFormat="1">
      <c r="A14" s="4217"/>
      <c r="B14" s="4216"/>
      <c r="C14" s="4206"/>
      <c r="D14" s="4215"/>
      <c r="E14" s="4215"/>
      <c r="F14" s="4214"/>
      <c r="G14" s="4214"/>
      <c r="H14" s="4214"/>
      <c r="I14" s="1966" t="str">
        <f>'8_MP'!D66</f>
        <v>1.1.2.2.1.4</v>
      </c>
      <c r="J14" s="4204"/>
      <c r="K14" s="4192"/>
      <c r="L14" s="4195"/>
      <c r="M14" s="4192"/>
      <c r="N14" s="4195"/>
      <c r="O14" s="4192"/>
      <c r="P14" s="4195"/>
      <c r="Q14" s="4192"/>
      <c r="R14" s="4195"/>
      <c r="S14" s="4192"/>
      <c r="T14" s="4195"/>
      <c r="U14" s="4192"/>
      <c r="V14" s="4195"/>
      <c r="W14" s="4192"/>
      <c r="X14" s="4195"/>
      <c r="Y14" s="4192"/>
      <c r="Z14" s="4195"/>
      <c r="AA14" s="4198"/>
      <c r="AB14" s="4198"/>
      <c r="AC14" s="4201"/>
      <c r="AD14" s="4212"/>
      <c r="AE14" s="4212"/>
      <c r="AF14" s="4212"/>
      <c r="AQ14" s="1945"/>
      <c r="AR14" s="1945"/>
      <c r="AS14" s="1945"/>
      <c r="AT14" s="1946"/>
    </row>
    <row r="15" spans="1:137" s="1944" customFormat="1">
      <c r="A15" s="4206"/>
      <c r="B15" s="4208"/>
      <c r="C15" s="1935" t="s">
        <v>2063</v>
      </c>
      <c r="D15" s="4204"/>
      <c r="E15" s="4204"/>
      <c r="F15" s="4210"/>
      <c r="G15" s="4210"/>
      <c r="H15" s="4210"/>
      <c r="I15" s="1966">
        <f>'8_MP'!$D$51</f>
        <v>0</v>
      </c>
      <c r="J15" s="2494"/>
      <c r="K15" s="4193"/>
      <c r="L15" s="4196"/>
      <c r="M15" s="4193"/>
      <c r="N15" s="4196"/>
      <c r="O15" s="4193"/>
      <c r="P15" s="4196"/>
      <c r="Q15" s="4193"/>
      <c r="R15" s="4196"/>
      <c r="S15" s="4193"/>
      <c r="T15" s="4196"/>
      <c r="U15" s="4193"/>
      <c r="V15" s="4196"/>
      <c r="W15" s="4193"/>
      <c r="X15" s="4196"/>
      <c r="Y15" s="4193"/>
      <c r="Z15" s="4196"/>
      <c r="AA15" s="4199"/>
      <c r="AB15" s="4199"/>
      <c r="AC15" s="4202"/>
      <c r="AD15" s="4213"/>
      <c r="AE15" s="4213"/>
      <c r="AF15" s="4213"/>
      <c r="AQ15" s="1945"/>
      <c r="AR15" s="1945"/>
      <c r="AS15" s="1945"/>
      <c r="AT15" s="1946"/>
    </row>
    <row r="16" spans="1:137" s="1944" customFormat="1" ht="64">
      <c r="A16" s="294">
        <f>+A7+1</f>
        <v>4</v>
      </c>
      <c r="B16" s="1962" t="s">
        <v>2728</v>
      </c>
      <c r="C16" s="294" t="s">
        <v>1994</v>
      </c>
      <c r="D16" s="298">
        <f>+J16</f>
        <v>616596</v>
      </c>
      <c r="E16" s="298">
        <v>0</v>
      </c>
      <c r="F16" s="297">
        <v>1</v>
      </c>
      <c r="G16" s="297">
        <v>0</v>
      </c>
      <c r="H16" s="297">
        <v>0</v>
      </c>
      <c r="I16" s="1966" t="str">
        <f>'8_MP'!$D$19</f>
        <v>1.1.1.7</v>
      </c>
      <c r="J16" s="1938">
        <f>'8_MP'!$AN$19</f>
        <v>616596</v>
      </c>
      <c r="K16" s="2136">
        <v>45324</v>
      </c>
      <c r="L16" s="1936" t="s">
        <v>2682</v>
      </c>
      <c r="M16" s="2136">
        <v>45370</v>
      </c>
      <c r="N16" s="1936" t="s">
        <v>2682</v>
      </c>
      <c r="O16" s="2136">
        <v>45405</v>
      </c>
      <c r="P16" s="1936" t="s">
        <v>2682</v>
      </c>
      <c r="Q16" s="2136">
        <v>45454</v>
      </c>
      <c r="R16" s="1936" t="s">
        <v>2682</v>
      </c>
      <c r="S16" s="2136">
        <v>45455</v>
      </c>
      <c r="T16" s="1936" t="s">
        <v>2682</v>
      </c>
      <c r="U16" s="2136">
        <v>45503</v>
      </c>
      <c r="V16" s="1936" t="s">
        <v>2682</v>
      </c>
      <c r="W16" s="2136">
        <v>45523</v>
      </c>
      <c r="X16" s="1936" t="s">
        <v>2682</v>
      </c>
      <c r="Y16" s="2136">
        <v>45539</v>
      </c>
      <c r="Z16" s="1936" t="s">
        <v>2682</v>
      </c>
      <c r="AA16" s="1956" t="s">
        <v>1195</v>
      </c>
      <c r="AB16" s="1956" t="s">
        <v>853</v>
      </c>
      <c r="AC16" s="1957" t="s">
        <v>2727</v>
      </c>
      <c r="AD16" s="1956"/>
      <c r="AE16" s="1956"/>
      <c r="AF16" s="1956"/>
      <c r="AQ16" s="1945"/>
      <c r="AR16" s="1945"/>
      <c r="AS16" s="1945"/>
      <c r="AT16" s="1946"/>
    </row>
    <row r="17" spans="1:46" s="1944" customFormat="1" ht="27.5" customHeight="1">
      <c r="A17" s="4205">
        <f>+A16+1</f>
        <v>5</v>
      </c>
      <c r="B17" s="4207" t="s">
        <v>2729</v>
      </c>
      <c r="C17" s="4205" t="s">
        <v>2021</v>
      </c>
      <c r="D17" s="4203">
        <f>SUM(J17:J18)</f>
        <v>900000</v>
      </c>
      <c r="E17" s="4203">
        <v>0</v>
      </c>
      <c r="F17" s="4209">
        <v>1</v>
      </c>
      <c r="G17" s="4209">
        <v>0</v>
      </c>
      <c r="H17" s="4209">
        <v>0</v>
      </c>
      <c r="I17" s="1966" t="str">
        <f>'8_MP'!$D$77</f>
        <v>1.2.1.1.2</v>
      </c>
      <c r="J17" s="298">
        <f>'8_MP'!$AN$77</f>
        <v>500000</v>
      </c>
      <c r="K17" s="4191">
        <v>45400</v>
      </c>
      <c r="L17" s="4194" t="s">
        <v>2682</v>
      </c>
      <c r="M17" s="4191">
        <v>45446</v>
      </c>
      <c r="N17" s="4194" t="s">
        <v>2682</v>
      </c>
      <c r="O17" s="4191">
        <v>45481</v>
      </c>
      <c r="P17" s="4194" t="s">
        <v>2682</v>
      </c>
      <c r="Q17" s="4191">
        <v>45530</v>
      </c>
      <c r="R17" s="4194" t="s">
        <v>2682</v>
      </c>
      <c r="S17" s="4191">
        <v>45531</v>
      </c>
      <c r="T17" s="4194" t="s">
        <v>2682</v>
      </c>
      <c r="U17" s="4191">
        <v>45579</v>
      </c>
      <c r="V17" s="4194" t="s">
        <v>2682</v>
      </c>
      <c r="W17" s="4191">
        <v>45597</v>
      </c>
      <c r="X17" s="4194" t="s">
        <v>2682</v>
      </c>
      <c r="Y17" s="4191">
        <v>45615</v>
      </c>
      <c r="Z17" s="4194" t="s">
        <v>2682</v>
      </c>
      <c r="AA17" s="4197" t="s">
        <v>1195</v>
      </c>
      <c r="AB17" s="4197" t="s">
        <v>853</v>
      </c>
      <c r="AC17" s="4200" t="s">
        <v>2727</v>
      </c>
      <c r="AD17" s="4197"/>
      <c r="AE17" s="4197"/>
      <c r="AF17" s="4197"/>
      <c r="AQ17" s="1945"/>
      <c r="AR17" s="1945"/>
      <c r="AS17" s="1945"/>
      <c r="AT17" s="1946"/>
    </row>
    <row r="18" spans="1:46" s="1944" customFormat="1" ht="27.5" customHeight="1">
      <c r="A18" s="4206"/>
      <c r="B18" s="4208"/>
      <c r="C18" s="4206"/>
      <c r="D18" s="4204"/>
      <c r="E18" s="4204"/>
      <c r="F18" s="4210"/>
      <c r="G18" s="4210"/>
      <c r="H18" s="4210"/>
      <c r="I18" s="1966" t="str">
        <f>'8_MP'!$D$80</f>
        <v>1.2.1.2.2</v>
      </c>
      <c r="J18" s="298">
        <f>'8_MP'!$AN$80</f>
        <v>400000</v>
      </c>
      <c r="K18" s="4193"/>
      <c r="L18" s="4196"/>
      <c r="M18" s="4193"/>
      <c r="N18" s="4196"/>
      <c r="O18" s="4193"/>
      <c r="P18" s="4196"/>
      <c r="Q18" s="4193"/>
      <c r="R18" s="4196"/>
      <c r="S18" s="4193"/>
      <c r="T18" s="4196"/>
      <c r="U18" s="4193"/>
      <c r="V18" s="4196"/>
      <c r="W18" s="4193"/>
      <c r="X18" s="4196"/>
      <c r="Y18" s="4193"/>
      <c r="Z18" s="4196"/>
      <c r="AA18" s="4199"/>
      <c r="AB18" s="4199"/>
      <c r="AC18" s="4202"/>
      <c r="AD18" s="4199"/>
      <c r="AE18" s="4199"/>
      <c r="AF18" s="4199"/>
      <c r="AQ18" s="1945"/>
      <c r="AR18" s="1945"/>
      <c r="AS18" s="1945"/>
      <c r="AT18" s="1946"/>
    </row>
    <row r="19" spans="1:46" s="1944" customFormat="1" ht="27.5" customHeight="1">
      <c r="A19" s="4205">
        <f>+A17+1</f>
        <v>6</v>
      </c>
      <c r="B19" s="4197" t="s">
        <v>2312</v>
      </c>
      <c r="C19" s="294" t="s">
        <v>2730</v>
      </c>
      <c r="D19" s="4203">
        <f>SUM(J19:J20)</f>
        <v>2991696.0000799997</v>
      </c>
      <c r="E19" s="4203">
        <v>0</v>
      </c>
      <c r="F19" s="4209">
        <v>1</v>
      </c>
      <c r="G19" s="4209">
        <v>0</v>
      </c>
      <c r="H19" s="4209">
        <v>0</v>
      </c>
      <c r="I19" s="1966" t="str">
        <f>'8_MP'!$D$147</f>
        <v>1.3.1.1.2</v>
      </c>
      <c r="J19" s="298">
        <f>'8_MP'!$AN$147</f>
        <v>35981.000039999999</v>
      </c>
      <c r="K19" s="4191">
        <v>45469</v>
      </c>
      <c r="L19" s="4194" t="s">
        <v>2682</v>
      </c>
      <c r="M19" s="4191">
        <v>45513</v>
      </c>
      <c r="N19" s="4194" t="s">
        <v>2682</v>
      </c>
      <c r="O19" s="4191">
        <v>45548</v>
      </c>
      <c r="P19" s="4194" t="s">
        <v>2682</v>
      </c>
      <c r="Q19" s="4191">
        <v>45597</v>
      </c>
      <c r="R19" s="4194" t="s">
        <v>2682</v>
      </c>
      <c r="S19" s="4191">
        <v>45600</v>
      </c>
      <c r="T19" s="4194" t="s">
        <v>2682</v>
      </c>
      <c r="U19" s="4191">
        <v>45646</v>
      </c>
      <c r="V19" s="4194" t="s">
        <v>2682</v>
      </c>
      <c r="W19" s="4191">
        <v>45666</v>
      </c>
      <c r="X19" s="4194" t="s">
        <v>2682</v>
      </c>
      <c r="Y19" s="4191">
        <v>45684</v>
      </c>
      <c r="Z19" s="4194" t="s">
        <v>2682</v>
      </c>
      <c r="AA19" s="4197" t="s">
        <v>1195</v>
      </c>
      <c r="AB19" s="4197" t="s">
        <v>853</v>
      </c>
      <c r="AC19" s="4200" t="s">
        <v>2727</v>
      </c>
      <c r="AD19" s="4197"/>
      <c r="AE19" s="4197"/>
      <c r="AF19" s="4197"/>
      <c r="AQ19" s="1945"/>
      <c r="AR19" s="1945"/>
      <c r="AS19" s="1945"/>
      <c r="AT19" s="1946"/>
    </row>
    <row r="20" spans="1:46" s="1944" customFormat="1" ht="27.5" customHeight="1">
      <c r="A20" s="4217"/>
      <c r="B20" s="4199"/>
      <c r="C20" s="294" t="s">
        <v>2731</v>
      </c>
      <c r="D20" s="4215"/>
      <c r="E20" s="4215">
        <v>0</v>
      </c>
      <c r="F20" s="4214">
        <v>1</v>
      </c>
      <c r="G20" s="4214">
        <v>0</v>
      </c>
      <c r="H20" s="4214">
        <v>0</v>
      </c>
      <c r="I20" s="1966" t="str">
        <f>'8_MP'!$D$171</f>
        <v>1.3.1.4.3</v>
      </c>
      <c r="J20" s="298">
        <f>'8_MP'!$AN$171</f>
        <v>2955715.0000399998</v>
      </c>
      <c r="K20" s="4192"/>
      <c r="L20" s="4195" t="s">
        <v>2682</v>
      </c>
      <c r="M20" s="4192"/>
      <c r="N20" s="4195" t="s">
        <v>2682</v>
      </c>
      <c r="O20" s="4192"/>
      <c r="P20" s="4195" t="s">
        <v>2682</v>
      </c>
      <c r="Q20" s="4192"/>
      <c r="R20" s="4195" t="s">
        <v>2682</v>
      </c>
      <c r="S20" s="4192"/>
      <c r="T20" s="4195" t="s">
        <v>2682</v>
      </c>
      <c r="U20" s="4192"/>
      <c r="V20" s="4195" t="s">
        <v>2682</v>
      </c>
      <c r="W20" s="4192"/>
      <c r="X20" s="4195" t="s">
        <v>2682</v>
      </c>
      <c r="Y20" s="4192"/>
      <c r="Z20" s="4195" t="s">
        <v>2682</v>
      </c>
      <c r="AA20" s="4198" t="s">
        <v>1195</v>
      </c>
      <c r="AB20" s="4198" t="s">
        <v>853</v>
      </c>
      <c r="AC20" s="4201" t="s">
        <v>2727</v>
      </c>
      <c r="AD20" s="4198"/>
      <c r="AE20" s="4198"/>
      <c r="AF20" s="4198"/>
      <c r="AQ20" s="1945"/>
      <c r="AR20" s="1945"/>
      <c r="AS20" s="1945"/>
      <c r="AT20" s="1946"/>
    </row>
    <row r="21" spans="1:46" s="1944" customFormat="1" ht="45" customHeight="1">
      <c r="A21" s="294">
        <f>+A19+1</f>
        <v>7</v>
      </c>
      <c r="B21" s="1962" t="s">
        <v>2313</v>
      </c>
      <c r="C21" s="294" t="s">
        <v>2730</v>
      </c>
      <c r="D21" s="298">
        <f>+J21</f>
        <v>0</v>
      </c>
      <c r="E21" s="298">
        <v>0</v>
      </c>
      <c r="F21" s="297">
        <v>1</v>
      </c>
      <c r="G21" s="297">
        <v>0</v>
      </c>
      <c r="H21" s="297">
        <v>0</v>
      </c>
      <c r="I21" s="1966" t="str">
        <f>'8_MP'!$D$149</f>
        <v>1.3.1.2</v>
      </c>
      <c r="J21" s="298">
        <f>'8_MP'!$AN$149</f>
        <v>0</v>
      </c>
      <c r="K21" s="2136">
        <v>45219</v>
      </c>
      <c r="L21" s="1936" t="s">
        <v>2682</v>
      </c>
      <c r="M21" s="2136">
        <v>45265</v>
      </c>
      <c r="N21" s="1936" t="s">
        <v>2682</v>
      </c>
      <c r="O21" s="2136">
        <v>45300</v>
      </c>
      <c r="P21" s="1936" t="s">
        <v>2682</v>
      </c>
      <c r="Q21" s="2136">
        <v>45349</v>
      </c>
      <c r="R21" s="1936" t="s">
        <v>2682</v>
      </c>
      <c r="S21" s="2136">
        <v>45350</v>
      </c>
      <c r="T21" s="1936" t="s">
        <v>2682</v>
      </c>
      <c r="U21" s="2136">
        <v>45398</v>
      </c>
      <c r="V21" s="1936" t="s">
        <v>2682</v>
      </c>
      <c r="W21" s="2136">
        <v>45418</v>
      </c>
      <c r="X21" s="1936" t="s">
        <v>2682</v>
      </c>
      <c r="Y21" s="2136">
        <v>45434</v>
      </c>
      <c r="Z21" s="1936" t="s">
        <v>2682</v>
      </c>
      <c r="AA21" s="1958" t="s">
        <v>1195</v>
      </c>
      <c r="AB21" s="1958" t="s">
        <v>2296</v>
      </c>
      <c r="AC21" s="1960" t="s">
        <v>2727</v>
      </c>
      <c r="AD21" s="1959"/>
      <c r="AE21" s="1959"/>
      <c r="AF21" s="1959"/>
      <c r="AQ21" s="1945"/>
      <c r="AR21" s="1945"/>
      <c r="AS21" s="1945"/>
      <c r="AT21" s="1946"/>
    </row>
    <row r="22" spans="1:46" s="1944" customFormat="1" ht="27.5" customHeight="1">
      <c r="A22" s="4205">
        <f>+A21+1</f>
        <v>8</v>
      </c>
      <c r="B22" s="4207" t="s">
        <v>2319</v>
      </c>
      <c r="C22" s="4205" t="s">
        <v>2732</v>
      </c>
      <c r="D22" s="4203">
        <f>SUM(J22:J23)</f>
        <v>1020000</v>
      </c>
      <c r="E22" s="4203">
        <v>0</v>
      </c>
      <c r="F22" s="4209">
        <v>1</v>
      </c>
      <c r="G22" s="4209">
        <v>0</v>
      </c>
      <c r="H22" s="4209">
        <v>0</v>
      </c>
      <c r="I22" s="1966" t="str">
        <f>'8_MP'!D207</f>
        <v>1.4.1.4.1</v>
      </c>
      <c r="J22" s="298">
        <f>'8_MP'!AI207</f>
        <v>80000</v>
      </c>
      <c r="K22" s="4191">
        <v>45492</v>
      </c>
      <c r="L22" s="4194" t="s">
        <v>2682</v>
      </c>
      <c r="M22" s="4191">
        <v>45538</v>
      </c>
      <c r="N22" s="4194" t="s">
        <v>2682</v>
      </c>
      <c r="O22" s="4191">
        <v>45573</v>
      </c>
      <c r="P22" s="4194" t="s">
        <v>2682</v>
      </c>
      <c r="Q22" s="4191">
        <v>45622</v>
      </c>
      <c r="R22" s="4194" t="s">
        <v>2682</v>
      </c>
      <c r="S22" s="4191">
        <v>45623</v>
      </c>
      <c r="T22" s="4194" t="s">
        <v>2682</v>
      </c>
      <c r="U22" s="4191">
        <v>45671</v>
      </c>
      <c r="V22" s="4194" t="s">
        <v>2682</v>
      </c>
      <c r="W22" s="4191">
        <v>45691</v>
      </c>
      <c r="X22" s="4194" t="s">
        <v>2682</v>
      </c>
      <c r="Y22" s="4191">
        <v>45707</v>
      </c>
      <c r="Z22" s="4194" t="s">
        <v>2682</v>
      </c>
      <c r="AA22" s="4197" t="s">
        <v>1195</v>
      </c>
      <c r="AB22" s="4197" t="s">
        <v>853</v>
      </c>
      <c r="AC22" s="4200" t="s">
        <v>2727</v>
      </c>
      <c r="AD22" s="4197"/>
      <c r="AE22" s="4197"/>
      <c r="AF22" s="4197"/>
      <c r="AQ22" s="1945"/>
      <c r="AR22" s="1945"/>
      <c r="AS22" s="1945"/>
      <c r="AT22" s="1946"/>
    </row>
    <row r="23" spans="1:46" s="1944" customFormat="1" ht="27.5" customHeight="1">
      <c r="A23" s="4206"/>
      <c r="B23" s="4208"/>
      <c r="C23" s="4206"/>
      <c r="D23" s="4204"/>
      <c r="E23" s="4204"/>
      <c r="F23" s="4210"/>
      <c r="G23" s="4210"/>
      <c r="H23" s="4210"/>
      <c r="I23" s="1966" t="str">
        <f>'8_MP'!D208</f>
        <v>1.4.1.5</v>
      </c>
      <c r="J23" s="298">
        <f>'8_MP'!AI208</f>
        <v>940000</v>
      </c>
      <c r="K23" s="4193"/>
      <c r="L23" s="4196"/>
      <c r="M23" s="4193"/>
      <c r="N23" s="4196"/>
      <c r="O23" s="4193"/>
      <c r="P23" s="4196"/>
      <c r="Q23" s="4193"/>
      <c r="R23" s="4196"/>
      <c r="S23" s="4193"/>
      <c r="T23" s="4196"/>
      <c r="U23" s="4193"/>
      <c r="V23" s="4196"/>
      <c r="W23" s="4193"/>
      <c r="X23" s="4196"/>
      <c r="Y23" s="4193"/>
      <c r="Z23" s="4196"/>
      <c r="AA23" s="4199"/>
      <c r="AB23" s="4199"/>
      <c r="AC23" s="4202"/>
      <c r="AD23" s="4199"/>
      <c r="AE23" s="4199"/>
      <c r="AF23" s="4199"/>
      <c r="AQ23" s="1945"/>
      <c r="AR23" s="1945"/>
      <c r="AS23" s="1945"/>
      <c r="AT23" s="1946"/>
    </row>
    <row r="24" spans="1:46" s="1944" customFormat="1" ht="23.5" customHeight="1">
      <c r="A24" s="4205">
        <f>+A22+1</f>
        <v>9</v>
      </c>
      <c r="B24" s="4207" t="s">
        <v>2733</v>
      </c>
      <c r="C24" s="294" t="s">
        <v>2734</v>
      </c>
      <c r="D24" s="4203">
        <f>SUM(J24:J29)</f>
        <v>3979000</v>
      </c>
      <c r="E24" s="4203">
        <v>0</v>
      </c>
      <c r="F24" s="4209">
        <v>1</v>
      </c>
      <c r="G24" s="4209">
        <v>0</v>
      </c>
      <c r="H24" s="4209">
        <v>0</v>
      </c>
      <c r="I24" s="1966" t="str">
        <f>'8_MP'!$D$379</f>
        <v>3.1.1.2.1</v>
      </c>
      <c r="J24" s="298">
        <f>'8_MP'!$AN$379</f>
        <v>20000</v>
      </c>
      <c r="K24" s="4191">
        <v>45442</v>
      </c>
      <c r="L24" s="4194" t="s">
        <v>2682</v>
      </c>
      <c r="M24" s="4191">
        <v>45488</v>
      </c>
      <c r="N24" s="4194" t="s">
        <v>2682</v>
      </c>
      <c r="O24" s="4191">
        <v>45523</v>
      </c>
      <c r="P24" s="4194" t="s">
        <v>2682</v>
      </c>
      <c r="Q24" s="4191">
        <v>45572</v>
      </c>
      <c r="R24" s="4194" t="s">
        <v>2682</v>
      </c>
      <c r="S24" s="4191">
        <v>45573</v>
      </c>
      <c r="T24" s="4194" t="s">
        <v>2682</v>
      </c>
      <c r="U24" s="4191">
        <v>45621</v>
      </c>
      <c r="V24" s="4194" t="s">
        <v>2682</v>
      </c>
      <c r="W24" s="4191">
        <v>45639</v>
      </c>
      <c r="X24" s="4194" t="s">
        <v>2682</v>
      </c>
      <c r="Y24" s="4191">
        <v>45657</v>
      </c>
      <c r="Z24" s="4194" t="s">
        <v>2682</v>
      </c>
      <c r="AA24" s="4197" t="s">
        <v>1195</v>
      </c>
      <c r="AB24" s="4197" t="s">
        <v>853</v>
      </c>
      <c r="AC24" s="4200" t="s">
        <v>2727</v>
      </c>
      <c r="AD24" s="4197"/>
      <c r="AE24" s="4197"/>
      <c r="AF24" s="4197"/>
      <c r="AQ24" s="1945"/>
      <c r="AR24" s="1945"/>
      <c r="AS24" s="1945"/>
      <c r="AT24" s="1946"/>
    </row>
    <row r="25" spans="1:46" s="1944" customFormat="1" ht="23.5" customHeight="1">
      <c r="A25" s="4217"/>
      <c r="B25" s="4216"/>
      <c r="C25" s="294" t="s">
        <v>2735</v>
      </c>
      <c r="D25" s="4215"/>
      <c r="E25" s="4215"/>
      <c r="F25" s="4214"/>
      <c r="G25" s="4214"/>
      <c r="H25" s="4214"/>
      <c r="I25" s="1966" t="str">
        <f>'8_MP'!$D$402</f>
        <v>3.1.3.4</v>
      </c>
      <c r="J25" s="298">
        <f>'8_MP'!$AN$402</f>
        <v>150000</v>
      </c>
      <c r="K25" s="4192"/>
      <c r="L25" s="4195"/>
      <c r="M25" s="4192"/>
      <c r="N25" s="4195"/>
      <c r="O25" s="4192"/>
      <c r="P25" s="4195"/>
      <c r="Q25" s="4192"/>
      <c r="R25" s="4195"/>
      <c r="S25" s="4192"/>
      <c r="T25" s="4195"/>
      <c r="U25" s="4192"/>
      <c r="V25" s="4195"/>
      <c r="W25" s="4192"/>
      <c r="X25" s="4195"/>
      <c r="Y25" s="4192"/>
      <c r="Z25" s="4195"/>
      <c r="AA25" s="4198"/>
      <c r="AB25" s="4198"/>
      <c r="AC25" s="4201"/>
      <c r="AD25" s="4198"/>
      <c r="AE25" s="4198"/>
      <c r="AF25" s="4198"/>
      <c r="AQ25" s="1945"/>
      <c r="AR25" s="1945"/>
      <c r="AS25" s="1945"/>
      <c r="AT25" s="1946"/>
    </row>
    <row r="26" spans="1:46" s="1944" customFormat="1" ht="23.5" customHeight="1">
      <c r="A26" s="4217"/>
      <c r="B26" s="4216"/>
      <c r="C26" s="294" t="s">
        <v>2736</v>
      </c>
      <c r="D26" s="4215"/>
      <c r="E26" s="4215"/>
      <c r="F26" s="4214"/>
      <c r="G26" s="4214"/>
      <c r="H26" s="4214"/>
      <c r="I26" s="1966" t="str">
        <f>'8_MP'!$D$385</f>
        <v>3.1.1.3.3</v>
      </c>
      <c r="J26" s="298">
        <f>'8_MP'!$AN$385</f>
        <v>144000</v>
      </c>
      <c r="K26" s="4192"/>
      <c r="L26" s="4195"/>
      <c r="M26" s="4192"/>
      <c r="N26" s="4195"/>
      <c r="O26" s="4192"/>
      <c r="P26" s="4195"/>
      <c r="Q26" s="4192"/>
      <c r="R26" s="4195"/>
      <c r="S26" s="4192"/>
      <c r="T26" s="4195"/>
      <c r="U26" s="4192"/>
      <c r="V26" s="4195"/>
      <c r="W26" s="4192"/>
      <c r="X26" s="4195"/>
      <c r="Y26" s="4192"/>
      <c r="Z26" s="4195"/>
      <c r="AA26" s="4198"/>
      <c r="AB26" s="4198"/>
      <c r="AC26" s="4201"/>
      <c r="AD26" s="4198"/>
      <c r="AE26" s="4198"/>
      <c r="AF26" s="4198"/>
      <c r="AQ26" s="1945"/>
      <c r="AR26" s="1945"/>
      <c r="AS26" s="1945"/>
      <c r="AT26" s="1946"/>
    </row>
    <row r="27" spans="1:46" s="1944" customFormat="1" ht="23.5" customHeight="1">
      <c r="A27" s="4217"/>
      <c r="B27" s="4216"/>
      <c r="C27" s="294" t="s">
        <v>2737</v>
      </c>
      <c r="D27" s="4215"/>
      <c r="E27" s="4215"/>
      <c r="F27" s="4214"/>
      <c r="G27" s="4214"/>
      <c r="H27" s="4214"/>
      <c r="I27" s="1966" t="str">
        <f>'8_MP'!$D$410</f>
        <v>3.2.1.3</v>
      </c>
      <c r="J27" s="298">
        <f>'8_MP'!$AN$410</f>
        <v>270000</v>
      </c>
      <c r="K27" s="4192"/>
      <c r="L27" s="4195"/>
      <c r="M27" s="4192"/>
      <c r="N27" s="4195"/>
      <c r="O27" s="4192"/>
      <c r="P27" s="4195"/>
      <c r="Q27" s="4192"/>
      <c r="R27" s="4195"/>
      <c r="S27" s="4192"/>
      <c r="T27" s="4195"/>
      <c r="U27" s="4192"/>
      <c r="V27" s="4195"/>
      <c r="W27" s="4192"/>
      <c r="X27" s="4195"/>
      <c r="Y27" s="4192"/>
      <c r="Z27" s="4195"/>
      <c r="AA27" s="4198"/>
      <c r="AB27" s="4198"/>
      <c r="AC27" s="4201"/>
      <c r="AD27" s="4198"/>
      <c r="AE27" s="4198"/>
      <c r="AF27" s="4198"/>
      <c r="AQ27" s="1945"/>
      <c r="AR27" s="1945"/>
      <c r="AS27" s="1945"/>
      <c r="AT27" s="1946"/>
    </row>
    <row r="28" spans="1:46" s="1944" customFormat="1" ht="23.5" customHeight="1">
      <c r="A28" s="4217"/>
      <c r="B28" s="4216"/>
      <c r="C28" s="294" t="s">
        <v>2738</v>
      </c>
      <c r="D28" s="4215"/>
      <c r="E28" s="4215"/>
      <c r="F28" s="4214"/>
      <c r="G28" s="4214"/>
      <c r="H28" s="4214"/>
      <c r="I28" s="1966" t="str">
        <f>'8_MP'!$D$417</f>
        <v>3.2.2.3</v>
      </c>
      <c r="J28" s="298">
        <f>'8_MP'!$AN$417</f>
        <v>135000</v>
      </c>
      <c r="K28" s="4192"/>
      <c r="L28" s="4195"/>
      <c r="M28" s="4192"/>
      <c r="N28" s="4195"/>
      <c r="O28" s="4192"/>
      <c r="P28" s="4195"/>
      <c r="Q28" s="4192"/>
      <c r="R28" s="4195"/>
      <c r="S28" s="4192"/>
      <c r="T28" s="4195"/>
      <c r="U28" s="4192"/>
      <c r="V28" s="4195"/>
      <c r="W28" s="4192"/>
      <c r="X28" s="4195"/>
      <c r="Y28" s="4192"/>
      <c r="Z28" s="4195"/>
      <c r="AA28" s="4198"/>
      <c r="AB28" s="4198"/>
      <c r="AC28" s="4201"/>
      <c r="AD28" s="4198"/>
      <c r="AE28" s="4198"/>
      <c r="AF28" s="4198"/>
      <c r="AQ28" s="1945"/>
      <c r="AR28" s="1945"/>
      <c r="AS28" s="1945"/>
      <c r="AT28" s="1946"/>
    </row>
    <row r="29" spans="1:46" s="1944" customFormat="1" ht="23.5" customHeight="1">
      <c r="A29" s="4206"/>
      <c r="B29" s="4208"/>
      <c r="C29" s="294" t="s">
        <v>2739</v>
      </c>
      <c r="D29" s="4204"/>
      <c r="E29" s="4204"/>
      <c r="F29" s="4210"/>
      <c r="G29" s="4210"/>
      <c r="H29" s="4210"/>
      <c r="I29" s="1966" t="str">
        <f>'8_MP'!$D$424</f>
        <v>3.3.1.2</v>
      </c>
      <c r="J29" s="298">
        <f>'8_MP'!$AN$424</f>
        <v>3260000</v>
      </c>
      <c r="K29" s="4193"/>
      <c r="L29" s="4196"/>
      <c r="M29" s="4193"/>
      <c r="N29" s="4196"/>
      <c r="O29" s="4193"/>
      <c r="P29" s="4196"/>
      <c r="Q29" s="4193"/>
      <c r="R29" s="4196"/>
      <c r="S29" s="4193"/>
      <c r="T29" s="4196"/>
      <c r="U29" s="4193"/>
      <c r="V29" s="4196"/>
      <c r="W29" s="4193"/>
      <c r="X29" s="4196"/>
      <c r="Y29" s="4193"/>
      <c r="Z29" s="4196"/>
      <c r="AA29" s="4199"/>
      <c r="AB29" s="4199"/>
      <c r="AC29" s="4202"/>
      <c r="AD29" s="4199"/>
      <c r="AE29" s="4199"/>
      <c r="AF29" s="4199"/>
      <c r="AQ29" s="1945"/>
      <c r="AR29" s="1945"/>
      <c r="AS29" s="1945"/>
      <c r="AT29" s="1946"/>
    </row>
    <row r="30" spans="1:46" s="1949" customFormat="1">
      <c r="A30" s="4221" t="s">
        <v>2740</v>
      </c>
      <c r="B30" s="4221"/>
      <c r="C30" s="4221"/>
      <c r="D30" s="1948">
        <f>SUM(D7:D29)</f>
        <v>10507292.000080001</v>
      </c>
      <c r="E30" s="1948">
        <f>SUM(E7:E29)</f>
        <v>0</v>
      </c>
      <c r="F30" s="4221"/>
      <c r="G30" s="4221"/>
      <c r="H30" s="4221"/>
      <c r="I30" s="4221"/>
      <c r="J30" s="4221"/>
      <c r="K30" s="4221"/>
      <c r="L30" s="4221"/>
      <c r="M30" s="4221"/>
      <c r="N30" s="4221"/>
      <c r="O30" s="4221"/>
      <c r="P30" s="4221"/>
      <c r="Q30" s="4221"/>
      <c r="R30" s="4221"/>
      <c r="S30" s="4221"/>
      <c r="T30" s="4221"/>
      <c r="U30" s="4221"/>
      <c r="V30" s="4221"/>
      <c r="W30" s="4221"/>
      <c r="X30" s="4221"/>
      <c r="Y30" s="4221"/>
      <c r="Z30" s="4221"/>
      <c r="AA30" s="4221"/>
      <c r="AB30" s="4221"/>
      <c r="AC30" s="4221"/>
      <c r="AD30" s="4221"/>
      <c r="AE30" s="4221"/>
      <c r="AF30" s="4221"/>
      <c r="AQ30" s="1950"/>
      <c r="AR30" s="1945"/>
      <c r="AS30" s="1950"/>
      <c r="AT30" s="1951"/>
    </row>
    <row r="31" spans="1:46" s="264" customFormat="1">
      <c r="D31" s="264">
        <v>16470485</v>
      </c>
      <c r="F31" s="2479">
        <f>+D31-D30</f>
        <v>5963192.9999199994</v>
      </c>
      <c r="AQ31" s="1952"/>
      <c r="AR31" s="253"/>
      <c r="AS31" s="1952"/>
      <c r="AT31" s="1953"/>
    </row>
    <row r="32" spans="1:46" ht="31">
      <c r="A32" s="4218" t="s">
        <v>2741</v>
      </c>
      <c r="B32" s="4219"/>
      <c r="C32" s="4219"/>
      <c r="D32" s="4219"/>
      <c r="E32" s="4219"/>
      <c r="F32" s="4219"/>
      <c r="G32" s="4219"/>
      <c r="H32" s="4219"/>
      <c r="I32" s="4219"/>
      <c r="J32" s="4219"/>
      <c r="K32" s="4219"/>
      <c r="L32" s="4219"/>
      <c r="M32" s="4219"/>
      <c r="N32" s="4219"/>
      <c r="O32" s="4219"/>
      <c r="P32" s="4219"/>
      <c r="Q32" s="4219"/>
      <c r="R32" s="4219"/>
      <c r="S32" s="4219"/>
      <c r="T32" s="4219"/>
      <c r="U32" s="4219"/>
      <c r="V32" s="4219"/>
      <c r="W32" s="4219"/>
      <c r="X32" s="4219"/>
      <c r="Y32" s="4219"/>
      <c r="Z32" s="4219"/>
      <c r="AA32" s="4219"/>
      <c r="AB32" s="4219"/>
      <c r="AC32" s="4219"/>
      <c r="AD32" s="4220"/>
      <c r="AQ32" s="253"/>
      <c r="AR32" s="253" t="s">
        <v>2742</v>
      </c>
      <c r="AS32" s="253"/>
      <c r="AT32" s="1939"/>
    </row>
    <row r="33" spans="1:46" ht="23.5" hidden="1" customHeight="1" outlineLevel="1">
      <c r="A33" s="4186" t="s">
        <v>2662</v>
      </c>
      <c r="B33" s="4186"/>
      <c r="C33" s="4186"/>
      <c r="D33" s="4186" t="s">
        <v>2663</v>
      </c>
      <c r="E33" s="4186"/>
      <c r="F33" s="4186"/>
      <c r="G33" s="4186"/>
      <c r="H33" s="4186"/>
      <c r="I33" s="4187" t="s">
        <v>1686</v>
      </c>
      <c r="J33" s="4187" t="s">
        <v>610</v>
      </c>
      <c r="K33" s="4186" t="s">
        <v>2664</v>
      </c>
      <c r="L33" s="4186"/>
      <c r="M33" s="4186"/>
      <c r="N33" s="4186"/>
      <c r="O33" s="4186"/>
      <c r="P33" s="4186"/>
      <c r="Q33" s="4186"/>
      <c r="R33" s="4186"/>
      <c r="S33" s="4186"/>
      <c r="T33" s="4186"/>
      <c r="U33" s="4186"/>
      <c r="V33" s="4186"/>
      <c r="W33" s="4186"/>
      <c r="X33" s="4186"/>
      <c r="Y33" s="4186" t="s">
        <v>2665</v>
      </c>
      <c r="Z33" s="4186"/>
      <c r="AA33" s="4186"/>
      <c r="AB33" s="4186"/>
      <c r="AC33" s="4186"/>
      <c r="AD33" s="4186"/>
      <c r="AQ33" s="253"/>
      <c r="AR33" s="253" t="s">
        <v>2719</v>
      </c>
      <c r="AS33" s="253"/>
      <c r="AT33" s="1939"/>
    </row>
    <row r="34" spans="1:46" ht="47" hidden="1" customHeight="1" outlineLevel="1">
      <c r="A34" s="410" t="s">
        <v>2666</v>
      </c>
      <c r="B34" s="309" t="s">
        <v>2667</v>
      </c>
      <c r="C34" s="309" t="s">
        <v>2668</v>
      </c>
      <c r="D34" s="309" t="s">
        <v>2669</v>
      </c>
      <c r="E34" s="309" t="s">
        <v>2670</v>
      </c>
      <c r="F34" s="309" t="s">
        <v>2671</v>
      </c>
      <c r="G34" s="309" t="s">
        <v>2672</v>
      </c>
      <c r="H34" s="309" t="s">
        <v>2673</v>
      </c>
      <c r="I34" s="4187"/>
      <c r="J34" s="4187"/>
      <c r="K34" s="4183" t="s">
        <v>2720</v>
      </c>
      <c r="L34" s="4183"/>
      <c r="M34" s="4183" t="s">
        <v>2721</v>
      </c>
      <c r="N34" s="4183"/>
      <c r="O34" s="4183" t="s">
        <v>2722</v>
      </c>
      <c r="P34" s="4183"/>
      <c r="Q34" s="4183" t="s">
        <v>2676</v>
      </c>
      <c r="R34" s="4183"/>
      <c r="S34" s="4183" t="s">
        <v>2743</v>
      </c>
      <c r="T34" s="4183"/>
      <c r="U34" s="4183" t="s">
        <v>2710</v>
      </c>
      <c r="V34" s="4183"/>
      <c r="W34" s="4183" t="s">
        <v>2678</v>
      </c>
      <c r="X34" s="4183"/>
      <c r="Y34" s="309" t="s">
        <v>2723</v>
      </c>
      <c r="Z34" s="309" t="s">
        <v>2724</v>
      </c>
      <c r="AA34" s="309" t="s">
        <v>2695</v>
      </c>
      <c r="AB34" s="309" t="s">
        <v>2696</v>
      </c>
      <c r="AC34" s="309" t="s">
        <v>2697</v>
      </c>
      <c r="AD34" s="309" t="s">
        <v>2698</v>
      </c>
      <c r="AQ34" s="253"/>
      <c r="AR34" s="253" t="s">
        <v>2744</v>
      </c>
      <c r="AS34" s="253"/>
      <c r="AT34" s="1939"/>
    </row>
    <row r="35" spans="1:46" ht="16" hidden="1" outlineLevel="1">
      <c r="A35" s="1954"/>
      <c r="B35" s="1954"/>
      <c r="C35" s="1954"/>
      <c r="D35" s="1954"/>
      <c r="E35" s="1954"/>
      <c r="F35" s="1954"/>
      <c r="G35" s="1954"/>
      <c r="H35" s="1954"/>
      <c r="I35" s="1954"/>
      <c r="J35" s="1954"/>
      <c r="K35" s="286" t="s">
        <v>2691</v>
      </c>
      <c r="L35" s="1947" t="s">
        <v>2682</v>
      </c>
      <c r="M35" s="286" t="s">
        <v>2691</v>
      </c>
      <c r="N35" s="1947" t="s">
        <v>2682</v>
      </c>
      <c r="O35" s="286" t="s">
        <v>2691</v>
      </c>
      <c r="P35" s="1947" t="s">
        <v>2682</v>
      </c>
      <c r="Q35" s="286" t="s">
        <v>2691</v>
      </c>
      <c r="R35" s="1947" t="s">
        <v>2682</v>
      </c>
      <c r="S35" s="286" t="s">
        <v>2691</v>
      </c>
      <c r="T35" s="1947" t="s">
        <v>2682</v>
      </c>
      <c r="U35" s="286" t="s">
        <v>2691</v>
      </c>
      <c r="V35" s="1947" t="s">
        <v>2682</v>
      </c>
      <c r="W35" s="286" t="s">
        <v>2691</v>
      </c>
      <c r="X35" s="1947" t="s">
        <v>2682</v>
      </c>
      <c r="Y35" s="1954"/>
      <c r="Z35" s="1954"/>
      <c r="AA35" s="1954"/>
      <c r="AB35" s="1954"/>
      <c r="AC35" s="1954"/>
      <c r="AD35" s="1954"/>
      <c r="AQ35" s="253"/>
      <c r="AR35" s="253" t="s">
        <v>2719</v>
      </c>
      <c r="AS35" s="253"/>
      <c r="AT35" s="1939"/>
    </row>
    <row r="36" spans="1:46" s="1949" customFormat="1" hidden="1" outlineLevel="1">
      <c r="A36" s="4221" t="s">
        <v>2745</v>
      </c>
      <c r="B36" s="4221"/>
      <c r="C36" s="4221"/>
      <c r="D36" s="1948">
        <f>SUM(D33:D35)</f>
        <v>0</v>
      </c>
      <c r="E36" s="1948">
        <f>SUM(E33:E35)</f>
        <v>0</v>
      </c>
      <c r="F36" s="4224"/>
      <c r="G36" s="4225"/>
      <c r="H36" s="4225"/>
      <c r="I36" s="4225"/>
      <c r="J36" s="4225"/>
      <c r="K36" s="4225"/>
      <c r="L36" s="4225"/>
      <c r="M36" s="4225"/>
      <c r="N36" s="4225"/>
      <c r="O36" s="4225"/>
      <c r="P36" s="4225"/>
      <c r="Q36" s="4225"/>
      <c r="R36" s="4225"/>
      <c r="S36" s="4225"/>
      <c r="T36" s="4225"/>
      <c r="U36" s="4225"/>
      <c r="V36" s="4225"/>
      <c r="W36" s="4225"/>
      <c r="X36" s="4225"/>
      <c r="Y36" s="4225"/>
      <c r="Z36" s="4225"/>
      <c r="AA36" s="4225"/>
      <c r="AB36" s="4225"/>
      <c r="AC36" s="4225"/>
      <c r="AD36" s="4226"/>
      <c r="AO36" s="1950"/>
      <c r="AP36" s="1945"/>
      <c r="AQ36" s="1950"/>
      <c r="AR36" s="1951"/>
    </row>
    <row r="37" spans="1:46" s="264" customFormat="1" collapsed="1">
      <c r="AQ37" s="1952"/>
      <c r="AR37" s="253" t="s">
        <v>2719</v>
      </c>
      <c r="AS37" s="1952"/>
      <c r="AT37" s="1953"/>
    </row>
    <row r="38" spans="1:46" ht="31">
      <c r="A38" s="4218" t="s">
        <v>2746</v>
      </c>
      <c r="B38" s="4219"/>
      <c r="C38" s="4219"/>
      <c r="D38" s="4219"/>
      <c r="E38" s="4219"/>
      <c r="F38" s="4219"/>
      <c r="G38" s="4219"/>
      <c r="H38" s="4219"/>
      <c r="I38" s="4219"/>
      <c r="J38" s="4219"/>
      <c r="K38" s="4219"/>
      <c r="L38" s="4219"/>
      <c r="M38" s="4219"/>
      <c r="N38" s="4219"/>
      <c r="O38" s="4219"/>
      <c r="P38" s="4219"/>
      <c r="Q38" s="4219"/>
      <c r="R38" s="4219"/>
      <c r="S38" s="4219"/>
      <c r="T38" s="4219"/>
      <c r="U38" s="4219"/>
      <c r="V38" s="4219"/>
      <c r="W38" s="4219"/>
      <c r="X38" s="4219"/>
      <c r="Y38" s="4219"/>
      <c r="Z38" s="4220"/>
    </row>
    <row r="39" spans="1:46" ht="23.5" customHeight="1">
      <c r="A39" s="4186" t="s">
        <v>2662</v>
      </c>
      <c r="B39" s="4186"/>
      <c r="C39" s="4186"/>
      <c r="D39" s="4186" t="s">
        <v>2663</v>
      </c>
      <c r="E39" s="4186"/>
      <c r="F39" s="4186"/>
      <c r="G39" s="4186"/>
      <c r="H39" s="4186"/>
      <c r="I39" s="4187" t="s">
        <v>1686</v>
      </c>
      <c r="J39" s="4187" t="s">
        <v>610</v>
      </c>
      <c r="K39" s="4186" t="s">
        <v>2664</v>
      </c>
      <c r="L39" s="4186"/>
      <c r="M39" s="4186"/>
      <c r="N39" s="4186"/>
      <c r="O39" s="4186"/>
      <c r="P39" s="4186"/>
      <c r="Q39" s="4186"/>
      <c r="R39" s="4186"/>
      <c r="S39" s="4186"/>
      <c r="T39" s="4186"/>
      <c r="U39" s="4186" t="s">
        <v>2665</v>
      </c>
      <c r="V39" s="4186"/>
      <c r="W39" s="4186"/>
      <c r="X39" s="4186"/>
      <c r="Y39" s="4186"/>
      <c r="Z39" s="4186"/>
    </row>
    <row r="40" spans="1:46" ht="47" customHeight="1">
      <c r="A40" s="410" t="s">
        <v>2666</v>
      </c>
      <c r="B40" s="309" t="s">
        <v>2667</v>
      </c>
      <c r="C40" s="309" t="s">
        <v>2668</v>
      </c>
      <c r="D40" s="309" t="s">
        <v>2669</v>
      </c>
      <c r="E40" s="309" t="s">
        <v>2670</v>
      </c>
      <c r="F40" s="309" t="s">
        <v>2671</v>
      </c>
      <c r="G40" s="309" t="s">
        <v>2672</v>
      </c>
      <c r="H40" s="309" t="s">
        <v>2673</v>
      </c>
      <c r="I40" s="4187"/>
      <c r="J40" s="4187"/>
      <c r="K40" s="4183" t="s">
        <v>2720</v>
      </c>
      <c r="L40" s="4183"/>
      <c r="M40" s="4183" t="s">
        <v>2721</v>
      </c>
      <c r="N40" s="4183"/>
      <c r="O40" s="4183" t="s">
        <v>2743</v>
      </c>
      <c r="P40" s="4183"/>
      <c r="Q40" s="4183" t="s">
        <v>2710</v>
      </c>
      <c r="R40" s="4183"/>
      <c r="S40" s="4183" t="s">
        <v>2678</v>
      </c>
      <c r="T40" s="4183"/>
      <c r="U40" s="309" t="s">
        <v>2723</v>
      </c>
      <c r="V40" s="309" t="s">
        <v>2724</v>
      </c>
      <c r="W40" s="309" t="s">
        <v>2695</v>
      </c>
      <c r="X40" s="309" t="s">
        <v>2696</v>
      </c>
      <c r="Y40" s="309" t="s">
        <v>2697</v>
      </c>
      <c r="Z40" s="309" t="s">
        <v>2698</v>
      </c>
    </row>
    <row r="41" spans="1:46" s="1944" customFormat="1" ht="32">
      <c r="A41" s="294">
        <f>+A24+1</f>
        <v>10</v>
      </c>
      <c r="B41" s="295" t="s">
        <v>2747</v>
      </c>
      <c r="C41" s="294" t="s">
        <v>2748</v>
      </c>
      <c r="D41" s="296">
        <f>+J41</f>
        <v>0</v>
      </c>
      <c r="E41" s="298"/>
      <c r="F41" s="297">
        <v>1</v>
      </c>
      <c r="G41" s="297">
        <v>0</v>
      </c>
      <c r="H41" s="297">
        <v>0</v>
      </c>
      <c r="I41" s="1966" t="str">
        <f>'8_MP'!$D$138</f>
        <v>1.2.3.1.2</v>
      </c>
      <c r="J41" s="1969">
        <f>'8_MP'!$AN$138</f>
        <v>0</v>
      </c>
      <c r="K41" s="2136">
        <v>45233</v>
      </c>
      <c r="L41" s="1947" t="s">
        <v>2682</v>
      </c>
      <c r="M41" s="2136">
        <v>45272</v>
      </c>
      <c r="N41" s="1947" t="s">
        <v>2682</v>
      </c>
      <c r="O41" s="2136">
        <v>45376</v>
      </c>
      <c r="P41" s="1947" t="s">
        <v>2682</v>
      </c>
      <c r="Q41" s="2136">
        <v>45380</v>
      </c>
      <c r="R41" s="1947" t="s">
        <v>2682</v>
      </c>
      <c r="S41" s="2136">
        <v>45398</v>
      </c>
      <c r="T41" s="1947" t="s">
        <v>2682</v>
      </c>
      <c r="U41" s="299" t="s">
        <v>1198</v>
      </c>
      <c r="V41" s="299" t="s">
        <v>838</v>
      </c>
      <c r="W41" s="1978" t="s">
        <v>2267</v>
      </c>
      <c r="X41" s="294"/>
      <c r="Y41" s="294"/>
      <c r="Z41" s="294"/>
      <c r="AK41" s="1945"/>
      <c r="AL41" s="1945" t="s">
        <v>2749</v>
      </c>
      <c r="AM41" s="1945"/>
      <c r="AN41" s="1946"/>
    </row>
    <row r="42" spans="1:46" s="1944" customFormat="1" ht="64">
      <c r="A42" s="294">
        <f>+A41+1</f>
        <v>11</v>
      </c>
      <c r="B42" s="295" t="s">
        <v>2329</v>
      </c>
      <c r="C42" s="294" t="s">
        <v>2737</v>
      </c>
      <c r="D42" s="296">
        <f>+J42</f>
        <v>30000</v>
      </c>
      <c r="E42" s="321"/>
      <c r="F42" s="297">
        <v>1</v>
      </c>
      <c r="G42" s="297">
        <v>0</v>
      </c>
      <c r="H42" s="297">
        <v>0</v>
      </c>
      <c r="I42" s="294" t="str">
        <f>'8_MP'!$D$408</f>
        <v>3.2.1.1.1</v>
      </c>
      <c r="J42" s="298">
        <f>'8_MP'!$AN$408</f>
        <v>30000</v>
      </c>
      <c r="K42" s="2136">
        <v>45204</v>
      </c>
      <c r="L42" s="1947" t="s">
        <v>2682</v>
      </c>
      <c r="M42" s="2136">
        <v>45243</v>
      </c>
      <c r="N42" s="1947" t="s">
        <v>2682</v>
      </c>
      <c r="O42" s="2136">
        <v>45345</v>
      </c>
      <c r="P42" s="1947" t="s">
        <v>2682</v>
      </c>
      <c r="Q42" s="2136">
        <v>45351</v>
      </c>
      <c r="R42" s="1947" t="s">
        <v>2682</v>
      </c>
      <c r="S42" s="2136">
        <v>45369</v>
      </c>
      <c r="T42" s="1947" t="s">
        <v>2682</v>
      </c>
      <c r="U42" s="299"/>
      <c r="V42" s="299"/>
      <c r="W42" s="294"/>
      <c r="X42" s="294"/>
      <c r="Y42" s="294"/>
      <c r="Z42" s="294"/>
      <c r="AK42" s="1945"/>
      <c r="AL42" s="1945"/>
      <c r="AM42" s="1945"/>
      <c r="AN42" s="1946"/>
    </row>
    <row r="43" spans="1:46" s="264" customFormat="1">
      <c r="A43" s="4229" t="s">
        <v>2750</v>
      </c>
      <c r="B43" s="4229"/>
      <c r="C43" s="4229"/>
      <c r="D43" s="414">
        <f>SUM(D41:D42)</f>
        <v>30000</v>
      </c>
      <c r="E43" s="414">
        <f>SUM(E41:E42)</f>
        <v>0</v>
      </c>
      <c r="F43" s="4230"/>
      <c r="G43" s="4230"/>
      <c r="H43" s="4230"/>
      <c r="I43" s="4230"/>
      <c r="J43" s="4230"/>
      <c r="K43" s="4230"/>
      <c r="L43" s="4230"/>
      <c r="M43" s="4230"/>
      <c r="N43" s="4230"/>
      <c r="O43" s="4230"/>
      <c r="P43" s="4230"/>
      <c r="Q43" s="4230"/>
      <c r="R43" s="4230"/>
      <c r="S43" s="4230"/>
      <c r="T43" s="4230"/>
      <c r="U43" s="4230"/>
      <c r="V43" s="4230"/>
      <c r="W43" s="4230"/>
      <c r="X43" s="4230"/>
      <c r="Y43" s="4230"/>
      <c r="Z43" s="4230"/>
    </row>
    <row r="44" spans="1:46" s="264" customFormat="1"/>
    <row r="45" spans="1:46" ht="31">
      <c r="A45" s="4218" t="s">
        <v>2751</v>
      </c>
      <c r="B45" s="4219"/>
      <c r="C45" s="4219"/>
      <c r="D45" s="4219"/>
      <c r="E45" s="4219"/>
      <c r="F45" s="4219"/>
      <c r="G45" s="4219"/>
      <c r="H45" s="4219"/>
      <c r="I45" s="4219"/>
      <c r="J45" s="4219"/>
      <c r="K45" s="4219"/>
      <c r="L45" s="4219"/>
      <c r="M45" s="4219"/>
      <c r="N45" s="4219"/>
      <c r="O45" s="4219"/>
      <c r="P45" s="4219"/>
      <c r="Q45" s="4219"/>
      <c r="R45" s="4219"/>
      <c r="S45" s="4219"/>
      <c r="T45" s="4219"/>
      <c r="U45" s="4219"/>
      <c r="V45" s="4220"/>
    </row>
    <row r="46" spans="1:46" ht="23.5" customHeight="1">
      <c r="A46" s="4186" t="s">
        <v>2662</v>
      </c>
      <c r="B46" s="4186"/>
      <c r="C46" s="4186"/>
      <c r="D46" s="4186" t="s">
        <v>2663</v>
      </c>
      <c r="E46" s="4186"/>
      <c r="F46" s="4186"/>
      <c r="G46" s="4186"/>
      <c r="H46" s="4186"/>
      <c r="I46" s="4187" t="s">
        <v>1686</v>
      </c>
      <c r="J46" s="4187" t="s">
        <v>610</v>
      </c>
      <c r="K46" s="4186" t="s">
        <v>2664</v>
      </c>
      <c r="L46" s="4186"/>
      <c r="M46" s="4186"/>
      <c r="N46" s="4186"/>
      <c r="O46" s="4186"/>
      <c r="P46" s="4186"/>
      <c r="Q46" s="4186" t="s">
        <v>2665</v>
      </c>
      <c r="R46" s="4186"/>
      <c r="S46" s="4186"/>
      <c r="T46" s="4186"/>
      <c r="U46" s="4186"/>
      <c r="V46" s="4186"/>
    </row>
    <row r="47" spans="1:46" ht="51">
      <c r="A47" s="410" t="s">
        <v>2666</v>
      </c>
      <c r="B47" s="309" t="s">
        <v>2667</v>
      </c>
      <c r="C47" s="309" t="s">
        <v>2668</v>
      </c>
      <c r="D47" s="309" t="s">
        <v>2669</v>
      </c>
      <c r="E47" s="309" t="s">
        <v>2670</v>
      </c>
      <c r="F47" s="309" t="s">
        <v>2671</v>
      </c>
      <c r="G47" s="309" t="s">
        <v>2672</v>
      </c>
      <c r="H47" s="309" t="s">
        <v>2673</v>
      </c>
      <c r="I47" s="4187"/>
      <c r="J47" s="4187"/>
      <c r="K47" s="4183" t="s">
        <v>2752</v>
      </c>
      <c r="L47" s="4183"/>
      <c r="M47" s="4183" t="s">
        <v>2710</v>
      </c>
      <c r="N47" s="4183"/>
      <c r="O47" s="4183" t="s">
        <v>2678</v>
      </c>
      <c r="P47" s="4183"/>
      <c r="Q47" s="309" t="s">
        <v>2723</v>
      </c>
      <c r="R47" s="309" t="s">
        <v>2724</v>
      </c>
      <c r="S47" s="309" t="s">
        <v>2695</v>
      </c>
      <c r="T47" s="309" t="s">
        <v>2696</v>
      </c>
      <c r="U47" s="309" t="s">
        <v>2697</v>
      </c>
      <c r="V47" s="309" t="s">
        <v>2698</v>
      </c>
    </row>
    <row r="48" spans="1:46" ht="48">
      <c r="A48" s="294">
        <f>+A42+1</f>
        <v>12</v>
      </c>
      <c r="B48" s="284" t="s">
        <v>2322</v>
      </c>
      <c r="C48" s="278" t="s">
        <v>2753</v>
      </c>
      <c r="D48" s="325">
        <f>+J48</f>
        <v>30000</v>
      </c>
      <c r="E48" s="329"/>
      <c r="F48" s="297">
        <v>1</v>
      </c>
      <c r="G48" s="297">
        <v>0</v>
      </c>
      <c r="H48" s="297">
        <v>0</v>
      </c>
      <c r="I48" s="1968" t="str">
        <f>'8_MP'!$D$372</f>
        <v>3.1.1.1.1</v>
      </c>
      <c r="J48" s="1968">
        <f>'8_MP'!$AN$372</f>
        <v>30000</v>
      </c>
      <c r="K48" s="2127">
        <v>45226</v>
      </c>
      <c r="L48" s="1947" t="s">
        <v>2682</v>
      </c>
      <c r="M48" s="2127">
        <v>45258</v>
      </c>
      <c r="N48" s="1947" t="s">
        <v>2682</v>
      </c>
      <c r="O48" s="2127">
        <v>45268</v>
      </c>
      <c r="P48" s="1947" t="s">
        <v>2682</v>
      </c>
      <c r="Q48" s="283" t="s">
        <v>1526</v>
      </c>
      <c r="R48" s="283" t="s">
        <v>1202</v>
      </c>
      <c r="S48" s="283" t="s">
        <v>2727</v>
      </c>
      <c r="T48" s="283"/>
      <c r="U48" s="283"/>
      <c r="V48" s="283"/>
    </row>
    <row r="49" spans="1:22" ht="16">
      <c r="A49" s="1978">
        <f>+'8_MP'!$Z$45</f>
        <v>108</v>
      </c>
      <c r="B49" s="2481" t="str">
        <f>+'8_MP'!$H$45</f>
        <v>Contratación de Analista de Sistemas</v>
      </c>
      <c r="C49" s="2482" t="s">
        <v>1994</v>
      </c>
      <c r="D49" s="2483">
        <f>+J49</f>
        <v>24000</v>
      </c>
      <c r="E49" s="2484"/>
      <c r="F49" s="2485">
        <v>1</v>
      </c>
      <c r="G49" s="2485">
        <v>0</v>
      </c>
      <c r="H49" s="2485">
        <v>0</v>
      </c>
      <c r="I49" s="2486" t="str">
        <f>+'8_MP'!D45</f>
        <v>1.1.1.5.3.2</v>
      </c>
      <c r="J49" s="2486">
        <f>+'8_MP'!AN45</f>
        <v>24000</v>
      </c>
      <c r="K49" s="2127"/>
      <c r="L49" s="1947"/>
      <c r="M49" s="2127"/>
      <c r="N49" s="1947"/>
      <c r="O49" s="2127"/>
      <c r="P49" s="1947"/>
      <c r="Q49" s="283"/>
      <c r="R49" s="283"/>
      <c r="S49" s="283"/>
      <c r="T49" s="283"/>
      <c r="U49" s="283"/>
      <c r="V49" s="283"/>
    </row>
    <row r="50" spans="1:22">
      <c r="A50" s="4227" t="s">
        <v>2754</v>
      </c>
      <c r="B50" s="4227"/>
      <c r="C50" s="4227"/>
      <c r="D50" s="330">
        <f>SUM(D48:D49)</f>
        <v>54000</v>
      </c>
      <c r="E50" s="330">
        <f>SUM(E48:E48)</f>
        <v>0</v>
      </c>
      <c r="F50" s="4228"/>
      <c r="G50" s="4228"/>
      <c r="H50" s="4228"/>
      <c r="I50" s="4228"/>
      <c r="J50" s="4228"/>
      <c r="K50" s="4228"/>
      <c r="L50" s="4228"/>
      <c r="M50" s="4228"/>
      <c r="N50" s="4228"/>
      <c r="O50" s="4228"/>
      <c r="P50" s="4228"/>
      <c r="Q50" s="4228"/>
      <c r="R50" s="4228"/>
      <c r="S50" s="4228"/>
      <c r="T50" s="4228"/>
      <c r="U50" s="4228"/>
      <c r="V50" s="4228"/>
    </row>
    <row r="51" spans="1:22" s="264" customFormat="1"/>
    <row r="52" spans="1:22" ht="31">
      <c r="A52" s="4218" t="s">
        <v>2755</v>
      </c>
      <c r="B52" s="4219"/>
      <c r="C52" s="4219"/>
      <c r="D52" s="4219"/>
      <c r="E52" s="4219"/>
      <c r="F52" s="4219"/>
      <c r="G52" s="4219"/>
      <c r="H52" s="4219"/>
      <c r="I52" s="4219"/>
      <c r="J52" s="4219"/>
      <c r="K52" s="4219"/>
      <c r="L52" s="4219"/>
      <c r="M52" s="4219"/>
      <c r="N52" s="4219"/>
      <c r="O52" s="4219"/>
      <c r="P52" s="4219"/>
      <c r="Q52" s="4219"/>
      <c r="R52" s="4219"/>
      <c r="S52" s="4219"/>
      <c r="T52" s="4220"/>
    </row>
    <row r="53" spans="1:22" ht="23.5" customHeight="1">
      <c r="A53" s="4186" t="s">
        <v>2662</v>
      </c>
      <c r="B53" s="4186"/>
      <c r="C53" s="4186"/>
      <c r="D53" s="4186" t="s">
        <v>2663</v>
      </c>
      <c r="E53" s="4186"/>
      <c r="F53" s="4186"/>
      <c r="G53" s="4186"/>
      <c r="H53" s="4186"/>
      <c r="I53" s="4187" t="s">
        <v>1686</v>
      </c>
      <c r="J53" s="4187" t="s">
        <v>610</v>
      </c>
      <c r="K53" s="4186" t="s">
        <v>2664</v>
      </c>
      <c r="L53" s="4186"/>
      <c r="M53" s="4186"/>
      <c r="N53" s="4186"/>
      <c r="O53" s="4186" t="s">
        <v>2665</v>
      </c>
      <c r="P53" s="4186"/>
      <c r="Q53" s="4186"/>
      <c r="R53" s="4186"/>
      <c r="S53" s="4186"/>
      <c r="T53" s="4186"/>
    </row>
    <row r="54" spans="1:22" ht="47" customHeight="1">
      <c r="A54" s="410" t="s">
        <v>2666</v>
      </c>
      <c r="B54" s="309" t="s">
        <v>2667</v>
      </c>
      <c r="C54" s="309" t="s">
        <v>2668</v>
      </c>
      <c r="D54" s="309" t="s">
        <v>2669</v>
      </c>
      <c r="E54" s="309" t="s">
        <v>2670</v>
      </c>
      <c r="F54" s="309" t="s">
        <v>2671</v>
      </c>
      <c r="G54" s="309" t="s">
        <v>2672</v>
      </c>
      <c r="H54" s="309" t="s">
        <v>2673</v>
      </c>
      <c r="I54" s="4187"/>
      <c r="J54" s="4187"/>
      <c r="K54" s="4183" t="s">
        <v>2743</v>
      </c>
      <c r="L54" s="4183"/>
      <c r="M54" s="4183" t="s">
        <v>2678</v>
      </c>
      <c r="N54" s="4183"/>
      <c r="O54" s="309" t="s">
        <v>2723</v>
      </c>
      <c r="P54" s="309" t="s">
        <v>2724</v>
      </c>
      <c r="Q54" s="309" t="s">
        <v>2695</v>
      </c>
      <c r="R54" s="309" t="s">
        <v>2696</v>
      </c>
      <c r="S54" s="309" t="s">
        <v>2697</v>
      </c>
      <c r="T54" s="309" t="s">
        <v>2698</v>
      </c>
    </row>
    <row r="55" spans="1:22" ht="32">
      <c r="A55" s="1970">
        <f>+A48+1</f>
        <v>13</v>
      </c>
      <c r="B55" s="284" t="s">
        <v>2756</v>
      </c>
      <c r="C55" s="1971" t="s">
        <v>1994</v>
      </c>
      <c r="D55" s="298" t="e">
        <f>+J55</f>
        <v>#REF!</v>
      </c>
      <c r="E55" s="298">
        <v>0</v>
      </c>
      <c r="F55" s="300">
        <v>1</v>
      </c>
      <c r="G55" s="300">
        <v>0</v>
      </c>
      <c r="H55" s="300">
        <v>0</v>
      </c>
      <c r="I55" s="1964" t="e">
        <f>'8_MP'!#REF!</f>
        <v>#REF!</v>
      </c>
      <c r="J55" s="298" t="e">
        <f>+'8_MP'!#REF!*24</f>
        <v>#REF!</v>
      </c>
      <c r="K55" s="2127">
        <v>45251</v>
      </c>
      <c r="L55" s="1947" t="s">
        <v>2682</v>
      </c>
      <c r="M55" s="2127">
        <v>45273</v>
      </c>
      <c r="N55" s="1947" t="s">
        <v>2682</v>
      </c>
      <c r="O55" s="287" t="s">
        <v>1413</v>
      </c>
      <c r="P55" s="283" t="s">
        <v>763</v>
      </c>
      <c r="Q55" s="1981" t="s">
        <v>2757</v>
      </c>
      <c r="R55" s="1954"/>
      <c r="S55" s="1954"/>
      <c r="T55" s="1954"/>
    </row>
    <row r="56" spans="1:22" ht="16">
      <c r="A56" s="1970">
        <f>+A55+1</f>
        <v>14</v>
      </c>
      <c r="B56" s="284" t="s">
        <v>623</v>
      </c>
      <c r="C56" s="1971" t="s">
        <v>1994</v>
      </c>
      <c r="D56" s="298" t="e">
        <f>+J56</f>
        <v>#REF!</v>
      </c>
      <c r="E56" s="298">
        <v>0</v>
      </c>
      <c r="F56" s="300">
        <v>1</v>
      </c>
      <c r="G56" s="300">
        <v>0</v>
      </c>
      <c r="H56" s="300">
        <v>0</v>
      </c>
      <c r="I56" s="1964" t="e">
        <f>'8_MP'!#REF!</f>
        <v>#REF!</v>
      </c>
      <c r="J56" s="298" t="e">
        <f>+'8_MP'!#REF!*24</f>
        <v>#REF!</v>
      </c>
      <c r="K56" s="2127">
        <v>45251</v>
      </c>
      <c r="L56" s="1947" t="s">
        <v>2682</v>
      </c>
      <c r="M56" s="2127">
        <v>45273</v>
      </c>
      <c r="N56" s="1947" t="s">
        <v>2682</v>
      </c>
      <c r="O56" s="287" t="s">
        <v>1413</v>
      </c>
      <c r="P56" s="283" t="s">
        <v>763</v>
      </c>
      <c r="Q56" s="1981" t="s">
        <v>2757</v>
      </c>
      <c r="R56" s="1954"/>
      <c r="S56" s="1954"/>
      <c r="T56" s="1954"/>
    </row>
    <row r="57" spans="1:22" ht="48">
      <c r="A57" s="1970">
        <f t="shared" ref="A57:A81" si="0">+A56+1</f>
        <v>15</v>
      </c>
      <c r="B57" s="284" t="s">
        <v>625</v>
      </c>
      <c r="C57" s="1971" t="s">
        <v>1994</v>
      </c>
      <c r="D57" s="298">
        <f>+J57</f>
        <v>1685241.9387999999</v>
      </c>
      <c r="E57" s="298">
        <v>0</v>
      </c>
      <c r="F57" s="300">
        <v>1</v>
      </c>
      <c r="G57" s="300">
        <v>0</v>
      </c>
      <c r="H57" s="300">
        <v>0</v>
      </c>
      <c r="I57" s="1964">
        <f>'8_MP'!D13</f>
        <v>0</v>
      </c>
      <c r="J57" s="298">
        <f>'8_MP'!AN13</f>
        <v>1685241.9387999999</v>
      </c>
      <c r="K57" s="2127">
        <v>45251</v>
      </c>
      <c r="L57" s="1947" t="s">
        <v>2682</v>
      </c>
      <c r="M57" s="2127">
        <v>45273</v>
      </c>
      <c r="N57" s="1947" t="s">
        <v>2682</v>
      </c>
      <c r="O57" s="287" t="s">
        <v>1413</v>
      </c>
      <c r="P57" s="283" t="s">
        <v>763</v>
      </c>
      <c r="Q57" s="1981" t="s">
        <v>2757</v>
      </c>
      <c r="R57" s="1954"/>
      <c r="S57" s="1954"/>
      <c r="T57" s="1954"/>
    </row>
    <row r="58" spans="1:22" ht="80">
      <c r="A58" s="1970">
        <f t="shared" si="0"/>
        <v>16</v>
      </c>
      <c r="B58" s="284" t="s">
        <v>2758</v>
      </c>
      <c r="C58" s="1971" t="s">
        <v>1994</v>
      </c>
      <c r="D58" s="298">
        <f>+J58</f>
        <v>1173404</v>
      </c>
      <c r="E58" s="298">
        <v>0</v>
      </c>
      <c r="F58" s="300">
        <v>1</v>
      </c>
      <c r="G58" s="300">
        <v>0</v>
      </c>
      <c r="H58" s="300">
        <v>0</v>
      </c>
      <c r="I58" s="1964" t="str">
        <f>'8_MP'!D16</f>
        <v>1.1.1.5</v>
      </c>
      <c r="J58" s="298">
        <f>'8_MP'!AN16</f>
        <v>1173404</v>
      </c>
      <c r="K58" s="2127">
        <v>45251</v>
      </c>
      <c r="L58" s="1947" t="s">
        <v>2682</v>
      </c>
      <c r="M58" s="2127">
        <v>45273</v>
      </c>
      <c r="N58" s="1947" t="s">
        <v>2682</v>
      </c>
      <c r="O58" s="287" t="s">
        <v>1413</v>
      </c>
      <c r="P58" s="283" t="s">
        <v>763</v>
      </c>
      <c r="Q58" s="1981" t="s">
        <v>2757</v>
      </c>
      <c r="R58" s="1954"/>
      <c r="S58" s="1954"/>
      <c r="T58" s="1954"/>
    </row>
    <row r="59" spans="1:22" ht="32">
      <c r="A59" s="1970">
        <f t="shared" si="0"/>
        <v>17</v>
      </c>
      <c r="B59" s="284" t="s">
        <v>2759</v>
      </c>
      <c r="C59" s="1971" t="s">
        <v>1994</v>
      </c>
      <c r="D59" s="298" t="e">
        <f t="shared" ref="D59:D103" si="1">+J59</f>
        <v>#REF!</v>
      </c>
      <c r="E59" s="298">
        <v>0</v>
      </c>
      <c r="F59" s="300">
        <v>1</v>
      </c>
      <c r="G59" s="300">
        <v>0</v>
      </c>
      <c r="H59" s="300">
        <v>0</v>
      </c>
      <c r="I59" s="1965" t="e">
        <f>'8_MP'!#REF!</f>
        <v>#REF!</v>
      </c>
      <c r="J59" s="298" t="e">
        <f>'8_MP'!#REF!/2</f>
        <v>#REF!</v>
      </c>
      <c r="K59" s="2127">
        <v>45251</v>
      </c>
      <c r="L59" s="1947" t="s">
        <v>2682</v>
      </c>
      <c r="M59" s="2127">
        <v>45273</v>
      </c>
      <c r="N59" s="1947" t="s">
        <v>2682</v>
      </c>
      <c r="O59" s="287" t="s">
        <v>1413</v>
      </c>
      <c r="P59" s="283" t="s">
        <v>763</v>
      </c>
      <c r="Q59" s="1981" t="s">
        <v>2757</v>
      </c>
      <c r="R59" s="1954"/>
      <c r="S59" s="1954"/>
      <c r="T59" s="1954"/>
    </row>
    <row r="60" spans="1:22" ht="32">
      <c r="A60" s="1970">
        <f t="shared" si="0"/>
        <v>18</v>
      </c>
      <c r="B60" s="284" t="s">
        <v>2760</v>
      </c>
      <c r="C60" s="1971" t="s">
        <v>1994</v>
      </c>
      <c r="D60" s="298" t="e">
        <f t="shared" si="1"/>
        <v>#REF!</v>
      </c>
      <c r="E60" s="298">
        <v>0</v>
      </c>
      <c r="F60" s="300">
        <v>1</v>
      </c>
      <c r="G60" s="300">
        <v>0</v>
      </c>
      <c r="H60" s="300">
        <v>0</v>
      </c>
      <c r="I60" s="1965" t="e">
        <f>'8_MP'!#REF!</f>
        <v>#REF!</v>
      </c>
      <c r="J60" s="298" t="e">
        <f>'8_MP'!#REF!/2</f>
        <v>#REF!</v>
      </c>
      <c r="K60" s="2127">
        <v>45251</v>
      </c>
      <c r="L60" s="1947" t="s">
        <v>2682</v>
      </c>
      <c r="M60" s="2127">
        <v>45273</v>
      </c>
      <c r="N60" s="1947" t="s">
        <v>2682</v>
      </c>
      <c r="O60" s="287" t="s">
        <v>1413</v>
      </c>
      <c r="P60" s="283" t="s">
        <v>763</v>
      </c>
      <c r="Q60" s="1981" t="s">
        <v>2757</v>
      </c>
      <c r="R60" s="1954"/>
      <c r="S60" s="1954"/>
      <c r="T60" s="1954"/>
    </row>
    <row r="61" spans="1:22" ht="32">
      <c r="A61" s="1970">
        <f t="shared" si="0"/>
        <v>19</v>
      </c>
      <c r="B61" s="284" t="s">
        <v>2761</v>
      </c>
      <c r="C61" s="1971" t="s">
        <v>1994</v>
      </c>
      <c r="D61" s="298" t="e">
        <f t="shared" si="1"/>
        <v>#REF!</v>
      </c>
      <c r="E61" s="298">
        <v>0</v>
      </c>
      <c r="F61" s="300">
        <v>1</v>
      </c>
      <c r="G61" s="300">
        <v>0</v>
      </c>
      <c r="H61" s="300">
        <v>0</v>
      </c>
      <c r="I61" s="1965" t="e">
        <f>'8_MP'!#REF!</f>
        <v>#REF!</v>
      </c>
      <c r="J61" s="298" t="e">
        <f>'8_MP'!#REF!/2</f>
        <v>#REF!</v>
      </c>
      <c r="K61" s="2127">
        <v>45251</v>
      </c>
      <c r="L61" s="1947" t="s">
        <v>2682</v>
      </c>
      <c r="M61" s="2127">
        <v>45273</v>
      </c>
      <c r="N61" s="1947" t="s">
        <v>2682</v>
      </c>
      <c r="O61" s="287" t="s">
        <v>1413</v>
      </c>
      <c r="P61" s="283" t="s">
        <v>763</v>
      </c>
      <c r="Q61" s="1981" t="s">
        <v>2757</v>
      </c>
      <c r="R61" s="1954"/>
      <c r="S61" s="1954"/>
      <c r="T61" s="1954"/>
    </row>
    <row r="62" spans="1:22" ht="48">
      <c r="A62" s="1970">
        <f t="shared" si="0"/>
        <v>20</v>
      </c>
      <c r="B62" s="284" t="s">
        <v>2762</v>
      </c>
      <c r="C62" s="1971" t="s">
        <v>1994</v>
      </c>
      <c r="D62" s="298" t="e">
        <f t="shared" si="1"/>
        <v>#REF!</v>
      </c>
      <c r="E62" s="298">
        <v>0</v>
      </c>
      <c r="F62" s="300">
        <v>1</v>
      </c>
      <c r="G62" s="300">
        <v>0</v>
      </c>
      <c r="H62" s="300">
        <v>0</v>
      </c>
      <c r="I62" s="1965" t="e">
        <f>'8_MP'!#REF!</f>
        <v>#REF!</v>
      </c>
      <c r="J62" s="298" t="e">
        <f>'8_MP'!#REF!/2</f>
        <v>#REF!</v>
      </c>
      <c r="K62" s="2127">
        <v>45251</v>
      </c>
      <c r="L62" s="1947" t="s">
        <v>2682</v>
      </c>
      <c r="M62" s="2127">
        <v>45273</v>
      </c>
      <c r="N62" s="1947" t="s">
        <v>2682</v>
      </c>
      <c r="O62" s="287" t="s">
        <v>1413</v>
      </c>
      <c r="P62" s="283" t="s">
        <v>763</v>
      </c>
      <c r="Q62" s="1981" t="s">
        <v>2757</v>
      </c>
      <c r="R62" s="1954"/>
      <c r="S62" s="1954"/>
      <c r="T62" s="1954"/>
    </row>
    <row r="63" spans="1:22" ht="32">
      <c r="A63" s="1970">
        <f t="shared" si="0"/>
        <v>21</v>
      </c>
      <c r="B63" s="284" t="s">
        <v>2763</v>
      </c>
      <c r="C63" s="1971" t="s">
        <v>1994</v>
      </c>
      <c r="D63" s="298" t="e">
        <f t="shared" si="1"/>
        <v>#REF!</v>
      </c>
      <c r="E63" s="298">
        <v>0</v>
      </c>
      <c r="F63" s="300">
        <v>1</v>
      </c>
      <c r="G63" s="300">
        <v>0</v>
      </c>
      <c r="H63" s="300">
        <v>0</v>
      </c>
      <c r="I63" s="1965" t="e">
        <f>'8_MP'!#REF!</f>
        <v>#REF!</v>
      </c>
      <c r="J63" s="298" t="e">
        <f>'8_MP'!#REF!</f>
        <v>#REF!</v>
      </c>
      <c r="K63" s="2127">
        <v>45251</v>
      </c>
      <c r="L63" s="1947" t="s">
        <v>2682</v>
      </c>
      <c r="M63" s="2127">
        <v>45273</v>
      </c>
      <c r="N63" s="1947" t="s">
        <v>2682</v>
      </c>
      <c r="O63" s="287" t="s">
        <v>1413</v>
      </c>
      <c r="P63" s="283" t="s">
        <v>763</v>
      </c>
      <c r="Q63" s="1981" t="s">
        <v>2757</v>
      </c>
      <c r="R63" s="1954"/>
      <c r="S63" s="1954"/>
      <c r="T63" s="1954"/>
    </row>
    <row r="64" spans="1:22" ht="32">
      <c r="A64" s="1970">
        <f t="shared" si="0"/>
        <v>22</v>
      </c>
      <c r="B64" s="284" t="s">
        <v>2764</v>
      </c>
      <c r="C64" s="1971" t="s">
        <v>1994</v>
      </c>
      <c r="D64" s="298" t="e">
        <f t="shared" si="1"/>
        <v>#REF!</v>
      </c>
      <c r="E64" s="298">
        <v>0</v>
      </c>
      <c r="F64" s="300">
        <v>1</v>
      </c>
      <c r="G64" s="300">
        <v>0</v>
      </c>
      <c r="H64" s="300">
        <v>0</v>
      </c>
      <c r="I64" s="1965" t="e">
        <f>'8_MP'!#REF!</f>
        <v>#REF!</v>
      </c>
      <c r="J64" s="298" t="e">
        <f>'8_MP'!#REF!</f>
        <v>#REF!</v>
      </c>
      <c r="K64" s="2127">
        <v>45251</v>
      </c>
      <c r="L64" s="1947" t="s">
        <v>2682</v>
      </c>
      <c r="M64" s="2127">
        <v>45273</v>
      </c>
      <c r="N64" s="1947" t="s">
        <v>2682</v>
      </c>
      <c r="O64" s="287" t="s">
        <v>1413</v>
      </c>
      <c r="P64" s="283" t="s">
        <v>763</v>
      </c>
      <c r="Q64" s="1981" t="s">
        <v>2757</v>
      </c>
      <c r="R64" s="1954"/>
      <c r="S64" s="1954"/>
      <c r="T64" s="1954"/>
    </row>
    <row r="65" spans="1:20" ht="64">
      <c r="A65" s="1970">
        <f t="shared" si="0"/>
        <v>23</v>
      </c>
      <c r="B65" s="284" t="s">
        <v>2765</v>
      </c>
      <c r="C65" s="1971" t="s">
        <v>2033</v>
      </c>
      <c r="D65" s="298">
        <f t="shared" si="1"/>
        <v>0</v>
      </c>
      <c r="E65" s="298">
        <v>0</v>
      </c>
      <c r="F65" s="300">
        <v>1</v>
      </c>
      <c r="G65" s="300">
        <v>0</v>
      </c>
      <c r="H65" s="300">
        <v>0</v>
      </c>
      <c r="I65" s="1964" t="str">
        <f>'8_MP'!D53</f>
        <v>1.1.2.1</v>
      </c>
      <c r="J65" s="298">
        <f>'8_MP'!$AN$54</f>
        <v>0</v>
      </c>
      <c r="K65" s="2127">
        <v>45252</v>
      </c>
      <c r="L65" s="1947" t="s">
        <v>2682</v>
      </c>
      <c r="M65" s="2127">
        <v>45274</v>
      </c>
      <c r="N65" s="1947" t="s">
        <v>2682</v>
      </c>
      <c r="O65" s="287" t="s">
        <v>1413</v>
      </c>
      <c r="P65" s="283" t="s">
        <v>763</v>
      </c>
      <c r="Q65" s="1981" t="s">
        <v>2757</v>
      </c>
      <c r="R65" s="1954"/>
      <c r="S65" s="1954"/>
      <c r="T65" s="1954"/>
    </row>
    <row r="66" spans="1:20" ht="32">
      <c r="A66" s="1970">
        <f t="shared" si="0"/>
        <v>24</v>
      </c>
      <c r="B66" s="284" t="s">
        <v>682</v>
      </c>
      <c r="C66" s="1971" t="s">
        <v>2033</v>
      </c>
      <c r="D66" s="298">
        <f t="shared" si="1"/>
        <v>0</v>
      </c>
      <c r="E66" s="298">
        <v>0</v>
      </c>
      <c r="F66" s="300">
        <v>1</v>
      </c>
      <c r="G66" s="300">
        <v>0</v>
      </c>
      <c r="H66" s="300">
        <v>0</v>
      </c>
      <c r="I66" s="1964" t="str">
        <f>'8_MP'!D55</f>
        <v>1.1.2.1.2</v>
      </c>
      <c r="J66" s="298">
        <f>'8_MP'!$AN$55</f>
        <v>0</v>
      </c>
      <c r="K66" s="2127">
        <v>45462</v>
      </c>
      <c r="L66" s="1947" t="s">
        <v>2682</v>
      </c>
      <c r="M66" s="2127">
        <v>45484</v>
      </c>
      <c r="N66" s="1947" t="s">
        <v>2682</v>
      </c>
      <c r="O66" s="287" t="s">
        <v>1413</v>
      </c>
      <c r="P66" s="283" t="s">
        <v>763</v>
      </c>
      <c r="Q66" s="1981" t="s">
        <v>2757</v>
      </c>
      <c r="R66" s="1954"/>
      <c r="S66" s="1954"/>
      <c r="T66" s="1954"/>
    </row>
    <row r="67" spans="1:20" ht="16">
      <c r="A67" s="1970">
        <f t="shared" si="0"/>
        <v>25</v>
      </c>
      <c r="B67" s="284" t="s">
        <v>2766</v>
      </c>
      <c r="C67" s="1971" t="s">
        <v>2102</v>
      </c>
      <c r="D67" s="298">
        <f t="shared" si="1"/>
        <v>30000</v>
      </c>
      <c r="E67" s="298">
        <v>0</v>
      </c>
      <c r="F67" s="300">
        <v>1</v>
      </c>
      <c r="G67" s="300">
        <v>0</v>
      </c>
      <c r="H67" s="300">
        <v>0</v>
      </c>
      <c r="I67" s="1964" t="str">
        <f>'8_MP'!$D$63</f>
        <v>1.1.2.2.1.1</v>
      </c>
      <c r="J67" s="298">
        <f>'8_MP'!$AN$63</f>
        <v>30000</v>
      </c>
      <c r="K67" s="2127">
        <v>45259</v>
      </c>
      <c r="L67" s="1947" t="s">
        <v>2682</v>
      </c>
      <c r="M67" s="2127">
        <v>45281</v>
      </c>
      <c r="N67" s="1947" t="s">
        <v>2682</v>
      </c>
      <c r="O67" s="287" t="s">
        <v>1413</v>
      </c>
      <c r="P67" s="283" t="s">
        <v>763</v>
      </c>
      <c r="Q67" s="1981" t="s">
        <v>2757</v>
      </c>
      <c r="R67" s="1954"/>
      <c r="S67" s="1954"/>
      <c r="T67" s="1954"/>
    </row>
    <row r="68" spans="1:20" ht="80">
      <c r="A68" s="1970">
        <f t="shared" si="0"/>
        <v>26</v>
      </c>
      <c r="B68" s="284" t="s">
        <v>706</v>
      </c>
      <c r="C68" s="1971" t="s">
        <v>2014</v>
      </c>
      <c r="D68" s="298">
        <f t="shared" si="1"/>
        <v>18000</v>
      </c>
      <c r="E68" s="298">
        <v>0</v>
      </c>
      <c r="F68" s="300">
        <v>1</v>
      </c>
      <c r="G68" s="300">
        <v>0</v>
      </c>
      <c r="H68" s="300">
        <v>0</v>
      </c>
      <c r="I68" s="1964" t="str">
        <f>+'8_MP'!$D$69</f>
        <v>1.1.3.1</v>
      </c>
      <c r="J68" s="298">
        <f>+'8_MP'!$AN$69</f>
        <v>18000</v>
      </c>
      <c r="K68" s="2127">
        <v>45371</v>
      </c>
      <c r="L68" s="1947" t="s">
        <v>2682</v>
      </c>
      <c r="M68" s="2127">
        <v>45393</v>
      </c>
      <c r="N68" s="1947" t="s">
        <v>2682</v>
      </c>
      <c r="O68" s="287" t="s">
        <v>1413</v>
      </c>
      <c r="P68" s="283" t="s">
        <v>763</v>
      </c>
      <c r="Q68" s="1981" t="s">
        <v>2757</v>
      </c>
      <c r="R68" s="1954"/>
      <c r="S68" s="1954"/>
      <c r="T68" s="1954"/>
    </row>
    <row r="69" spans="1:20" ht="64">
      <c r="A69" s="1970">
        <f t="shared" si="0"/>
        <v>27</v>
      </c>
      <c r="B69" s="284" t="s">
        <v>714</v>
      </c>
      <c r="C69" s="1971" t="s">
        <v>2021</v>
      </c>
      <c r="D69" s="298">
        <f t="shared" si="1"/>
        <v>35000</v>
      </c>
      <c r="E69" s="298">
        <v>0</v>
      </c>
      <c r="F69" s="300">
        <v>1</v>
      </c>
      <c r="G69" s="300">
        <v>0</v>
      </c>
      <c r="H69" s="300">
        <v>0</v>
      </c>
      <c r="I69" s="1964" t="str">
        <f>'8_MP'!$D$76</f>
        <v>1.2.1.1.1</v>
      </c>
      <c r="J69" s="298">
        <f>'8_MP'!$AN$76</f>
        <v>35000</v>
      </c>
      <c r="K69" s="2127">
        <v>45252</v>
      </c>
      <c r="L69" s="1947" t="s">
        <v>2682</v>
      </c>
      <c r="M69" s="2127">
        <v>45274</v>
      </c>
      <c r="N69" s="1947" t="s">
        <v>2682</v>
      </c>
      <c r="O69" s="287" t="s">
        <v>1413</v>
      </c>
      <c r="P69" s="283" t="s">
        <v>763</v>
      </c>
      <c r="Q69" s="1981" t="s">
        <v>2757</v>
      </c>
      <c r="R69" s="1954"/>
      <c r="S69" s="1954"/>
      <c r="T69" s="1954"/>
    </row>
    <row r="70" spans="1:20" ht="48">
      <c r="A70" s="1970">
        <f t="shared" si="0"/>
        <v>28</v>
      </c>
      <c r="B70" s="284" t="s">
        <v>2767</v>
      </c>
      <c r="C70" s="1971" t="s">
        <v>2005</v>
      </c>
      <c r="D70" s="298">
        <f>+J70</f>
        <v>61344</v>
      </c>
      <c r="E70" s="298">
        <v>0</v>
      </c>
      <c r="F70" s="300">
        <v>1</v>
      </c>
      <c r="G70" s="300">
        <v>0</v>
      </c>
      <c r="H70" s="300">
        <v>0</v>
      </c>
      <c r="I70" s="1965" t="str">
        <f>'8_MP'!$D$99</f>
        <v>1.2.1.7.1.1</v>
      </c>
      <c r="J70" s="298">
        <f>+'8_MP'!$AH$99*12</f>
        <v>61344</v>
      </c>
      <c r="K70" s="2127">
        <v>45251</v>
      </c>
      <c r="L70" s="1947" t="s">
        <v>2682</v>
      </c>
      <c r="M70" s="2127">
        <v>45273</v>
      </c>
      <c r="N70" s="1947" t="s">
        <v>2682</v>
      </c>
      <c r="O70" s="287" t="s">
        <v>1413</v>
      </c>
      <c r="P70" s="283" t="s">
        <v>763</v>
      </c>
      <c r="Q70" s="1981" t="s">
        <v>2757</v>
      </c>
      <c r="R70" s="1954"/>
      <c r="S70" s="1954"/>
      <c r="T70" s="1954"/>
    </row>
    <row r="71" spans="1:20" ht="48">
      <c r="A71" s="1970">
        <f t="shared" si="0"/>
        <v>29</v>
      </c>
      <c r="B71" s="284" t="s">
        <v>2767</v>
      </c>
      <c r="C71" s="1971" t="s">
        <v>2005</v>
      </c>
      <c r="D71" s="298">
        <f t="shared" si="1"/>
        <v>61344</v>
      </c>
      <c r="E71" s="298">
        <v>0</v>
      </c>
      <c r="F71" s="300">
        <v>1</v>
      </c>
      <c r="G71" s="300">
        <v>0</v>
      </c>
      <c r="H71" s="300">
        <v>0</v>
      </c>
      <c r="I71" s="1965" t="str">
        <f>'8_MP'!$D$99</f>
        <v>1.2.1.7.1.1</v>
      </c>
      <c r="J71" s="298">
        <f>+'8_MP'!$AH$99*12</f>
        <v>61344</v>
      </c>
      <c r="K71" s="2127">
        <v>45251</v>
      </c>
      <c r="L71" s="1947" t="s">
        <v>2682</v>
      </c>
      <c r="M71" s="2127">
        <v>45273</v>
      </c>
      <c r="N71" s="1947" t="s">
        <v>2682</v>
      </c>
      <c r="O71" s="287" t="s">
        <v>1413</v>
      </c>
      <c r="P71" s="283" t="s">
        <v>763</v>
      </c>
      <c r="Q71" s="1981" t="s">
        <v>2757</v>
      </c>
      <c r="R71" s="1954"/>
      <c r="S71" s="1954"/>
      <c r="T71" s="1954"/>
    </row>
    <row r="72" spans="1:20" ht="48">
      <c r="A72" s="1970">
        <f t="shared" si="0"/>
        <v>30</v>
      </c>
      <c r="B72" s="284" t="s">
        <v>2768</v>
      </c>
      <c r="C72" s="1971" t="s">
        <v>2005</v>
      </c>
      <c r="D72" s="298">
        <f>+J72</f>
        <v>48000</v>
      </c>
      <c r="E72" s="298">
        <v>0</v>
      </c>
      <c r="F72" s="300">
        <v>1</v>
      </c>
      <c r="G72" s="300">
        <v>0</v>
      </c>
      <c r="H72" s="300">
        <v>0</v>
      </c>
      <c r="I72" s="1965" t="str">
        <f>'8_MP'!$D$100</f>
        <v>1.2.1.7.1.2</v>
      </c>
      <c r="J72" s="298">
        <f>+'8_MP'!$AH$100*12</f>
        <v>48000</v>
      </c>
      <c r="K72" s="2127">
        <v>45251</v>
      </c>
      <c r="L72" s="1947" t="s">
        <v>2682</v>
      </c>
      <c r="M72" s="2127">
        <v>45273</v>
      </c>
      <c r="N72" s="1947" t="s">
        <v>2682</v>
      </c>
      <c r="O72" s="287" t="s">
        <v>1413</v>
      </c>
      <c r="P72" s="283" t="s">
        <v>763</v>
      </c>
      <c r="Q72" s="1981" t="s">
        <v>2757</v>
      </c>
      <c r="R72" s="1954"/>
      <c r="S72" s="1954"/>
      <c r="T72" s="1954"/>
    </row>
    <row r="73" spans="1:20" ht="48">
      <c r="A73" s="1970">
        <f t="shared" si="0"/>
        <v>31</v>
      </c>
      <c r="B73" s="284" t="s">
        <v>2768</v>
      </c>
      <c r="C73" s="1971" t="s">
        <v>2005</v>
      </c>
      <c r="D73" s="298">
        <f t="shared" si="1"/>
        <v>48000</v>
      </c>
      <c r="E73" s="298">
        <v>0</v>
      </c>
      <c r="F73" s="300">
        <v>1</v>
      </c>
      <c r="G73" s="300">
        <v>0</v>
      </c>
      <c r="H73" s="300">
        <v>0</v>
      </c>
      <c r="I73" s="1965" t="str">
        <f>'8_MP'!$D$100</f>
        <v>1.2.1.7.1.2</v>
      </c>
      <c r="J73" s="298">
        <f>+'8_MP'!$AH$100*12</f>
        <v>48000</v>
      </c>
      <c r="K73" s="2127">
        <v>45251</v>
      </c>
      <c r="L73" s="1947" t="s">
        <v>2682</v>
      </c>
      <c r="M73" s="2127">
        <v>45273</v>
      </c>
      <c r="N73" s="1947" t="s">
        <v>2682</v>
      </c>
      <c r="O73" s="287" t="s">
        <v>1413</v>
      </c>
      <c r="P73" s="283" t="s">
        <v>763</v>
      </c>
      <c r="Q73" s="1981" t="s">
        <v>2757</v>
      </c>
      <c r="R73" s="1954"/>
      <c r="S73" s="1954"/>
      <c r="T73" s="1954"/>
    </row>
    <row r="74" spans="1:20" ht="48">
      <c r="A74" s="1970">
        <f t="shared" si="0"/>
        <v>32</v>
      </c>
      <c r="B74" s="284" t="s">
        <v>2769</v>
      </c>
      <c r="C74" s="1971" t="s">
        <v>2005</v>
      </c>
      <c r="D74" s="298">
        <f t="shared" si="1"/>
        <v>92040</v>
      </c>
      <c r="E74" s="298">
        <v>0</v>
      </c>
      <c r="F74" s="300">
        <v>1</v>
      </c>
      <c r="G74" s="300">
        <v>0</v>
      </c>
      <c r="H74" s="300">
        <v>0</v>
      </c>
      <c r="I74" s="1965" t="str">
        <f>'8_MP'!$D$101</f>
        <v>1.2.1.7.1.3</v>
      </c>
      <c r="J74" s="298">
        <f>+'8_MP'!$AH$101*12</f>
        <v>92040</v>
      </c>
      <c r="K74" s="2127">
        <v>45251</v>
      </c>
      <c r="L74" s="1947" t="s">
        <v>2682</v>
      </c>
      <c r="M74" s="2127">
        <v>45273</v>
      </c>
      <c r="N74" s="1947" t="s">
        <v>2682</v>
      </c>
      <c r="O74" s="287" t="s">
        <v>1413</v>
      </c>
      <c r="P74" s="283" t="s">
        <v>763</v>
      </c>
      <c r="Q74" s="1981" t="s">
        <v>2757</v>
      </c>
      <c r="R74" s="1954"/>
      <c r="S74" s="1954"/>
      <c r="T74" s="1954"/>
    </row>
    <row r="75" spans="1:20" ht="48">
      <c r="A75" s="1970">
        <f t="shared" si="0"/>
        <v>33</v>
      </c>
      <c r="B75" s="284" t="s">
        <v>2770</v>
      </c>
      <c r="C75" s="1971" t="s">
        <v>2005</v>
      </c>
      <c r="D75" s="298">
        <f t="shared" si="1"/>
        <v>78480</v>
      </c>
      <c r="E75" s="298">
        <v>0</v>
      </c>
      <c r="F75" s="300">
        <v>1</v>
      </c>
      <c r="G75" s="300">
        <v>0</v>
      </c>
      <c r="H75" s="300">
        <v>0</v>
      </c>
      <c r="I75" s="1965" t="str">
        <f>'8_MP'!$D$102</f>
        <v>1.2.1.7.1.4</v>
      </c>
      <c r="J75" s="298">
        <f>+'8_MP'!$AH$102*12</f>
        <v>78480</v>
      </c>
      <c r="K75" s="2127">
        <v>45251</v>
      </c>
      <c r="L75" s="1947" t="s">
        <v>2682</v>
      </c>
      <c r="M75" s="2127">
        <v>45273</v>
      </c>
      <c r="N75" s="1947" t="s">
        <v>2682</v>
      </c>
      <c r="O75" s="287" t="s">
        <v>1413</v>
      </c>
      <c r="P75" s="283" t="s">
        <v>763</v>
      </c>
      <c r="Q75" s="1981" t="s">
        <v>2757</v>
      </c>
      <c r="R75" s="1954"/>
      <c r="S75" s="1954"/>
      <c r="T75" s="1954"/>
    </row>
    <row r="76" spans="1:20" ht="48">
      <c r="A76" s="1970">
        <f t="shared" si="0"/>
        <v>34</v>
      </c>
      <c r="B76" s="284" t="s">
        <v>791</v>
      </c>
      <c r="C76" s="1971" t="s">
        <v>2036</v>
      </c>
      <c r="D76" s="298">
        <f t="shared" si="1"/>
        <v>50000</v>
      </c>
      <c r="E76" s="298">
        <v>0</v>
      </c>
      <c r="F76" s="300">
        <v>1</v>
      </c>
      <c r="G76" s="300">
        <v>0</v>
      </c>
      <c r="H76" s="300">
        <v>0</v>
      </c>
      <c r="I76" s="1964">
        <f>'8_MP'!$D$110</f>
        <v>0</v>
      </c>
      <c r="J76" s="298">
        <f>'8_MP'!$AN$110</f>
        <v>50000</v>
      </c>
      <c r="K76" s="2127">
        <v>45251</v>
      </c>
      <c r="L76" s="1947" t="s">
        <v>2682</v>
      </c>
      <c r="M76" s="2127">
        <v>45273</v>
      </c>
      <c r="N76" s="1947" t="s">
        <v>2682</v>
      </c>
      <c r="O76" s="287" t="s">
        <v>1413</v>
      </c>
      <c r="P76" s="283" t="s">
        <v>763</v>
      </c>
      <c r="Q76" s="1981" t="s">
        <v>2757</v>
      </c>
      <c r="R76" s="1954"/>
      <c r="S76" s="1954"/>
      <c r="T76" s="1954"/>
    </row>
    <row r="77" spans="1:20" ht="32">
      <c r="A77" s="1970">
        <f t="shared" si="0"/>
        <v>35</v>
      </c>
      <c r="B77" s="284" t="s">
        <v>2771</v>
      </c>
      <c r="C77" s="1971" t="s">
        <v>2036</v>
      </c>
      <c r="D77" s="298">
        <f t="shared" si="1"/>
        <v>105450</v>
      </c>
      <c r="E77" s="298">
        <v>0</v>
      </c>
      <c r="F77" s="300">
        <v>1</v>
      </c>
      <c r="G77" s="300">
        <v>0</v>
      </c>
      <c r="H77" s="300">
        <v>0</v>
      </c>
      <c r="I77" s="1964" t="str">
        <f>'8_MP'!D113</f>
        <v>1.2.1.8.2.2</v>
      </c>
      <c r="J77" s="298">
        <f>+'8_MP'!$AN$113</f>
        <v>105450</v>
      </c>
      <c r="K77" s="2127">
        <v>45433</v>
      </c>
      <c r="L77" s="1947" t="s">
        <v>2682</v>
      </c>
      <c r="M77" s="2127">
        <v>45455</v>
      </c>
      <c r="N77" s="1947" t="s">
        <v>2682</v>
      </c>
      <c r="O77" s="287" t="s">
        <v>1413</v>
      </c>
      <c r="P77" s="283" t="s">
        <v>763</v>
      </c>
      <c r="Q77" s="1981" t="s">
        <v>2757</v>
      </c>
      <c r="R77" s="1954"/>
      <c r="S77" s="1954"/>
      <c r="T77" s="1954"/>
    </row>
    <row r="78" spans="1:20" ht="32">
      <c r="A78" s="1970">
        <f t="shared" si="0"/>
        <v>36</v>
      </c>
      <c r="B78" s="284" t="s">
        <v>2772</v>
      </c>
      <c r="C78" s="1971" t="s">
        <v>2036</v>
      </c>
      <c r="D78" s="298">
        <f t="shared" si="1"/>
        <v>36100</v>
      </c>
      <c r="E78" s="298">
        <v>0</v>
      </c>
      <c r="F78" s="300">
        <v>1</v>
      </c>
      <c r="G78" s="300">
        <v>0</v>
      </c>
      <c r="H78" s="300">
        <v>0</v>
      </c>
      <c r="I78" s="1965" t="str">
        <f>'8_MP'!$D$114</f>
        <v>1.2.1.8.2.3</v>
      </c>
      <c r="J78" s="298">
        <f>+'8_MP'!$AN$114/3</f>
        <v>36100</v>
      </c>
      <c r="K78" s="2127">
        <v>45433</v>
      </c>
      <c r="L78" s="1947" t="s">
        <v>2682</v>
      </c>
      <c r="M78" s="2127">
        <v>45455</v>
      </c>
      <c r="N78" s="1947" t="s">
        <v>2682</v>
      </c>
      <c r="O78" s="287" t="s">
        <v>1413</v>
      </c>
      <c r="P78" s="283" t="s">
        <v>763</v>
      </c>
      <c r="Q78" s="1981" t="s">
        <v>2757</v>
      </c>
      <c r="R78" s="1954"/>
      <c r="S78" s="1954"/>
      <c r="T78" s="1954"/>
    </row>
    <row r="79" spans="1:20" ht="32">
      <c r="A79" s="1970">
        <f t="shared" si="0"/>
        <v>37</v>
      </c>
      <c r="B79" s="284" t="s">
        <v>2772</v>
      </c>
      <c r="C79" s="1971" t="s">
        <v>2036</v>
      </c>
      <c r="D79" s="298">
        <f t="shared" si="1"/>
        <v>36100</v>
      </c>
      <c r="E79" s="298">
        <v>0</v>
      </c>
      <c r="F79" s="300">
        <v>1</v>
      </c>
      <c r="G79" s="300">
        <v>0</v>
      </c>
      <c r="H79" s="300">
        <v>0</v>
      </c>
      <c r="I79" s="1965" t="str">
        <f>'8_MP'!$D$114</f>
        <v>1.2.1.8.2.3</v>
      </c>
      <c r="J79" s="298">
        <f>+'8_MP'!$AN$114/3</f>
        <v>36100</v>
      </c>
      <c r="K79" s="2127">
        <v>45433</v>
      </c>
      <c r="L79" s="1947" t="s">
        <v>2682</v>
      </c>
      <c r="M79" s="2127">
        <v>45455</v>
      </c>
      <c r="N79" s="1947" t="s">
        <v>2682</v>
      </c>
      <c r="O79" s="287" t="s">
        <v>1413</v>
      </c>
      <c r="P79" s="283" t="s">
        <v>763</v>
      </c>
      <c r="Q79" s="1981" t="s">
        <v>2757</v>
      </c>
      <c r="R79" s="1954"/>
      <c r="S79" s="1954"/>
      <c r="T79" s="1954"/>
    </row>
    <row r="80" spans="1:20" ht="32">
      <c r="A80" s="1970">
        <f t="shared" si="0"/>
        <v>38</v>
      </c>
      <c r="B80" s="284" t="s">
        <v>2772</v>
      </c>
      <c r="C80" s="1971" t="s">
        <v>2036</v>
      </c>
      <c r="D80" s="298">
        <f t="shared" si="1"/>
        <v>36100</v>
      </c>
      <c r="E80" s="298">
        <v>0</v>
      </c>
      <c r="F80" s="300">
        <v>1</v>
      </c>
      <c r="G80" s="300">
        <v>0</v>
      </c>
      <c r="H80" s="300">
        <v>0</v>
      </c>
      <c r="I80" s="1965" t="str">
        <f>'8_MP'!$D$114</f>
        <v>1.2.1.8.2.3</v>
      </c>
      <c r="J80" s="298">
        <f>+'8_MP'!$AN$114/3</f>
        <v>36100</v>
      </c>
      <c r="K80" s="2127">
        <v>45433</v>
      </c>
      <c r="L80" s="1947" t="s">
        <v>2682</v>
      </c>
      <c r="M80" s="2127">
        <v>45455</v>
      </c>
      <c r="N80" s="1947" t="s">
        <v>2682</v>
      </c>
      <c r="O80" s="287" t="s">
        <v>1413</v>
      </c>
      <c r="P80" s="283" t="s">
        <v>763</v>
      </c>
      <c r="Q80" s="1981" t="s">
        <v>2757</v>
      </c>
      <c r="R80" s="1954"/>
      <c r="S80" s="1954"/>
      <c r="T80" s="1954"/>
    </row>
    <row r="81" spans="1:34" ht="32">
      <c r="A81" s="1970">
        <f t="shared" si="0"/>
        <v>39</v>
      </c>
      <c r="B81" s="284" t="s">
        <v>2773</v>
      </c>
      <c r="C81" s="1971" t="s">
        <v>2774</v>
      </c>
      <c r="D81" s="298">
        <f t="shared" si="1"/>
        <v>80000</v>
      </c>
      <c r="E81" s="298">
        <v>0</v>
      </c>
      <c r="F81" s="300">
        <v>1</v>
      </c>
      <c r="G81" s="300">
        <v>0</v>
      </c>
      <c r="H81" s="300">
        <v>0</v>
      </c>
      <c r="I81" s="1964" t="str">
        <f>'8_MP'!$D$122</f>
        <v>1.2.2.1</v>
      </c>
      <c r="J81" s="298">
        <f>'8_MP'!$AN$122</f>
        <v>80000</v>
      </c>
      <c r="K81" s="2127">
        <v>45310</v>
      </c>
      <c r="L81" s="1947" t="s">
        <v>2682</v>
      </c>
      <c r="M81" s="2127">
        <v>45334</v>
      </c>
      <c r="N81" s="1947" t="s">
        <v>2682</v>
      </c>
      <c r="O81" s="287" t="s">
        <v>1413</v>
      </c>
      <c r="P81" s="283" t="s">
        <v>763</v>
      </c>
      <c r="Q81" s="1981" t="s">
        <v>2757</v>
      </c>
      <c r="R81" s="1954"/>
      <c r="S81" s="1954"/>
      <c r="T81" s="1954"/>
    </row>
    <row r="82" spans="1:34" ht="64">
      <c r="A82" s="2144">
        <f>+A81+1</f>
        <v>40</v>
      </c>
      <c r="B82" s="284" t="s">
        <v>2775</v>
      </c>
      <c r="C82" s="1971" t="s">
        <v>2731</v>
      </c>
      <c r="D82" s="298">
        <f>+J82</f>
        <v>2970715.0000399998</v>
      </c>
      <c r="E82" s="298">
        <v>0</v>
      </c>
      <c r="F82" s="300">
        <v>1</v>
      </c>
      <c r="G82" s="300">
        <v>0</v>
      </c>
      <c r="H82" s="300">
        <v>0</v>
      </c>
      <c r="I82" s="1964" t="str">
        <f>'8_MP'!$D$167</f>
        <v>1.3.1.4</v>
      </c>
      <c r="J82" s="298">
        <f>'8_MP'!$AN$167</f>
        <v>2970715.0000399998</v>
      </c>
      <c r="K82" s="2127">
        <v>45342</v>
      </c>
      <c r="L82" s="1947" t="s">
        <v>2682</v>
      </c>
      <c r="M82" s="2127">
        <v>45364</v>
      </c>
      <c r="N82" s="1947" t="s">
        <v>2682</v>
      </c>
      <c r="O82" s="287" t="s">
        <v>1413</v>
      </c>
      <c r="P82" s="283" t="s">
        <v>763</v>
      </c>
      <c r="Q82" s="1981" t="s">
        <v>2757</v>
      </c>
      <c r="R82" s="1986"/>
      <c r="S82" s="1986"/>
      <c r="T82" s="1986"/>
    </row>
    <row r="83" spans="1:34" s="1944" customFormat="1" ht="34.25" customHeight="1">
      <c r="A83" s="4238">
        <f>+A82+1</f>
        <v>41</v>
      </c>
      <c r="B83" s="4197" t="s">
        <v>2776</v>
      </c>
      <c r="C83" s="2145" t="s">
        <v>2730</v>
      </c>
      <c r="D83" s="4203">
        <f>SUM(J83:J84)</f>
        <v>2970715.0000399998</v>
      </c>
      <c r="E83" s="4203">
        <v>0</v>
      </c>
      <c r="F83" s="4209">
        <v>1</v>
      </c>
      <c r="G83" s="4209">
        <v>0</v>
      </c>
      <c r="H83" s="4209">
        <v>0</v>
      </c>
      <c r="I83" s="1966" t="str">
        <f>'8_MP'!$D$145</f>
        <v>1.3.1.1</v>
      </c>
      <c r="J83" s="298">
        <f>'8_MP'!$AN$145</f>
        <v>2955715.0000399998</v>
      </c>
      <c r="K83" s="4191">
        <v>45251</v>
      </c>
      <c r="L83" s="4194" t="s">
        <v>2682</v>
      </c>
      <c r="M83" s="4191">
        <v>45273</v>
      </c>
      <c r="N83" s="4194" t="s">
        <v>2682</v>
      </c>
      <c r="O83" s="4231" t="s">
        <v>1413</v>
      </c>
      <c r="P83" s="4233" t="s">
        <v>763</v>
      </c>
      <c r="Q83" s="4235" t="s">
        <v>2757</v>
      </c>
      <c r="R83" s="4197"/>
      <c r="S83" s="4197"/>
      <c r="T83" s="4197"/>
      <c r="AE83" s="1945"/>
      <c r="AF83" s="1945"/>
      <c r="AG83" s="1945"/>
      <c r="AH83" s="1946"/>
    </row>
    <row r="84" spans="1:34" s="1944" customFormat="1" ht="34.25" customHeight="1">
      <c r="A84" s="4239"/>
      <c r="B84" s="4199"/>
      <c r="C84" s="2145" t="s">
        <v>2731</v>
      </c>
      <c r="D84" s="4215"/>
      <c r="E84" s="4215">
        <v>0</v>
      </c>
      <c r="F84" s="4214">
        <v>1</v>
      </c>
      <c r="G84" s="4214">
        <v>0</v>
      </c>
      <c r="H84" s="4214">
        <v>0</v>
      </c>
      <c r="I84" s="1966" t="str">
        <f>'8_MP'!$D$169</f>
        <v>1.3.1.4.2</v>
      </c>
      <c r="J84" s="298">
        <f>'8_MP'!$AN$169</f>
        <v>15000</v>
      </c>
      <c r="K84" s="4192"/>
      <c r="L84" s="4195"/>
      <c r="M84" s="4237"/>
      <c r="N84" s="4195"/>
      <c r="O84" s="4232"/>
      <c r="P84" s="4234"/>
      <c r="Q84" s="4236"/>
      <c r="R84" s="4198"/>
      <c r="S84" s="4198"/>
      <c r="T84" s="4198"/>
      <c r="AE84" s="1945"/>
      <c r="AF84" s="1945"/>
      <c r="AG84" s="1945"/>
      <c r="AH84" s="1946"/>
    </row>
    <row r="85" spans="1:34" s="1944" customFormat="1" ht="34.25" customHeight="1">
      <c r="A85" s="4238">
        <f>+A83+1</f>
        <v>42</v>
      </c>
      <c r="B85" s="4207" t="s">
        <v>2777</v>
      </c>
      <c r="C85" s="2145" t="s">
        <v>2730</v>
      </c>
      <c r="D85" s="4203">
        <f>SUM(J85:J86)</f>
        <v>29991</v>
      </c>
      <c r="E85" s="4203">
        <v>0</v>
      </c>
      <c r="F85" s="4209">
        <v>1</v>
      </c>
      <c r="G85" s="4209">
        <v>0</v>
      </c>
      <c r="H85" s="4209">
        <v>0</v>
      </c>
      <c r="I85" s="1966" t="str">
        <f>'8_MP'!$D$146</f>
        <v>1.3.1.1.1</v>
      </c>
      <c r="J85" s="298">
        <f>'8_MP'!$AN$146</f>
        <v>14991</v>
      </c>
      <c r="K85" s="4191">
        <v>45251</v>
      </c>
      <c r="L85" s="4194" t="s">
        <v>2682</v>
      </c>
      <c r="M85" s="4191">
        <v>45273</v>
      </c>
      <c r="N85" s="4194" t="s">
        <v>2682</v>
      </c>
      <c r="O85" s="4231" t="s">
        <v>1413</v>
      </c>
      <c r="P85" s="4233" t="s">
        <v>763</v>
      </c>
      <c r="Q85" s="4235" t="s">
        <v>2757</v>
      </c>
      <c r="R85" s="4197"/>
      <c r="S85" s="4197"/>
      <c r="T85" s="4197"/>
      <c r="AE85" s="1945"/>
      <c r="AF85" s="1945"/>
      <c r="AG85" s="1945"/>
      <c r="AH85" s="1946"/>
    </row>
    <row r="86" spans="1:34" s="1944" customFormat="1" ht="34.25" customHeight="1">
      <c r="A86" s="4239"/>
      <c r="B86" s="4208"/>
      <c r="C86" s="2145" t="s">
        <v>2731</v>
      </c>
      <c r="D86" s="4215"/>
      <c r="E86" s="4215">
        <v>0</v>
      </c>
      <c r="F86" s="4214">
        <v>1</v>
      </c>
      <c r="G86" s="4214">
        <v>0</v>
      </c>
      <c r="H86" s="4214">
        <v>0</v>
      </c>
      <c r="I86" s="1966" t="str">
        <f>'8_MP'!$D$170</f>
        <v>1.3.1.4.2.1</v>
      </c>
      <c r="J86" s="298">
        <f>'8_MP'!$AN$170</f>
        <v>15000</v>
      </c>
      <c r="K86" s="4192"/>
      <c r="L86" s="4195"/>
      <c r="M86" s="4192"/>
      <c r="N86" s="4195"/>
      <c r="O86" s="4232"/>
      <c r="P86" s="4234"/>
      <c r="Q86" s="4236"/>
      <c r="R86" s="4198"/>
      <c r="S86" s="4198"/>
      <c r="T86" s="4198"/>
      <c r="AE86" s="1945"/>
      <c r="AF86" s="1945"/>
      <c r="AG86" s="1945"/>
      <c r="AH86" s="1946"/>
    </row>
    <row r="87" spans="1:34" ht="48">
      <c r="A87" s="1970">
        <f>+A85+1</f>
        <v>43</v>
      </c>
      <c r="B87" s="284" t="s">
        <v>2316</v>
      </c>
      <c r="C87" s="1971" t="s">
        <v>2778</v>
      </c>
      <c r="D87" s="298">
        <f t="shared" si="1"/>
        <v>0</v>
      </c>
      <c r="E87" s="298">
        <v>0</v>
      </c>
      <c r="F87" s="300">
        <v>1</v>
      </c>
      <c r="G87" s="300">
        <v>0</v>
      </c>
      <c r="H87" s="300">
        <v>0</v>
      </c>
      <c r="I87" s="1964" t="str">
        <f>'8_MP'!$D$184</f>
        <v>1.4.1.1.2</v>
      </c>
      <c r="J87" s="298">
        <f>'8_MP'!$AN$184</f>
        <v>0</v>
      </c>
      <c r="K87" s="2127">
        <v>45251</v>
      </c>
      <c r="L87" s="1947" t="s">
        <v>2682</v>
      </c>
      <c r="M87" s="2127">
        <v>45273</v>
      </c>
      <c r="N87" s="1947" t="s">
        <v>2682</v>
      </c>
      <c r="O87" s="287" t="s">
        <v>1413</v>
      </c>
      <c r="P87" s="283" t="s">
        <v>763</v>
      </c>
      <c r="Q87" s="1981" t="s">
        <v>2757</v>
      </c>
      <c r="R87" s="1954"/>
      <c r="S87" s="1954"/>
      <c r="T87" s="1954"/>
    </row>
    <row r="88" spans="1:34" ht="48">
      <c r="A88" s="1970">
        <f>+A87+1</f>
        <v>44</v>
      </c>
      <c r="B88" s="284" t="s">
        <v>2317</v>
      </c>
      <c r="C88" s="1971" t="s">
        <v>2778</v>
      </c>
      <c r="D88" s="298">
        <f t="shared" si="1"/>
        <v>0</v>
      </c>
      <c r="E88" s="298">
        <v>0</v>
      </c>
      <c r="F88" s="300">
        <v>1</v>
      </c>
      <c r="G88" s="300">
        <v>0</v>
      </c>
      <c r="H88" s="300">
        <v>0</v>
      </c>
      <c r="I88" s="1964" t="str">
        <f>'8_MP'!$D$189</f>
        <v>1.4.1.2.2.2</v>
      </c>
      <c r="J88" s="298">
        <f>'8_MP'!$AN$189</f>
        <v>0</v>
      </c>
      <c r="K88" s="2127">
        <v>45491</v>
      </c>
      <c r="L88" s="1947" t="s">
        <v>2682</v>
      </c>
      <c r="M88" s="2127">
        <v>45513</v>
      </c>
      <c r="N88" s="1947" t="s">
        <v>2682</v>
      </c>
      <c r="O88" s="287" t="s">
        <v>1413</v>
      </c>
      <c r="P88" s="283" t="s">
        <v>763</v>
      </c>
      <c r="Q88" s="1981" t="s">
        <v>2757</v>
      </c>
      <c r="R88" s="1954"/>
      <c r="S88" s="1954"/>
      <c r="T88" s="1954"/>
    </row>
    <row r="89" spans="1:34" ht="48">
      <c r="A89" s="1970">
        <f t="shared" ref="A89:A104" si="2">+A88+1</f>
        <v>45</v>
      </c>
      <c r="B89" s="284" t="s">
        <v>2779</v>
      </c>
      <c r="C89" s="1971" t="s">
        <v>2732</v>
      </c>
      <c r="D89" s="298">
        <f t="shared" si="1"/>
        <v>80000</v>
      </c>
      <c r="E89" s="298">
        <v>0</v>
      </c>
      <c r="F89" s="300">
        <v>1</v>
      </c>
      <c r="G89" s="300">
        <v>0</v>
      </c>
      <c r="H89" s="300">
        <v>0</v>
      </c>
      <c r="I89" s="1964" t="str">
        <f>'8_MP'!$D$206</f>
        <v>1.4.1.4</v>
      </c>
      <c r="J89" s="298">
        <f>'8_MP'!$AN$206</f>
        <v>80000</v>
      </c>
      <c r="K89" s="2127">
        <v>45310</v>
      </c>
      <c r="L89" s="1947" t="s">
        <v>2682</v>
      </c>
      <c r="M89" s="2127">
        <v>45334</v>
      </c>
      <c r="N89" s="1947" t="s">
        <v>2682</v>
      </c>
      <c r="O89" s="287" t="s">
        <v>1413</v>
      </c>
      <c r="P89" s="283" t="s">
        <v>763</v>
      </c>
      <c r="Q89" s="1981" t="s">
        <v>2757</v>
      </c>
      <c r="R89" s="1954"/>
      <c r="S89" s="1954"/>
      <c r="T89" s="1954"/>
    </row>
    <row r="90" spans="1:34" ht="64">
      <c r="A90" s="1970">
        <f>+A89+1</f>
        <v>46</v>
      </c>
      <c r="B90" s="284" t="s">
        <v>2780</v>
      </c>
      <c r="C90" s="1971" t="s">
        <v>2735</v>
      </c>
      <c r="D90" s="298">
        <f t="shared" si="1"/>
        <v>63000</v>
      </c>
      <c r="E90" s="298">
        <v>0</v>
      </c>
      <c r="F90" s="300">
        <v>1</v>
      </c>
      <c r="G90" s="300">
        <v>0</v>
      </c>
      <c r="H90" s="300">
        <v>0</v>
      </c>
      <c r="I90" s="1964" t="str">
        <f>'8_MP'!$D$400</f>
        <v>3.1.3.2</v>
      </c>
      <c r="J90" s="298">
        <f>'8_MP'!$AN$400</f>
        <v>63000</v>
      </c>
      <c r="K90" s="2127">
        <v>45251</v>
      </c>
      <c r="L90" s="1947" t="s">
        <v>2682</v>
      </c>
      <c r="M90" s="2127">
        <v>45273</v>
      </c>
      <c r="N90" s="1947" t="s">
        <v>2682</v>
      </c>
      <c r="O90" s="287" t="s">
        <v>1413</v>
      </c>
      <c r="P90" s="283" t="s">
        <v>763</v>
      </c>
      <c r="Q90" s="1981" t="s">
        <v>2757</v>
      </c>
      <c r="R90" s="1954"/>
      <c r="S90" s="1954"/>
      <c r="T90" s="1954"/>
    </row>
    <row r="91" spans="1:34" ht="64">
      <c r="A91" s="1970">
        <f t="shared" si="2"/>
        <v>47</v>
      </c>
      <c r="B91" s="284" t="s">
        <v>2327</v>
      </c>
      <c r="C91" s="1971" t="s">
        <v>2736</v>
      </c>
      <c r="D91" s="298">
        <f>+J91</f>
        <v>160000</v>
      </c>
      <c r="E91" s="298">
        <v>0</v>
      </c>
      <c r="F91" s="300">
        <v>1</v>
      </c>
      <c r="G91" s="300">
        <v>0</v>
      </c>
      <c r="H91" s="300">
        <v>0</v>
      </c>
      <c r="I91" s="1964" t="str">
        <f>'8_MP'!D383</f>
        <v>3.1.1.3.1</v>
      </c>
      <c r="J91" s="298">
        <f>'8_MP'!AN383</f>
        <v>160000</v>
      </c>
      <c r="K91" s="2127">
        <v>45251</v>
      </c>
      <c r="L91" s="1947" t="s">
        <v>2682</v>
      </c>
      <c r="M91" s="2127">
        <v>45273</v>
      </c>
      <c r="N91" s="1947" t="s">
        <v>2682</v>
      </c>
      <c r="O91" s="287" t="s">
        <v>1413</v>
      </c>
      <c r="P91" s="283" t="s">
        <v>763</v>
      </c>
      <c r="Q91" s="1981" t="s">
        <v>2757</v>
      </c>
      <c r="R91" s="1954"/>
      <c r="S91" s="1954"/>
      <c r="T91" s="1954"/>
    </row>
    <row r="92" spans="1:34" ht="48">
      <c r="A92" s="1970">
        <f t="shared" si="2"/>
        <v>48</v>
      </c>
      <c r="B92" s="284" t="s">
        <v>2328</v>
      </c>
      <c r="C92" s="1971" t="s">
        <v>2736</v>
      </c>
      <c r="D92" s="298">
        <f t="shared" si="1"/>
        <v>216000</v>
      </c>
      <c r="E92" s="298">
        <v>0</v>
      </c>
      <c r="F92" s="300">
        <v>1</v>
      </c>
      <c r="G92" s="300">
        <v>0</v>
      </c>
      <c r="H92" s="300">
        <v>0</v>
      </c>
      <c r="I92" s="1964" t="str">
        <f>'8_MP'!D384</f>
        <v>3.1.1.3.2</v>
      </c>
      <c r="J92" s="298">
        <f>'8_MP'!AN384</f>
        <v>216000</v>
      </c>
      <c r="K92" s="2127">
        <v>45280</v>
      </c>
      <c r="L92" s="1947" t="s">
        <v>2682</v>
      </c>
      <c r="M92" s="2127">
        <v>45302</v>
      </c>
      <c r="N92" s="1947" t="s">
        <v>2682</v>
      </c>
      <c r="O92" s="287" t="s">
        <v>1413</v>
      </c>
      <c r="P92" s="283" t="s">
        <v>763</v>
      </c>
      <c r="Q92" s="1981" t="s">
        <v>2757</v>
      </c>
      <c r="R92" s="1954"/>
      <c r="S92" s="1954"/>
      <c r="T92" s="1954"/>
    </row>
    <row r="93" spans="1:34" ht="32">
      <c r="A93" s="1970">
        <f t="shared" si="2"/>
        <v>49</v>
      </c>
      <c r="B93" s="284" t="s">
        <v>2330</v>
      </c>
      <c r="C93" s="1971" t="s">
        <v>2738</v>
      </c>
      <c r="D93" s="298">
        <f>+J93</f>
        <v>60000</v>
      </c>
      <c r="E93" s="298">
        <v>0</v>
      </c>
      <c r="F93" s="300">
        <v>1</v>
      </c>
      <c r="G93" s="300">
        <v>0</v>
      </c>
      <c r="H93" s="300">
        <v>0</v>
      </c>
      <c r="I93" s="1964" t="str">
        <f>'8_MP'!D414</f>
        <v>3.2.2.1.2</v>
      </c>
      <c r="J93" s="298">
        <f>'8_MP'!AN414</f>
        <v>60000</v>
      </c>
      <c r="K93" s="2127">
        <v>45251</v>
      </c>
      <c r="L93" s="1947" t="s">
        <v>2682</v>
      </c>
      <c r="M93" s="2127">
        <v>45273</v>
      </c>
      <c r="N93" s="1947" t="s">
        <v>2682</v>
      </c>
      <c r="O93" s="287" t="s">
        <v>1413</v>
      </c>
      <c r="P93" s="283" t="s">
        <v>763</v>
      </c>
      <c r="Q93" s="1981" t="s">
        <v>2757</v>
      </c>
      <c r="R93" s="1954"/>
      <c r="S93" s="1954"/>
      <c r="T93" s="1954"/>
    </row>
    <row r="94" spans="1:34" ht="48">
      <c r="A94" s="1970">
        <f t="shared" si="2"/>
        <v>50</v>
      </c>
      <c r="B94" s="284" t="s">
        <v>2331</v>
      </c>
      <c r="C94" s="1971" t="s">
        <v>2738</v>
      </c>
      <c r="D94" s="298">
        <f t="shared" si="1"/>
        <v>60000</v>
      </c>
      <c r="E94" s="298">
        <v>0</v>
      </c>
      <c r="F94" s="300">
        <v>1</v>
      </c>
      <c r="G94" s="300">
        <v>0</v>
      </c>
      <c r="H94" s="300">
        <v>0</v>
      </c>
      <c r="I94" s="1964" t="str">
        <f>'8_MP'!D415</f>
        <v>3.2.2.1.3</v>
      </c>
      <c r="J94" s="298">
        <f>'8_MP'!AN415</f>
        <v>60000</v>
      </c>
      <c r="K94" s="2127">
        <v>45251</v>
      </c>
      <c r="L94" s="1947" t="s">
        <v>2682</v>
      </c>
      <c r="M94" s="2127">
        <v>45273</v>
      </c>
      <c r="N94" s="1947" t="s">
        <v>2682</v>
      </c>
      <c r="O94" s="287" t="s">
        <v>1413</v>
      </c>
      <c r="P94" s="283" t="s">
        <v>763</v>
      </c>
      <c r="Q94" s="1981" t="s">
        <v>2757</v>
      </c>
      <c r="R94" s="1954"/>
      <c r="S94" s="1954"/>
      <c r="T94" s="1954"/>
    </row>
    <row r="95" spans="1:34" ht="48">
      <c r="A95" s="1970">
        <f t="shared" si="2"/>
        <v>51</v>
      </c>
      <c r="B95" s="284" t="s">
        <v>2332</v>
      </c>
      <c r="C95" s="1971" t="s">
        <v>2738</v>
      </c>
      <c r="D95" s="298">
        <f>+J95</f>
        <v>60000</v>
      </c>
      <c r="E95" s="298">
        <v>0</v>
      </c>
      <c r="F95" s="300">
        <v>1</v>
      </c>
      <c r="G95" s="300">
        <v>0</v>
      </c>
      <c r="H95" s="300">
        <v>0</v>
      </c>
      <c r="I95" s="1964" t="str">
        <f>'8_MP'!D416</f>
        <v>3.2.2.1.4</v>
      </c>
      <c r="J95" s="298">
        <f>'8_MP'!AN416</f>
        <v>60000</v>
      </c>
      <c r="K95" s="2127">
        <v>45251</v>
      </c>
      <c r="L95" s="1947" t="s">
        <v>2682</v>
      </c>
      <c r="M95" s="2127">
        <v>45273</v>
      </c>
      <c r="N95" s="1947" t="s">
        <v>2682</v>
      </c>
      <c r="O95" s="287" t="s">
        <v>1413</v>
      </c>
      <c r="P95" s="283" t="s">
        <v>763</v>
      </c>
      <c r="Q95" s="1981" t="s">
        <v>2757</v>
      </c>
      <c r="R95" s="1954"/>
      <c r="S95" s="1954"/>
      <c r="T95" s="1954"/>
    </row>
    <row r="96" spans="1:34" ht="48">
      <c r="A96" s="1970">
        <f t="shared" si="2"/>
        <v>52</v>
      </c>
      <c r="B96" s="284" t="s">
        <v>2333</v>
      </c>
      <c r="C96" s="1971" t="s">
        <v>2739</v>
      </c>
      <c r="D96" s="298">
        <f t="shared" si="1"/>
        <v>40000</v>
      </c>
      <c r="E96" s="298">
        <v>0</v>
      </c>
      <c r="F96" s="300">
        <v>1</v>
      </c>
      <c r="G96" s="300">
        <v>0</v>
      </c>
      <c r="H96" s="300">
        <v>0</v>
      </c>
      <c r="I96" s="1964" t="str">
        <f>'8_MP'!$D$423</f>
        <v>3.3.1.1</v>
      </c>
      <c r="J96" s="298">
        <f>'8_MP'!$AN$423</f>
        <v>40000</v>
      </c>
      <c r="K96" s="2127">
        <v>45371</v>
      </c>
      <c r="L96" s="1947" t="s">
        <v>2682</v>
      </c>
      <c r="M96" s="2127">
        <v>45393</v>
      </c>
      <c r="N96" s="1947" t="s">
        <v>2682</v>
      </c>
      <c r="O96" s="287" t="s">
        <v>1413</v>
      </c>
      <c r="P96" s="283" t="s">
        <v>763</v>
      </c>
      <c r="Q96" s="1981" t="s">
        <v>2757</v>
      </c>
      <c r="R96" s="1954"/>
      <c r="S96" s="1954"/>
      <c r="T96" s="1954"/>
    </row>
    <row r="97" spans="1:20" ht="49.25" customHeight="1">
      <c r="A97" s="1970">
        <f t="shared" si="2"/>
        <v>53</v>
      </c>
      <c r="B97" s="284" t="s">
        <v>2781</v>
      </c>
      <c r="C97" s="1971" t="s">
        <v>2782</v>
      </c>
      <c r="D97" s="298">
        <f>+J97</f>
        <v>54000</v>
      </c>
      <c r="E97" s="298">
        <v>0</v>
      </c>
      <c r="F97" s="300">
        <v>1</v>
      </c>
      <c r="G97" s="300">
        <v>0</v>
      </c>
      <c r="H97" s="300">
        <v>0</v>
      </c>
      <c r="I97" s="1964" t="str">
        <f>'8_MP'!$D$445</f>
        <v>3.4.1.2.1</v>
      </c>
      <c r="J97" s="298">
        <f>'8_MP'!$AN$445</f>
        <v>54000</v>
      </c>
      <c r="K97" s="2127">
        <v>45371</v>
      </c>
      <c r="L97" s="1947" t="s">
        <v>2682</v>
      </c>
      <c r="M97" s="2127">
        <v>45393</v>
      </c>
      <c r="N97" s="1947" t="s">
        <v>2682</v>
      </c>
      <c r="O97" s="287" t="s">
        <v>1413</v>
      </c>
      <c r="P97" s="283" t="s">
        <v>763</v>
      </c>
      <c r="Q97" s="1981" t="s">
        <v>2727</v>
      </c>
      <c r="R97" s="1954"/>
      <c r="S97" s="1954"/>
      <c r="T97" s="1954"/>
    </row>
    <row r="98" spans="1:20" ht="16">
      <c r="A98" s="1970">
        <f t="shared" si="2"/>
        <v>54</v>
      </c>
      <c r="B98" s="284" t="s">
        <v>2335</v>
      </c>
      <c r="C98" s="1971" t="s">
        <v>2783</v>
      </c>
      <c r="D98" s="298" t="e">
        <f t="shared" si="1"/>
        <v>#REF!</v>
      </c>
      <c r="E98" s="298">
        <v>0</v>
      </c>
      <c r="F98" s="300">
        <v>1</v>
      </c>
      <c r="G98" s="300">
        <v>0</v>
      </c>
      <c r="H98" s="300">
        <v>0</v>
      </c>
      <c r="I98" s="1965" t="e">
        <f>'8_MP'!#REF!</f>
        <v>#REF!</v>
      </c>
      <c r="J98" s="298" t="e">
        <f>'8_MP'!#REF!*12</f>
        <v>#REF!</v>
      </c>
      <c r="K98" s="2127">
        <v>45233</v>
      </c>
      <c r="L98" s="1947" t="s">
        <v>2682</v>
      </c>
      <c r="M98" s="2127">
        <v>45257</v>
      </c>
      <c r="N98" s="1947" t="s">
        <v>2682</v>
      </c>
      <c r="O98" s="287" t="s">
        <v>1413</v>
      </c>
      <c r="P98" s="283" t="s">
        <v>763</v>
      </c>
      <c r="Q98" s="1981" t="s">
        <v>2727</v>
      </c>
      <c r="R98" s="1954"/>
      <c r="S98" s="1954"/>
      <c r="T98" s="1954"/>
    </row>
    <row r="99" spans="1:20" ht="16">
      <c r="A99" s="1970">
        <f t="shared" si="2"/>
        <v>55</v>
      </c>
      <c r="B99" s="284" t="s">
        <v>2336</v>
      </c>
      <c r="C99" s="1971" t="s">
        <v>2783</v>
      </c>
      <c r="D99" s="298" t="e">
        <f>+J99</f>
        <v>#REF!</v>
      </c>
      <c r="E99" s="298">
        <v>0</v>
      </c>
      <c r="F99" s="300">
        <v>1</v>
      </c>
      <c r="G99" s="300">
        <v>0</v>
      </c>
      <c r="H99" s="300">
        <v>0</v>
      </c>
      <c r="I99" s="1965" t="e">
        <f>'8_MP'!#REF!</f>
        <v>#REF!</v>
      </c>
      <c r="J99" s="298" t="e">
        <f>'8_MP'!#REF!*12</f>
        <v>#REF!</v>
      </c>
      <c r="K99" s="2127">
        <v>45233</v>
      </c>
      <c r="L99" s="1947" t="s">
        <v>2682</v>
      </c>
      <c r="M99" s="2127">
        <v>45257</v>
      </c>
      <c r="N99" s="1947" t="s">
        <v>2682</v>
      </c>
      <c r="O99" s="287" t="s">
        <v>1413</v>
      </c>
      <c r="P99" s="283" t="s">
        <v>763</v>
      </c>
      <c r="Q99" s="1981" t="s">
        <v>2727</v>
      </c>
      <c r="R99" s="1954"/>
      <c r="S99" s="1954"/>
      <c r="T99" s="1954"/>
    </row>
    <row r="100" spans="1:20" ht="16">
      <c r="A100" s="1970">
        <f t="shared" si="2"/>
        <v>56</v>
      </c>
      <c r="B100" s="284" t="s">
        <v>2784</v>
      </c>
      <c r="C100" s="1971" t="s">
        <v>2783</v>
      </c>
      <c r="D100" s="298" t="e">
        <f>+J100</f>
        <v>#REF!</v>
      </c>
      <c r="E100" s="298">
        <v>0</v>
      </c>
      <c r="F100" s="300">
        <v>1</v>
      </c>
      <c r="G100" s="300">
        <v>0</v>
      </c>
      <c r="H100" s="300">
        <v>0</v>
      </c>
      <c r="I100" s="1965" t="e">
        <f>'8_MP'!#REF!</f>
        <v>#REF!</v>
      </c>
      <c r="J100" s="298" t="e">
        <f>'8_MP'!#REF!*12</f>
        <v>#REF!</v>
      </c>
      <c r="K100" s="2127">
        <v>45233</v>
      </c>
      <c r="L100" s="1947" t="s">
        <v>2682</v>
      </c>
      <c r="M100" s="2127">
        <v>45257</v>
      </c>
      <c r="N100" s="1947" t="s">
        <v>2682</v>
      </c>
      <c r="O100" s="287" t="s">
        <v>1413</v>
      </c>
      <c r="P100" s="283" t="s">
        <v>763</v>
      </c>
      <c r="Q100" s="1981" t="s">
        <v>2727</v>
      </c>
      <c r="R100" s="1954"/>
      <c r="S100" s="1954"/>
      <c r="T100" s="1954"/>
    </row>
    <row r="101" spans="1:20" ht="16">
      <c r="A101" s="1970">
        <f t="shared" si="2"/>
        <v>57</v>
      </c>
      <c r="B101" s="284" t="s">
        <v>2784</v>
      </c>
      <c r="C101" s="1971" t="s">
        <v>2783</v>
      </c>
      <c r="D101" s="298" t="e">
        <f>+J101</f>
        <v>#REF!</v>
      </c>
      <c r="E101" s="298">
        <v>0</v>
      </c>
      <c r="F101" s="300">
        <v>1</v>
      </c>
      <c r="G101" s="300">
        <v>0</v>
      </c>
      <c r="H101" s="300">
        <v>0</v>
      </c>
      <c r="I101" s="1965" t="e">
        <f>'8_MP'!#REF!</f>
        <v>#REF!</v>
      </c>
      <c r="J101" s="298" t="e">
        <f>'8_MP'!#REF!*12</f>
        <v>#REF!</v>
      </c>
      <c r="K101" s="2127">
        <v>45233</v>
      </c>
      <c r="L101" s="1947" t="s">
        <v>2682</v>
      </c>
      <c r="M101" s="2127">
        <v>45257</v>
      </c>
      <c r="N101" s="1947" t="s">
        <v>2682</v>
      </c>
      <c r="O101" s="287" t="s">
        <v>1413</v>
      </c>
      <c r="P101" s="283" t="s">
        <v>763</v>
      </c>
      <c r="Q101" s="1981" t="s">
        <v>2727</v>
      </c>
      <c r="R101" s="1954"/>
      <c r="S101" s="1954"/>
      <c r="T101" s="1954"/>
    </row>
    <row r="102" spans="1:20" ht="16">
      <c r="A102" s="1970">
        <f t="shared" si="2"/>
        <v>58</v>
      </c>
      <c r="B102" s="284" t="s">
        <v>2785</v>
      </c>
      <c r="C102" s="1971" t="s">
        <v>2783</v>
      </c>
      <c r="D102" s="298" t="e">
        <f t="shared" si="1"/>
        <v>#REF!</v>
      </c>
      <c r="E102" s="298">
        <v>0</v>
      </c>
      <c r="F102" s="300">
        <v>1</v>
      </c>
      <c r="G102" s="300">
        <v>0</v>
      </c>
      <c r="H102" s="300">
        <v>0</v>
      </c>
      <c r="I102" s="1965" t="e">
        <f>'8_MP'!#REF!</f>
        <v>#REF!</v>
      </c>
      <c r="J102" s="298" t="e">
        <f>'8_MP'!#REF!*12</f>
        <v>#REF!</v>
      </c>
      <c r="K102" s="2127">
        <v>45233</v>
      </c>
      <c r="L102" s="1947" t="s">
        <v>2682</v>
      </c>
      <c r="M102" s="2127">
        <v>45257</v>
      </c>
      <c r="N102" s="1947" t="s">
        <v>2682</v>
      </c>
      <c r="O102" s="287" t="s">
        <v>1413</v>
      </c>
      <c r="P102" s="283" t="s">
        <v>763</v>
      </c>
      <c r="Q102" s="1981" t="s">
        <v>2727</v>
      </c>
      <c r="R102" s="1954"/>
      <c r="S102" s="1954"/>
      <c r="T102" s="1954"/>
    </row>
    <row r="103" spans="1:20" ht="16">
      <c r="A103" s="1970">
        <f t="shared" si="2"/>
        <v>59</v>
      </c>
      <c r="B103" s="284" t="s">
        <v>2786</v>
      </c>
      <c r="C103" s="1971" t="s">
        <v>2783</v>
      </c>
      <c r="D103" s="298" t="e">
        <f t="shared" si="1"/>
        <v>#REF!</v>
      </c>
      <c r="E103" s="298">
        <v>0</v>
      </c>
      <c r="F103" s="300">
        <v>1</v>
      </c>
      <c r="G103" s="300">
        <v>0</v>
      </c>
      <c r="H103" s="300">
        <v>0</v>
      </c>
      <c r="I103" s="1965" t="e">
        <f>'8_MP'!#REF!</f>
        <v>#REF!</v>
      </c>
      <c r="J103" s="298" t="e">
        <f>'8_MP'!#REF!*12</f>
        <v>#REF!</v>
      </c>
      <c r="K103" s="2127">
        <v>45233</v>
      </c>
      <c r="L103" s="1947" t="s">
        <v>2682</v>
      </c>
      <c r="M103" s="2127">
        <v>45257</v>
      </c>
      <c r="N103" s="1947" t="s">
        <v>2682</v>
      </c>
      <c r="O103" s="287" t="s">
        <v>1413</v>
      </c>
      <c r="P103" s="283" t="s">
        <v>763</v>
      </c>
      <c r="Q103" s="1981" t="s">
        <v>2727</v>
      </c>
      <c r="R103" s="1954"/>
      <c r="S103" s="1954"/>
      <c r="T103" s="1954"/>
    </row>
    <row r="104" spans="1:20" ht="32">
      <c r="A104" s="1970">
        <f t="shared" si="2"/>
        <v>60</v>
      </c>
      <c r="B104" s="284" t="s">
        <v>2787</v>
      </c>
      <c r="C104" s="1971" t="s">
        <v>2783</v>
      </c>
      <c r="D104" s="298" t="e">
        <f>+J104</f>
        <v>#REF!</v>
      </c>
      <c r="E104" s="298">
        <v>0</v>
      </c>
      <c r="F104" s="300">
        <v>1</v>
      </c>
      <c r="G104" s="300">
        <v>0</v>
      </c>
      <c r="H104" s="300">
        <v>0</v>
      </c>
      <c r="I104" s="1965" t="e">
        <f>'8_MP'!#REF!</f>
        <v>#REF!</v>
      </c>
      <c r="J104" s="2480" t="e">
        <f>'8_MP'!#REF!*6*12</f>
        <v>#REF!</v>
      </c>
      <c r="K104" s="2127">
        <v>45233</v>
      </c>
      <c r="L104" s="1947" t="s">
        <v>2682</v>
      </c>
      <c r="M104" s="2127">
        <v>45257</v>
      </c>
      <c r="N104" s="1947" t="s">
        <v>2682</v>
      </c>
      <c r="O104" s="287" t="s">
        <v>1413</v>
      </c>
      <c r="P104" s="287" t="s">
        <v>1659</v>
      </c>
      <c r="Q104" s="1981" t="s">
        <v>2727</v>
      </c>
      <c r="R104" s="1954"/>
      <c r="S104" s="1954"/>
      <c r="T104" s="1954"/>
    </row>
    <row r="105" spans="1:20">
      <c r="A105" s="4222" t="s">
        <v>2788</v>
      </c>
      <c r="B105" s="4222"/>
      <c r="C105" s="4222"/>
      <c r="D105" s="1955" t="e">
        <f>SUM(D55:D104)</f>
        <v>#REF!</v>
      </c>
      <c r="E105" s="1955">
        <f>SUM(E55:E104)</f>
        <v>0</v>
      </c>
      <c r="F105" s="4222"/>
      <c r="G105" s="4222"/>
      <c r="H105" s="4222"/>
      <c r="I105" s="4222"/>
      <c r="J105" s="4222"/>
      <c r="K105" s="4222"/>
      <c r="L105" s="4222"/>
      <c r="M105" s="4222"/>
      <c r="N105" s="4222"/>
      <c r="O105" s="4222"/>
      <c r="P105" s="4222"/>
      <c r="Q105" s="4222"/>
      <c r="R105" s="4222"/>
      <c r="S105" s="4222"/>
      <c r="T105" s="4222"/>
    </row>
    <row r="106" spans="1:20">
      <c r="O106" s="264"/>
      <c r="P106" s="264"/>
      <c r="Q106" s="264"/>
    </row>
    <row r="107" spans="1:20">
      <c r="O107" s="264"/>
      <c r="P107" s="264"/>
      <c r="Q107" s="264"/>
    </row>
    <row r="108" spans="1:20">
      <c r="O108" s="264"/>
      <c r="P108" s="264"/>
      <c r="Q108" s="264"/>
    </row>
    <row r="109" spans="1:20">
      <c r="O109" s="264"/>
      <c r="P109" s="264"/>
      <c r="Q109" s="264"/>
    </row>
    <row r="110" spans="1:20">
      <c r="D110" s="257"/>
      <c r="O110" s="264"/>
      <c r="P110" s="264"/>
      <c r="Q110" s="264"/>
    </row>
    <row r="111" spans="1:20">
      <c r="O111" s="264"/>
      <c r="P111" s="264"/>
      <c r="Q111" s="264"/>
    </row>
    <row r="112" spans="1:20">
      <c r="O112" s="264"/>
      <c r="P112" s="264"/>
      <c r="Q112" s="264"/>
    </row>
    <row r="113" spans="15:17">
      <c r="O113" s="264"/>
      <c r="P113" s="264"/>
      <c r="Q113" s="264"/>
    </row>
    <row r="114" spans="15:17">
      <c r="O114" s="264"/>
      <c r="P114" s="264"/>
      <c r="Q114" s="264"/>
    </row>
    <row r="115" spans="15:17">
      <c r="O115" s="264"/>
      <c r="P115" s="264"/>
      <c r="Q115" s="264"/>
    </row>
    <row r="116" spans="15:17">
      <c r="O116" s="264"/>
      <c r="P116" s="264"/>
      <c r="Q116" s="264"/>
    </row>
    <row r="117" spans="15:17">
      <c r="O117" s="264"/>
      <c r="P117" s="264"/>
      <c r="Q117" s="264"/>
    </row>
    <row r="118" spans="15:17">
      <c r="O118" s="264"/>
      <c r="P118" s="264"/>
      <c r="Q118" s="264"/>
    </row>
    <row r="119" spans="15:17">
      <c r="O119" s="264"/>
      <c r="P119" s="264"/>
      <c r="Q119" s="264"/>
    </row>
    <row r="120" spans="15:17">
      <c r="O120" s="264"/>
      <c r="P120" s="264"/>
      <c r="Q120" s="264"/>
    </row>
    <row r="121" spans="15:17">
      <c r="O121" s="264"/>
      <c r="P121" s="264"/>
      <c r="Q121" s="264"/>
    </row>
    <row r="122" spans="15:17">
      <c r="O122" s="264"/>
      <c r="P122" s="264"/>
      <c r="Q122" s="264"/>
    </row>
    <row r="123" spans="15:17">
      <c r="O123" s="264"/>
      <c r="P123" s="264"/>
      <c r="Q123" s="264"/>
    </row>
    <row r="124" spans="15:17">
      <c r="O124" s="264"/>
      <c r="P124" s="264"/>
      <c r="Q124" s="264"/>
    </row>
    <row r="125" spans="15:17">
      <c r="O125" s="264"/>
      <c r="P125" s="264"/>
      <c r="Q125" s="264"/>
    </row>
    <row r="126" spans="15:17">
      <c r="O126" s="264"/>
      <c r="P126" s="264"/>
      <c r="Q126" s="264"/>
    </row>
    <row r="127" spans="15:17">
      <c r="O127" s="264"/>
      <c r="P127" s="264"/>
      <c r="Q127" s="264"/>
    </row>
    <row r="128" spans="15:17">
      <c r="O128" s="264"/>
      <c r="P128" s="264"/>
      <c r="Q128" s="264"/>
    </row>
    <row r="129" spans="15:17">
      <c r="O129" s="264"/>
      <c r="P129" s="264"/>
      <c r="Q129" s="264"/>
    </row>
    <row r="130" spans="15:17">
      <c r="O130" s="264"/>
      <c r="P130" s="264"/>
      <c r="Q130" s="264"/>
    </row>
    <row r="131" spans="15:17">
      <c r="O131" s="264"/>
      <c r="P131" s="264"/>
      <c r="Q131" s="264"/>
    </row>
    <row r="132" spans="15:17">
      <c r="O132" s="264"/>
      <c r="P132" s="264"/>
      <c r="Q132" s="264"/>
    </row>
    <row r="133" spans="15:17">
      <c r="O133" s="264"/>
      <c r="P133" s="264"/>
      <c r="Q133" s="264"/>
    </row>
    <row r="134" spans="15:17">
      <c r="O134" s="264"/>
      <c r="P134" s="264"/>
      <c r="Q134" s="264"/>
    </row>
    <row r="135" spans="15:17">
      <c r="O135" s="264"/>
      <c r="P135" s="264"/>
      <c r="Q135" s="264"/>
    </row>
    <row r="136" spans="15:17">
      <c r="O136" s="264"/>
      <c r="P136" s="264"/>
      <c r="Q136" s="264"/>
    </row>
    <row r="137" spans="15:17">
      <c r="O137" s="264"/>
      <c r="P137" s="264"/>
      <c r="Q137" s="264"/>
    </row>
    <row r="138" spans="15:17">
      <c r="O138" s="264"/>
      <c r="P138" s="264"/>
      <c r="Q138" s="264"/>
    </row>
    <row r="139" spans="15:17">
      <c r="O139" s="264"/>
      <c r="P139" s="264"/>
      <c r="Q139" s="264"/>
    </row>
    <row r="140" spans="15:17">
      <c r="O140" s="264"/>
      <c r="P140" s="264"/>
      <c r="Q140" s="264"/>
    </row>
    <row r="141" spans="15:17">
      <c r="O141" s="264"/>
      <c r="P141" s="264"/>
      <c r="Q141" s="264"/>
    </row>
    <row r="142" spans="15:17">
      <c r="O142" s="264"/>
      <c r="P142" s="264"/>
      <c r="Q142" s="264"/>
    </row>
    <row r="143" spans="15:17">
      <c r="O143" s="264"/>
      <c r="P143" s="264"/>
      <c r="Q143" s="264"/>
    </row>
    <row r="144" spans="15:17">
      <c r="O144" s="264"/>
      <c r="P144" s="264"/>
      <c r="Q144" s="264"/>
    </row>
    <row r="145" spans="15:17">
      <c r="O145" s="264"/>
      <c r="P145" s="264"/>
      <c r="Q145" s="264"/>
    </row>
    <row r="146" spans="15:17">
      <c r="O146" s="264"/>
      <c r="P146" s="264"/>
      <c r="Q146" s="264"/>
    </row>
    <row r="147" spans="15:17">
      <c r="O147" s="264"/>
      <c r="P147" s="264"/>
      <c r="Q147" s="264"/>
    </row>
    <row r="148" spans="15:17">
      <c r="O148" s="264"/>
      <c r="P148" s="264"/>
      <c r="Q148" s="264"/>
    </row>
    <row r="149" spans="15:17">
      <c r="O149" s="264"/>
      <c r="P149" s="264"/>
      <c r="Q149" s="264"/>
    </row>
    <row r="150" spans="15:17">
      <c r="O150" s="264"/>
      <c r="P150" s="264"/>
      <c r="Q150" s="264"/>
    </row>
    <row r="151" spans="15:17">
      <c r="O151" s="264"/>
      <c r="P151" s="264"/>
      <c r="Q151" s="264"/>
    </row>
    <row r="152" spans="15:17">
      <c r="O152" s="264"/>
      <c r="P152" s="264"/>
      <c r="Q152" s="264"/>
    </row>
    <row r="153" spans="15:17">
      <c r="O153" s="264"/>
      <c r="P153" s="264"/>
      <c r="Q153" s="264"/>
    </row>
    <row r="154" spans="15:17">
      <c r="O154" s="264"/>
      <c r="P154" s="264"/>
      <c r="Q154" s="264"/>
    </row>
    <row r="155" spans="15:17">
      <c r="O155" s="264"/>
      <c r="P155" s="264"/>
      <c r="Q155" s="264"/>
    </row>
    <row r="156" spans="15:17">
      <c r="O156" s="264"/>
      <c r="P156" s="264"/>
      <c r="Q156" s="264"/>
    </row>
    <row r="157" spans="15:17">
      <c r="O157" s="264"/>
      <c r="P157" s="264"/>
      <c r="Q157" s="264"/>
    </row>
    <row r="158" spans="15:17">
      <c r="O158" s="264"/>
      <c r="P158" s="264"/>
      <c r="Q158" s="264"/>
    </row>
    <row r="159" spans="15:17">
      <c r="O159" s="264"/>
      <c r="P159" s="264"/>
      <c r="Q159" s="264"/>
    </row>
    <row r="160" spans="15:17">
      <c r="O160" s="264"/>
      <c r="P160" s="264"/>
      <c r="Q160" s="264"/>
    </row>
    <row r="161" spans="15:17">
      <c r="O161" s="264"/>
      <c r="P161" s="264"/>
      <c r="Q161" s="264"/>
    </row>
    <row r="162" spans="15:17">
      <c r="O162" s="264"/>
      <c r="P162" s="264"/>
      <c r="Q162" s="264"/>
    </row>
    <row r="163" spans="15:17">
      <c r="O163" s="264"/>
      <c r="P163" s="264"/>
      <c r="Q163" s="264"/>
    </row>
    <row r="164" spans="15:17">
      <c r="O164" s="264"/>
      <c r="P164" s="264"/>
      <c r="Q164" s="264"/>
    </row>
    <row r="165" spans="15:17">
      <c r="O165" s="264"/>
      <c r="P165" s="264"/>
      <c r="Q165" s="264"/>
    </row>
    <row r="166" spans="15:17">
      <c r="O166" s="264"/>
      <c r="P166" s="264"/>
      <c r="Q166" s="264"/>
    </row>
    <row r="167" spans="15:17">
      <c r="O167" s="264"/>
      <c r="P167" s="264"/>
      <c r="Q167" s="264"/>
    </row>
    <row r="168" spans="15:17">
      <c r="O168" s="264"/>
      <c r="P168" s="264"/>
      <c r="Q168" s="264"/>
    </row>
    <row r="169" spans="15:17">
      <c r="O169" s="264"/>
      <c r="P169" s="264"/>
      <c r="Q169" s="264"/>
    </row>
  </sheetData>
  <mergeCells count="256">
    <mergeCell ref="W19:W20"/>
    <mergeCell ref="X19:X20"/>
    <mergeCell ref="Y19:Y20"/>
    <mergeCell ref="Z19:Z20"/>
    <mergeCell ref="AA19:AA20"/>
    <mergeCell ref="AB19:AB20"/>
    <mergeCell ref="AC19:AC20"/>
    <mergeCell ref="AD19:AD20"/>
    <mergeCell ref="AE19:AE20"/>
    <mergeCell ref="B85:B86"/>
    <mergeCell ref="Z22:Z23"/>
    <mergeCell ref="AA22:AA23"/>
    <mergeCell ref="AB22:AB23"/>
    <mergeCell ref="AC22:AC23"/>
    <mergeCell ref="AD22:AD23"/>
    <mergeCell ref="AE22:AE23"/>
    <mergeCell ref="X22:X23"/>
    <mergeCell ref="Y22:Y23"/>
    <mergeCell ref="D46:H46"/>
    <mergeCell ref="I46:I47"/>
    <mergeCell ref="J46:J47"/>
    <mergeCell ref="K46:P46"/>
    <mergeCell ref="S85:S86"/>
    <mergeCell ref="T85:T86"/>
    <mergeCell ref="S83:S84"/>
    <mergeCell ref="T83:T84"/>
    <mergeCell ref="F85:F86"/>
    <mergeCell ref="G85:G86"/>
    <mergeCell ref="H85:H86"/>
    <mergeCell ref="K85:K86"/>
    <mergeCell ref="L85:L86"/>
    <mergeCell ref="M85:M86"/>
    <mergeCell ref="N85:N86"/>
    <mergeCell ref="AF22:AF23"/>
    <mergeCell ref="A38:Z38"/>
    <mergeCell ref="AF19:AF20"/>
    <mergeCell ref="A22:A23"/>
    <mergeCell ref="B22:B23"/>
    <mergeCell ref="C22:C23"/>
    <mergeCell ref="D22:D23"/>
    <mergeCell ref="E22:E23"/>
    <mergeCell ref="F22:F23"/>
    <mergeCell ref="G22:G23"/>
    <mergeCell ref="H22:H23"/>
    <mergeCell ref="K22:K23"/>
    <mergeCell ref="L22:L23"/>
    <mergeCell ref="M22:M23"/>
    <mergeCell ref="N22:N23"/>
    <mergeCell ref="O22:O23"/>
    <mergeCell ref="P22:P23"/>
    <mergeCell ref="Q22:Q23"/>
    <mergeCell ref="R22:R23"/>
    <mergeCell ref="S22:S23"/>
    <mergeCell ref="T22:T23"/>
    <mergeCell ref="U22:U23"/>
    <mergeCell ref="V22:V23"/>
    <mergeCell ref="W22:W23"/>
    <mergeCell ref="S19:S20"/>
    <mergeCell ref="T19:T20"/>
    <mergeCell ref="U19:U20"/>
    <mergeCell ref="V19:V20"/>
    <mergeCell ref="A19:A20"/>
    <mergeCell ref="D19:D20"/>
    <mergeCell ref="E19:E20"/>
    <mergeCell ref="F19:F20"/>
    <mergeCell ref="G19:G20"/>
    <mergeCell ref="H19:H20"/>
    <mergeCell ref="K19:K20"/>
    <mergeCell ref="B19:B20"/>
    <mergeCell ref="N19:N20"/>
    <mergeCell ref="O19:O20"/>
    <mergeCell ref="P19:P20"/>
    <mergeCell ref="Q19:Q20"/>
    <mergeCell ref="A24:A29"/>
    <mergeCell ref="B24:B29"/>
    <mergeCell ref="P85:P86"/>
    <mergeCell ref="Q85:Q86"/>
    <mergeCell ref="R85:R86"/>
    <mergeCell ref="Q40:R40"/>
    <mergeCell ref="D24:D29"/>
    <mergeCell ref="E24:E29"/>
    <mergeCell ref="F24:F29"/>
    <mergeCell ref="G24:G29"/>
    <mergeCell ref="H24:H29"/>
    <mergeCell ref="K24:K29"/>
    <mergeCell ref="L24:L29"/>
    <mergeCell ref="M24:M29"/>
    <mergeCell ref="O85:O86"/>
    <mergeCell ref="N83:N84"/>
    <mergeCell ref="A83:A84"/>
    <mergeCell ref="D83:D84"/>
    <mergeCell ref="E83:E84"/>
    <mergeCell ref="F83:F84"/>
    <mergeCell ref="R83:R84"/>
    <mergeCell ref="A85:A86"/>
    <mergeCell ref="D85:D86"/>
    <mergeCell ref="E85:E86"/>
    <mergeCell ref="O83:O84"/>
    <mergeCell ref="P83:P84"/>
    <mergeCell ref="Q83:Q84"/>
    <mergeCell ref="L83:L84"/>
    <mergeCell ref="M83:M84"/>
    <mergeCell ref="G83:G84"/>
    <mergeCell ref="H83:H84"/>
    <mergeCell ref="K83:K84"/>
    <mergeCell ref="B83:B84"/>
    <mergeCell ref="A105:C105"/>
    <mergeCell ref="F105:T105"/>
    <mergeCell ref="A2:AF2"/>
    <mergeCell ref="A36:C36"/>
    <mergeCell ref="F36:AD36"/>
    <mergeCell ref="K54:L54"/>
    <mergeCell ref="M54:N54"/>
    <mergeCell ref="A50:C50"/>
    <mergeCell ref="F50:V50"/>
    <mergeCell ref="A52:T52"/>
    <mergeCell ref="A53:C53"/>
    <mergeCell ref="D53:H53"/>
    <mergeCell ref="I53:I54"/>
    <mergeCell ref="J53:J54"/>
    <mergeCell ref="K53:N53"/>
    <mergeCell ref="O53:T53"/>
    <mergeCell ref="Q46:V46"/>
    <mergeCell ref="K47:L47"/>
    <mergeCell ref="M47:N47"/>
    <mergeCell ref="O47:P47"/>
    <mergeCell ref="A43:C43"/>
    <mergeCell ref="F43:Z43"/>
    <mergeCell ref="A45:V45"/>
    <mergeCell ref="A46:C46"/>
    <mergeCell ref="S40:T40"/>
    <mergeCell ref="A39:C39"/>
    <mergeCell ref="D39:H39"/>
    <mergeCell ref="I39:I40"/>
    <mergeCell ref="J39:J40"/>
    <mergeCell ref="K39:T39"/>
    <mergeCell ref="U39:Z39"/>
    <mergeCell ref="K40:L40"/>
    <mergeCell ref="M40:N40"/>
    <mergeCell ref="O40:P40"/>
    <mergeCell ref="W34:X34"/>
    <mergeCell ref="A30:C30"/>
    <mergeCell ref="F30:AF30"/>
    <mergeCell ref="A32:AD32"/>
    <mergeCell ref="A33:C33"/>
    <mergeCell ref="D33:H33"/>
    <mergeCell ref="I33:I34"/>
    <mergeCell ref="J33:J34"/>
    <mergeCell ref="K33:X33"/>
    <mergeCell ref="Y33:AD33"/>
    <mergeCell ref="K34:L34"/>
    <mergeCell ref="M34:N34"/>
    <mergeCell ref="O34:P34"/>
    <mergeCell ref="Q34:R34"/>
    <mergeCell ref="S34:T34"/>
    <mergeCell ref="U34:V34"/>
    <mergeCell ref="A4:AF4"/>
    <mergeCell ref="A5:C5"/>
    <mergeCell ref="D5:H5"/>
    <mergeCell ref="I5:I6"/>
    <mergeCell ref="J5:J6"/>
    <mergeCell ref="K5:Z5"/>
    <mergeCell ref="AA5:AF5"/>
    <mergeCell ref="K6:L6"/>
    <mergeCell ref="M6:N6"/>
    <mergeCell ref="O6:P6"/>
    <mergeCell ref="Q6:R6"/>
    <mergeCell ref="S6:T6"/>
    <mergeCell ref="U6:V6"/>
    <mergeCell ref="W6:X6"/>
    <mergeCell ref="Y6:Z6"/>
    <mergeCell ref="H7:H15"/>
    <mergeCell ref="G7:G15"/>
    <mergeCell ref="F7:F15"/>
    <mergeCell ref="E7:E15"/>
    <mergeCell ref="D7:D15"/>
    <mergeCell ref="B7:B15"/>
    <mergeCell ref="A7:A15"/>
    <mergeCell ref="J9:J11"/>
    <mergeCell ref="C7:C11"/>
    <mergeCell ref="J12:J14"/>
    <mergeCell ref="C12:C14"/>
    <mergeCell ref="K7:K15"/>
    <mergeCell ref="Q7:Q15"/>
    <mergeCell ref="R7:R15"/>
    <mergeCell ref="S7:S15"/>
    <mergeCell ref="T7:T15"/>
    <mergeCell ref="U7:U15"/>
    <mergeCell ref="P7:P15"/>
    <mergeCell ref="O7:O15"/>
    <mergeCell ref="AF7:AF15"/>
    <mergeCell ref="AE7:AE15"/>
    <mergeCell ref="AD7:AD15"/>
    <mergeCell ref="AC7:AC15"/>
    <mergeCell ref="AB7:AB15"/>
    <mergeCell ref="AA7:AA15"/>
    <mergeCell ref="N7:N15"/>
    <mergeCell ref="M7:M15"/>
    <mergeCell ref="L7:L15"/>
    <mergeCell ref="W17:W18"/>
    <mergeCell ref="X17:X18"/>
    <mergeCell ref="Y17:Y18"/>
    <mergeCell ref="Z17:Z18"/>
    <mergeCell ref="V7:V15"/>
    <mergeCell ref="W7:W15"/>
    <mergeCell ref="X7:X15"/>
    <mergeCell ref="Y7:Y15"/>
    <mergeCell ref="Z7:Z15"/>
    <mergeCell ref="C17:C18"/>
    <mergeCell ref="B17:B18"/>
    <mergeCell ref="A17:A18"/>
    <mergeCell ref="N17:N18"/>
    <mergeCell ref="M17:M18"/>
    <mergeCell ref="L17:L18"/>
    <mergeCell ref="K17:K18"/>
    <mergeCell ref="AF17:AF18"/>
    <mergeCell ref="AE17:AE18"/>
    <mergeCell ref="AD17:AD18"/>
    <mergeCell ref="AC17:AC18"/>
    <mergeCell ref="AB17:AB18"/>
    <mergeCell ref="AA17:AA18"/>
    <mergeCell ref="H17:H18"/>
    <mergeCell ref="G17:G18"/>
    <mergeCell ref="F17:F18"/>
    <mergeCell ref="O17:O18"/>
    <mergeCell ref="P17:P18"/>
    <mergeCell ref="Q17:Q18"/>
    <mergeCell ref="R17:R18"/>
    <mergeCell ref="S17:S18"/>
    <mergeCell ref="T17:T18"/>
    <mergeCell ref="U17:U18"/>
    <mergeCell ref="V17:V18"/>
    <mergeCell ref="E17:E18"/>
    <mergeCell ref="D17:D18"/>
    <mergeCell ref="L19:L20"/>
    <mergeCell ref="M19:M20"/>
    <mergeCell ref="N24:N29"/>
    <mergeCell ref="O24:O29"/>
    <mergeCell ref="P24:P29"/>
    <mergeCell ref="Q24:Q29"/>
    <mergeCell ref="R24:R29"/>
    <mergeCell ref="R19:R20"/>
    <mergeCell ref="S24:S29"/>
    <mergeCell ref="T24:T29"/>
    <mergeCell ref="U24:U29"/>
    <mergeCell ref="V24:V29"/>
    <mergeCell ref="AF24:AF29"/>
    <mergeCell ref="W24:W29"/>
    <mergeCell ref="X24:X29"/>
    <mergeCell ref="Y24:Y29"/>
    <mergeCell ref="Z24:Z29"/>
    <mergeCell ref="AA24:AA29"/>
    <mergeCell ref="AB24:AB29"/>
    <mergeCell ref="AC24:AC29"/>
    <mergeCell ref="AD24:AD29"/>
    <mergeCell ref="AE24:AE29"/>
  </mergeCells>
  <phoneticPr fontId="9" type="noConversion"/>
  <dataValidations disablePrompts="1" count="7">
    <dataValidation type="list" allowBlank="1" showInputMessage="1" showErrorMessage="1" sqref="V44" xr:uid="{00000000-0002-0000-1E00-000000000000}">
      <formula1>$AR$34:$AR$35</formula1>
    </dataValidation>
    <dataValidation type="list" allowBlank="1" showInputMessage="1" showErrorMessage="1" sqref="P106:P169" xr:uid="{00000000-0002-0000-1E00-000001000000}">
      <formula1>$AR$30:$AR$33</formula1>
    </dataValidation>
    <dataValidation type="list" allowBlank="1" showInputMessage="1" showErrorMessage="1" sqref="R51" xr:uid="{00000000-0002-0000-1E00-000002000000}">
      <formula1>$AR$6:$AR$6</formula1>
    </dataValidation>
    <dataValidation type="list" allowBlank="1" showInputMessage="1" showErrorMessage="1" sqref="W44 Q106:Q169 S51 AC31 AA37" xr:uid="{00000000-0002-0000-1E00-000003000000}">
      <formula1>$AS$3:$AS$4</formula1>
    </dataValidation>
    <dataValidation type="list" allowBlank="1" showInputMessage="1" showErrorMessage="1" sqref="AB31" xr:uid="{00000000-0002-0000-1E00-000004000000}">
      <formula1>$AR$2:$AR$5</formula1>
    </dataValidation>
    <dataValidation type="list" allowBlank="1" showInputMessage="1" showErrorMessage="1" sqref="O106:O169 U44 Q51 AA31 Y37" xr:uid="{00000000-0002-0000-1E00-000005000000}">
      <formula1>$AQ$5</formula1>
    </dataValidation>
    <dataValidation type="list" allowBlank="1" showInputMessage="1" showErrorMessage="1" sqref="Z37" xr:uid="{00000000-0002-0000-1E00-000006000000}">
      <formula1>$AR$36:$AR$37</formula1>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T411"/>
  <sheetViews>
    <sheetView showGridLines="0" zoomScaleNormal="100" workbookViewId="0">
      <selection activeCell="A7" sqref="A7:AF15"/>
    </sheetView>
  </sheetViews>
  <sheetFormatPr baseColWidth="10" defaultColWidth="11.5" defaultRowHeight="15" outlineLevelRow="1"/>
  <cols>
    <col min="1" max="1" width="11.5" style="273"/>
    <col min="2" max="2" width="52.5" style="273" customWidth="1"/>
    <col min="3" max="3" width="25.5" style="273" customWidth="1"/>
    <col min="4" max="4" width="23.5" style="273" customWidth="1"/>
    <col min="5" max="5" width="21.1640625" style="333" customWidth="1"/>
    <col min="6" max="6" width="11.5" style="273"/>
    <col min="7" max="7" width="15.83203125" style="273" customWidth="1"/>
    <col min="8" max="8" width="14.5" style="273" customWidth="1"/>
    <col min="9" max="9" width="15.5" style="273" customWidth="1"/>
    <col min="10" max="10" width="16.5" style="273" customWidth="1"/>
    <col min="11" max="11" width="14.5" style="273" bestFit="1" customWidth="1"/>
    <col min="12" max="12" width="10.83203125" style="273" bestFit="1" customWidth="1"/>
    <col min="13" max="13" width="14.5" style="273" bestFit="1" customWidth="1"/>
    <col min="14" max="14" width="10.83203125" style="273" bestFit="1" customWidth="1"/>
    <col min="15" max="15" width="14.5" style="273" bestFit="1" customWidth="1"/>
    <col min="16" max="16" width="10.83203125" style="273" bestFit="1" customWidth="1"/>
    <col min="17" max="17" width="18.1640625" style="273" bestFit="1" customWidth="1"/>
    <col min="18" max="18" width="21.5" style="273" bestFit="1" customWidth="1"/>
    <col min="19" max="19" width="16.83203125" style="273" customWidth="1"/>
    <col min="20" max="20" width="10.83203125" style="273" bestFit="1" customWidth="1"/>
    <col min="21" max="21" width="20.1640625" style="273" bestFit="1" customWidth="1"/>
    <col min="22" max="22" width="23.5" style="273" bestFit="1" customWidth="1"/>
    <col min="23" max="23" width="16.83203125" style="273" bestFit="1" customWidth="1"/>
    <col min="24" max="24" width="10.83203125" style="273" bestFit="1" customWidth="1"/>
    <col min="25" max="25" width="14.5" style="273" bestFit="1" customWidth="1"/>
    <col min="26" max="26" width="10.83203125" style="273" bestFit="1" customWidth="1"/>
    <col min="27" max="27" width="21.5" style="273" customWidth="1"/>
    <col min="28" max="28" width="27.5" style="273" customWidth="1"/>
    <col min="29" max="29" width="23.5" style="273" customWidth="1"/>
    <col min="30" max="38" width="11.5" style="273"/>
    <col min="39" max="39" width="11.5" style="345"/>
    <col min="40" max="40" width="11.5" style="347"/>
    <col min="41" max="41" width="44.5" style="347" bestFit="1" customWidth="1"/>
    <col min="42" max="42" width="13.5" style="347" bestFit="1" customWidth="1"/>
    <col min="43" max="16384" width="11.5" style="273"/>
  </cols>
  <sheetData>
    <row r="1" spans="1:46">
      <c r="AN1" s="346"/>
      <c r="AO1" s="346"/>
      <c r="AP1" s="346"/>
    </row>
    <row r="2" spans="1:46" s="338" customFormat="1" ht="34">
      <c r="A2" s="4184" t="s">
        <v>2789</v>
      </c>
      <c r="B2" s="4184"/>
      <c r="C2" s="4184"/>
      <c r="D2" s="4184"/>
      <c r="E2" s="4184"/>
      <c r="F2" s="4184"/>
      <c r="G2" s="4184"/>
      <c r="H2" s="4184"/>
      <c r="I2" s="4184"/>
      <c r="J2" s="4184"/>
      <c r="K2" s="4184"/>
      <c r="L2" s="4184"/>
      <c r="M2" s="4184"/>
      <c r="N2" s="4184"/>
      <c r="O2" s="4184"/>
      <c r="P2" s="4184"/>
      <c r="Q2" s="4184"/>
      <c r="R2" s="4184"/>
      <c r="S2" s="4184"/>
      <c r="T2" s="4184"/>
      <c r="U2" s="4184"/>
      <c r="V2" s="4184"/>
      <c r="W2" s="4184"/>
      <c r="X2" s="4184"/>
      <c r="Y2" s="4184"/>
      <c r="Z2" s="4184"/>
      <c r="AA2" s="4184"/>
      <c r="AB2" s="4184"/>
      <c r="AC2" s="4184"/>
      <c r="AD2" s="4184"/>
      <c r="AE2" s="4184"/>
      <c r="AF2" s="4184"/>
      <c r="AM2" s="345"/>
      <c r="AN2" s="347" t="s">
        <v>2265</v>
      </c>
      <c r="AO2" s="347" t="s">
        <v>2714</v>
      </c>
      <c r="AP2" s="347" t="s">
        <v>2656</v>
      </c>
    </row>
    <row r="3" spans="1:46">
      <c r="AN3" s="347" t="s">
        <v>2267</v>
      </c>
      <c r="AO3" s="347" t="s">
        <v>2715</v>
      </c>
    </row>
    <row r="4" spans="1:46" ht="31.25" customHeight="1">
      <c r="A4" s="4185" t="s">
        <v>2790</v>
      </c>
      <c r="B4" s="4185"/>
      <c r="C4" s="4185"/>
      <c r="D4" s="4185"/>
      <c r="E4" s="4185"/>
      <c r="F4" s="4185"/>
      <c r="G4" s="4185"/>
      <c r="H4" s="4185"/>
      <c r="I4" s="4185"/>
      <c r="J4" s="4185"/>
      <c r="K4" s="4185"/>
      <c r="L4" s="4185"/>
      <c r="M4" s="4185"/>
      <c r="N4" s="4185"/>
      <c r="O4" s="4185"/>
      <c r="P4" s="4185"/>
      <c r="Q4" s="4185"/>
      <c r="R4" s="4185"/>
      <c r="S4" s="4185"/>
      <c r="T4" s="4185"/>
      <c r="U4" s="4185"/>
      <c r="V4" s="4185"/>
      <c r="W4" s="4185"/>
      <c r="X4" s="4185"/>
      <c r="Y4" s="4185"/>
      <c r="Z4" s="4185"/>
      <c r="AA4" s="4185"/>
      <c r="AB4" s="4185"/>
      <c r="AC4" s="4185"/>
      <c r="AD4" s="4185"/>
      <c r="AE4" s="4185"/>
      <c r="AF4" s="4185"/>
      <c r="AO4" s="347" t="s">
        <v>2719</v>
      </c>
    </row>
    <row r="5" spans="1:46" ht="23.5" customHeight="1">
      <c r="A5" s="4186" t="s">
        <v>2662</v>
      </c>
      <c r="B5" s="4186"/>
      <c r="C5" s="4186"/>
      <c r="D5" s="4186" t="s">
        <v>2663</v>
      </c>
      <c r="E5" s="4186"/>
      <c r="F5" s="4186"/>
      <c r="G5" s="4186"/>
      <c r="H5" s="4186"/>
      <c r="I5" s="4187" t="s">
        <v>1686</v>
      </c>
      <c r="J5" s="4187" t="s">
        <v>610</v>
      </c>
      <c r="K5" s="4186" t="s">
        <v>2664</v>
      </c>
      <c r="L5" s="4186"/>
      <c r="M5" s="4186"/>
      <c r="N5" s="4186"/>
      <c r="O5" s="4186"/>
      <c r="P5" s="4186"/>
      <c r="Q5" s="4186"/>
      <c r="R5" s="4186"/>
      <c r="S5" s="4186"/>
      <c r="T5" s="4186"/>
      <c r="U5" s="4186"/>
      <c r="V5" s="4186"/>
      <c r="W5" s="4186"/>
      <c r="X5" s="4186"/>
      <c r="Y5" s="4186"/>
      <c r="Z5" s="4186"/>
      <c r="AA5" s="4186" t="s">
        <v>2665</v>
      </c>
      <c r="AB5" s="4186"/>
      <c r="AC5" s="4186"/>
      <c r="AD5" s="4186"/>
      <c r="AE5" s="4186"/>
      <c r="AF5" s="4186"/>
      <c r="AO5" s="347" t="s">
        <v>2726</v>
      </c>
    </row>
    <row r="6" spans="1:46" ht="31.25" customHeight="1">
      <c r="A6" s="410" t="s">
        <v>2666</v>
      </c>
      <c r="B6" s="309" t="s">
        <v>2667</v>
      </c>
      <c r="C6" s="309" t="s">
        <v>2668</v>
      </c>
      <c r="D6" s="309" t="s">
        <v>2669</v>
      </c>
      <c r="E6" s="309" t="s">
        <v>2670</v>
      </c>
      <c r="F6" s="309" t="s">
        <v>2671</v>
      </c>
      <c r="G6" s="309" t="s">
        <v>2672</v>
      </c>
      <c r="H6" s="309" t="s">
        <v>2673</v>
      </c>
      <c r="I6" s="4187"/>
      <c r="J6" s="4187"/>
      <c r="K6" s="4183" t="s">
        <v>2720</v>
      </c>
      <c r="L6" s="4183"/>
      <c r="M6" s="4183" t="s">
        <v>2721</v>
      </c>
      <c r="N6" s="4183"/>
      <c r="O6" s="4183" t="s">
        <v>2722</v>
      </c>
      <c r="P6" s="4183"/>
      <c r="Q6" s="4183" t="s">
        <v>2676</v>
      </c>
      <c r="R6" s="4183"/>
      <c r="S6" s="4183" t="s">
        <v>2722</v>
      </c>
      <c r="T6" s="4183"/>
      <c r="U6" s="4183" t="s">
        <v>2707</v>
      </c>
      <c r="V6" s="4183"/>
      <c r="W6" s="4183" t="s">
        <v>2710</v>
      </c>
      <c r="X6" s="4183"/>
      <c r="Y6" s="4183" t="s">
        <v>2678</v>
      </c>
      <c r="Z6" s="4183"/>
      <c r="AA6" s="309" t="s">
        <v>2723</v>
      </c>
      <c r="AB6" s="309" t="s">
        <v>2724</v>
      </c>
      <c r="AC6" s="309" t="s">
        <v>2695</v>
      </c>
      <c r="AD6" s="309" t="s">
        <v>2696</v>
      </c>
      <c r="AE6" s="309" t="s">
        <v>2697</v>
      </c>
      <c r="AF6" s="309" t="s">
        <v>2698</v>
      </c>
      <c r="AO6" s="347" t="s">
        <v>2719</v>
      </c>
    </row>
    <row r="7" spans="1:46" s="333" customFormat="1" ht="16">
      <c r="A7" s="293">
        <f>+'9.2_PA_SC - MH'!A104+1</f>
        <v>61</v>
      </c>
      <c r="B7" s="1990" t="s">
        <v>2341</v>
      </c>
      <c r="C7" s="1991" t="s">
        <v>2783</v>
      </c>
      <c r="D7" s="1992" t="e">
        <f>+J7</f>
        <v>#REF!</v>
      </c>
      <c r="E7" s="1983">
        <v>0</v>
      </c>
      <c r="F7" s="1993">
        <v>1</v>
      </c>
      <c r="G7" s="1993">
        <v>0</v>
      </c>
      <c r="H7" s="1993">
        <v>0</v>
      </c>
      <c r="I7" s="1991" t="e">
        <f>'8_MP'!#REF!</f>
        <v>#REF!</v>
      </c>
      <c r="J7" s="1992" t="e">
        <f>'8_MP'!#REF!</f>
        <v>#REF!</v>
      </c>
      <c r="K7" s="2149">
        <v>45190</v>
      </c>
      <c r="L7" s="1994" t="s">
        <v>2682</v>
      </c>
      <c r="M7" s="2149">
        <v>45236</v>
      </c>
      <c r="N7" s="1994" t="s">
        <v>2682</v>
      </c>
      <c r="O7" s="2149">
        <v>45271</v>
      </c>
      <c r="P7" s="1994" t="s">
        <v>2682</v>
      </c>
      <c r="Q7" s="2149">
        <v>45320</v>
      </c>
      <c r="R7" s="1994" t="s">
        <v>2682</v>
      </c>
      <c r="S7" s="2149">
        <v>45321</v>
      </c>
      <c r="T7" s="1994" t="s">
        <v>2682</v>
      </c>
      <c r="U7" s="2149">
        <v>45369</v>
      </c>
      <c r="V7" s="1994" t="s">
        <v>2682</v>
      </c>
      <c r="W7" s="2149">
        <v>45387</v>
      </c>
      <c r="X7" s="1994" t="s">
        <v>2682</v>
      </c>
      <c r="Y7" s="2149">
        <v>45405</v>
      </c>
      <c r="Z7" s="1994" t="s">
        <v>2682</v>
      </c>
      <c r="AA7" s="293"/>
      <c r="AB7" s="293"/>
      <c r="AC7" s="293"/>
      <c r="AD7" s="1995"/>
      <c r="AE7" s="1995"/>
      <c r="AF7" s="1995"/>
      <c r="AM7" s="348"/>
      <c r="AN7" s="349"/>
      <c r="AO7" s="349" t="s">
        <v>2744</v>
      </c>
      <c r="AP7" s="349"/>
    </row>
    <row r="8" spans="1:46" s="340" customFormat="1">
      <c r="A8" s="4240" t="s">
        <v>2740</v>
      </c>
      <c r="B8" s="4240"/>
      <c r="C8" s="4240"/>
      <c r="D8" s="339" t="e">
        <f>SUM(D7)</f>
        <v>#REF!</v>
      </c>
      <c r="E8" s="334">
        <f>SUM(E7)</f>
        <v>0</v>
      </c>
      <c r="F8" s="4240"/>
      <c r="G8" s="4240"/>
      <c r="H8" s="4240"/>
      <c r="I8" s="4240"/>
      <c r="J8" s="4240"/>
      <c r="K8" s="4240"/>
      <c r="L8" s="4240"/>
      <c r="M8" s="4240"/>
      <c r="N8" s="4240"/>
      <c r="O8" s="4240"/>
      <c r="P8" s="4240"/>
      <c r="Q8" s="4240"/>
      <c r="R8" s="4240"/>
      <c r="S8" s="4240"/>
      <c r="T8" s="4240"/>
      <c r="U8" s="4240"/>
      <c r="V8" s="4240"/>
      <c r="W8" s="4240"/>
      <c r="X8" s="4240"/>
      <c r="Y8" s="4240"/>
      <c r="Z8" s="4240"/>
      <c r="AA8" s="4240"/>
      <c r="AB8" s="4240"/>
      <c r="AC8" s="4240"/>
      <c r="AD8" s="4240"/>
      <c r="AE8" s="4240"/>
      <c r="AF8" s="4240"/>
      <c r="AM8" s="350"/>
      <c r="AN8" s="350"/>
      <c r="AO8" s="350"/>
      <c r="AP8" s="350"/>
      <c r="AQ8" s="341"/>
      <c r="AR8" s="342"/>
      <c r="AS8" s="341"/>
      <c r="AT8" s="343"/>
    </row>
    <row r="9" spans="1:46" s="265" customFormat="1">
      <c r="E9" s="317"/>
      <c r="AM9" s="351"/>
      <c r="AN9" s="352"/>
      <c r="AO9" s="352"/>
      <c r="AP9" s="352"/>
    </row>
    <row r="10" spans="1:46" ht="31.25" customHeight="1">
      <c r="A10" s="4218" t="s">
        <v>2746</v>
      </c>
      <c r="B10" s="4219"/>
      <c r="C10" s="4219"/>
      <c r="D10" s="4219"/>
      <c r="E10" s="4219"/>
      <c r="F10" s="4219"/>
      <c r="G10" s="4219"/>
      <c r="H10" s="4219"/>
      <c r="I10" s="4219"/>
      <c r="J10" s="4219"/>
      <c r="K10" s="4219"/>
      <c r="L10" s="4219"/>
      <c r="M10" s="4219"/>
      <c r="N10" s="4219"/>
      <c r="O10" s="4219"/>
      <c r="P10" s="4219"/>
      <c r="Q10" s="4219"/>
      <c r="R10" s="4219"/>
      <c r="S10" s="4219"/>
      <c r="T10" s="4219"/>
      <c r="U10" s="4219"/>
      <c r="V10" s="4219"/>
      <c r="W10" s="4219"/>
      <c r="X10" s="4219"/>
      <c r="Y10" s="4219"/>
      <c r="Z10" s="4220"/>
    </row>
    <row r="11" spans="1:46" ht="23.5" customHeight="1" outlineLevel="1">
      <c r="A11" s="4186" t="s">
        <v>2662</v>
      </c>
      <c r="B11" s="4186"/>
      <c r="C11" s="4186"/>
      <c r="D11" s="4186" t="s">
        <v>2663</v>
      </c>
      <c r="E11" s="4186"/>
      <c r="F11" s="4186"/>
      <c r="G11" s="4186"/>
      <c r="H11" s="4186"/>
      <c r="I11" s="4187" t="s">
        <v>1686</v>
      </c>
      <c r="J11" s="4187" t="s">
        <v>610</v>
      </c>
      <c r="K11" s="4186" t="s">
        <v>2664</v>
      </c>
      <c r="L11" s="4186"/>
      <c r="M11" s="4186"/>
      <c r="N11" s="4186"/>
      <c r="O11" s="4186"/>
      <c r="P11" s="4186"/>
      <c r="Q11" s="4186"/>
      <c r="R11" s="4186"/>
      <c r="S11" s="4186"/>
      <c r="T11" s="4186"/>
      <c r="U11" s="4186" t="s">
        <v>2665</v>
      </c>
      <c r="V11" s="4186"/>
      <c r="W11" s="4186"/>
      <c r="X11" s="4186"/>
      <c r="Y11" s="4186"/>
      <c r="Z11" s="4186"/>
    </row>
    <row r="12" spans="1:46" ht="31.25" customHeight="1" outlineLevel="1">
      <c r="A12" s="410" t="s">
        <v>2666</v>
      </c>
      <c r="B12" s="309" t="s">
        <v>2667</v>
      </c>
      <c r="C12" s="309" t="s">
        <v>2668</v>
      </c>
      <c r="D12" s="309" t="s">
        <v>2669</v>
      </c>
      <c r="E12" s="309" t="s">
        <v>2670</v>
      </c>
      <c r="F12" s="309" t="s">
        <v>2671</v>
      </c>
      <c r="G12" s="309" t="s">
        <v>2672</v>
      </c>
      <c r="H12" s="309" t="s">
        <v>2673</v>
      </c>
      <c r="I12" s="4187"/>
      <c r="J12" s="4187"/>
      <c r="K12" s="4183" t="s">
        <v>2720</v>
      </c>
      <c r="L12" s="4183"/>
      <c r="M12" s="4183" t="s">
        <v>2721</v>
      </c>
      <c r="N12" s="4183"/>
      <c r="O12" s="4183" t="s">
        <v>2743</v>
      </c>
      <c r="P12" s="4183"/>
      <c r="Q12" s="4183" t="s">
        <v>2710</v>
      </c>
      <c r="R12" s="4183"/>
      <c r="S12" s="4183" t="s">
        <v>2678</v>
      </c>
      <c r="T12" s="4183"/>
      <c r="U12" s="309" t="s">
        <v>2723</v>
      </c>
      <c r="V12" s="309" t="s">
        <v>2724</v>
      </c>
      <c r="W12" s="309" t="s">
        <v>2695</v>
      </c>
      <c r="X12" s="309" t="s">
        <v>2696</v>
      </c>
      <c r="Y12" s="309" t="s">
        <v>2697</v>
      </c>
      <c r="Z12" s="309" t="s">
        <v>2698</v>
      </c>
    </row>
    <row r="13" spans="1:46" s="333" customFormat="1" ht="16" outlineLevel="1">
      <c r="A13" s="1996"/>
      <c r="B13" s="1973"/>
      <c r="C13" s="1997"/>
      <c r="D13" s="1998"/>
      <c r="E13" s="1999"/>
      <c r="F13" s="2000"/>
      <c r="G13" s="2000"/>
      <c r="H13" s="2000"/>
      <c r="I13" s="1997"/>
      <c r="J13" s="1998"/>
      <c r="K13" s="1994" t="s">
        <v>2691</v>
      </c>
      <c r="L13" s="1994" t="s">
        <v>2682</v>
      </c>
      <c r="M13" s="1994" t="s">
        <v>2691</v>
      </c>
      <c r="N13" s="1994" t="s">
        <v>2682</v>
      </c>
      <c r="O13" s="1994" t="s">
        <v>2691</v>
      </c>
      <c r="P13" s="1994" t="s">
        <v>2682</v>
      </c>
      <c r="Q13" s="1994" t="s">
        <v>2691</v>
      </c>
      <c r="R13" s="1994" t="s">
        <v>2682</v>
      </c>
      <c r="S13" s="1994" t="s">
        <v>2691</v>
      </c>
      <c r="T13" s="1994" t="s">
        <v>2682</v>
      </c>
      <c r="U13" s="1996"/>
      <c r="V13" s="1996"/>
      <c r="W13" s="1996"/>
      <c r="X13" s="1984"/>
      <c r="Y13" s="2001"/>
      <c r="Z13" s="1995"/>
      <c r="AM13" s="348"/>
      <c r="AN13" s="349"/>
      <c r="AO13" s="349"/>
      <c r="AP13" s="349"/>
    </row>
    <row r="14" spans="1:46" s="265" customFormat="1" outlineLevel="1">
      <c r="A14" s="4241" t="s">
        <v>2750</v>
      </c>
      <c r="B14" s="4241"/>
      <c r="C14" s="4241"/>
      <c r="D14" s="415">
        <f>SUM(D13)</f>
        <v>0</v>
      </c>
      <c r="E14" s="415">
        <f>SUM(E13)</f>
        <v>0</v>
      </c>
      <c r="F14" s="4242"/>
      <c r="G14" s="4242"/>
      <c r="H14" s="4242"/>
      <c r="I14" s="4242"/>
      <c r="J14" s="4242"/>
      <c r="K14" s="4242"/>
      <c r="L14" s="4242"/>
      <c r="M14" s="4242"/>
      <c r="N14" s="4242"/>
      <c r="O14" s="4242"/>
      <c r="P14" s="4242"/>
      <c r="Q14" s="4242"/>
      <c r="R14" s="4242"/>
      <c r="S14" s="4242"/>
      <c r="T14" s="4242"/>
      <c r="U14" s="4242"/>
      <c r="V14" s="4242"/>
      <c r="W14" s="4242"/>
      <c r="X14" s="4242"/>
      <c r="Y14" s="4242"/>
      <c r="Z14" s="4242"/>
      <c r="AM14" s="351"/>
      <c r="AN14" s="351"/>
      <c r="AO14" s="351"/>
      <c r="AP14" s="351"/>
    </row>
    <row r="15" spans="1:46" s="265" customFormat="1">
      <c r="E15" s="317"/>
      <c r="AM15" s="351"/>
      <c r="AN15" s="352"/>
      <c r="AO15" s="352"/>
      <c r="AP15" s="352"/>
    </row>
    <row r="16" spans="1:46" ht="31.25" customHeight="1">
      <c r="A16" s="4218" t="s">
        <v>2791</v>
      </c>
      <c r="B16" s="4219"/>
      <c r="C16" s="4219"/>
      <c r="D16" s="4219"/>
      <c r="E16" s="4219"/>
      <c r="F16" s="4219"/>
      <c r="G16" s="4219"/>
      <c r="H16" s="4219"/>
      <c r="I16" s="4219"/>
      <c r="J16" s="4219"/>
      <c r="K16" s="4219"/>
      <c r="L16" s="4219"/>
      <c r="M16" s="4219"/>
      <c r="N16" s="4219"/>
      <c r="O16" s="4219"/>
      <c r="P16" s="4219"/>
      <c r="Q16" s="4219"/>
      <c r="R16" s="4219"/>
      <c r="S16" s="4219"/>
      <c r="T16" s="4219"/>
      <c r="U16" s="4219"/>
      <c r="V16" s="4220"/>
    </row>
    <row r="17" spans="1:42" ht="23.5" hidden="1" customHeight="1" outlineLevel="1">
      <c r="A17" s="4186" t="s">
        <v>2662</v>
      </c>
      <c r="B17" s="4186"/>
      <c r="C17" s="4186"/>
      <c r="D17" s="4186" t="s">
        <v>2663</v>
      </c>
      <c r="E17" s="4186"/>
      <c r="F17" s="4186"/>
      <c r="G17" s="4186"/>
      <c r="H17" s="4186"/>
      <c r="I17" s="4187" t="s">
        <v>1686</v>
      </c>
      <c r="J17" s="4187" t="s">
        <v>610</v>
      </c>
      <c r="K17" s="4186" t="s">
        <v>2664</v>
      </c>
      <c r="L17" s="4186"/>
      <c r="M17" s="4186"/>
      <c r="N17" s="4186"/>
      <c r="O17" s="4186"/>
      <c r="P17" s="4186"/>
      <c r="Q17" s="4186" t="s">
        <v>2665</v>
      </c>
      <c r="R17" s="4186"/>
      <c r="S17" s="4186"/>
      <c r="T17" s="4186"/>
      <c r="U17" s="4186"/>
      <c r="V17" s="4186"/>
    </row>
    <row r="18" spans="1:42" ht="31.25" hidden="1" customHeight="1" outlineLevel="1">
      <c r="A18" s="410" t="s">
        <v>2666</v>
      </c>
      <c r="B18" s="309" t="s">
        <v>2667</v>
      </c>
      <c r="C18" s="309" t="s">
        <v>2668</v>
      </c>
      <c r="D18" s="309" t="s">
        <v>2669</v>
      </c>
      <c r="E18" s="309" t="s">
        <v>2670</v>
      </c>
      <c r="F18" s="309" t="s">
        <v>2671</v>
      </c>
      <c r="G18" s="309" t="s">
        <v>2672</v>
      </c>
      <c r="H18" s="309" t="s">
        <v>2673</v>
      </c>
      <c r="I18" s="4187"/>
      <c r="J18" s="4187"/>
      <c r="K18" s="4183" t="s">
        <v>2792</v>
      </c>
      <c r="L18" s="4183"/>
      <c r="M18" s="4183" t="s">
        <v>2710</v>
      </c>
      <c r="N18" s="4183"/>
      <c r="O18" s="4183" t="s">
        <v>2678</v>
      </c>
      <c r="P18" s="4183"/>
      <c r="Q18" s="309" t="s">
        <v>2723</v>
      </c>
      <c r="R18" s="309" t="s">
        <v>2724</v>
      </c>
      <c r="S18" s="309" t="s">
        <v>2695</v>
      </c>
      <c r="T18" s="309" t="s">
        <v>2696</v>
      </c>
      <c r="U18" s="309" t="s">
        <v>2697</v>
      </c>
      <c r="V18" s="309" t="s">
        <v>2698</v>
      </c>
    </row>
    <row r="19" spans="1:42" ht="16" hidden="1" outlineLevel="1">
      <c r="A19" s="2002"/>
      <c r="B19" s="2002"/>
      <c r="C19" s="2002"/>
      <c r="D19" s="2002"/>
      <c r="E19" s="1995"/>
      <c r="F19" s="2002"/>
      <c r="G19" s="2002"/>
      <c r="H19" s="2002"/>
      <c r="I19" s="2002"/>
      <c r="J19" s="2002"/>
      <c r="K19" s="1994" t="s">
        <v>2691</v>
      </c>
      <c r="L19" s="1994" t="s">
        <v>2682</v>
      </c>
      <c r="M19" s="1994" t="s">
        <v>2691</v>
      </c>
      <c r="N19" s="1994" t="s">
        <v>2682</v>
      </c>
      <c r="O19" s="1994" t="s">
        <v>2691</v>
      </c>
      <c r="P19" s="1994" t="s">
        <v>2682</v>
      </c>
      <c r="Q19" s="2002"/>
      <c r="R19" s="2002"/>
      <c r="S19" s="2002"/>
      <c r="T19" s="2002"/>
      <c r="U19" s="2002"/>
      <c r="V19" s="2002"/>
    </row>
    <row r="20" spans="1:42" s="265" customFormat="1" hidden="1" outlineLevel="1">
      <c r="E20" s="317"/>
      <c r="AM20" s="351"/>
      <c r="AN20" s="352"/>
      <c r="AO20" s="352"/>
      <c r="AP20" s="352"/>
    </row>
    <row r="21" spans="1:42" s="265" customFormat="1" collapsed="1">
      <c r="E21" s="317"/>
      <c r="AM21" s="351"/>
      <c r="AN21" s="352"/>
      <c r="AO21" s="352"/>
      <c r="AP21" s="352"/>
    </row>
    <row r="22" spans="1:42" s="265" customFormat="1">
      <c r="E22" s="317"/>
      <c r="AM22" s="351"/>
      <c r="AN22" s="352"/>
      <c r="AO22" s="352"/>
      <c r="AP22" s="352"/>
    </row>
    <row r="23" spans="1:42" s="265" customFormat="1">
      <c r="E23" s="317"/>
      <c r="AM23" s="351"/>
      <c r="AN23" s="352"/>
      <c r="AO23" s="352"/>
      <c r="AP23" s="352"/>
    </row>
    <row r="24" spans="1:42" s="265" customFormat="1">
      <c r="E24" s="317"/>
      <c r="AM24" s="351"/>
      <c r="AN24" s="352"/>
      <c r="AO24" s="352"/>
      <c r="AP24" s="352"/>
    </row>
    <row r="25" spans="1:42" s="265" customFormat="1">
      <c r="E25" s="317"/>
      <c r="AM25" s="351"/>
      <c r="AN25" s="352"/>
      <c r="AO25" s="352"/>
      <c r="AP25" s="352"/>
    </row>
    <row r="26" spans="1:42" s="265" customFormat="1">
      <c r="E26" s="317"/>
      <c r="AM26" s="351"/>
      <c r="AN26" s="352"/>
      <c r="AO26" s="352"/>
      <c r="AP26" s="352"/>
    </row>
    <row r="27" spans="1:42" s="265" customFormat="1">
      <c r="E27" s="317"/>
      <c r="AM27" s="351"/>
      <c r="AN27" s="352"/>
      <c r="AO27" s="352"/>
      <c r="AP27" s="352"/>
    </row>
    <row r="28" spans="1:42" s="265" customFormat="1">
      <c r="E28" s="317"/>
      <c r="AM28" s="351"/>
      <c r="AN28" s="352"/>
      <c r="AO28" s="352"/>
      <c r="AP28" s="352"/>
    </row>
    <row r="29" spans="1:42" s="265" customFormat="1">
      <c r="E29" s="317"/>
      <c r="AM29" s="351"/>
      <c r="AN29" s="352"/>
      <c r="AO29" s="352"/>
      <c r="AP29" s="352"/>
    </row>
    <row r="30" spans="1:42" s="265" customFormat="1">
      <c r="E30" s="317"/>
      <c r="AM30" s="351"/>
      <c r="AN30" s="352"/>
      <c r="AO30" s="352"/>
      <c r="AP30" s="352"/>
    </row>
    <row r="31" spans="1:42" s="265" customFormat="1">
      <c r="E31" s="317"/>
      <c r="AM31" s="351"/>
      <c r="AN31" s="352"/>
      <c r="AO31" s="352"/>
      <c r="AP31" s="352"/>
    </row>
    <row r="32" spans="1:42" s="265" customFormat="1">
      <c r="E32" s="317"/>
      <c r="AM32" s="351"/>
      <c r="AN32" s="352"/>
      <c r="AO32" s="352"/>
      <c r="AP32" s="352"/>
    </row>
    <row r="33" spans="5:42" s="265" customFormat="1">
      <c r="E33" s="317"/>
      <c r="AM33" s="351"/>
      <c r="AN33" s="352"/>
      <c r="AO33" s="352"/>
      <c r="AP33" s="352"/>
    </row>
    <row r="34" spans="5:42" s="265" customFormat="1">
      <c r="E34" s="317"/>
      <c r="AM34" s="351"/>
      <c r="AN34" s="352"/>
      <c r="AO34" s="352"/>
      <c r="AP34" s="352"/>
    </row>
    <row r="35" spans="5:42" s="265" customFormat="1">
      <c r="E35" s="317"/>
      <c r="AM35" s="351"/>
      <c r="AN35" s="352"/>
      <c r="AO35" s="352"/>
      <c r="AP35" s="352"/>
    </row>
    <row r="36" spans="5:42" s="265" customFormat="1">
      <c r="E36" s="317"/>
      <c r="AM36" s="351"/>
      <c r="AN36" s="352"/>
      <c r="AO36" s="352"/>
      <c r="AP36" s="352"/>
    </row>
    <row r="37" spans="5:42" s="265" customFormat="1">
      <c r="E37" s="317"/>
      <c r="AM37" s="351"/>
      <c r="AN37" s="352"/>
      <c r="AO37" s="352"/>
      <c r="AP37" s="352"/>
    </row>
    <row r="38" spans="5:42" s="265" customFormat="1">
      <c r="E38" s="317"/>
      <c r="AM38" s="351"/>
      <c r="AN38" s="352"/>
      <c r="AO38" s="352"/>
      <c r="AP38" s="352"/>
    </row>
    <row r="39" spans="5:42" s="265" customFormat="1">
      <c r="E39" s="317"/>
      <c r="AM39" s="351"/>
      <c r="AN39" s="352"/>
      <c r="AO39" s="352"/>
      <c r="AP39" s="352"/>
    </row>
    <row r="40" spans="5:42" s="265" customFormat="1">
      <c r="E40" s="317"/>
      <c r="AM40" s="351"/>
      <c r="AN40" s="352"/>
      <c r="AO40" s="352"/>
      <c r="AP40" s="352"/>
    </row>
    <row r="41" spans="5:42" s="265" customFormat="1">
      <c r="E41" s="317"/>
      <c r="AM41" s="351"/>
      <c r="AN41" s="352"/>
      <c r="AO41" s="352"/>
      <c r="AP41" s="352"/>
    </row>
    <row r="42" spans="5:42" s="265" customFormat="1">
      <c r="E42" s="317"/>
      <c r="AM42" s="351"/>
      <c r="AN42" s="352"/>
      <c r="AO42" s="352"/>
      <c r="AP42" s="352"/>
    </row>
    <row r="43" spans="5:42" s="265" customFormat="1">
      <c r="E43" s="317"/>
      <c r="AM43" s="351"/>
      <c r="AN43" s="352"/>
      <c r="AO43" s="352"/>
      <c r="AP43" s="352"/>
    </row>
    <row r="44" spans="5:42" s="265" customFormat="1">
      <c r="E44" s="317"/>
      <c r="AM44" s="351"/>
      <c r="AN44" s="352"/>
      <c r="AO44" s="352"/>
      <c r="AP44" s="352"/>
    </row>
    <row r="45" spans="5:42" s="265" customFormat="1">
      <c r="E45" s="317"/>
      <c r="AM45" s="351"/>
      <c r="AN45" s="352"/>
      <c r="AO45" s="352"/>
      <c r="AP45" s="352"/>
    </row>
    <row r="46" spans="5:42" s="265" customFormat="1">
      <c r="E46" s="317"/>
      <c r="AM46" s="351"/>
      <c r="AN46" s="352"/>
      <c r="AO46" s="352"/>
      <c r="AP46" s="352"/>
    </row>
    <row r="47" spans="5:42" s="265" customFormat="1">
      <c r="E47" s="317"/>
      <c r="AM47" s="351"/>
      <c r="AN47" s="352"/>
      <c r="AO47" s="352"/>
      <c r="AP47" s="352"/>
    </row>
    <row r="48" spans="5:42" s="265" customFormat="1">
      <c r="E48" s="317"/>
      <c r="AM48" s="351"/>
      <c r="AN48" s="352"/>
      <c r="AO48" s="352"/>
      <c r="AP48" s="352"/>
    </row>
    <row r="49" spans="5:42" s="265" customFormat="1">
      <c r="E49" s="317"/>
      <c r="AM49" s="351"/>
      <c r="AN49" s="352"/>
      <c r="AO49" s="352"/>
      <c r="AP49" s="352"/>
    </row>
    <row r="50" spans="5:42" s="265" customFormat="1">
      <c r="E50" s="317"/>
      <c r="AM50" s="351"/>
      <c r="AN50" s="352"/>
      <c r="AO50" s="352"/>
      <c r="AP50" s="352"/>
    </row>
    <row r="51" spans="5:42" s="265" customFormat="1">
      <c r="E51" s="317"/>
      <c r="AM51" s="351"/>
      <c r="AN51" s="352"/>
      <c r="AO51" s="352"/>
      <c r="AP51" s="352"/>
    </row>
    <row r="52" spans="5:42" s="265" customFormat="1">
      <c r="E52" s="317"/>
      <c r="AM52" s="351"/>
      <c r="AN52" s="352"/>
      <c r="AO52" s="352"/>
      <c r="AP52" s="352"/>
    </row>
    <row r="53" spans="5:42" s="265" customFormat="1">
      <c r="E53" s="317"/>
      <c r="AM53" s="351"/>
      <c r="AN53" s="352"/>
      <c r="AO53" s="352"/>
      <c r="AP53" s="352"/>
    </row>
    <row r="54" spans="5:42" s="265" customFormat="1">
      <c r="E54" s="317"/>
      <c r="AM54" s="351"/>
      <c r="AN54" s="352"/>
      <c r="AO54" s="352"/>
      <c r="AP54" s="352"/>
    </row>
    <row r="55" spans="5:42" s="265" customFormat="1">
      <c r="E55" s="317"/>
      <c r="AM55" s="351"/>
      <c r="AN55" s="352"/>
      <c r="AO55" s="352"/>
      <c r="AP55" s="352"/>
    </row>
    <row r="56" spans="5:42" s="265" customFormat="1">
      <c r="E56" s="317"/>
      <c r="AM56" s="351"/>
      <c r="AN56" s="352"/>
      <c r="AO56" s="352"/>
      <c r="AP56" s="352"/>
    </row>
    <row r="57" spans="5:42" s="265" customFormat="1">
      <c r="E57" s="317"/>
      <c r="AM57" s="351"/>
      <c r="AN57" s="352"/>
      <c r="AO57" s="352"/>
      <c r="AP57" s="352"/>
    </row>
    <row r="58" spans="5:42" s="265" customFormat="1">
      <c r="E58" s="317"/>
      <c r="AM58" s="351"/>
      <c r="AN58" s="352"/>
      <c r="AO58" s="352"/>
      <c r="AP58" s="352"/>
    </row>
    <row r="59" spans="5:42" s="265" customFormat="1">
      <c r="E59" s="317"/>
      <c r="AM59" s="351"/>
      <c r="AN59" s="352"/>
      <c r="AO59" s="352"/>
      <c r="AP59" s="352"/>
    </row>
    <row r="60" spans="5:42" s="265" customFormat="1">
      <c r="E60" s="317"/>
      <c r="AM60" s="351"/>
      <c r="AN60" s="352"/>
      <c r="AO60" s="352"/>
      <c r="AP60" s="352"/>
    </row>
    <row r="61" spans="5:42" s="265" customFormat="1">
      <c r="E61" s="317"/>
      <c r="AM61" s="351"/>
      <c r="AN61" s="352"/>
      <c r="AO61" s="352"/>
      <c r="AP61" s="352"/>
    </row>
    <row r="62" spans="5:42" s="265" customFormat="1">
      <c r="E62" s="317"/>
      <c r="AM62" s="351"/>
      <c r="AN62" s="352"/>
      <c r="AO62" s="352"/>
      <c r="AP62" s="352"/>
    </row>
    <row r="63" spans="5:42" s="265" customFormat="1">
      <c r="E63" s="317"/>
      <c r="AM63" s="351"/>
      <c r="AN63" s="352"/>
      <c r="AO63" s="352"/>
      <c r="AP63" s="352"/>
    </row>
    <row r="64" spans="5:42" s="265" customFormat="1">
      <c r="E64" s="317"/>
      <c r="AM64" s="351"/>
      <c r="AN64" s="352"/>
      <c r="AO64" s="352"/>
      <c r="AP64" s="352"/>
    </row>
    <row r="65" spans="5:42" s="265" customFormat="1">
      <c r="E65" s="317"/>
      <c r="AM65" s="351"/>
      <c r="AN65" s="352"/>
      <c r="AO65" s="352"/>
      <c r="AP65" s="352"/>
    </row>
    <row r="66" spans="5:42" s="265" customFormat="1">
      <c r="E66" s="317"/>
      <c r="AM66" s="351"/>
      <c r="AN66" s="352"/>
      <c r="AO66" s="352"/>
      <c r="AP66" s="352"/>
    </row>
    <row r="67" spans="5:42" s="265" customFormat="1">
      <c r="E67" s="317"/>
      <c r="AM67" s="351"/>
      <c r="AN67" s="352"/>
      <c r="AO67" s="352"/>
      <c r="AP67" s="352"/>
    </row>
    <row r="68" spans="5:42" s="265" customFormat="1">
      <c r="E68" s="317"/>
      <c r="AM68" s="351"/>
      <c r="AN68" s="352"/>
      <c r="AO68" s="352"/>
      <c r="AP68" s="352"/>
    </row>
    <row r="69" spans="5:42" s="265" customFormat="1">
      <c r="E69" s="317"/>
      <c r="AM69" s="351"/>
      <c r="AN69" s="352"/>
      <c r="AO69" s="352"/>
      <c r="AP69" s="352"/>
    </row>
    <row r="70" spans="5:42" s="265" customFormat="1">
      <c r="E70" s="317"/>
      <c r="AM70" s="351"/>
      <c r="AN70" s="352"/>
      <c r="AO70" s="352"/>
      <c r="AP70" s="352"/>
    </row>
    <row r="71" spans="5:42" s="265" customFormat="1">
      <c r="E71" s="317"/>
      <c r="AM71" s="351"/>
      <c r="AN71" s="352"/>
      <c r="AO71" s="352"/>
      <c r="AP71" s="352"/>
    </row>
    <row r="72" spans="5:42" s="265" customFormat="1">
      <c r="E72" s="317"/>
      <c r="AM72" s="351"/>
      <c r="AN72" s="352"/>
      <c r="AO72" s="352"/>
      <c r="AP72" s="352"/>
    </row>
    <row r="73" spans="5:42" s="265" customFormat="1">
      <c r="E73" s="317"/>
      <c r="AM73" s="351"/>
      <c r="AN73" s="352"/>
      <c r="AO73" s="352"/>
      <c r="AP73" s="352"/>
    </row>
    <row r="74" spans="5:42" s="265" customFormat="1">
      <c r="E74" s="317"/>
      <c r="AM74" s="351"/>
      <c r="AN74" s="352"/>
      <c r="AO74" s="352"/>
      <c r="AP74" s="352"/>
    </row>
    <row r="75" spans="5:42" s="265" customFormat="1">
      <c r="E75" s="317"/>
      <c r="AM75" s="351"/>
      <c r="AN75" s="352"/>
      <c r="AO75" s="352"/>
      <c r="AP75" s="352"/>
    </row>
    <row r="76" spans="5:42" s="265" customFormat="1">
      <c r="E76" s="317"/>
      <c r="AM76" s="351"/>
      <c r="AN76" s="352"/>
      <c r="AO76" s="352"/>
      <c r="AP76" s="352"/>
    </row>
    <row r="77" spans="5:42" s="265" customFormat="1">
      <c r="E77" s="317"/>
      <c r="AM77" s="351"/>
      <c r="AN77" s="352"/>
      <c r="AO77" s="352"/>
      <c r="AP77" s="352"/>
    </row>
    <row r="78" spans="5:42" s="265" customFormat="1">
      <c r="E78" s="317"/>
      <c r="AM78" s="351"/>
      <c r="AN78" s="352"/>
      <c r="AO78" s="352"/>
      <c r="AP78" s="352"/>
    </row>
    <row r="79" spans="5:42" s="265" customFormat="1">
      <c r="E79" s="317"/>
      <c r="AM79" s="351"/>
      <c r="AN79" s="352"/>
      <c r="AO79" s="352"/>
      <c r="AP79" s="352"/>
    </row>
    <row r="80" spans="5:42" s="265" customFormat="1">
      <c r="E80" s="317"/>
      <c r="AM80" s="351"/>
      <c r="AN80" s="352"/>
      <c r="AO80" s="352"/>
      <c r="AP80" s="352"/>
    </row>
    <row r="81" spans="5:42" s="265" customFormat="1">
      <c r="E81" s="317"/>
      <c r="AM81" s="351"/>
      <c r="AN81" s="352"/>
      <c r="AO81" s="352"/>
      <c r="AP81" s="352"/>
    </row>
    <row r="82" spans="5:42" s="265" customFormat="1">
      <c r="E82" s="317"/>
      <c r="AM82" s="351"/>
      <c r="AN82" s="352"/>
      <c r="AO82" s="352"/>
      <c r="AP82" s="352"/>
    </row>
    <row r="83" spans="5:42" s="265" customFormat="1">
      <c r="E83" s="317"/>
      <c r="AM83" s="351"/>
      <c r="AN83" s="352"/>
      <c r="AO83" s="352"/>
      <c r="AP83" s="352"/>
    </row>
    <row r="84" spans="5:42" s="265" customFormat="1">
      <c r="E84" s="317"/>
      <c r="AM84" s="351"/>
      <c r="AN84" s="352"/>
      <c r="AO84" s="352"/>
      <c r="AP84" s="352"/>
    </row>
    <row r="85" spans="5:42" s="265" customFormat="1">
      <c r="E85" s="317"/>
      <c r="AM85" s="351"/>
      <c r="AN85" s="352"/>
      <c r="AO85" s="352"/>
      <c r="AP85" s="352"/>
    </row>
    <row r="86" spans="5:42" s="265" customFormat="1">
      <c r="E86" s="317"/>
      <c r="AM86" s="351"/>
      <c r="AN86" s="352"/>
      <c r="AO86" s="352"/>
      <c r="AP86" s="352"/>
    </row>
    <row r="87" spans="5:42" s="265" customFormat="1">
      <c r="E87" s="317"/>
      <c r="AM87" s="351"/>
      <c r="AN87" s="352"/>
      <c r="AO87" s="352"/>
      <c r="AP87" s="352"/>
    </row>
    <row r="88" spans="5:42" s="265" customFormat="1">
      <c r="E88" s="317"/>
      <c r="AM88" s="351"/>
      <c r="AN88" s="352"/>
      <c r="AO88" s="352"/>
      <c r="AP88" s="352"/>
    </row>
    <row r="89" spans="5:42" s="265" customFormat="1">
      <c r="E89" s="317"/>
      <c r="AM89" s="351"/>
      <c r="AN89" s="352"/>
      <c r="AO89" s="352"/>
      <c r="AP89" s="352"/>
    </row>
    <row r="90" spans="5:42" s="265" customFormat="1">
      <c r="E90" s="317"/>
      <c r="AM90" s="351"/>
      <c r="AN90" s="352"/>
      <c r="AO90" s="352"/>
      <c r="AP90" s="352"/>
    </row>
    <row r="91" spans="5:42" s="265" customFormat="1">
      <c r="E91" s="317"/>
      <c r="AM91" s="351"/>
      <c r="AN91" s="352"/>
      <c r="AO91" s="352"/>
      <c r="AP91" s="352"/>
    </row>
    <row r="92" spans="5:42" s="265" customFormat="1">
      <c r="E92" s="317"/>
      <c r="AM92" s="351"/>
      <c r="AN92" s="352"/>
      <c r="AO92" s="352"/>
      <c r="AP92" s="352"/>
    </row>
    <row r="93" spans="5:42" s="265" customFormat="1">
      <c r="E93" s="317"/>
      <c r="AM93" s="351"/>
      <c r="AN93" s="352"/>
      <c r="AO93" s="352"/>
      <c r="AP93" s="352"/>
    </row>
    <row r="94" spans="5:42" s="265" customFormat="1">
      <c r="E94" s="317"/>
      <c r="AM94" s="351"/>
      <c r="AN94" s="352"/>
      <c r="AO94" s="352"/>
      <c r="AP94" s="352"/>
    </row>
    <row r="95" spans="5:42" s="265" customFormat="1">
      <c r="E95" s="317"/>
      <c r="AM95" s="351"/>
      <c r="AN95" s="352"/>
      <c r="AO95" s="352"/>
      <c r="AP95" s="352"/>
    </row>
    <row r="96" spans="5:42" s="265" customFormat="1">
      <c r="E96" s="317"/>
      <c r="AM96" s="351"/>
      <c r="AN96" s="352"/>
      <c r="AO96" s="352"/>
      <c r="AP96" s="352"/>
    </row>
    <row r="97" spans="5:42" s="265" customFormat="1">
      <c r="E97" s="317"/>
      <c r="AM97" s="351"/>
      <c r="AN97" s="352"/>
      <c r="AO97" s="352"/>
      <c r="AP97" s="352"/>
    </row>
    <row r="98" spans="5:42" s="265" customFormat="1">
      <c r="E98" s="317"/>
      <c r="AM98" s="351"/>
      <c r="AN98" s="352"/>
      <c r="AO98" s="352"/>
      <c r="AP98" s="352"/>
    </row>
    <row r="99" spans="5:42" s="265" customFormat="1">
      <c r="E99" s="317"/>
      <c r="AM99" s="351"/>
      <c r="AN99" s="352"/>
      <c r="AO99" s="352"/>
      <c r="AP99" s="352"/>
    </row>
    <row r="100" spans="5:42" s="265" customFormat="1">
      <c r="E100" s="317"/>
      <c r="AM100" s="351"/>
      <c r="AN100" s="352"/>
      <c r="AO100" s="352"/>
      <c r="AP100" s="352"/>
    </row>
    <row r="101" spans="5:42" s="265" customFormat="1">
      <c r="E101" s="317"/>
      <c r="AM101" s="351"/>
      <c r="AN101" s="352"/>
      <c r="AO101" s="352"/>
      <c r="AP101" s="352"/>
    </row>
    <row r="102" spans="5:42" s="265" customFormat="1">
      <c r="E102" s="317"/>
      <c r="AM102" s="351"/>
      <c r="AN102" s="352"/>
      <c r="AO102" s="352"/>
      <c r="AP102" s="352"/>
    </row>
    <row r="103" spans="5:42" s="265" customFormat="1">
      <c r="E103" s="317"/>
      <c r="AM103" s="351"/>
      <c r="AN103" s="352"/>
      <c r="AO103" s="352"/>
      <c r="AP103" s="352"/>
    </row>
    <row r="104" spans="5:42" s="265" customFormat="1">
      <c r="E104" s="317"/>
      <c r="AM104" s="351"/>
      <c r="AN104" s="352"/>
      <c r="AO104" s="352"/>
      <c r="AP104" s="352"/>
    </row>
    <row r="105" spans="5:42" s="265" customFormat="1">
      <c r="E105" s="317"/>
      <c r="AM105" s="351"/>
      <c r="AN105" s="352"/>
      <c r="AO105" s="352"/>
      <c r="AP105" s="352"/>
    </row>
    <row r="106" spans="5:42" s="265" customFormat="1">
      <c r="E106" s="317"/>
      <c r="AM106" s="351"/>
      <c r="AN106" s="352"/>
      <c r="AO106" s="352"/>
      <c r="AP106" s="352"/>
    </row>
    <row r="107" spans="5:42" s="265" customFormat="1">
      <c r="E107" s="317"/>
      <c r="AM107" s="351"/>
      <c r="AN107" s="352"/>
      <c r="AO107" s="352"/>
      <c r="AP107" s="352"/>
    </row>
    <row r="108" spans="5:42" s="265" customFormat="1">
      <c r="E108" s="317"/>
      <c r="AM108" s="351"/>
      <c r="AN108" s="352"/>
      <c r="AO108" s="352"/>
      <c r="AP108" s="352"/>
    </row>
    <row r="109" spans="5:42" s="265" customFormat="1">
      <c r="E109" s="317"/>
      <c r="AM109" s="351"/>
      <c r="AN109" s="352"/>
      <c r="AO109" s="352"/>
      <c r="AP109" s="352"/>
    </row>
    <row r="110" spans="5:42" s="265" customFormat="1">
      <c r="E110" s="317"/>
      <c r="AM110" s="351"/>
      <c r="AN110" s="352"/>
      <c r="AO110" s="352"/>
      <c r="AP110" s="352"/>
    </row>
    <row r="111" spans="5:42" s="265" customFormat="1">
      <c r="E111" s="317"/>
      <c r="AM111" s="351"/>
      <c r="AN111" s="352"/>
      <c r="AO111" s="352"/>
      <c r="AP111" s="352"/>
    </row>
    <row r="112" spans="5:42" s="265" customFormat="1">
      <c r="E112" s="317"/>
      <c r="AM112" s="351"/>
      <c r="AN112" s="352"/>
      <c r="AO112" s="352"/>
      <c r="AP112" s="352"/>
    </row>
    <row r="113" spans="5:42" s="265" customFormat="1">
      <c r="E113" s="317"/>
      <c r="AM113" s="351"/>
      <c r="AN113" s="352"/>
      <c r="AO113" s="352"/>
      <c r="AP113" s="352"/>
    </row>
    <row r="114" spans="5:42" s="265" customFormat="1">
      <c r="E114" s="317"/>
      <c r="AM114" s="351"/>
      <c r="AN114" s="352"/>
      <c r="AO114" s="352"/>
      <c r="AP114" s="352"/>
    </row>
    <row r="115" spans="5:42" s="265" customFormat="1">
      <c r="E115" s="317"/>
      <c r="AM115" s="351"/>
      <c r="AN115" s="352"/>
      <c r="AO115" s="352"/>
      <c r="AP115" s="352"/>
    </row>
    <row r="116" spans="5:42" s="265" customFormat="1">
      <c r="E116" s="317"/>
      <c r="AM116" s="351"/>
      <c r="AN116" s="352"/>
      <c r="AO116" s="352"/>
      <c r="AP116" s="352"/>
    </row>
    <row r="117" spans="5:42" s="265" customFormat="1">
      <c r="E117" s="317"/>
      <c r="AM117" s="351"/>
      <c r="AN117" s="352"/>
      <c r="AO117" s="352"/>
      <c r="AP117" s="352"/>
    </row>
    <row r="118" spans="5:42" s="265" customFormat="1">
      <c r="E118" s="317"/>
      <c r="AM118" s="351"/>
      <c r="AN118" s="352"/>
      <c r="AO118" s="352"/>
      <c r="AP118" s="352"/>
    </row>
    <row r="119" spans="5:42" s="265" customFormat="1">
      <c r="E119" s="317"/>
      <c r="AM119" s="351"/>
      <c r="AN119" s="352"/>
      <c r="AO119" s="352"/>
      <c r="AP119" s="352"/>
    </row>
    <row r="120" spans="5:42" s="265" customFormat="1">
      <c r="E120" s="317"/>
      <c r="AM120" s="351"/>
      <c r="AN120" s="352"/>
      <c r="AO120" s="352"/>
      <c r="AP120" s="352"/>
    </row>
    <row r="121" spans="5:42" s="265" customFormat="1">
      <c r="E121" s="317"/>
      <c r="AM121" s="351"/>
      <c r="AN121" s="352"/>
      <c r="AO121" s="352"/>
      <c r="AP121" s="352"/>
    </row>
    <row r="122" spans="5:42" s="265" customFormat="1">
      <c r="E122" s="317"/>
      <c r="AM122" s="351"/>
      <c r="AN122" s="352"/>
      <c r="AO122" s="352"/>
      <c r="AP122" s="352"/>
    </row>
    <row r="123" spans="5:42" s="265" customFormat="1">
      <c r="E123" s="317"/>
      <c r="AM123" s="351"/>
      <c r="AN123" s="352"/>
      <c r="AO123" s="352"/>
      <c r="AP123" s="352"/>
    </row>
    <row r="124" spans="5:42" s="265" customFormat="1">
      <c r="E124" s="317"/>
      <c r="AM124" s="351"/>
      <c r="AN124" s="352"/>
      <c r="AO124" s="352"/>
      <c r="AP124" s="352"/>
    </row>
    <row r="125" spans="5:42" s="265" customFormat="1">
      <c r="E125" s="317"/>
      <c r="AM125" s="351"/>
      <c r="AN125" s="352"/>
      <c r="AO125" s="352"/>
      <c r="AP125" s="352"/>
    </row>
    <row r="126" spans="5:42" s="265" customFormat="1">
      <c r="E126" s="317"/>
      <c r="AM126" s="351"/>
      <c r="AN126" s="352"/>
      <c r="AO126" s="352"/>
      <c r="AP126" s="352"/>
    </row>
    <row r="127" spans="5:42" s="265" customFormat="1">
      <c r="E127" s="317"/>
      <c r="AM127" s="351"/>
      <c r="AN127" s="352"/>
      <c r="AO127" s="352"/>
      <c r="AP127" s="352"/>
    </row>
    <row r="128" spans="5:42" s="265" customFormat="1">
      <c r="E128" s="317"/>
      <c r="AM128" s="351"/>
      <c r="AN128" s="352"/>
      <c r="AO128" s="352"/>
      <c r="AP128" s="352"/>
    </row>
    <row r="129" spans="5:42" s="265" customFormat="1">
      <c r="E129" s="317"/>
      <c r="AM129" s="351"/>
      <c r="AN129" s="352"/>
      <c r="AO129" s="352"/>
      <c r="AP129" s="352"/>
    </row>
    <row r="130" spans="5:42" s="265" customFormat="1">
      <c r="E130" s="317"/>
      <c r="AM130" s="351"/>
      <c r="AN130" s="352"/>
      <c r="AO130" s="352"/>
      <c r="AP130" s="352"/>
    </row>
    <row r="131" spans="5:42" s="265" customFormat="1">
      <c r="E131" s="317"/>
      <c r="AM131" s="351"/>
      <c r="AN131" s="352"/>
      <c r="AO131" s="352"/>
      <c r="AP131" s="352"/>
    </row>
    <row r="132" spans="5:42" s="265" customFormat="1">
      <c r="E132" s="317"/>
      <c r="AM132" s="351"/>
      <c r="AN132" s="352"/>
      <c r="AO132" s="352"/>
      <c r="AP132" s="352"/>
    </row>
    <row r="133" spans="5:42" s="265" customFormat="1">
      <c r="E133" s="317"/>
      <c r="AM133" s="351"/>
      <c r="AN133" s="352"/>
      <c r="AO133" s="352"/>
      <c r="AP133" s="352"/>
    </row>
    <row r="134" spans="5:42" s="265" customFormat="1">
      <c r="E134" s="317"/>
      <c r="AM134" s="351"/>
      <c r="AN134" s="352"/>
      <c r="AO134" s="352"/>
      <c r="AP134" s="352"/>
    </row>
    <row r="135" spans="5:42" s="265" customFormat="1">
      <c r="E135" s="317"/>
      <c r="AM135" s="351"/>
      <c r="AN135" s="352"/>
      <c r="AO135" s="352"/>
      <c r="AP135" s="352"/>
    </row>
    <row r="136" spans="5:42" s="265" customFormat="1">
      <c r="E136" s="317"/>
      <c r="AM136" s="351"/>
      <c r="AN136" s="352"/>
      <c r="AO136" s="352"/>
      <c r="AP136" s="352"/>
    </row>
    <row r="137" spans="5:42" s="265" customFormat="1">
      <c r="E137" s="317"/>
      <c r="AM137" s="351"/>
      <c r="AN137" s="352"/>
      <c r="AO137" s="352"/>
      <c r="AP137" s="352"/>
    </row>
    <row r="138" spans="5:42" s="265" customFormat="1">
      <c r="E138" s="317"/>
      <c r="AM138" s="351"/>
      <c r="AN138" s="352"/>
      <c r="AO138" s="352"/>
      <c r="AP138" s="352"/>
    </row>
    <row r="139" spans="5:42" s="265" customFormat="1">
      <c r="E139" s="317"/>
      <c r="AM139" s="351"/>
      <c r="AN139" s="352"/>
      <c r="AO139" s="352"/>
      <c r="AP139" s="352"/>
    </row>
    <row r="140" spans="5:42" s="265" customFormat="1">
      <c r="E140" s="317"/>
      <c r="AM140" s="351"/>
      <c r="AN140" s="352"/>
      <c r="AO140" s="352"/>
      <c r="AP140" s="352"/>
    </row>
    <row r="141" spans="5:42" s="265" customFormat="1">
      <c r="E141" s="317"/>
      <c r="AM141" s="351"/>
      <c r="AN141" s="352"/>
      <c r="AO141" s="352"/>
      <c r="AP141" s="352"/>
    </row>
    <row r="142" spans="5:42" s="265" customFormat="1">
      <c r="E142" s="317"/>
      <c r="AM142" s="351"/>
      <c r="AN142" s="352"/>
      <c r="AO142" s="352"/>
      <c r="AP142" s="352"/>
    </row>
    <row r="143" spans="5:42" s="265" customFormat="1">
      <c r="E143" s="317"/>
      <c r="AM143" s="351"/>
      <c r="AN143" s="352"/>
      <c r="AO143" s="352"/>
      <c r="AP143" s="352"/>
    </row>
    <row r="144" spans="5:42" s="265" customFormat="1">
      <c r="E144" s="317"/>
      <c r="AM144" s="351"/>
      <c r="AN144" s="352"/>
      <c r="AO144" s="352"/>
      <c r="AP144" s="352"/>
    </row>
    <row r="145" spans="5:42" s="265" customFormat="1">
      <c r="E145" s="317"/>
      <c r="AM145" s="351"/>
      <c r="AN145" s="352"/>
      <c r="AO145" s="352"/>
      <c r="AP145" s="352"/>
    </row>
    <row r="146" spans="5:42" s="265" customFormat="1">
      <c r="E146" s="317"/>
      <c r="AM146" s="351"/>
      <c r="AN146" s="352"/>
      <c r="AO146" s="352"/>
      <c r="AP146" s="352"/>
    </row>
    <row r="147" spans="5:42" s="265" customFormat="1">
      <c r="E147" s="317"/>
      <c r="AM147" s="351"/>
      <c r="AN147" s="352"/>
      <c r="AO147" s="352"/>
      <c r="AP147" s="352"/>
    </row>
    <row r="148" spans="5:42" s="265" customFormat="1">
      <c r="E148" s="317"/>
      <c r="AM148" s="351"/>
      <c r="AN148" s="352"/>
      <c r="AO148" s="352"/>
      <c r="AP148" s="352"/>
    </row>
    <row r="149" spans="5:42" s="265" customFormat="1">
      <c r="E149" s="317"/>
      <c r="AM149" s="351"/>
      <c r="AN149" s="352"/>
      <c r="AO149" s="352"/>
      <c r="AP149" s="352"/>
    </row>
    <row r="150" spans="5:42" s="265" customFormat="1">
      <c r="E150" s="317"/>
      <c r="AM150" s="351"/>
      <c r="AN150" s="352"/>
      <c r="AO150" s="352"/>
      <c r="AP150" s="352"/>
    </row>
    <row r="151" spans="5:42" s="265" customFormat="1">
      <c r="E151" s="317"/>
      <c r="AM151" s="351"/>
      <c r="AN151" s="352"/>
      <c r="AO151" s="352"/>
      <c r="AP151" s="352"/>
    </row>
    <row r="152" spans="5:42" s="265" customFormat="1">
      <c r="E152" s="317"/>
      <c r="AM152" s="351"/>
      <c r="AN152" s="352"/>
      <c r="AO152" s="352"/>
      <c r="AP152" s="352"/>
    </row>
    <row r="153" spans="5:42" s="265" customFormat="1">
      <c r="E153" s="317"/>
      <c r="AM153" s="351"/>
      <c r="AN153" s="352"/>
      <c r="AO153" s="352"/>
      <c r="AP153" s="352"/>
    </row>
    <row r="154" spans="5:42" s="265" customFormat="1">
      <c r="E154" s="317"/>
      <c r="AM154" s="351"/>
      <c r="AN154" s="352"/>
      <c r="AO154" s="352"/>
      <c r="AP154" s="352"/>
    </row>
    <row r="155" spans="5:42" s="265" customFormat="1">
      <c r="E155" s="317"/>
      <c r="AM155" s="351"/>
      <c r="AN155" s="352"/>
      <c r="AO155" s="352"/>
      <c r="AP155" s="352"/>
    </row>
    <row r="156" spans="5:42" s="265" customFormat="1">
      <c r="E156" s="317"/>
      <c r="AM156" s="351"/>
      <c r="AN156" s="352"/>
      <c r="AO156" s="352"/>
      <c r="AP156" s="352"/>
    </row>
    <row r="157" spans="5:42" s="265" customFormat="1">
      <c r="E157" s="317"/>
      <c r="AM157" s="351"/>
      <c r="AN157" s="352"/>
      <c r="AO157" s="352"/>
      <c r="AP157" s="352"/>
    </row>
    <row r="158" spans="5:42" s="265" customFormat="1">
      <c r="E158" s="317"/>
      <c r="AM158" s="351"/>
      <c r="AN158" s="352"/>
      <c r="AO158" s="352"/>
      <c r="AP158" s="352"/>
    </row>
    <row r="159" spans="5:42" s="265" customFormat="1">
      <c r="E159" s="317"/>
      <c r="AM159" s="351"/>
      <c r="AN159" s="352"/>
      <c r="AO159" s="352"/>
      <c r="AP159" s="352"/>
    </row>
    <row r="160" spans="5:42" s="265" customFormat="1">
      <c r="E160" s="317"/>
      <c r="AM160" s="351"/>
      <c r="AN160" s="352"/>
      <c r="AO160" s="352"/>
      <c r="AP160" s="352"/>
    </row>
    <row r="161" spans="5:42" s="265" customFormat="1">
      <c r="E161" s="317"/>
      <c r="AM161" s="351"/>
      <c r="AN161" s="352"/>
      <c r="AO161" s="352"/>
      <c r="AP161" s="352"/>
    </row>
    <row r="162" spans="5:42" s="265" customFormat="1">
      <c r="E162" s="317"/>
      <c r="AM162" s="351"/>
      <c r="AN162" s="352"/>
      <c r="AO162" s="352"/>
      <c r="AP162" s="352"/>
    </row>
    <row r="163" spans="5:42" s="265" customFormat="1">
      <c r="E163" s="317"/>
      <c r="AM163" s="351"/>
      <c r="AN163" s="352"/>
      <c r="AO163" s="352"/>
      <c r="AP163" s="352"/>
    </row>
    <row r="164" spans="5:42" s="265" customFormat="1">
      <c r="E164" s="317"/>
      <c r="AM164" s="351"/>
      <c r="AN164" s="352"/>
      <c r="AO164" s="352"/>
      <c r="AP164" s="352"/>
    </row>
    <row r="165" spans="5:42" s="265" customFormat="1">
      <c r="E165" s="317"/>
      <c r="AM165" s="351"/>
      <c r="AN165" s="352"/>
      <c r="AO165" s="352"/>
      <c r="AP165" s="352"/>
    </row>
    <row r="166" spans="5:42" s="265" customFormat="1">
      <c r="E166" s="317"/>
      <c r="AM166" s="351"/>
      <c r="AN166" s="352"/>
      <c r="AO166" s="352"/>
      <c r="AP166" s="352"/>
    </row>
    <row r="167" spans="5:42" s="265" customFormat="1">
      <c r="E167" s="317"/>
      <c r="AM167" s="351"/>
      <c r="AN167" s="352"/>
      <c r="AO167" s="352"/>
      <c r="AP167" s="352"/>
    </row>
    <row r="168" spans="5:42" s="265" customFormat="1">
      <c r="E168" s="317"/>
      <c r="AM168" s="351"/>
      <c r="AN168" s="352"/>
      <c r="AO168" s="352"/>
      <c r="AP168" s="352"/>
    </row>
    <row r="169" spans="5:42" s="265" customFormat="1">
      <c r="E169" s="317"/>
      <c r="AM169" s="351"/>
      <c r="AN169" s="352"/>
      <c r="AO169" s="352"/>
      <c r="AP169" s="352"/>
    </row>
    <row r="170" spans="5:42" s="265" customFormat="1">
      <c r="E170" s="317"/>
      <c r="AM170" s="351"/>
      <c r="AN170" s="352"/>
      <c r="AO170" s="352"/>
      <c r="AP170" s="352"/>
    </row>
    <row r="171" spans="5:42" s="265" customFormat="1">
      <c r="E171" s="317"/>
      <c r="AM171" s="351"/>
      <c r="AN171" s="352"/>
      <c r="AO171" s="352"/>
      <c r="AP171" s="352"/>
    </row>
    <row r="172" spans="5:42" s="265" customFormat="1">
      <c r="E172" s="317"/>
      <c r="AM172" s="351"/>
      <c r="AN172" s="352"/>
      <c r="AO172" s="352"/>
      <c r="AP172" s="352"/>
    </row>
    <row r="173" spans="5:42" s="265" customFormat="1">
      <c r="E173" s="317"/>
      <c r="AM173" s="351"/>
      <c r="AN173" s="352"/>
      <c r="AO173" s="352"/>
      <c r="AP173" s="352"/>
    </row>
    <row r="174" spans="5:42" s="265" customFormat="1">
      <c r="E174" s="317"/>
      <c r="AM174" s="351"/>
      <c r="AN174" s="352"/>
      <c r="AO174" s="352"/>
      <c r="AP174" s="352"/>
    </row>
    <row r="175" spans="5:42" s="265" customFormat="1">
      <c r="E175" s="317"/>
      <c r="AM175" s="351"/>
      <c r="AN175" s="352"/>
      <c r="AO175" s="352"/>
      <c r="AP175" s="352"/>
    </row>
    <row r="176" spans="5:42" s="265" customFormat="1">
      <c r="E176" s="317"/>
      <c r="AM176" s="351"/>
      <c r="AN176" s="352"/>
      <c r="AO176" s="352"/>
      <c r="AP176" s="352"/>
    </row>
    <row r="177" spans="5:42" s="265" customFormat="1">
      <c r="E177" s="317"/>
      <c r="AM177" s="351"/>
      <c r="AN177" s="352"/>
      <c r="AO177" s="352"/>
      <c r="AP177" s="352"/>
    </row>
    <row r="178" spans="5:42" s="265" customFormat="1">
      <c r="E178" s="317"/>
      <c r="AM178" s="351"/>
      <c r="AN178" s="352"/>
      <c r="AO178" s="352"/>
      <c r="AP178" s="352"/>
    </row>
    <row r="179" spans="5:42" s="265" customFormat="1">
      <c r="E179" s="317"/>
      <c r="AM179" s="351"/>
      <c r="AN179" s="352"/>
      <c r="AO179" s="352"/>
      <c r="AP179" s="352"/>
    </row>
    <row r="180" spans="5:42" s="265" customFormat="1">
      <c r="E180" s="317"/>
      <c r="AM180" s="351"/>
      <c r="AN180" s="352"/>
      <c r="AO180" s="352"/>
      <c r="AP180" s="352"/>
    </row>
    <row r="181" spans="5:42" s="265" customFormat="1">
      <c r="E181" s="317"/>
      <c r="AM181" s="351"/>
      <c r="AN181" s="352"/>
      <c r="AO181" s="352"/>
      <c r="AP181" s="352"/>
    </row>
    <row r="182" spans="5:42" s="265" customFormat="1">
      <c r="E182" s="317"/>
      <c r="AM182" s="351"/>
      <c r="AN182" s="352"/>
      <c r="AO182" s="352"/>
      <c r="AP182" s="352"/>
    </row>
    <row r="183" spans="5:42" s="265" customFormat="1">
      <c r="E183" s="317"/>
      <c r="AM183" s="351"/>
      <c r="AN183" s="352"/>
      <c r="AO183" s="352"/>
      <c r="AP183" s="352"/>
    </row>
    <row r="184" spans="5:42" s="265" customFormat="1">
      <c r="E184" s="317"/>
      <c r="AM184" s="351"/>
      <c r="AN184" s="352"/>
      <c r="AO184" s="352"/>
      <c r="AP184" s="352"/>
    </row>
    <row r="185" spans="5:42" s="265" customFormat="1">
      <c r="E185" s="317"/>
      <c r="AM185" s="351"/>
      <c r="AN185" s="352"/>
      <c r="AO185" s="352"/>
      <c r="AP185" s="352"/>
    </row>
    <row r="186" spans="5:42" s="265" customFormat="1">
      <c r="E186" s="317"/>
      <c r="AM186" s="351"/>
      <c r="AN186" s="352"/>
      <c r="AO186" s="352"/>
      <c r="AP186" s="352"/>
    </row>
    <row r="187" spans="5:42" s="265" customFormat="1">
      <c r="E187" s="317"/>
      <c r="AM187" s="351"/>
      <c r="AN187" s="352"/>
      <c r="AO187" s="352"/>
      <c r="AP187" s="352"/>
    </row>
    <row r="188" spans="5:42" s="265" customFormat="1">
      <c r="E188" s="317"/>
      <c r="AM188" s="351"/>
      <c r="AN188" s="352"/>
      <c r="AO188" s="352"/>
      <c r="AP188" s="352"/>
    </row>
    <row r="189" spans="5:42" s="265" customFormat="1">
      <c r="E189" s="317"/>
      <c r="AM189" s="351"/>
      <c r="AN189" s="352"/>
      <c r="AO189" s="352"/>
      <c r="AP189" s="352"/>
    </row>
    <row r="190" spans="5:42" s="265" customFormat="1">
      <c r="E190" s="317"/>
      <c r="AM190" s="351"/>
      <c r="AN190" s="352"/>
      <c r="AO190" s="352"/>
      <c r="AP190" s="352"/>
    </row>
    <row r="191" spans="5:42" s="265" customFormat="1">
      <c r="E191" s="317"/>
      <c r="AM191" s="351"/>
      <c r="AN191" s="352"/>
      <c r="AO191" s="352"/>
      <c r="AP191" s="352"/>
    </row>
    <row r="192" spans="5:42" s="265" customFormat="1">
      <c r="E192" s="317"/>
      <c r="AM192" s="351"/>
      <c r="AN192" s="352"/>
      <c r="AO192" s="352"/>
      <c r="AP192" s="352"/>
    </row>
    <row r="193" spans="5:42" s="265" customFormat="1">
      <c r="E193" s="317"/>
      <c r="AM193" s="351"/>
      <c r="AN193" s="352"/>
      <c r="AO193" s="352"/>
      <c r="AP193" s="352"/>
    </row>
    <row r="194" spans="5:42" s="265" customFormat="1">
      <c r="E194" s="317"/>
      <c r="AM194" s="351"/>
      <c r="AN194" s="352"/>
      <c r="AO194" s="352"/>
      <c r="AP194" s="352"/>
    </row>
    <row r="195" spans="5:42" s="265" customFormat="1">
      <c r="E195" s="317"/>
      <c r="AM195" s="351"/>
      <c r="AN195" s="352"/>
      <c r="AO195" s="352"/>
      <c r="AP195" s="352"/>
    </row>
    <row r="196" spans="5:42" s="265" customFormat="1">
      <c r="E196" s="317"/>
      <c r="AM196" s="351"/>
      <c r="AN196" s="352"/>
      <c r="AO196" s="352"/>
      <c r="AP196" s="352"/>
    </row>
    <row r="197" spans="5:42" s="265" customFormat="1">
      <c r="E197" s="317"/>
      <c r="AM197" s="351"/>
      <c r="AN197" s="352"/>
      <c r="AO197" s="352"/>
      <c r="AP197" s="352"/>
    </row>
    <row r="198" spans="5:42" s="265" customFormat="1">
      <c r="E198" s="317"/>
      <c r="AM198" s="351"/>
      <c r="AN198" s="352"/>
      <c r="AO198" s="352"/>
      <c r="AP198" s="352"/>
    </row>
    <row r="199" spans="5:42" s="265" customFormat="1">
      <c r="E199" s="317"/>
      <c r="AM199" s="351"/>
      <c r="AN199" s="352"/>
      <c r="AO199" s="352"/>
      <c r="AP199" s="352"/>
    </row>
    <row r="200" spans="5:42" s="265" customFormat="1">
      <c r="E200" s="317"/>
      <c r="AM200" s="351"/>
      <c r="AN200" s="352"/>
      <c r="AO200" s="352"/>
      <c r="AP200" s="352"/>
    </row>
    <row r="201" spans="5:42" s="265" customFormat="1">
      <c r="E201" s="317"/>
      <c r="AM201" s="351"/>
      <c r="AN201" s="352"/>
      <c r="AO201" s="352"/>
      <c r="AP201" s="352"/>
    </row>
    <row r="202" spans="5:42" s="265" customFormat="1">
      <c r="E202" s="317"/>
      <c r="AM202" s="351"/>
      <c r="AN202" s="352"/>
      <c r="AO202" s="352"/>
      <c r="AP202" s="352"/>
    </row>
    <row r="203" spans="5:42" s="265" customFormat="1">
      <c r="E203" s="317"/>
      <c r="AM203" s="351"/>
      <c r="AN203" s="352"/>
      <c r="AO203" s="352"/>
      <c r="AP203" s="352"/>
    </row>
    <row r="204" spans="5:42" s="265" customFormat="1">
      <c r="E204" s="317"/>
      <c r="AM204" s="351"/>
      <c r="AN204" s="352"/>
      <c r="AO204" s="352"/>
      <c r="AP204" s="352"/>
    </row>
    <row r="205" spans="5:42" s="265" customFormat="1">
      <c r="E205" s="317"/>
      <c r="AM205" s="351"/>
      <c r="AN205" s="352"/>
      <c r="AO205" s="352"/>
      <c r="AP205" s="352"/>
    </row>
    <row r="206" spans="5:42" s="265" customFormat="1">
      <c r="E206" s="317"/>
      <c r="AM206" s="351"/>
      <c r="AN206" s="352"/>
      <c r="AO206" s="352"/>
      <c r="AP206" s="352"/>
    </row>
    <row r="207" spans="5:42" s="265" customFormat="1">
      <c r="E207" s="317"/>
      <c r="AM207" s="351"/>
      <c r="AN207" s="352"/>
      <c r="AO207" s="352"/>
      <c r="AP207" s="352"/>
    </row>
    <row r="208" spans="5:42" s="265" customFormat="1">
      <c r="E208" s="317"/>
      <c r="AM208" s="351"/>
      <c r="AN208" s="352"/>
      <c r="AO208" s="352"/>
      <c r="AP208" s="352"/>
    </row>
    <row r="209" spans="5:42" s="265" customFormat="1">
      <c r="E209" s="317"/>
      <c r="AM209" s="351"/>
      <c r="AN209" s="352"/>
      <c r="AO209" s="352"/>
      <c r="AP209" s="352"/>
    </row>
    <row r="210" spans="5:42" s="265" customFormat="1">
      <c r="E210" s="317"/>
      <c r="AM210" s="351"/>
      <c r="AN210" s="352"/>
      <c r="AO210" s="352"/>
      <c r="AP210" s="352"/>
    </row>
    <row r="211" spans="5:42" s="265" customFormat="1">
      <c r="E211" s="317"/>
      <c r="AM211" s="351"/>
      <c r="AN211" s="352"/>
      <c r="AO211" s="352"/>
      <c r="AP211" s="352"/>
    </row>
    <row r="212" spans="5:42" s="265" customFormat="1">
      <c r="E212" s="317"/>
      <c r="AM212" s="351"/>
      <c r="AN212" s="352"/>
      <c r="AO212" s="352"/>
      <c r="AP212" s="352"/>
    </row>
    <row r="213" spans="5:42" s="265" customFormat="1">
      <c r="E213" s="317"/>
      <c r="AM213" s="351"/>
      <c r="AN213" s="352"/>
      <c r="AO213" s="352"/>
      <c r="AP213" s="352"/>
    </row>
    <row r="214" spans="5:42" s="265" customFormat="1">
      <c r="E214" s="317"/>
      <c r="AM214" s="351"/>
      <c r="AN214" s="352"/>
      <c r="AO214" s="352"/>
      <c r="AP214" s="352"/>
    </row>
    <row r="215" spans="5:42" s="265" customFormat="1">
      <c r="E215" s="317"/>
      <c r="AM215" s="351"/>
      <c r="AN215" s="352"/>
      <c r="AO215" s="352"/>
      <c r="AP215" s="352"/>
    </row>
    <row r="216" spans="5:42" s="265" customFormat="1">
      <c r="E216" s="317"/>
      <c r="AM216" s="351"/>
      <c r="AN216" s="352"/>
      <c r="AO216" s="352"/>
      <c r="AP216" s="352"/>
    </row>
    <row r="217" spans="5:42" s="265" customFormat="1">
      <c r="E217" s="317"/>
      <c r="AM217" s="351"/>
      <c r="AN217" s="352"/>
      <c r="AO217" s="352"/>
      <c r="AP217" s="352"/>
    </row>
    <row r="218" spans="5:42" s="265" customFormat="1">
      <c r="E218" s="317"/>
      <c r="AM218" s="351"/>
      <c r="AN218" s="352"/>
      <c r="AO218" s="352"/>
      <c r="AP218" s="352"/>
    </row>
    <row r="219" spans="5:42" s="265" customFormat="1">
      <c r="E219" s="317"/>
      <c r="AM219" s="351"/>
      <c r="AN219" s="352"/>
      <c r="AO219" s="352"/>
      <c r="AP219" s="352"/>
    </row>
    <row r="220" spans="5:42" s="265" customFormat="1">
      <c r="E220" s="317"/>
      <c r="AM220" s="351"/>
      <c r="AN220" s="352"/>
      <c r="AO220" s="352"/>
      <c r="AP220" s="352"/>
    </row>
    <row r="221" spans="5:42" s="265" customFormat="1">
      <c r="E221" s="317"/>
      <c r="AM221" s="351"/>
      <c r="AN221" s="352"/>
      <c r="AO221" s="352"/>
      <c r="AP221" s="352"/>
    </row>
    <row r="222" spans="5:42" s="265" customFormat="1">
      <c r="E222" s="317"/>
      <c r="AM222" s="351"/>
      <c r="AN222" s="352"/>
      <c r="AO222" s="352"/>
      <c r="AP222" s="352"/>
    </row>
    <row r="223" spans="5:42" s="265" customFormat="1">
      <c r="E223" s="317"/>
      <c r="AM223" s="351"/>
      <c r="AN223" s="352"/>
      <c r="AO223" s="352"/>
      <c r="AP223" s="352"/>
    </row>
    <row r="224" spans="5:42" s="265" customFormat="1">
      <c r="E224" s="317"/>
      <c r="AM224" s="351"/>
      <c r="AN224" s="352"/>
      <c r="AO224" s="352"/>
      <c r="AP224" s="352"/>
    </row>
    <row r="225" spans="5:42" s="265" customFormat="1">
      <c r="E225" s="317"/>
      <c r="AM225" s="351"/>
      <c r="AN225" s="352"/>
      <c r="AO225" s="352"/>
      <c r="AP225" s="352"/>
    </row>
    <row r="226" spans="5:42" s="265" customFormat="1">
      <c r="E226" s="317"/>
      <c r="AM226" s="351"/>
      <c r="AN226" s="352"/>
      <c r="AO226" s="352"/>
      <c r="AP226" s="352"/>
    </row>
    <row r="227" spans="5:42" s="265" customFormat="1">
      <c r="E227" s="317"/>
      <c r="AM227" s="351"/>
      <c r="AN227" s="352"/>
      <c r="AO227" s="352"/>
      <c r="AP227" s="352"/>
    </row>
    <row r="228" spans="5:42" s="265" customFormat="1">
      <c r="E228" s="317"/>
      <c r="AM228" s="351"/>
      <c r="AN228" s="352"/>
      <c r="AO228" s="352"/>
      <c r="AP228" s="352"/>
    </row>
    <row r="229" spans="5:42" s="265" customFormat="1">
      <c r="E229" s="317"/>
      <c r="AM229" s="351"/>
      <c r="AN229" s="352"/>
      <c r="AO229" s="352"/>
      <c r="AP229" s="352"/>
    </row>
    <row r="230" spans="5:42" s="265" customFormat="1">
      <c r="E230" s="317"/>
      <c r="AM230" s="351"/>
      <c r="AN230" s="352"/>
      <c r="AO230" s="352"/>
      <c r="AP230" s="352"/>
    </row>
    <row r="231" spans="5:42" s="265" customFormat="1">
      <c r="E231" s="317"/>
      <c r="AM231" s="351"/>
      <c r="AN231" s="352"/>
      <c r="AO231" s="352"/>
      <c r="AP231" s="352"/>
    </row>
    <row r="232" spans="5:42" s="265" customFormat="1">
      <c r="E232" s="317"/>
      <c r="AM232" s="351"/>
      <c r="AN232" s="352"/>
      <c r="AO232" s="352"/>
      <c r="AP232" s="352"/>
    </row>
    <row r="233" spans="5:42" s="265" customFormat="1">
      <c r="E233" s="317"/>
      <c r="AM233" s="351"/>
      <c r="AN233" s="352"/>
      <c r="AO233" s="352"/>
      <c r="AP233" s="352"/>
    </row>
    <row r="234" spans="5:42" s="265" customFormat="1">
      <c r="E234" s="317"/>
      <c r="AM234" s="351"/>
      <c r="AN234" s="352"/>
      <c r="AO234" s="352"/>
      <c r="AP234" s="352"/>
    </row>
    <row r="235" spans="5:42" s="265" customFormat="1">
      <c r="E235" s="317"/>
      <c r="AM235" s="351"/>
      <c r="AN235" s="352"/>
      <c r="AO235" s="352"/>
      <c r="AP235" s="352"/>
    </row>
    <row r="236" spans="5:42" s="265" customFormat="1">
      <c r="E236" s="317"/>
      <c r="AM236" s="351"/>
      <c r="AN236" s="352"/>
      <c r="AO236" s="352"/>
      <c r="AP236" s="352"/>
    </row>
    <row r="237" spans="5:42" s="265" customFormat="1">
      <c r="E237" s="317"/>
      <c r="AM237" s="351"/>
      <c r="AN237" s="352"/>
      <c r="AO237" s="352"/>
      <c r="AP237" s="352"/>
    </row>
    <row r="238" spans="5:42" s="265" customFormat="1">
      <c r="E238" s="317"/>
      <c r="AM238" s="351"/>
      <c r="AN238" s="352"/>
      <c r="AO238" s="352"/>
      <c r="AP238" s="352"/>
    </row>
    <row r="239" spans="5:42" s="265" customFormat="1">
      <c r="E239" s="317"/>
      <c r="AM239" s="351"/>
      <c r="AN239" s="352"/>
      <c r="AO239" s="352"/>
      <c r="AP239" s="352"/>
    </row>
    <row r="240" spans="5:42" s="265" customFormat="1">
      <c r="E240" s="317"/>
      <c r="AM240" s="351"/>
      <c r="AN240" s="352"/>
      <c r="AO240" s="352"/>
      <c r="AP240" s="352"/>
    </row>
    <row r="241" spans="5:42" s="265" customFormat="1">
      <c r="E241" s="317"/>
      <c r="AM241" s="351"/>
      <c r="AN241" s="352"/>
      <c r="AO241" s="352"/>
      <c r="AP241" s="352"/>
    </row>
    <row r="242" spans="5:42" s="265" customFormat="1">
      <c r="E242" s="317"/>
      <c r="AM242" s="351"/>
      <c r="AN242" s="352"/>
      <c r="AO242" s="352"/>
      <c r="AP242" s="352"/>
    </row>
    <row r="243" spans="5:42" s="265" customFormat="1">
      <c r="E243" s="317"/>
      <c r="AM243" s="351"/>
      <c r="AN243" s="352"/>
      <c r="AO243" s="352"/>
      <c r="AP243" s="352"/>
    </row>
    <row r="244" spans="5:42" s="265" customFormat="1">
      <c r="E244" s="317"/>
      <c r="AM244" s="351"/>
      <c r="AN244" s="352"/>
      <c r="AO244" s="352"/>
      <c r="AP244" s="352"/>
    </row>
    <row r="245" spans="5:42" s="265" customFormat="1">
      <c r="E245" s="317"/>
      <c r="AM245" s="351"/>
      <c r="AN245" s="352"/>
      <c r="AO245" s="352"/>
      <c r="AP245" s="352"/>
    </row>
    <row r="246" spans="5:42" s="265" customFormat="1">
      <c r="E246" s="317"/>
      <c r="AM246" s="351"/>
      <c r="AN246" s="352"/>
      <c r="AO246" s="352"/>
      <c r="AP246" s="352"/>
    </row>
    <row r="247" spans="5:42" s="265" customFormat="1">
      <c r="E247" s="317"/>
      <c r="AM247" s="351"/>
      <c r="AN247" s="352"/>
      <c r="AO247" s="352"/>
      <c r="AP247" s="352"/>
    </row>
    <row r="248" spans="5:42" s="265" customFormat="1">
      <c r="E248" s="317"/>
      <c r="AM248" s="351"/>
      <c r="AN248" s="352"/>
      <c r="AO248" s="352"/>
      <c r="AP248" s="352"/>
    </row>
    <row r="249" spans="5:42" s="265" customFormat="1">
      <c r="E249" s="317"/>
      <c r="AM249" s="351"/>
      <c r="AN249" s="352"/>
      <c r="AO249" s="352"/>
      <c r="AP249" s="352"/>
    </row>
    <row r="250" spans="5:42" s="265" customFormat="1">
      <c r="E250" s="317"/>
      <c r="AM250" s="351"/>
      <c r="AN250" s="352"/>
      <c r="AO250" s="352"/>
      <c r="AP250" s="352"/>
    </row>
    <row r="251" spans="5:42" s="265" customFormat="1">
      <c r="E251" s="317"/>
      <c r="AM251" s="351"/>
      <c r="AN251" s="352"/>
      <c r="AO251" s="352"/>
      <c r="AP251" s="352"/>
    </row>
    <row r="252" spans="5:42" s="265" customFormat="1">
      <c r="E252" s="317"/>
      <c r="AM252" s="351"/>
      <c r="AN252" s="352"/>
      <c r="AO252" s="352"/>
      <c r="AP252" s="352"/>
    </row>
    <row r="253" spans="5:42" s="265" customFormat="1">
      <c r="E253" s="317"/>
      <c r="AM253" s="351"/>
      <c r="AN253" s="352"/>
      <c r="AO253" s="352"/>
      <c r="AP253" s="352"/>
    </row>
    <row r="254" spans="5:42" s="265" customFormat="1">
      <c r="E254" s="317"/>
      <c r="AM254" s="351"/>
      <c r="AN254" s="352"/>
      <c r="AO254" s="352"/>
      <c r="AP254" s="352"/>
    </row>
    <row r="255" spans="5:42" s="265" customFormat="1">
      <c r="E255" s="317"/>
      <c r="AM255" s="351"/>
      <c r="AN255" s="352"/>
      <c r="AO255" s="352"/>
      <c r="AP255" s="352"/>
    </row>
    <row r="256" spans="5:42" s="265" customFormat="1">
      <c r="E256" s="317"/>
      <c r="AM256" s="351"/>
      <c r="AN256" s="352"/>
      <c r="AO256" s="352"/>
      <c r="AP256" s="352"/>
    </row>
    <row r="257" spans="5:42" s="265" customFormat="1">
      <c r="E257" s="317"/>
      <c r="AM257" s="351"/>
      <c r="AN257" s="352"/>
      <c r="AO257" s="352"/>
      <c r="AP257" s="352"/>
    </row>
    <row r="258" spans="5:42" s="265" customFormat="1">
      <c r="E258" s="317"/>
      <c r="AM258" s="351"/>
      <c r="AN258" s="352"/>
      <c r="AO258" s="352"/>
      <c r="AP258" s="352"/>
    </row>
    <row r="259" spans="5:42" s="265" customFormat="1">
      <c r="E259" s="317"/>
      <c r="AM259" s="351"/>
      <c r="AN259" s="352"/>
      <c r="AO259" s="352"/>
      <c r="AP259" s="352"/>
    </row>
    <row r="260" spans="5:42" s="265" customFormat="1">
      <c r="E260" s="317"/>
      <c r="AM260" s="351"/>
      <c r="AN260" s="352"/>
      <c r="AO260" s="352"/>
      <c r="AP260" s="352"/>
    </row>
    <row r="261" spans="5:42" s="265" customFormat="1">
      <c r="E261" s="317"/>
      <c r="AM261" s="351"/>
      <c r="AN261" s="352"/>
      <c r="AO261" s="352"/>
      <c r="AP261" s="352"/>
    </row>
    <row r="262" spans="5:42" s="265" customFormat="1">
      <c r="E262" s="317"/>
      <c r="AM262" s="351"/>
      <c r="AN262" s="352"/>
      <c r="AO262" s="352"/>
      <c r="AP262" s="352"/>
    </row>
    <row r="263" spans="5:42" s="265" customFormat="1">
      <c r="E263" s="317"/>
      <c r="AM263" s="351"/>
      <c r="AN263" s="352"/>
      <c r="AO263" s="352"/>
      <c r="AP263" s="352"/>
    </row>
    <row r="264" spans="5:42" s="265" customFormat="1">
      <c r="E264" s="317"/>
      <c r="AM264" s="351"/>
      <c r="AN264" s="352"/>
      <c r="AO264" s="352"/>
      <c r="AP264" s="352"/>
    </row>
    <row r="265" spans="5:42" s="265" customFormat="1">
      <c r="E265" s="317"/>
      <c r="AM265" s="351"/>
      <c r="AN265" s="352"/>
      <c r="AO265" s="352"/>
      <c r="AP265" s="352"/>
    </row>
    <row r="266" spans="5:42" s="265" customFormat="1">
      <c r="E266" s="317"/>
      <c r="AM266" s="351"/>
      <c r="AN266" s="352"/>
      <c r="AO266" s="352"/>
      <c r="AP266" s="352"/>
    </row>
    <row r="267" spans="5:42" s="265" customFormat="1">
      <c r="E267" s="317"/>
      <c r="AM267" s="351"/>
      <c r="AN267" s="352"/>
      <c r="AO267" s="352"/>
      <c r="AP267" s="352"/>
    </row>
    <row r="268" spans="5:42" s="265" customFormat="1">
      <c r="E268" s="317"/>
      <c r="AM268" s="351"/>
      <c r="AN268" s="352"/>
      <c r="AO268" s="352"/>
      <c r="AP268" s="352"/>
    </row>
    <row r="269" spans="5:42" s="265" customFormat="1">
      <c r="E269" s="317"/>
      <c r="AM269" s="351"/>
      <c r="AN269" s="352"/>
      <c r="AO269" s="352"/>
      <c r="AP269" s="352"/>
    </row>
    <row r="270" spans="5:42" s="265" customFormat="1">
      <c r="E270" s="317"/>
      <c r="AM270" s="351"/>
      <c r="AN270" s="352"/>
      <c r="AO270" s="352"/>
      <c r="AP270" s="352"/>
    </row>
    <row r="271" spans="5:42" s="265" customFormat="1">
      <c r="E271" s="317"/>
      <c r="AM271" s="351"/>
      <c r="AN271" s="352"/>
      <c r="AO271" s="352"/>
      <c r="AP271" s="352"/>
    </row>
    <row r="272" spans="5:42" s="265" customFormat="1">
      <c r="E272" s="317"/>
      <c r="AM272" s="351"/>
      <c r="AN272" s="352"/>
      <c r="AO272" s="352"/>
      <c r="AP272" s="352"/>
    </row>
    <row r="273" spans="5:42" s="265" customFormat="1">
      <c r="E273" s="317"/>
      <c r="AM273" s="351"/>
      <c r="AN273" s="352"/>
      <c r="AO273" s="352"/>
      <c r="AP273" s="352"/>
    </row>
    <row r="274" spans="5:42" s="265" customFormat="1">
      <c r="E274" s="317"/>
      <c r="AM274" s="351"/>
      <c r="AN274" s="352"/>
      <c r="AO274" s="352"/>
      <c r="AP274" s="352"/>
    </row>
    <row r="275" spans="5:42" s="265" customFormat="1">
      <c r="E275" s="317"/>
      <c r="AM275" s="351"/>
      <c r="AN275" s="352"/>
      <c r="AO275" s="352"/>
      <c r="AP275" s="352"/>
    </row>
    <row r="276" spans="5:42" s="265" customFormat="1">
      <c r="E276" s="317"/>
      <c r="AM276" s="351"/>
      <c r="AN276" s="352"/>
      <c r="AO276" s="352"/>
      <c r="AP276" s="352"/>
    </row>
    <row r="277" spans="5:42" s="265" customFormat="1">
      <c r="E277" s="317"/>
      <c r="AM277" s="351"/>
      <c r="AN277" s="352"/>
      <c r="AO277" s="352"/>
      <c r="AP277" s="352"/>
    </row>
    <row r="278" spans="5:42" s="265" customFormat="1">
      <c r="E278" s="317"/>
      <c r="AM278" s="351"/>
      <c r="AN278" s="352"/>
      <c r="AO278" s="352"/>
      <c r="AP278" s="352"/>
    </row>
    <row r="279" spans="5:42" s="265" customFormat="1">
      <c r="E279" s="317"/>
      <c r="AM279" s="351"/>
      <c r="AN279" s="352"/>
      <c r="AO279" s="352"/>
      <c r="AP279" s="352"/>
    </row>
    <row r="280" spans="5:42" s="265" customFormat="1">
      <c r="E280" s="317"/>
      <c r="AM280" s="351"/>
      <c r="AN280" s="352"/>
      <c r="AO280" s="352"/>
      <c r="AP280" s="352"/>
    </row>
    <row r="281" spans="5:42" s="265" customFormat="1">
      <c r="E281" s="317"/>
      <c r="AM281" s="351"/>
      <c r="AN281" s="352"/>
      <c r="AO281" s="352"/>
      <c r="AP281" s="352"/>
    </row>
    <row r="282" spans="5:42" s="265" customFormat="1">
      <c r="E282" s="317"/>
      <c r="AM282" s="351"/>
      <c r="AN282" s="352"/>
      <c r="AO282" s="352"/>
      <c r="AP282" s="352"/>
    </row>
    <row r="283" spans="5:42" s="265" customFormat="1">
      <c r="E283" s="317"/>
      <c r="AM283" s="351"/>
      <c r="AN283" s="352"/>
      <c r="AO283" s="352"/>
      <c r="AP283" s="352"/>
    </row>
    <row r="284" spans="5:42" s="265" customFormat="1">
      <c r="E284" s="317"/>
      <c r="AM284" s="351"/>
      <c r="AN284" s="352"/>
      <c r="AO284" s="352"/>
      <c r="AP284" s="352"/>
    </row>
    <row r="285" spans="5:42" s="265" customFormat="1">
      <c r="E285" s="317"/>
      <c r="AM285" s="351"/>
      <c r="AN285" s="352"/>
      <c r="AO285" s="352"/>
      <c r="AP285" s="352"/>
    </row>
    <row r="286" spans="5:42" s="265" customFormat="1">
      <c r="E286" s="317"/>
      <c r="AM286" s="351"/>
      <c r="AN286" s="352"/>
      <c r="AO286" s="352"/>
      <c r="AP286" s="352"/>
    </row>
    <row r="287" spans="5:42" s="265" customFormat="1">
      <c r="E287" s="317"/>
      <c r="AM287" s="351"/>
      <c r="AN287" s="352"/>
      <c r="AO287" s="352"/>
      <c r="AP287" s="352"/>
    </row>
    <row r="288" spans="5:42" s="265" customFormat="1">
      <c r="E288" s="317"/>
      <c r="AM288" s="351"/>
      <c r="AN288" s="352"/>
      <c r="AO288" s="352"/>
      <c r="AP288" s="352"/>
    </row>
    <row r="289" spans="5:42" s="265" customFormat="1">
      <c r="E289" s="317"/>
      <c r="AM289" s="351"/>
      <c r="AN289" s="352"/>
      <c r="AO289" s="352"/>
      <c r="AP289" s="352"/>
    </row>
    <row r="290" spans="5:42" s="265" customFormat="1">
      <c r="E290" s="317"/>
      <c r="AM290" s="351"/>
      <c r="AN290" s="352"/>
      <c r="AO290" s="352"/>
      <c r="AP290" s="352"/>
    </row>
    <row r="291" spans="5:42" s="265" customFormat="1">
      <c r="E291" s="317"/>
      <c r="AM291" s="351"/>
      <c r="AN291" s="352"/>
      <c r="AO291" s="352"/>
      <c r="AP291" s="352"/>
    </row>
    <row r="292" spans="5:42" s="265" customFormat="1">
      <c r="E292" s="317"/>
      <c r="AM292" s="351"/>
      <c r="AN292" s="352"/>
      <c r="AO292" s="352"/>
      <c r="AP292" s="352"/>
    </row>
    <row r="293" spans="5:42" s="265" customFormat="1">
      <c r="E293" s="317"/>
      <c r="AM293" s="351"/>
      <c r="AN293" s="352"/>
      <c r="AO293" s="352"/>
      <c r="AP293" s="352"/>
    </row>
    <row r="294" spans="5:42" s="265" customFormat="1">
      <c r="E294" s="317"/>
      <c r="AM294" s="351"/>
      <c r="AN294" s="352"/>
      <c r="AO294" s="352"/>
      <c r="AP294" s="352"/>
    </row>
    <row r="295" spans="5:42" s="265" customFormat="1">
      <c r="E295" s="317"/>
      <c r="AM295" s="351"/>
      <c r="AN295" s="352"/>
      <c r="AO295" s="352"/>
      <c r="AP295" s="352"/>
    </row>
    <row r="296" spans="5:42" s="265" customFormat="1">
      <c r="E296" s="317"/>
      <c r="AM296" s="351"/>
      <c r="AN296" s="352"/>
      <c r="AO296" s="352"/>
      <c r="AP296" s="352"/>
    </row>
    <row r="297" spans="5:42" s="265" customFormat="1">
      <c r="E297" s="317"/>
      <c r="AM297" s="351"/>
      <c r="AN297" s="352"/>
      <c r="AO297" s="352"/>
      <c r="AP297" s="352"/>
    </row>
    <row r="298" spans="5:42" s="265" customFormat="1">
      <c r="E298" s="317"/>
      <c r="AM298" s="351"/>
      <c r="AN298" s="352"/>
      <c r="AO298" s="352"/>
      <c r="AP298" s="352"/>
    </row>
    <row r="299" spans="5:42" s="265" customFormat="1">
      <c r="E299" s="317"/>
      <c r="AM299" s="351"/>
      <c r="AN299" s="352"/>
      <c r="AO299" s="352"/>
      <c r="AP299" s="352"/>
    </row>
    <row r="300" spans="5:42" s="265" customFormat="1">
      <c r="E300" s="317"/>
      <c r="AM300" s="351"/>
      <c r="AN300" s="352"/>
      <c r="AO300" s="352"/>
      <c r="AP300" s="352"/>
    </row>
    <row r="301" spans="5:42" s="265" customFormat="1">
      <c r="E301" s="317"/>
      <c r="AM301" s="351"/>
      <c r="AN301" s="352"/>
      <c r="AO301" s="352"/>
      <c r="AP301" s="352"/>
    </row>
    <row r="302" spans="5:42" s="265" customFormat="1">
      <c r="E302" s="317"/>
      <c r="AM302" s="351"/>
      <c r="AN302" s="352"/>
      <c r="AO302" s="352"/>
      <c r="AP302" s="352"/>
    </row>
    <row r="303" spans="5:42" s="265" customFormat="1">
      <c r="E303" s="317"/>
      <c r="AM303" s="351"/>
      <c r="AN303" s="352"/>
      <c r="AO303" s="352"/>
      <c r="AP303" s="352"/>
    </row>
    <row r="304" spans="5:42" s="265" customFormat="1">
      <c r="E304" s="317"/>
      <c r="AM304" s="351"/>
      <c r="AN304" s="352"/>
      <c r="AO304" s="352"/>
      <c r="AP304" s="352"/>
    </row>
    <row r="305" spans="5:42" s="265" customFormat="1">
      <c r="E305" s="317"/>
      <c r="AM305" s="351"/>
      <c r="AN305" s="352"/>
      <c r="AO305" s="352"/>
      <c r="AP305" s="352"/>
    </row>
    <row r="306" spans="5:42" s="265" customFormat="1">
      <c r="E306" s="317"/>
      <c r="AM306" s="351"/>
      <c r="AN306" s="352"/>
      <c r="AO306" s="352"/>
      <c r="AP306" s="352"/>
    </row>
    <row r="307" spans="5:42" s="265" customFormat="1">
      <c r="E307" s="317"/>
      <c r="AM307" s="351"/>
      <c r="AN307" s="352"/>
      <c r="AO307" s="352"/>
      <c r="AP307" s="352"/>
    </row>
    <row r="308" spans="5:42" s="265" customFormat="1">
      <c r="E308" s="317"/>
      <c r="AM308" s="351"/>
      <c r="AN308" s="352"/>
      <c r="AO308" s="352"/>
      <c r="AP308" s="352"/>
    </row>
    <row r="309" spans="5:42" s="265" customFormat="1">
      <c r="E309" s="317"/>
      <c r="AM309" s="351"/>
      <c r="AN309" s="352"/>
      <c r="AO309" s="352"/>
      <c r="AP309" s="352"/>
    </row>
    <row r="310" spans="5:42" s="265" customFormat="1">
      <c r="E310" s="317"/>
      <c r="AM310" s="351"/>
      <c r="AN310" s="352"/>
      <c r="AO310" s="352"/>
      <c r="AP310" s="352"/>
    </row>
    <row r="311" spans="5:42" s="265" customFormat="1">
      <c r="E311" s="317"/>
      <c r="AM311" s="351"/>
      <c r="AN311" s="352"/>
      <c r="AO311" s="352"/>
      <c r="AP311" s="352"/>
    </row>
    <row r="312" spans="5:42" s="265" customFormat="1">
      <c r="E312" s="317"/>
      <c r="AM312" s="351"/>
      <c r="AN312" s="352"/>
      <c r="AO312" s="352"/>
      <c r="AP312" s="352"/>
    </row>
    <row r="313" spans="5:42" s="265" customFormat="1">
      <c r="E313" s="317"/>
      <c r="AM313" s="351"/>
      <c r="AN313" s="352"/>
      <c r="AO313" s="352"/>
      <c r="AP313" s="352"/>
    </row>
    <row r="314" spans="5:42" s="265" customFormat="1">
      <c r="E314" s="317"/>
      <c r="AM314" s="351"/>
      <c r="AN314" s="352"/>
      <c r="AO314" s="352"/>
      <c r="AP314" s="352"/>
    </row>
    <row r="315" spans="5:42" s="265" customFormat="1">
      <c r="E315" s="317"/>
      <c r="AM315" s="351"/>
      <c r="AN315" s="352"/>
      <c r="AO315" s="352"/>
      <c r="AP315" s="352"/>
    </row>
    <row r="316" spans="5:42" s="265" customFormat="1">
      <c r="E316" s="317"/>
      <c r="AM316" s="351"/>
      <c r="AN316" s="352"/>
      <c r="AO316" s="352"/>
      <c r="AP316" s="352"/>
    </row>
    <row r="317" spans="5:42" s="265" customFormat="1">
      <c r="E317" s="317"/>
      <c r="AM317" s="351"/>
      <c r="AN317" s="352"/>
      <c r="AO317" s="352"/>
      <c r="AP317" s="352"/>
    </row>
    <row r="318" spans="5:42" s="265" customFormat="1">
      <c r="E318" s="317"/>
      <c r="AM318" s="351"/>
      <c r="AN318" s="352"/>
      <c r="AO318" s="352"/>
      <c r="AP318" s="352"/>
    </row>
    <row r="319" spans="5:42" s="265" customFormat="1">
      <c r="E319" s="317"/>
      <c r="AM319" s="351"/>
      <c r="AN319" s="352"/>
      <c r="AO319" s="352"/>
      <c r="AP319" s="352"/>
    </row>
    <row r="320" spans="5:42" s="265" customFormat="1">
      <c r="E320" s="317"/>
      <c r="AM320" s="351"/>
      <c r="AN320" s="352"/>
      <c r="AO320" s="352"/>
      <c r="AP320" s="352"/>
    </row>
    <row r="321" spans="5:42" s="265" customFormat="1">
      <c r="E321" s="317"/>
      <c r="AM321" s="351"/>
      <c r="AN321" s="352"/>
      <c r="AO321" s="352"/>
      <c r="AP321" s="352"/>
    </row>
    <row r="322" spans="5:42" s="265" customFormat="1">
      <c r="E322" s="317"/>
      <c r="AM322" s="351"/>
      <c r="AN322" s="352"/>
      <c r="AO322" s="352"/>
      <c r="AP322" s="352"/>
    </row>
    <row r="323" spans="5:42" s="265" customFormat="1">
      <c r="E323" s="317"/>
      <c r="AM323" s="351"/>
      <c r="AN323" s="352"/>
      <c r="AO323" s="352"/>
      <c r="AP323" s="352"/>
    </row>
    <row r="324" spans="5:42" s="265" customFormat="1">
      <c r="E324" s="317"/>
      <c r="AM324" s="351"/>
      <c r="AN324" s="352"/>
      <c r="AO324" s="352"/>
      <c r="AP324" s="352"/>
    </row>
    <row r="325" spans="5:42" s="265" customFormat="1">
      <c r="E325" s="317"/>
      <c r="AM325" s="351"/>
      <c r="AN325" s="352"/>
      <c r="AO325" s="352"/>
      <c r="AP325" s="352"/>
    </row>
    <row r="326" spans="5:42" s="265" customFormat="1">
      <c r="E326" s="317"/>
      <c r="AM326" s="351"/>
      <c r="AN326" s="352"/>
      <c r="AO326" s="352"/>
      <c r="AP326" s="352"/>
    </row>
    <row r="327" spans="5:42" s="265" customFormat="1">
      <c r="E327" s="317"/>
      <c r="AM327" s="351"/>
      <c r="AN327" s="352"/>
      <c r="AO327" s="352"/>
      <c r="AP327" s="352"/>
    </row>
    <row r="328" spans="5:42" s="265" customFormat="1">
      <c r="E328" s="317"/>
      <c r="AM328" s="351"/>
      <c r="AN328" s="352"/>
      <c r="AO328" s="352"/>
      <c r="AP328" s="352"/>
    </row>
    <row r="329" spans="5:42" s="265" customFormat="1">
      <c r="E329" s="317"/>
      <c r="AM329" s="351"/>
      <c r="AN329" s="352"/>
      <c r="AO329" s="352"/>
      <c r="AP329" s="352"/>
    </row>
    <row r="330" spans="5:42" s="265" customFormat="1">
      <c r="E330" s="317"/>
      <c r="AM330" s="351"/>
      <c r="AN330" s="352"/>
      <c r="AO330" s="352"/>
      <c r="AP330" s="352"/>
    </row>
    <row r="331" spans="5:42" s="265" customFormat="1">
      <c r="E331" s="317"/>
      <c r="AM331" s="351"/>
      <c r="AN331" s="352"/>
      <c r="AO331" s="352"/>
      <c r="AP331" s="352"/>
    </row>
    <row r="332" spans="5:42" s="265" customFormat="1">
      <c r="E332" s="317"/>
      <c r="AM332" s="351"/>
      <c r="AN332" s="352"/>
      <c r="AO332" s="352"/>
      <c r="AP332" s="352"/>
    </row>
    <row r="333" spans="5:42" s="265" customFormat="1">
      <c r="E333" s="317"/>
      <c r="AM333" s="351"/>
      <c r="AN333" s="352"/>
      <c r="AO333" s="352"/>
      <c r="AP333" s="352"/>
    </row>
    <row r="334" spans="5:42" s="265" customFormat="1">
      <c r="E334" s="317"/>
      <c r="AM334" s="351"/>
      <c r="AN334" s="352"/>
      <c r="AO334" s="352"/>
      <c r="AP334" s="352"/>
    </row>
    <row r="335" spans="5:42" s="265" customFormat="1">
      <c r="E335" s="317"/>
      <c r="AM335" s="351"/>
      <c r="AN335" s="352"/>
      <c r="AO335" s="352"/>
      <c r="AP335" s="352"/>
    </row>
    <row r="336" spans="5:42" s="265" customFormat="1">
      <c r="E336" s="317"/>
      <c r="AM336" s="351"/>
      <c r="AN336" s="352"/>
      <c r="AO336" s="352"/>
      <c r="AP336" s="352"/>
    </row>
    <row r="337" spans="5:42" s="265" customFormat="1">
      <c r="E337" s="317"/>
      <c r="AM337" s="351"/>
      <c r="AN337" s="352"/>
      <c r="AO337" s="352"/>
      <c r="AP337" s="352"/>
    </row>
    <row r="338" spans="5:42" s="265" customFormat="1">
      <c r="E338" s="317"/>
      <c r="AM338" s="351"/>
      <c r="AN338" s="352"/>
      <c r="AO338" s="352"/>
      <c r="AP338" s="352"/>
    </row>
    <row r="339" spans="5:42" s="265" customFormat="1">
      <c r="E339" s="317"/>
      <c r="AM339" s="351"/>
      <c r="AN339" s="352"/>
      <c r="AO339" s="352"/>
      <c r="AP339" s="352"/>
    </row>
    <row r="340" spans="5:42" s="265" customFormat="1">
      <c r="E340" s="317"/>
      <c r="AM340" s="351"/>
      <c r="AN340" s="352"/>
      <c r="AO340" s="352"/>
      <c r="AP340" s="352"/>
    </row>
    <row r="341" spans="5:42" s="265" customFormat="1">
      <c r="E341" s="317"/>
      <c r="AM341" s="351"/>
      <c r="AN341" s="352"/>
      <c r="AO341" s="352"/>
      <c r="AP341" s="352"/>
    </row>
    <row r="342" spans="5:42" s="265" customFormat="1">
      <c r="E342" s="317"/>
      <c r="AM342" s="351"/>
      <c r="AN342" s="352"/>
      <c r="AO342" s="352"/>
      <c r="AP342" s="352"/>
    </row>
    <row r="343" spans="5:42" s="265" customFormat="1">
      <c r="E343" s="317"/>
      <c r="AM343" s="351"/>
      <c r="AN343" s="352"/>
      <c r="AO343" s="352"/>
      <c r="AP343" s="352"/>
    </row>
    <row r="344" spans="5:42" s="265" customFormat="1">
      <c r="E344" s="317"/>
      <c r="AM344" s="351"/>
      <c r="AN344" s="352"/>
      <c r="AO344" s="352"/>
      <c r="AP344" s="352"/>
    </row>
    <row r="345" spans="5:42" s="265" customFormat="1">
      <c r="E345" s="317"/>
      <c r="AM345" s="351"/>
      <c r="AN345" s="352"/>
      <c r="AO345" s="352"/>
      <c r="AP345" s="352"/>
    </row>
    <row r="346" spans="5:42" s="265" customFormat="1">
      <c r="E346" s="317"/>
      <c r="AM346" s="351"/>
      <c r="AN346" s="352"/>
      <c r="AO346" s="352"/>
      <c r="AP346" s="352"/>
    </row>
    <row r="347" spans="5:42" s="265" customFormat="1">
      <c r="E347" s="317"/>
      <c r="AM347" s="351"/>
      <c r="AN347" s="352"/>
      <c r="AO347" s="352"/>
      <c r="AP347" s="352"/>
    </row>
    <row r="348" spans="5:42" s="265" customFormat="1">
      <c r="E348" s="317"/>
      <c r="AM348" s="351"/>
      <c r="AN348" s="352"/>
      <c r="AO348" s="352"/>
      <c r="AP348" s="352"/>
    </row>
    <row r="349" spans="5:42" s="265" customFormat="1">
      <c r="E349" s="317"/>
      <c r="AM349" s="351"/>
      <c r="AN349" s="352"/>
      <c r="AO349" s="352"/>
      <c r="AP349" s="352"/>
    </row>
    <row r="350" spans="5:42" s="265" customFormat="1">
      <c r="E350" s="317"/>
      <c r="AM350" s="351"/>
      <c r="AN350" s="352"/>
      <c r="AO350" s="352"/>
      <c r="AP350" s="352"/>
    </row>
    <row r="351" spans="5:42" s="265" customFormat="1">
      <c r="E351" s="317"/>
      <c r="AM351" s="351"/>
      <c r="AN351" s="352"/>
      <c r="AO351" s="352"/>
      <c r="AP351" s="352"/>
    </row>
    <row r="352" spans="5:42" s="265" customFormat="1">
      <c r="E352" s="317"/>
      <c r="AM352" s="351"/>
      <c r="AN352" s="352"/>
      <c r="AO352" s="352"/>
      <c r="AP352" s="352"/>
    </row>
    <row r="353" spans="5:42" s="265" customFormat="1">
      <c r="E353" s="317"/>
      <c r="AM353" s="351"/>
      <c r="AN353" s="352"/>
      <c r="AO353" s="352"/>
      <c r="AP353" s="352"/>
    </row>
    <row r="354" spans="5:42" s="265" customFormat="1">
      <c r="E354" s="317"/>
      <c r="AM354" s="351"/>
      <c r="AN354" s="352"/>
      <c r="AO354" s="352"/>
      <c r="AP354" s="352"/>
    </row>
    <row r="355" spans="5:42" s="265" customFormat="1">
      <c r="E355" s="317"/>
      <c r="AM355" s="351"/>
      <c r="AN355" s="352"/>
      <c r="AO355" s="352"/>
      <c r="AP355" s="352"/>
    </row>
    <row r="356" spans="5:42" s="265" customFormat="1">
      <c r="E356" s="317"/>
      <c r="AM356" s="351"/>
      <c r="AN356" s="352"/>
      <c r="AO356" s="352"/>
      <c r="AP356" s="352"/>
    </row>
    <row r="357" spans="5:42" s="265" customFormat="1">
      <c r="E357" s="317"/>
      <c r="AM357" s="351"/>
      <c r="AN357" s="352"/>
      <c r="AO357" s="352"/>
      <c r="AP357" s="352"/>
    </row>
    <row r="358" spans="5:42" s="265" customFormat="1">
      <c r="E358" s="317"/>
      <c r="AM358" s="351"/>
      <c r="AN358" s="352"/>
      <c r="AO358" s="352"/>
      <c r="AP358" s="352"/>
    </row>
    <row r="359" spans="5:42" s="265" customFormat="1">
      <c r="E359" s="317"/>
      <c r="AM359" s="351"/>
      <c r="AN359" s="352"/>
      <c r="AO359" s="352"/>
      <c r="AP359" s="352"/>
    </row>
    <row r="360" spans="5:42" s="265" customFormat="1">
      <c r="E360" s="317"/>
      <c r="AM360" s="351"/>
      <c r="AN360" s="352"/>
      <c r="AO360" s="352"/>
      <c r="AP360" s="352"/>
    </row>
    <row r="361" spans="5:42" s="265" customFormat="1">
      <c r="E361" s="317"/>
      <c r="AM361" s="351"/>
      <c r="AN361" s="352"/>
      <c r="AO361" s="352"/>
      <c r="AP361" s="352"/>
    </row>
    <row r="362" spans="5:42" s="265" customFormat="1">
      <c r="E362" s="317"/>
      <c r="AM362" s="351"/>
      <c r="AN362" s="352"/>
      <c r="AO362" s="352"/>
      <c r="AP362" s="352"/>
    </row>
    <row r="363" spans="5:42" s="265" customFormat="1">
      <c r="E363" s="317"/>
      <c r="AM363" s="351"/>
      <c r="AN363" s="352"/>
      <c r="AO363" s="352"/>
      <c r="AP363" s="352"/>
    </row>
    <row r="364" spans="5:42" s="265" customFormat="1">
      <c r="E364" s="317"/>
      <c r="AM364" s="351"/>
      <c r="AN364" s="352"/>
      <c r="AO364" s="352"/>
      <c r="AP364" s="352"/>
    </row>
    <row r="365" spans="5:42" s="265" customFormat="1">
      <c r="E365" s="317"/>
      <c r="AM365" s="351"/>
      <c r="AN365" s="352"/>
      <c r="AO365" s="352"/>
      <c r="AP365" s="352"/>
    </row>
    <row r="366" spans="5:42" s="265" customFormat="1">
      <c r="E366" s="317"/>
      <c r="AM366" s="351"/>
      <c r="AN366" s="352"/>
      <c r="AO366" s="352"/>
      <c r="AP366" s="352"/>
    </row>
    <row r="367" spans="5:42" s="265" customFormat="1">
      <c r="E367" s="317"/>
      <c r="AM367" s="351"/>
      <c r="AN367" s="352"/>
      <c r="AO367" s="352"/>
      <c r="AP367" s="352"/>
    </row>
    <row r="368" spans="5:42" s="265" customFormat="1">
      <c r="E368" s="317"/>
      <c r="AM368" s="351"/>
      <c r="AN368" s="352"/>
      <c r="AO368" s="352"/>
      <c r="AP368" s="352"/>
    </row>
    <row r="369" spans="5:42" s="265" customFormat="1">
      <c r="E369" s="317"/>
      <c r="AM369" s="351"/>
      <c r="AN369" s="352"/>
      <c r="AO369" s="352"/>
      <c r="AP369" s="352"/>
    </row>
    <row r="370" spans="5:42" s="265" customFormat="1">
      <c r="E370" s="317"/>
      <c r="AM370" s="351"/>
      <c r="AN370" s="352"/>
      <c r="AO370" s="352"/>
      <c r="AP370" s="352"/>
    </row>
    <row r="371" spans="5:42" s="265" customFormat="1">
      <c r="E371" s="317"/>
      <c r="AM371" s="351"/>
      <c r="AN371" s="352"/>
      <c r="AO371" s="352"/>
      <c r="AP371" s="352"/>
    </row>
    <row r="372" spans="5:42" s="265" customFormat="1">
      <c r="E372" s="317"/>
      <c r="AM372" s="351"/>
      <c r="AN372" s="352"/>
      <c r="AO372" s="352"/>
      <c r="AP372" s="352"/>
    </row>
    <row r="373" spans="5:42" s="265" customFormat="1">
      <c r="E373" s="317"/>
      <c r="AM373" s="351"/>
      <c r="AN373" s="352"/>
      <c r="AO373" s="352"/>
      <c r="AP373" s="352"/>
    </row>
    <row r="374" spans="5:42" s="265" customFormat="1">
      <c r="E374" s="317"/>
      <c r="AM374" s="351"/>
      <c r="AN374" s="352"/>
      <c r="AO374" s="352"/>
      <c r="AP374" s="352"/>
    </row>
    <row r="375" spans="5:42" s="265" customFormat="1">
      <c r="E375" s="317"/>
      <c r="AM375" s="351"/>
      <c r="AN375" s="352"/>
      <c r="AO375" s="352"/>
      <c r="AP375" s="352"/>
    </row>
    <row r="376" spans="5:42" s="265" customFormat="1">
      <c r="E376" s="317"/>
      <c r="AM376" s="351"/>
      <c r="AN376" s="352"/>
      <c r="AO376" s="352"/>
      <c r="AP376" s="352"/>
    </row>
    <row r="377" spans="5:42" s="265" customFormat="1">
      <c r="E377" s="317"/>
      <c r="AM377" s="351"/>
      <c r="AN377" s="352"/>
      <c r="AO377" s="352"/>
      <c r="AP377" s="352"/>
    </row>
    <row r="378" spans="5:42" s="265" customFormat="1">
      <c r="E378" s="317"/>
      <c r="AM378" s="351"/>
      <c r="AN378" s="352"/>
      <c r="AO378" s="352"/>
      <c r="AP378" s="352"/>
    </row>
    <row r="379" spans="5:42" s="265" customFormat="1">
      <c r="E379" s="317"/>
      <c r="AM379" s="351"/>
      <c r="AN379" s="352"/>
      <c r="AO379" s="352"/>
      <c r="AP379" s="352"/>
    </row>
    <row r="380" spans="5:42" s="265" customFormat="1">
      <c r="E380" s="317"/>
      <c r="AM380" s="351"/>
      <c r="AN380" s="352"/>
      <c r="AO380" s="352"/>
      <c r="AP380" s="352"/>
    </row>
    <row r="381" spans="5:42" s="265" customFormat="1">
      <c r="E381" s="317"/>
      <c r="AM381" s="351"/>
      <c r="AN381" s="352"/>
      <c r="AO381" s="352"/>
      <c r="AP381" s="352"/>
    </row>
    <row r="382" spans="5:42" s="265" customFormat="1">
      <c r="E382" s="317"/>
      <c r="AM382" s="351"/>
      <c r="AN382" s="352"/>
      <c r="AO382" s="352"/>
      <c r="AP382" s="352"/>
    </row>
    <row r="383" spans="5:42" s="265" customFormat="1">
      <c r="E383" s="317"/>
      <c r="AM383" s="351"/>
      <c r="AN383" s="352"/>
      <c r="AO383" s="352"/>
      <c r="AP383" s="352"/>
    </row>
    <row r="384" spans="5:42" s="265" customFormat="1">
      <c r="E384" s="317"/>
      <c r="AM384" s="351"/>
      <c r="AN384" s="352"/>
      <c r="AO384" s="352"/>
      <c r="AP384" s="352"/>
    </row>
    <row r="385" spans="5:42" s="265" customFormat="1">
      <c r="E385" s="317"/>
      <c r="AM385" s="351"/>
      <c r="AN385" s="352"/>
      <c r="AO385" s="352"/>
      <c r="AP385" s="352"/>
    </row>
    <row r="386" spans="5:42" s="265" customFormat="1">
      <c r="E386" s="317"/>
      <c r="AM386" s="351"/>
      <c r="AN386" s="352"/>
      <c r="AO386" s="352"/>
      <c r="AP386" s="352"/>
    </row>
    <row r="387" spans="5:42" s="265" customFormat="1">
      <c r="E387" s="317"/>
      <c r="AM387" s="351"/>
      <c r="AN387" s="352"/>
      <c r="AO387" s="352"/>
      <c r="AP387" s="352"/>
    </row>
    <row r="388" spans="5:42" s="265" customFormat="1">
      <c r="E388" s="317"/>
      <c r="AM388" s="351"/>
      <c r="AN388" s="352"/>
      <c r="AO388" s="352"/>
      <c r="AP388" s="352"/>
    </row>
    <row r="389" spans="5:42" s="265" customFormat="1">
      <c r="E389" s="317"/>
      <c r="AM389" s="351"/>
      <c r="AN389" s="352"/>
      <c r="AO389" s="352"/>
      <c r="AP389" s="352"/>
    </row>
    <row r="390" spans="5:42" s="265" customFormat="1">
      <c r="E390" s="317"/>
      <c r="AM390" s="351"/>
      <c r="AN390" s="352"/>
      <c r="AO390" s="352"/>
      <c r="AP390" s="352"/>
    </row>
    <row r="391" spans="5:42" s="265" customFormat="1">
      <c r="E391" s="317"/>
      <c r="AM391" s="351"/>
      <c r="AN391" s="352"/>
      <c r="AO391" s="352"/>
      <c r="AP391" s="352"/>
    </row>
    <row r="392" spans="5:42" s="265" customFormat="1">
      <c r="E392" s="317"/>
      <c r="AM392" s="351"/>
      <c r="AN392" s="352"/>
      <c r="AO392" s="352"/>
      <c r="AP392" s="352"/>
    </row>
    <row r="393" spans="5:42" s="265" customFormat="1">
      <c r="E393" s="317"/>
      <c r="AM393" s="351"/>
      <c r="AN393" s="352"/>
      <c r="AO393" s="352"/>
      <c r="AP393" s="352"/>
    </row>
    <row r="394" spans="5:42" s="265" customFormat="1">
      <c r="E394" s="317"/>
      <c r="AM394" s="351"/>
      <c r="AN394" s="352"/>
      <c r="AO394" s="352"/>
      <c r="AP394" s="352"/>
    </row>
    <row r="395" spans="5:42" s="265" customFormat="1">
      <c r="E395" s="317"/>
      <c r="AM395" s="351"/>
      <c r="AN395" s="352"/>
      <c r="AO395" s="352"/>
      <c r="AP395" s="352"/>
    </row>
    <row r="396" spans="5:42" s="265" customFormat="1">
      <c r="E396" s="317"/>
      <c r="AM396" s="351"/>
      <c r="AN396" s="352"/>
      <c r="AO396" s="352"/>
      <c r="AP396" s="352"/>
    </row>
    <row r="397" spans="5:42" s="265" customFormat="1">
      <c r="E397" s="317"/>
      <c r="AM397" s="351"/>
      <c r="AN397" s="352"/>
      <c r="AO397" s="352"/>
      <c r="AP397" s="352"/>
    </row>
    <row r="398" spans="5:42" s="265" customFormat="1">
      <c r="E398" s="317"/>
      <c r="AM398" s="351"/>
      <c r="AN398" s="352"/>
      <c r="AO398" s="352"/>
      <c r="AP398" s="352"/>
    </row>
    <row r="399" spans="5:42" s="265" customFormat="1">
      <c r="E399" s="317"/>
      <c r="AM399" s="351"/>
      <c r="AN399" s="352"/>
      <c r="AO399" s="352"/>
      <c r="AP399" s="352"/>
    </row>
    <row r="400" spans="5:42" s="265" customFormat="1">
      <c r="E400" s="317"/>
      <c r="AM400" s="351"/>
      <c r="AN400" s="352"/>
      <c r="AO400" s="352"/>
      <c r="AP400" s="352"/>
    </row>
    <row r="401" spans="5:42" s="265" customFormat="1">
      <c r="E401" s="317"/>
      <c r="AM401" s="351"/>
      <c r="AN401" s="352"/>
      <c r="AO401" s="352"/>
      <c r="AP401" s="352"/>
    </row>
    <row r="402" spans="5:42" s="265" customFormat="1">
      <c r="E402" s="317"/>
      <c r="AM402" s="351"/>
      <c r="AN402" s="352"/>
      <c r="AO402" s="352"/>
      <c r="AP402" s="352"/>
    </row>
    <row r="403" spans="5:42" s="265" customFormat="1">
      <c r="E403" s="317"/>
      <c r="AM403" s="351"/>
      <c r="AN403" s="352"/>
      <c r="AO403" s="352"/>
      <c r="AP403" s="352"/>
    </row>
    <row r="404" spans="5:42" s="265" customFormat="1">
      <c r="E404" s="317"/>
      <c r="AM404" s="351"/>
      <c r="AN404" s="352"/>
      <c r="AO404" s="352"/>
      <c r="AP404" s="352"/>
    </row>
    <row r="405" spans="5:42" s="265" customFormat="1">
      <c r="E405" s="317"/>
      <c r="AM405" s="351"/>
      <c r="AN405" s="352"/>
      <c r="AO405" s="352"/>
      <c r="AP405" s="352"/>
    </row>
    <row r="406" spans="5:42" s="265" customFormat="1">
      <c r="E406" s="317"/>
      <c r="AM406" s="351"/>
      <c r="AN406" s="352"/>
      <c r="AO406" s="352"/>
      <c r="AP406" s="352"/>
    </row>
    <row r="407" spans="5:42" s="265" customFormat="1">
      <c r="E407" s="317"/>
      <c r="AM407" s="351"/>
      <c r="AN407" s="352"/>
      <c r="AO407" s="352"/>
      <c r="AP407" s="352"/>
    </row>
    <row r="408" spans="5:42" s="265" customFormat="1">
      <c r="E408" s="317"/>
      <c r="AM408" s="351"/>
      <c r="AN408" s="352"/>
      <c r="AO408" s="352"/>
      <c r="AP408" s="352"/>
    </row>
    <row r="409" spans="5:42" s="265" customFormat="1">
      <c r="E409" s="317"/>
      <c r="AM409" s="351"/>
      <c r="AN409" s="352"/>
      <c r="AO409" s="352"/>
      <c r="AP409" s="352"/>
    </row>
    <row r="410" spans="5:42" s="265" customFormat="1">
      <c r="E410" s="317"/>
      <c r="AM410" s="351"/>
      <c r="AN410" s="352"/>
      <c r="AO410" s="352"/>
      <c r="AP410" s="352"/>
    </row>
    <row r="411" spans="5:42" s="265" customFormat="1">
      <c r="E411" s="317"/>
      <c r="AM411" s="351"/>
      <c r="AN411" s="352"/>
      <c r="AO411" s="352"/>
      <c r="AP411" s="352"/>
    </row>
  </sheetData>
  <mergeCells count="42">
    <mergeCell ref="A14:C14"/>
    <mergeCell ref="F14:Z14"/>
    <mergeCell ref="A16:V16"/>
    <mergeCell ref="A17:C17"/>
    <mergeCell ref="D17:H17"/>
    <mergeCell ref="I17:I18"/>
    <mergeCell ref="J17:J18"/>
    <mergeCell ref="K17:P17"/>
    <mergeCell ref="Q17:V17"/>
    <mergeCell ref="K18:L18"/>
    <mergeCell ref="M18:N18"/>
    <mergeCell ref="O18:P18"/>
    <mergeCell ref="A8:C8"/>
    <mergeCell ref="F8:AF8"/>
    <mergeCell ref="A10:Z10"/>
    <mergeCell ref="A11:C11"/>
    <mergeCell ref="D11:H11"/>
    <mergeCell ref="I11:I12"/>
    <mergeCell ref="J11:J12"/>
    <mergeCell ref="K11:T11"/>
    <mergeCell ref="U11:Z11"/>
    <mergeCell ref="K12:L12"/>
    <mergeCell ref="M12:N12"/>
    <mergeCell ref="O12:P12"/>
    <mergeCell ref="Q12:R12"/>
    <mergeCell ref="S12:T12"/>
    <mergeCell ref="Y6:Z6"/>
    <mergeCell ref="A2:AF2"/>
    <mergeCell ref="A4:AF4"/>
    <mergeCell ref="A5:C5"/>
    <mergeCell ref="D5:H5"/>
    <mergeCell ref="I5:I6"/>
    <mergeCell ref="J5:J6"/>
    <mergeCell ref="K5:Z5"/>
    <mergeCell ref="AA5:AF5"/>
    <mergeCell ref="K6:L6"/>
    <mergeCell ref="M6:N6"/>
    <mergeCell ref="O6:P6"/>
    <mergeCell ref="Q6:R6"/>
    <mergeCell ref="S6:T6"/>
    <mergeCell ref="U6:V6"/>
    <mergeCell ref="W6:X6"/>
  </mergeCells>
  <dataValidations disablePrompts="1" count="5">
    <dataValidation type="list" allowBlank="1" showInputMessage="1" showErrorMessage="1" sqref="R20:R40" xr:uid="{00000000-0002-0000-1F00-000000000000}">
      <formula1>$AO$5:$AO$6</formula1>
    </dataValidation>
    <dataValidation type="list" allowBlank="1" showInputMessage="1" showErrorMessage="1" sqref="V15" xr:uid="{00000000-0002-0000-1F00-000001000000}">
      <formula1>$AO$7:$AO$8</formula1>
    </dataValidation>
    <dataValidation type="list" allowBlank="1" showInputMessage="1" showErrorMessage="1" sqref="S20:S40 AC9 W15" xr:uid="{00000000-0002-0000-1F00-000002000000}">
      <formula1>$AN$2:$AN$3</formula1>
    </dataValidation>
    <dataValidation type="list" allowBlank="1" showInputMessage="1" showErrorMessage="1" sqref="AB9" xr:uid="{00000000-0002-0000-1F00-000003000000}">
      <formula1>$AO$2:$AO$4</formula1>
    </dataValidation>
    <dataValidation type="list" allowBlank="1" showInputMessage="1" showErrorMessage="1" sqref="Q20:Q40 AA9 U15" xr:uid="{00000000-0002-0000-1F00-000004000000}">
      <formula1>$AP$2</formula1>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DH18"/>
  <sheetViews>
    <sheetView showGridLines="0" zoomScale="70" zoomScaleNormal="70" workbookViewId="0">
      <selection activeCell="A7" sqref="A7:AF15"/>
    </sheetView>
  </sheetViews>
  <sheetFormatPr baseColWidth="10" defaultColWidth="11.5" defaultRowHeight="15" outlineLevelRow="1"/>
  <cols>
    <col min="1" max="1" width="11.5" style="246"/>
    <col min="2" max="2" width="49.5" style="246" customWidth="1"/>
    <col min="3" max="3" width="25.5" style="246" customWidth="1"/>
    <col min="4" max="4" width="16.5" style="246" customWidth="1"/>
    <col min="5" max="6" width="11.5" style="246" customWidth="1"/>
    <col min="7" max="7" width="13.5" style="246" customWidth="1"/>
    <col min="8" max="9" width="15.5" style="246" customWidth="1"/>
    <col min="10" max="10" width="13.5" style="246" customWidth="1"/>
    <col min="11" max="11" width="14.5" style="246" bestFit="1" customWidth="1"/>
    <col min="12" max="12" width="11.1640625" style="246" bestFit="1" customWidth="1"/>
    <col min="13" max="13" width="14.5" style="246" bestFit="1" customWidth="1"/>
    <col min="14" max="14" width="11.1640625" style="246" bestFit="1" customWidth="1"/>
    <col min="15" max="15" width="18" style="246" bestFit="1" customWidth="1"/>
    <col min="16" max="16" width="20.83203125" style="246" bestFit="1" customWidth="1"/>
    <col min="17" max="17" width="16.83203125" style="246" bestFit="1" customWidth="1"/>
    <col min="18" max="24" width="11.5" style="246"/>
    <col min="25" max="25" width="18.1640625" style="246" hidden="1" customWidth="1"/>
    <col min="26" max="27" width="0" style="246" hidden="1" customWidth="1"/>
    <col min="28" max="16384" width="11.5" style="246"/>
  </cols>
  <sheetData>
    <row r="1" spans="1:112" s="291" customFormat="1" ht="34">
      <c r="A1" s="4243" t="s">
        <v>2793</v>
      </c>
      <c r="B1" s="4243"/>
      <c r="C1" s="4243"/>
      <c r="D1" s="4243"/>
      <c r="E1" s="4243"/>
      <c r="F1" s="4243"/>
      <c r="G1" s="4243"/>
      <c r="H1" s="4243"/>
      <c r="I1" s="4243"/>
      <c r="J1" s="4243"/>
      <c r="K1" s="4243"/>
      <c r="L1" s="4243"/>
      <c r="M1" s="4243"/>
      <c r="N1" s="4243"/>
      <c r="O1" s="4243"/>
      <c r="P1" s="4243"/>
      <c r="Q1" s="4243"/>
      <c r="R1" s="4243"/>
      <c r="S1" s="4243"/>
      <c r="T1" s="4243"/>
      <c r="U1" s="288"/>
      <c r="V1" s="288"/>
      <c r="W1" s="288"/>
      <c r="X1" s="288"/>
      <c r="Y1" s="289" t="s">
        <v>2263</v>
      </c>
      <c r="Z1" s="289" t="s">
        <v>2262</v>
      </c>
      <c r="AA1" s="306"/>
      <c r="AB1" s="289"/>
      <c r="AC1" s="289"/>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row>
    <row r="2" spans="1:112" customFormat="1" ht="29" customHeight="1">
      <c r="C2" s="249"/>
      <c r="Y2" s="247" t="s">
        <v>2266</v>
      </c>
      <c r="Z2" s="247"/>
      <c r="AA2" s="248"/>
      <c r="AB2" s="247"/>
      <c r="AC2" s="247"/>
    </row>
    <row r="3" spans="1:112" customFormat="1" ht="31">
      <c r="A3" s="4244" t="s">
        <v>2794</v>
      </c>
      <c r="B3" s="4244"/>
      <c r="C3" s="4244"/>
      <c r="D3" s="4244"/>
      <c r="E3" s="4244"/>
      <c r="F3" s="4244"/>
      <c r="G3" s="4244"/>
      <c r="H3" s="4244"/>
      <c r="I3" s="4244"/>
      <c r="J3" s="4244"/>
      <c r="K3" s="4244"/>
      <c r="L3" s="4244"/>
      <c r="M3" s="4244"/>
      <c r="N3" s="4244"/>
      <c r="O3" s="4244"/>
      <c r="P3" s="4244"/>
      <c r="Q3" s="4244"/>
      <c r="R3" s="4244"/>
      <c r="S3" s="4244"/>
      <c r="T3" s="4244"/>
      <c r="Y3" s="247" t="s">
        <v>2268</v>
      </c>
      <c r="Z3" s="247"/>
      <c r="AA3" s="248"/>
      <c r="AB3" s="247"/>
      <c r="AC3" s="247"/>
    </row>
    <row r="4" spans="1:112" customFormat="1" ht="24" outlineLevel="1">
      <c r="A4" s="4245" t="s">
        <v>2662</v>
      </c>
      <c r="B4" s="4246"/>
      <c r="C4" s="4246"/>
      <c r="D4" s="4245" t="s">
        <v>2663</v>
      </c>
      <c r="E4" s="4246"/>
      <c r="F4" s="4246"/>
      <c r="G4" s="4246"/>
      <c r="H4" s="4247"/>
      <c r="I4" s="4248" t="s">
        <v>1686</v>
      </c>
      <c r="J4" s="4250" t="s">
        <v>610</v>
      </c>
      <c r="K4" s="4252" t="s">
        <v>2664</v>
      </c>
      <c r="L4" s="4253"/>
      <c r="M4" s="4253"/>
      <c r="N4" s="4254"/>
      <c r="O4" s="4252" t="s">
        <v>2665</v>
      </c>
      <c r="P4" s="4253"/>
      <c r="Q4" s="4253"/>
      <c r="R4" s="4253"/>
      <c r="S4" s="4253"/>
      <c r="T4" s="4253"/>
      <c r="Y4" s="247" t="s">
        <v>2718</v>
      </c>
      <c r="Z4" s="247"/>
      <c r="AA4" s="248"/>
      <c r="AB4" s="247"/>
      <c r="AC4" s="247"/>
    </row>
    <row r="5" spans="1:112" customFormat="1" ht="34" outlineLevel="1">
      <c r="A5" s="1988" t="s">
        <v>2666</v>
      </c>
      <c r="B5" s="1989" t="s">
        <v>2667</v>
      </c>
      <c r="C5" s="1989" t="s">
        <v>2668</v>
      </c>
      <c r="D5" s="1989" t="s">
        <v>2669</v>
      </c>
      <c r="E5" s="1989" t="s">
        <v>2670</v>
      </c>
      <c r="F5" s="1989" t="s">
        <v>2671</v>
      </c>
      <c r="G5" s="1989" t="s">
        <v>2672</v>
      </c>
      <c r="H5" s="1989" t="s">
        <v>2673</v>
      </c>
      <c r="I5" s="4249"/>
      <c r="J5" s="4251"/>
      <c r="K5" s="4183" t="s">
        <v>2795</v>
      </c>
      <c r="L5" s="4183"/>
      <c r="M5" s="4183" t="s">
        <v>2796</v>
      </c>
      <c r="N5" s="4183"/>
      <c r="O5" s="1989" t="s">
        <v>2723</v>
      </c>
      <c r="P5" s="1989" t="s">
        <v>2724</v>
      </c>
      <c r="Q5" s="1989" t="s">
        <v>2695</v>
      </c>
      <c r="R5" s="1989" t="s">
        <v>2696</v>
      </c>
      <c r="S5" s="1989" t="s">
        <v>2697</v>
      </c>
      <c r="T5" s="1989" t="s">
        <v>2698</v>
      </c>
      <c r="Y5" s="247" t="s">
        <v>2725</v>
      </c>
      <c r="Z5" s="247"/>
      <c r="AA5" s="248"/>
      <c r="AB5" s="247"/>
      <c r="AC5" s="247"/>
    </row>
    <row r="6" spans="1:112" outlineLevel="1"/>
    <row r="15" spans="1:112">
      <c r="B15" s="307"/>
    </row>
    <row r="18" spans="4:4">
      <c r="D18" s="308"/>
    </row>
  </sheetData>
  <mergeCells count="10">
    <mergeCell ref="A1:T1"/>
    <mergeCell ref="A3:T3"/>
    <mergeCell ref="A4:C4"/>
    <mergeCell ref="D4:H4"/>
    <mergeCell ref="I4:I5"/>
    <mergeCell ref="J4:J5"/>
    <mergeCell ref="K4:N4"/>
    <mergeCell ref="O4:T4"/>
    <mergeCell ref="K5:L5"/>
    <mergeCell ref="M5:N5"/>
  </mergeCells>
  <dataValidations count="3">
    <dataValidation allowBlank="1" showDropDown="1" showInputMessage="1" showErrorMessage="1" sqref="P15:P74" xr:uid="{00000000-0002-0000-2000-000000000000}"/>
    <dataValidation type="list" allowBlank="1" showInputMessage="1" showErrorMessage="1" sqref="Q15:Q73" xr:uid="{00000000-0002-0000-2000-000001000000}">
      <formula1>$Z$1</formula1>
    </dataValidation>
    <dataValidation type="list" allowBlank="1" showInputMessage="1" showErrorMessage="1" sqref="O15:O73" xr:uid="{00000000-0002-0000-2000-000002000000}">
      <formula1>$Y$1:$Y$5</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2:IG262"/>
  <sheetViews>
    <sheetView showGridLines="0" zoomScale="70" zoomScaleNormal="70" workbookViewId="0">
      <selection activeCell="A7" sqref="A7:AF15"/>
    </sheetView>
  </sheetViews>
  <sheetFormatPr baseColWidth="10" defaultColWidth="11.5" defaultRowHeight="15"/>
  <cols>
    <col min="1" max="1" width="7.5" style="273" bestFit="1" customWidth="1"/>
    <col min="2" max="2" width="44.1640625" style="273" customWidth="1"/>
    <col min="3" max="3" width="12.5" style="273" customWidth="1"/>
    <col min="4" max="4" width="19.5" style="273" customWidth="1"/>
    <col min="5" max="5" width="15.5" style="273" customWidth="1"/>
    <col min="6" max="6" width="12.5" style="273" customWidth="1"/>
    <col min="7" max="7" width="15" style="273" customWidth="1"/>
    <col min="8" max="8" width="12.5" style="273" customWidth="1"/>
    <col min="9" max="10" width="13.5" style="273" customWidth="1"/>
    <col min="11" max="11" width="15.5" style="273" customWidth="1"/>
    <col min="12" max="12" width="13.83203125" style="273" customWidth="1"/>
    <col min="13" max="14" width="14.5" style="273" customWidth="1"/>
    <col min="15" max="15" width="16.5" style="273" customWidth="1"/>
    <col min="16" max="16" width="18.5" style="273" customWidth="1"/>
    <col min="17" max="17" width="15.5" style="273" customWidth="1"/>
    <col min="18" max="18" width="13.5" style="273" customWidth="1"/>
    <col min="19" max="20" width="20.5" style="273" customWidth="1"/>
    <col min="21" max="21" width="21" style="273" customWidth="1"/>
    <col min="22" max="22" width="21.1640625" style="273" customWidth="1"/>
    <col min="23" max="23" width="14.5" style="273" customWidth="1"/>
    <col min="24" max="24" width="11.5" style="273"/>
    <col min="25" max="25" width="16.1640625" style="273" customWidth="1"/>
    <col min="26" max="26" width="15.1640625" style="273" customWidth="1"/>
    <col min="27" max="27" width="18.5" style="273" customWidth="1"/>
    <col min="28" max="28" width="26.1640625" style="273" customWidth="1"/>
    <col min="29" max="30" width="19.5" style="273" customWidth="1"/>
    <col min="31" max="16384" width="11.5" style="273"/>
  </cols>
  <sheetData>
    <row r="2" spans="1:241" s="315" customFormat="1" ht="34">
      <c r="A2" s="4184" t="s">
        <v>2660</v>
      </c>
      <c r="B2" s="4184"/>
      <c r="C2" s="4184"/>
      <c r="D2" s="4184"/>
      <c r="E2" s="4184"/>
      <c r="F2" s="4184"/>
      <c r="G2" s="4184"/>
      <c r="H2" s="4184"/>
      <c r="I2" s="4184"/>
      <c r="J2" s="4184"/>
      <c r="K2" s="4184"/>
      <c r="L2" s="4184"/>
      <c r="M2" s="4184"/>
      <c r="N2" s="4184"/>
      <c r="O2" s="4184"/>
      <c r="P2" s="4184"/>
      <c r="Q2" s="4184"/>
      <c r="R2" s="4184"/>
      <c r="S2" s="4184"/>
      <c r="T2" s="4184"/>
      <c r="U2" s="4184"/>
      <c r="V2" s="4184"/>
      <c r="W2" s="4184"/>
      <c r="X2" s="4184"/>
      <c r="Y2" s="4184"/>
      <c r="Z2" s="4184"/>
      <c r="AA2" s="4184"/>
      <c r="AB2" s="4184"/>
      <c r="AC2" s="314"/>
      <c r="AD2" s="314" t="s">
        <v>2725</v>
      </c>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73"/>
      <c r="CB2" s="273"/>
      <c r="CC2" s="273"/>
      <c r="CD2" s="273"/>
      <c r="CE2" s="273"/>
      <c r="CF2" s="273"/>
      <c r="CG2" s="273"/>
      <c r="CH2" s="273"/>
      <c r="CI2" s="273"/>
      <c r="CJ2" s="273"/>
      <c r="CK2" s="273"/>
      <c r="CL2" s="273"/>
      <c r="CM2" s="273"/>
      <c r="CN2" s="273"/>
      <c r="CO2" s="273"/>
      <c r="CP2" s="273"/>
      <c r="CQ2" s="273"/>
      <c r="CR2" s="273"/>
      <c r="CS2" s="273"/>
      <c r="CT2" s="273"/>
      <c r="CU2" s="273"/>
      <c r="CV2" s="273"/>
      <c r="CW2" s="273"/>
      <c r="CX2" s="273"/>
      <c r="CY2" s="273"/>
      <c r="CZ2" s="273"/>
      <c r="DA2" s="273"/>
      <c r="DB2" s="273"/>
      <c r="DC2" s="273"/>
      <c r="DD2" s="273"/>
      <c r="DE2" s="273"/>
      <c r="DF2" s="273"/>
      <c r="DG2" s="273"/>
      <c r="DH2" s="273"/>
      <c r="DI2" s="273"/>
      <c r="DJ2" s="273"/>
      <c r="DK2" s="273"/>
      <c r="DL2" s="273"/>
      <c r="DM2" s="273"/>
      <c r="DN2" s="273"/>
      <c r="DO2" s="273"/>
      <c r="DP2" s="273"/>
      <c r="DQ2" s="273"/>
      <c r="DR2" s="273"/>
      <c r="DS2" s="273"/>
      <c r="DT2" s="273"/>
      <c r="DU2" s="273"/>
      <c r="DV2" s="273"/>
      <c r="DW2" s="273"/>
      <c r="DX2" s="273"/>
      <c r="DY2" s="273"/>
      <c r="DZ2" s="273"/>
      <c r="EA2" s="273"/>
      <c r="EB2" s="273"/>
      <c r="EC2" s="273"/>
      <c r="ED2" s="273"/>
      <c r="EE2" s="273"/>
      <c r="EF2" s="273"/>
      <c r="EG2" s="273"/>
      <c r="EH2" s="273"/>
      <c r="EI2" s="273"/>
      <c r="EJ2" s="273"/>
      <c r="EK2" s="273"/>
      <c r="EL2" s="273"/>
      <c r="EM2" s="273"/>
      <c r="EN2" s="273"/>
      <c r="EO2" s="273"/>
      <c r="EP2" s="273"/>
      <c r="EQ2" s="273"/>
      <c r="ER2" s="273"/>
      <c r="ES2" s="273"/>
      <c r="ET2" s="273"/>
      <c r="EU2" s="273"/>
      <c r="EV2" s="273"/>
      <c r="EW2" s="273"/>
      <c r="EX2" s="273"/>
      <c r="EY2" s="273"/>
      <c r="EZ2" s="273"/>
      <c r="FA2" s="273"/>
      <c r="FB2" s="273"/>
      <c r="FC2" s="273"/>
      <c r="FD2" s="273"/>
      <c r="FE2" s="273"/>
      <c r="FF2" s="273"/>
      <c r="FG2" s="273"/>
      <c r="FH2" s="273"/>
      <c r="FI2" s="273"/>
      <c r="FJ2" s="273"/>
      <c r="FK2" s="273"/>
      <c r="FL2" s="273"/>
      <c r="FM2" s="273"/>
      <c r="FN2" s="273"/>
      <c r="FO2" s="273"/>
      <c r="FP2" s="273"/>
      <c r="FQ2" s="273"/>
      <c r="FR2" s="273"/>
      <c r="FS2" s="273"/>
      <c r="FT2" s="273"/>
      <c r="FU2" s="273"/>
      <c r="FV2" s="273"/>
      <c r="FW2" s="273"/>
      <c r="FX2" s="273"/>
      <c r="FY2" s="273"/>
      <c r="FZ2" s="273"/>
      <c r="GA2" s="273"/>
      <c r="GB2" s="273"/>
      <c r="GC2" s="273"/>
      <c r="GD2" s="273"/>
      <c r="GE2" s="273"/>
      <c r="GF2" s="273"/>
      <c r="GG2" s="273"/>
      <c r="GH2" s="273"/>
      <c r="GI2" s="273"/>
      <c r="GJ2" s="273"/>
      <c r="GK2" s="273"/>
      <c r="GL2" s="273"/>
      <c r="GM2" s="273"/>
      <c r="GN2" s="273"/>
      <c r="GO2" s="273"/>
      <c r="GP2" s="273"/>
      <c r="GQ2" s="273"/>
      <c r="GR2" s="273"/>
      <c r="GS2" s="273"/>
      <c r="GT2" s="273"/>
      <c r="GU2" s="273"/>
      <c r="GV2" s="273"/>
      <c r="GW2" s="273"/>
      <c r="GX2" s="273"/>
      <c r="GY2" s="273"/>
      <c r="GZ2" s="273"/>
      <c r="HA2" s="273"/>
      <c r="HB2" s="273"/>
      <c r="HC2" s="273"/>
      <c r="HD2" s="273"/>
      <c r="HE2" s="273"/>
      <c r="HF2" s="273"/>
      <c r="HG2" s="273"/>
      <c r="HH2" s="273"/>
      <c r="HI2" s="273"/>
      <c r="HJ2" s="273"/>
      <c r="HK2" s="273"/>
      <c r="HL2" s="273"/>
      <c r="HM2" s="273"/>
      <c r="HN2" s="273"/>
      <c r="HO2" s="273"/>
      <c r="HP2" s="273"/>
      <c r="HQ2" s="273"/>
      <c r="HR2" s="273"/>
      <c r="HS2" s="273"/>
      <c r="HT2" s="273"/>
      <c r="HU2" s="273"/>
      <c r="HV2" s="273"/>
      <c r="HW2" s="273"/>
      <c r="HX2" s="273"/>
      <c r="HY2" s="273"/>
      <c r="HZ2" s="273"/>
      <c r="IA2" s="273"/>
      <c r="IB2" s="273"/>
      <c r="IC2" s="273"/>
      <c r="ID2" s="273"/>
      <c r="IE2" s="273"/>
      <c r="IF2" s="273"/>
      <c r="IG2" s="273"/>
    </row>
    <row r="3" spans="1:241" s="265" customFormat="1">
      <c r="AC3" s="316"/>
      <c r="AD3" s="316"/>
    </row>
    <row r="4" spans="1:241" ht="31">
      <c r="A4" s="4255" t="s">
        <v>2797</v>
      </c>
      <c r="B4" s="4255"/>
      <c r="C4" s="4255"/>
      <c r="D4" s="4255"/>
      <c r="E4" s="4255"/>
      <c r="F4" s="4255"/>
      <c r="G4" s="4255"/>
      <c r="H4" s="4255"/>
      <c r="I4" s="4255"/>
      <c r="J4" s="4255"/>
      <c r="K4" s="4255"/>
      <c r="L4" s="4255"/>
      <c r="M4" s="4255"/>
      <c r="N4" s="4255"/>
      <c r="O4" s="4255"/>
      <c r="P4" s="4255"/>
      <c r="Q4" s="4255"/>
      <c r="R4" s="4255"/>
      <c r="S4" s="4255"/>
      <c r="T4" s="4255"/>
      <c r="U4" s="4255"/>
      <c r="V4" s="4255"/>
      <c r="W4" s="4255"/>
      <c r="X4" s="4255"/>
      <c r="Y4" s="4255"/>
      <c r="Z4" s="4255"/>
      <c r="AA4" s="4255"/>
      <c r="AB4" s="4255"/>
      <c r="AC4" s="314"/>
      <c r="AD4" s="314"/>
    </row>
    <row r="5" spans="1:241" ht="24">
      <c r="A5" s="4256" t="s">
        <v>2798</v>
      </c>
      <c r="B5" s="4256"/>
      <c r="C5" s="4256"/>
      <c r="D5" s="4256" t="s">
        <v>2799</v>
      </c>
      <c r="E5" s="4256"/>
      <c r="F5" s="4256"/>
      <c r="G5" s="4256"/>
      <c r="H5" s="4256"/>
      <c r="I5" s="4187" t="s">
        <v>2800</v>
      </c>
      <c r="J5" s="4187" t="s">
        <v>2801</v>
      </c>
      <c r="K5" s="4256" t="s">
        <v>2802</v>
      </c>
      <c r="L5" s="4256"/>
      <c r="M5" s="4256"/>
      <c r="N5" s="4256"/>
      <c r="O5" s="4256"/>
      <c r="P5" s="4256"/>
      <c r="Q5" s="4256"/>
      <c r="R5" s="4256"/>
      <c r="S5" s="4256"/>
      <c r="T5" s="4256"/>
      <c r="U5" s="4256" t="s">
        <v>2803</v>
      </c>
      <c r="V5" s="4256"/>
      <c r="W5" s="4256"/>
      <c r="X5" s="4256"/>
      <c r="Y5" s="4256"/>
      <c r="Z5" s="4256"/>
      <c r="AA5" s="4256"/>
      <c r="AB5" s="4256"/>
      <c r="AC5" s="314"/>
      <c r="AD5" s="314"/>
    </row>
    <row r="6" spans="1:241" ht="34">
      <c r="A6" s="410" t="s">
        <v>2666</v>
      </c>
      <c r="B6" s="309" t="s">
        <v>2804</v>
      </c>
      <c r="C6" s="309" t="s">
        <v>2805</v>
      </c>
      <c r="D6" s="309" t="s">
        <v>2806</v>
      </c>
      <c r="E6" s="309" t="s">
        <v>2807</v>
      </c>
      <c r="F6" s="309" t="s">
        <v>2808</v>
      </c>
      <c r="G6" s="309" t="s">
        <v>2809</v>
      </c>
      <c r="H6" s="309" t="s">
        <v>2810</v>
      </c>
      <c r="I6" s="4187"/>
      <c r="J6" s="4187"/>
      <c r="K6" s="4183" t="s">
        <v>2811</v>
      </c>
      <c r="L6" s="4183"/>
      <c r="M6" s="4183" t="s">
        <v>2812</v>
      </c>
      <c r="N6" s="4183"/>
      <c r="O6" s="4183" t="s">
        <v>2813</v>
      </c>
      <c r="P6" s="4183"/>
      <c r="Q6" s="4183" t="s">
        <v>2814</v>
      </c>
      <c r="R6" s="4183"/>
      <c r="S6" s="4183" t="s">
        <v>2815</v>
      </c>
      <c r="T6" s="4183"/>
      <c r="U6" s="309" t="s">
        <v>2816</v>
      </c>
      <c r="V6" s="309" t="s">
        <v>2817</v>
      </c>
      <c r="W6" s="309" t="s">
        <v>2818</v>
      </c>
      <c r="X6" s="309" t="s">
        <v>2696</v>
      </c>
      <c r="Y6" s="309" t="s">
        <v>2819</v>
      </c>
      <c r="Z6" s="309" t="s">
        <v>2820</v>
      </c>
      <c r="AA6" s="309" t="s">
        <v>2699</v>
      </c>
      <c r="AB6" s="309" t="s">
        <v>2821</v>
      </c>
      <c r="AC6" s="314"/>
      <c r="AD6" s="314"/>
    </row>
    <row r="7" spans="1:241" ht="48">
      <c r="A7" s="287">
        <v>1</v>
      </c>
      <c r="B7" s="284" t="s">
        <v>2681</v>
      </c>
      <c r="C7" s="310" t="s">
        <v>2005</v>
      </c>
      <c r="D7" s="311">
        <f>+J7</f>
        <v>1314423</v>
      </c>
      <c r="E7" s="287"/>
      <c r="F7" s="312">
        <v>1</v>
      </c>
      <c r="G7" s="312">
        <v>0</v>
      </c>
      <c r="H7" s="312">
        <v>0</v>
      </c>
      <c r="I7" s="310" t="str">
        <f>'8_MP'!$D$105</f>
        <v>1.2.1.7.2</v>
      </c>
      <c r="J7" s="313">
        <f>'8_MP'!$AI$105</f>
        <v>1314423</v>
      </c>
      <c r="K7" s="286" t="s">
        <v>2691</v>
      </c>
      <c r="L7" s="286" t="s">
        <v>2682</v>
      </c>
      <c r="M7" s="286" t="s">
        <v>2691</v>
      </c>
      <c r="N7" s="286" t="s">
        <v>2682</v>
      </c>
      <c r="O7" s="286" t="s">
        <v>2691</v>
      </c>
      <c r="P7" s="286" t="s">
        <v>2682</v>
      </c>
      <c r="Q7" s="286" t="s">
        <v>2691</v>
      </c>
      <c r="R7" s="286" t="s">
        <v>2682</v>
      </c>
      <c r="S7" s="286" t="s">
        <v>2691</v>
      </c>
      <c r="T7" s="286" t="s">
        <v>2682</v>
      </c>
      <c r="U7" s="287" t="s">
        <v>1340</v>
      </c>
      <c r="V7" s="287" t="s">
        <v>774</v>
      </c>
      <c r="W7" s="1967" t="s">
        <v>2265</v>
      </c>
      <c r="X7" s="287"/>
      <c r="Y7" s="287"/>
      <c r="Z7" s="287"/>
      <c r="AA7" s="287"/>
      <c r="AB7" s="287"/>
      <c r="AC7" s="314"/>
      <c r="AD7" s="314"/>
    </row>
    <row r="8" spans="1:241" ht="48">
      <c r="A8" s="287">
        <f>+A7+1</f>
        <v>2</v>
      </c>
      <c r="B8" s="284" t="s">
        <v>2822</v>
      </c>
      <c r="C8" s="310" t="s">
        <v>2823</v>
      </c>
      <c r="D8" s="298">
        <f>+J8</f>
        <v>300000</v>
      </c>
      <c r="E8" s="298"/>
      <c r="F8" s="312">
        <v>1</v>
      </c>
      <c r="G8" s="312">
        <v>0</v>
      </c>
      <c r="H8" s="312">
        <v>0</v>
      </c>
      <c r="I8" s="310" t="str">
        <f>'8_MP'!$D$364</f>
        <v>2.3.1.2.6</v>
      </c>
      <c r="J8" s="281">
        <f>'8_MP'!$AN$364</f>
        <v>300000</v>
      </c>
      <c r="K8" s="286" t="s">
        <v>2691</v>
      </c>
      <c r="L8" s="286" t="s">
        <v>2682</v>
      </c>
      <c r="M8" s="286" t="s">
        <v>2691</v>
      </c>
      <c r="N8" s="286" t="s">
        <v>2682</v>
      </c>
      <c r="O8" s="286" t="s">
        <v>2691</v>
      </c>
      <c r="P8" s="286" t="s">
        <v>2682</v>
      </c>
      <c r="Q8" s="286" t="s">
        <v>2691</v>
      </c>
      <c r="R8" s="286" t="s">
        <v>2682</v>
      </c>
      <c r="S8" s="286" t="s">
        <v>2691</v>
      </c>
      <c r="T8" s="286" t="s">
        <v>2682</v>
      </c>
      <c r="U8" s="287"/>
      <c r="V8" s="287"/>
      <c r="W8" s="287"/>
      <c r="X8" s="301"/>
      <c r="Y8" s="301"/>
      <c r="Z8" s="287"/>
      <c r="AA8" s="301"/>
      <c r="AB8" s="301"/>
      <c r="AC8" s="314"/>
      <c r="AD8" s="314"/>
    </row>
    <row r="9" spans="1:241" ht="16">
      <c r="A9" s="287"/>
      <c r="B9" s="284"/>
      <c r="C9" s="310"/>
      <c r="D9" s="298"/>
      <c r="E9" s="298"/>
      <c r="F9" s="300"/>
      <c r="G9" s="300"/>
      <c r="H9" s="300"/>
      <c r="I9" s="310"/>
      <c r="J9" s="281">
        <v>0</v>
      </c>
      <c r="K9" s="286" t="s">
        <v>2691</v>
      </c>
      <c r="L9" s="286" t="s">
        <v>2682</v>
      </c>
      <c r="M9" s="286" t="s">
        <v>2691</v>
      </c>
      <c r="N9" s="286" t="s">
        <v>2682</v>
      </c>
      <c r="O9" s="286" t="s">
        <v>2691</v>
      </c>
      <c r="P9" s="286" t="s">
        <v>2682</v>
      </c>
      <c r="Q9" s="286" t="s">
        <v>2691</v>
      </c>
      <c r="R9" s="286" t="s">
        <v>2682</v>
      </c>
      <c r="S9" s="286" t="s">
        <v>2691</v>
      </c>
      <c r="T9" s="286" t="s">
        <v>2682</v>
      </c>
      <c r="U9" s="287"/>
      <c r="V9" s="287"/>
      <c r="W9" s="287"/>
      <c r="X9" s="301"/>
      <c r="Y9" s="301"/>
      <c r="Z9" s="287"/>
      <c r="AA9" s="301"/>
      <c r="AB9" s="301"/>
      <c r="AC9" s="314"/>
      <c r="AD9" s="314"/>
    </row>
    <row r="10" spans="1:241">
      <c r="A10" s="4188" t="s">
        <v>2683</v>
      </c>
      <c r="B10" s="4188"/>
      <c r="C10" s="4188"/>
      <c r="D10" s="412">
        <f>SUM(D7:D9)</f>
        <v>1614423</v>
      </c>
      <c r="E10" s="412">
        <f>SUM(E7:E9)</f>
        <v>0</v>
      </c>
      <c r="F10" s="4189"/>
      <c r="G10" s="4189"/>
      <c r="H10" s="4189"/>
      <c r="I10" s="4189"/>
      <c r="J10" s="4189"/>
      <c r="K10" s="4189"/>
      <c r="L10" s="4189"/>
      <c r="M10" s="4189"/>
      <c r="N10" s="4189"/>
      <c r="O10" s="4189"/>
      <c r="P10" s="4189"/>
      <c r="Q10" s="4189"/>
      <c r="R10" s="4189"/>
      <c r="S10" s="4189"/>
      <c r="T10" s="4189"/>
      <c r="U10" s="4189"/>
      <c r="V10" s="4189"/>
      <c r="W10" s="4189"/>
      <c r="X10" s="4189"/>
      <c r="Y10" s="4189"/>
      <c r="Z10" s="4189"/>
      <c r="AA10" s="4189"/>
      <c r="AB10" s="4189"/>
      <c r="AC10" s="314"/>
      <c r="AD10" s="314"/>
    </row>
    <row r="11" spans="1:241" s="265" customFormat="1">
      <c r="AC11" s="316"/>
      <c r="AD11" s="316"/>
    </row>
    <row r="12" spans="1:241" ht="31">
      <c r="A12" s="4255" t="s">
        <v>2824</v>
      </c>
      <c r="B12" s="4255"/>
      <c r="C12" s="4255"/>
      <c r="D12" s="4255"/>
      <c r="E12" s="4255"/>
      <c r="F12" s="4255"/>
      <c r="G12" s="4255"/>
      <c r="H12" s="4255"/>
      <c r="I12" s="4255"/>
      <c r="J12" s="4255"/>
      <c r="K12" s="4255"/>
      <c r="L12" s="4255"/>
      <c r="M12" s="4255"/>
      <c r="N12" s="4255"/>
      <c r="O12" s="4255"/>
      <c r="P12" s="4255"/>
      <c r="Q12" s="4255"/>
      <c r="R12" s="4255"/>
      <c r="S12" s="4255"/>
      <c r="T12" s="4255"/>
      <c r="U12" s="4255"/>
      <c r="V12" s="4255"/>
      <c r="W12" s="4255"/>
      <c r="X12" s="4255"/>
      <c r="Y12" s="4255"/>
      <c r="Z12" s="4255"/>
      <c r="AA12" s="4255"/>
      <c r="AB12" s="4255"/>
      <c r="AC12" s="314"/>
      <c r="AD12" s="314"/>
    </row>
    <row r="13" spans="1:241" ht="24">
      <c r="A13" s="4256" t="s">
        <v>2798</v>
      </c>
      <c r="B13" s="4256"/>
      <c r="C13" s="4256"/>
      <c r="D13" s="4256" t="s">
        <v>2799</v>
      </c>
      <c r="E13" s="4256"/>
      <c r="F13" s="4256"/>
      <c r="G13" s="4256"/>
      <c r="H13" s="4256"/>
      <c r="I13" s="4187" t="s">
        <v>2800</v>
      </c>
      <c r="J13" s="4187" t="s">
        <v>2801</v>
      </c>
      <c r="K13" s="4256" t="s">
        <v>2802</v>
      </c>
      <c r="L13" s="4256"/>
      <c r="M13" s="4256"/>
      <c r="N13" s="4256"/>
      <c r="O13" s="4256"/>
      <c r="P13" s="4256"/>
      <c r="Q13" s="4256"/>
      <c r="R13" s="4256"/>
      <c r="S13" s="4256"/>
      <c r="T13" s="4256"/>
      <c r="U13" s="4256"/>
      <c r="V13" s="4256"/>
      <c r="W13" s="4256"/>
      <c r="X13" s="4256"/>
      <c r="Y13" s="4256"/>
      <c r="Z13" s="4256"/>
      <c r="AA13" s="4256" t="s">
        <v>2803</v>
      </c>
      <c r="AB13" s="4256"/>
      <c r="AC13" s="314"/>
      <c r="AD13" s="314"/>
    </row>
    <row r="14" spans="1:241" ht="51">
      <c r="A14" s="410" t="s">
        <v>2666</v>
      </c>
      <c r="B14" s="309" t="s">
        <v>2804</v>
      </c>
      <c r="C14" s="309" t="s">
        <v>2805</v>
      </c>
      <c r="D14" s="309" t="s">
        <v>2806</v>
      </c>
      <c r="E14" s="309" t="s">
        <v>2807</v>
      </c>
      <c r="F14" s="309" t="s">
        <v>2808</v>
      </c>
      <c r="G14" s="309" t="s">
        <v>2809</v>
      </c>
      <c r="H14" s="309" t="s">
        <v>2810</v>
      </c>
      <c r="I14" s="4187"/>
      <c r="J14" s="4187"/>
      <c r="K14" s="411" t="s">
        <v>2825</v>
      </c>
      <c r="L14" s="411" t="s">
        <v>2825</v>
      </c>
      <c r="M14" s="411" t="s">
        <v>2826</v>
      </c>
      <c r="N14" s="411" t="s">
        <v>2826</v>
      </c>
      <c r="O14" s="411" t="s">
        <v>2827</v>
      </c>
      <c r="P14" s="411" t="s">
        <v>2827</v>
      </c>
      <c r="Q14" s="411" t="s">
        <v>2828</v>
      </c>
      <c r="R14" s="411" t="s">
        <v>2828</v>
      </c>
      <c r="S14" s="411" t="s">
        <v>2812</v>
      </c>
      <c r="T14" s="411" t="s">
        <v>2812</v>
      </c>
      <c r="U14" s="411" t="s">
        <v>2813</v>
      </c>
      <c r="V14" s="411" t="s">
        <v>2813</v>
      </c>
      <c r="W14" s="411" t="s">
        <v>2814</v>
      </c>
      <c r="X14" s="411" t="s">
        <v>2814</v>
      </c>
      <c r="Y14" s="411" t="s">
        <v>2815</v>
      </c>
      <c r="Z14" s="411" t="s">
        <v>2815</v>
      </c>
      <c r="AA14" s="309" t="s">
        <v>2816</v>
      </c>
      <c r="AB14" s="309" t="s">
        <v>2817</v>
      </c>
    </row>
    <row r="15" spans="1:241" ht="16">
      <c r="A15" s="301"/>
      <c r="B15" s="301"/>
      <c r="C15" s="301"/>
      <c r="D15" s="301"/>
      <c r="E15" s="301"/>
      <c r="F15" s="301"/>
      <c r="G15" s="301"/>
      <c r="H15" s="301"/>
      <c r="I15" s="301"/>
      <c r="J15" s="301"/>
      <c r="K15" s="286" t="s">
        <v>2691</v>
      </c>
      <c r="L15" s="286" t="s">
        <v>2682</v>
      </c>
      <c r="M15" s="286" t="s">
        <v>2691</v>
      </c>
      <c r="N15" s="286" t="s">
        <v>2682</v>
      </c>
      <c r="O15" s="286" t="s">
        <v>2691</v>
      </c>
      <c r="P15" s="286" t="s">
        <v>2682</v>
      </c>
      <c r="Q15" s="286" t="s">
        <v>2691</v>
      </c>
      <c r="R15" s="286" t="s">
        <v>2682</v>
      </c>
      <c r="S15" s="286" t="s">
        <v>2691</v>
      </c>
      <c r="T15" s="286" t="s">
        <v>2682</v>
      </c>
      <c r="U15" s="286" t="s">
        <v>2691</v>
      </c>
      <c r="V15" s="286" t="s">
        <v>2682</v>
      </c>
      <c r="W15" s="286" t="s">
        <v>2691</v>
      </c>
      <c r="X15" s="286" t="s">
        <v>2682</v>
      </c>
      <c r="Y15" s="286" t="s">
        <v>2691</v>
      </c>
      <c r="Z15" s="286" t="s">
        <v>2682</v>
      </c>
      <c r="AA15" s="301"/>
      <c r="AB15" s="301"/>
    </row>
    <row r="16" spans="1:241" s="265" customFormat="1"/>
    <row r="17" spans="1:28" s="265" customFormat="1"/>
    <row r="18" spans="1:28" ht="31">
      <c r="A18" s="4255" t="s">
        <v>2829</v>
      </c>
      <c r="B18" s="4255"/>
      <c r="C18" s="4255"/>
      <c r="D18" s="4255"/>
      <c r="E18" s="4255"/>
      <c r="F18" s="4255"/>
      <c r="G18" s="4255"/>
      <c r="H18" s="4255"/>
      <c r="I18" s="4255"/>
      <c r="J18" s="4255"/>
      <c r="K18" s="4255"/>
      <c r="L18" s="4255"/>
      <c r="M18" s="4255"/>
      <c r="N18" s="4255"/>
      <c r="O18" s="4255"/>
      <c r="P18" s="4255"/>
      <c r="Q18" s="4255"/>
      <c r="R18" s="4255"/>
      <c r="S18" s="4255"/>
      <c r="T18" s="4255"/>
      <c r="U18" s="4255"/>
      <c r="V18" s="4255"/>
    </row>
    <row r="19" spans="1:28" ht="24">
      <c r="A19" s="4256" t="s">
        <v>2798</v>
      </c>
      <c r="B19" s="4256"/>
      <c r="C19" s="4256"/>
      <c r="D19" s="4256" t="s">
        <v>2799</v>
      </c>
      <c r="E19" s="4256"/>
      <c r="F19" s="4256"/>
      <c r="G19" s="4256"/>
      <c r="H19" s="4256"/>
      <c r="I19" s="4187" t="s">
        <v>2800</v>
      </c>
      <c r="J19" s="4187" t="s">
        <v>2801</v>
      </c>
      <c r="K19" s="4256" t="s">
        <v>2802</v>
      </c>
      <c r="L19" s="4256"/>
      <c r="M19" s="4256"/>
      <c r="N19" s="4256"/>
      <c r="O19" s="4256" t="s">
        <v>2803</v>
      </c>
      <c r="P19" s="4256"/>
      <c r="Q19" s="4256"/>
      <c r="R19" s="4256"/>
      <c r="S19" s="4256"/>
      <c r="T19" s="4256"/>
      <c r="U19" s="4256"/>
      <c r="V19" s="4256"/>
    </row>
    <row r="20" spans="1:28" ht="51">
      <c r="A20" s="410" t="s">
        <v>2666</v>
      </c>
      <c r="B20" s="309" t="s">
        <v>2804</v>
      </c>
      <c r="C20" s="309" t="s">
        <v>2805</v>
      </c>
      <c r="D20" s="309" t="s">
        <v>2806</v>
      </c>
      <c r="E20" s="309" t="s">
        <v>2807</v>
      </c>
      <c r="F20" s="309" t="s">
        <v>2808</v>
      </c>
      <c r="G20" s="309" t="s">
        <v>2809</v>
      </c>
      <c r="H20" s="309" t="s">
        <v>2810</v>
      </c>
      <c r="I20" s="4187"/>
      <c r="J20" s="4187"/>
      <c r="K20" s="4183" t="s">
        <v>2830</v>
      </c>
      <c r="L20" s="4183"/>
      <c r="M20" s="4183" t="s">
        <v>2831</v>
      </c>
      <c r="N20" s="4183"/>
      <c r="O20" s="309" t="s">
        <v>2816</v>
      </c>
      <c r="P20" s="309" t="s">
        <v>2817</v>
      </c>
      <c r="Q20" s="309" t="s">
        <v>2818</v>
      </c>
      <c r="R20" s="309" t="s">
        <v>2696</v>
      </c>
      <c r="S20" s="309" t="s">
        <v>2819</v>
      </c>
      <c r="T20" s="309" t="s">
        <v>2820</v>
      </c>
      <c r="U20" s="309" t="s">
        <v>2699</v>
      </c>
      <c r="V20" s="309" t="s">
        <v>2821</v>
      </c>
    </row>
    <row r="21" spans="1:28" ht="48">
      <c r="A21" s="287">
        <f>+A8+1</f>
        <v>3</v>
      </c>
      <c r="B21" s="284" t="s">
        <v>2701</v>
      </c>
      <c r="C21" s="310" t="s">
        <v>2036</v>
      </c>
      <c r="D21" s="298">
        <f>+J21</f>
        <v>176700</v>
      </c>
      <c r="E21" s="298"/>
      <c r="F21" s="312">
        <v>1</v>
      </c>
      <c r="G21" s="312">
        <v>0</v>
      </c>
      <c r="H21" s="312">
        <v>0</v>
      </c>
      <c r="I21" s="310" t="str">
        <f>'8_MP'!$D$115</f>
        <v>1.2.1.8.2.3</v>
      </c>
      <c r="J21" s="281">
        <f>'8_MP'!$AN$115</f>
        <v>176700</v>
      </c>
      <c r="K21" s="286" t="s">
        <v>2691</v>
      </c>
      <c r="L21" s="286" t="s">
        <v>2682</v>
      </c>
      <c r="M21" s="286" t="s">
        <v>2691</v>
      </c>
      <c r="N21" s="286" t="s">
        <v>2682</v>
      </c>
      <c r="O21" s="287" t="s">
        <v>1340</v>
      </c>
      <c r="P21" s="287" t="s">
        <v>802</v>
      </c>
      <c r="Q21" s="1967" t="s">
        <v>2267</v>
      </c>
      <c r="R21" s="301"/>
      <c r="S21" s="301"/>
      <c r="T21" s="287"/>
      <c r="U21" s="301"/>
      <c r="V21" s="301"/>
      <c r="W21" s="314"/>
      <c r="X21" s="314"/>
    </row>
    <row r="22" spans="1:28" ht="16">
      <c r="A22" s="287"/>
      <c r="B22" s="284"/>
      <c r="C22" s="310"/>
      <c r="D22" s="311"/>
      <c r="E22" s="287"/>
      <c r="F22" s="312"/>
      <c r="G22" s="312"/>
      <c r="H22" s="312"/>
      <c r="I22" s="310"/>
      <c r="J22" s="313"/>
      <c r="K22" s="286" t="s">
        <v>2691</v>
      </c>
      <c r="L22" s="286" t="s">
        <v>2682</v>
      </c>
      <c r="M22" s="286" t="s">
        <v>2691</v>
      </c>
      <c r="N22" s="286" t="s">
        <v>2682</v>
      </c>
      <c r="O22" s="287"/>
      <c r="P22" s="287"/>
      <c r="Q22" s="287"/>
      <c r="R22" s="287"/>
      <c r="S22" s="287"/>
      <c r="T22" s="287"/>
      <c r="U22" s="287"/>
      <c r="V22" s="287"/>
      <c r="W22" s="314"/>
      <c r="X22" s="314"/>
    </row>
    <row r="23" spans="1:28" ht="16">
      <c r="A23" s="287"/>
      <c r="B23" s="284"/>
      <c r="C23" s="310"/>
      <c r="D23" s="305"/>
      <c r="E23" s="287"/>
      <c r="F23" s="312"/>
      <c r="G23" s="312"/>
      <c r="H23" s="312"/>
      <c r="I23" s="310"/>
      <c r="J23" s="281"/>
      <c r="K23" s="286" t="s">
        <v>2691</v>
      </c>
      <c r="L23" s="286" t="s">
        <v>2682</v>
      </c>
      <c r="M23" s="286" t="s">
        <v>2691</v>
      </c>
      <c r="N23" s="286" t="s">
        <v>2682</v>
      </c>
      <c r="O23" s="287"/>
      <c r="P23" s="318"/>
      <c r="Q23" s="287"/>
      <c r="R23" s="287"/>
      <c r="S23" s="287"/>
      <c r="T23" s="287"/>
      <c r="U23" s="287"/>
      <c r="V23" s="287"/>
    </row>
    <row r="24" spans="1:28" ht="16">
      <c r="A24" s="318"/>
      <c r="B24" s="284"/>
      <c r="C24" s="287"/>
      <c r="D24" s="319"/>
      <c r="E24" s="287"/>
      <c r="F24" s="312"/>
      <c r="G24" s="312"/>
      <c r="H24" s="312"/>
      <c r="I24" s="310"/>
      <c r="J24" s="281"/>
      <c r="K24" s="286" t="s">
        <v>2691</v>
      </c>
      <c r="L24" s="286" t="s">
        <v>2682</v>
      </c>
      <c r="M24" s="286" t="s">
        <v>2691</v>
      </c>
      <c r="N24" s="286" t="s">
        <v>2682</v>
      </c>
      <c r="O24" s="287"/>
      <c r="P24" s="287"/>
      <c r="Q24" s="287"/>
      <c r="R24" s="287"/>
      <c r="S24" s="287"/>
      <c r="T24" s="287"/>
      <c r="U24" s="287"/>
      <c r="V24" s="287"/>
    </row>
    <row r="25" spans="1:28">
      <c r="A25" s="4188" t="s">
        <v>2702</v>
      </c>
      <c r="B25" s="4188"/>
      <c r="C25" s="4188"/>
      <c r="D25" s="412">
        <f>SUM(D21:D24)</f>
        <v>176700</v>
      </c>
      <c r="E25" s="412">
        <f>SUM(E21:E24)</f>
        <v>0</v>
      </c>
      <c r="F25" s="4190"/>
      <c r="G25" s="4190"/>
      <c r="H25" s="4190"/>
      <c r="I25" s="4190"/>
      <c r="J25" s="4190"/>
      <c r="K25" s="4190"/>
      <c r="L25" s="4190"/>
      <c r="M25" s="4190"/>
      <c r="N25" s="4190"/>
      <c r="O25" s="4190"/>
      <c r="P25" s="4190"/>
      <c r="Q25" s="4190"/>
      <c r="R25" s="4190"/>
      <c r="S25" s="4190"/>
      <c r="T25" s="4190"/>
      <c r="U25" s="4190"/>
      <c r="V25" s="4190"/>
    </row>
    <row r="26" spans="1:28" s="265" customFormat="1"/>
    <row r="27" spans="1:28" s="265" customFormat="1"/>
    <row r="28" spans="1:28" ht="31">
      <c r="A28" s="4255" t="s">
        <v>2832</v>
      </c>
      <c r="B28" s="4255"/>
      <c r="C28" s="4255"/>
      <c r="D28" s="4255"/>
      <c r="E28" s="4255"/>
      <c r="F28" s="4255"/>
      <c r="G28" s="4255"/>
      <c r="H28" s="4255"/>
      <c r="I28" s="4255"/>
      <c r="J28" s="4255"/>
      <c r="K28" s="4255"/>
      <c r="L28" s="4255"/>
      <c r="M28" s="4255"/>
      <c r="N28" s="4255"/>
      <c r="O28" s="4255"/>
      <c r="P28" s="4255"/>
      <c r="Q28" s="4255"/>
      <c r="R28" s="4255"/>
      <c r="S28" s="4255"/>
      <c r="T28" s="4255"/>
      <c r="U28" s="4255"/>
      <c r="V28" s="4255"/>
      <c r="W28" s="4255"/>
      <c r="X28" s="4255"/>
      <c r="Y28" s="4255"/>
      <c r="Z28" s="4255"/>
      <c r="AA28" s="4255"/>
      <c r="AB28" s="4255"/>
    </row>
    <row r="29" spans="1:28" ht="24">
      <c r="A29" s="4256" t="s">
        <v>2798</v>
      </c>
      <c r="B29" s="4256"/>
      <c r="C29" s="4256"/>
      <c r="D29" s="4256" t="s">
        <v>2799</v>
      </c>
      <c r="E29" s="4256"/>
      <c r="F29" s="4256"/>
      <c r="G29" s="4256"/>
      <c r="H29" s="4256"/>
      <c r="I29" s="4187" t="s">
        <v>2800</v>
      </c>
      <c r="J29" s="4187" t="s">
        <v>2801</v>
      </c>
      <c r="K29" s="4256" t="s">
        <v>2802</v>
      </c>
      <c r="L29" s="4256"/>
      <c r="M29" s="4256"/>
      <c r="N29" s="4256"/>
      <c r="O29" s="4256"/>
      <c r="P29" s="4256"/>
      <c r="Q29" s="4256"/>
      <c r="R29" s="4256"/>
      <c r="S29" s="4256"/>
      <c r="T29" s="4256"/>
      <c r="U29" s="4256" t="s">
        <v>2803</v>
      </c>
      <c r="V29" s="4256"/>
      <c r="W29" s="4256"/>
      <c r="X29" s="4256"/>
      <c r="Y29" s="4256"/>
      <c r="Z29" s="4256"/>
      <c r="AA29" s="4256"/>
      <c r="AB29" s="4256"/>
    </row>
    <row r="30" spans="1:28" ht="34">
      <c r="A30" s="410" t="s">
        <v>2666</v>
      </c>
      <c r="B30" s="309" t="s">
        <v>2804</v>
      </c>
      <c r="C30" s="309" t="s">
        <v>2805</v>
      </c>
      <c r="D30" s="309" t="s">
        <v>2806</v>
      </c>
      <c r="E30" s="309" t="s">
        <v>2807</v>
      </c>
      <c r="F30" s="309" t="s">
        <v>2808</v>
      </c>
      <c r="G30" s="309" t="s">
        <v>2809</v>
      </c>
      <c r="H30" s="309" t="s">
        <v>2810</v>
      </c>
      <c r="I30" s="4187"/>
      <c r="J30" s="4187"/>
      <c r="K30" s="4183" t="s">
        <v>2828</v>
      </c>
      <c r="L30" s="4183"/>
      <c r="M30" s="4183" t="s">
        <v>2812</v>
      </c>
      <c r="N30" s="4183"/>
      <c r="O30" s="4183" t="s">
        <v>2813</v>
      </c>
      <c r="P30" s="4183"/>
      <c r="Q30" s="4183" t="s">
        <v>2814</v>
      </c>
      <c r="R30" s="4183"/>
      <c r="S30" s="4183" t="s">
        <v>2815</v>
      </c>
      <c r="T30" s="4183"/>
      <c r="U30" s="309" t="s">
        <v>2816</v>
      </c>
      <c r="V30" s="309" t="s">
        <v>2817</v>
      </c>
      <c r="W30" s="309" t="s">
        <v>2818</v>
      </c>
      <c r="X30" s="309" t="s">
        <v>2696</v>
      </c>
      <c r="Y30" s="309" t="s">
        <v>2819</v>
      </c>
      <c r="Z30" s="309" t="s">
        <v>2820</v>
      </c>
      <c r="AA30" s="309" t="s">
        <v>2699</v>
      </c>
      <c r="AB30" s="309" t="s">
        <v>2821</v>
      </c>
    </row>
    <row r="31" spans="1:28" ht="16">
      <c r="A31" s="301"/>
      <c r="B31" s="301"/>
      <c r="C31" s="301"/>
      <c r="D31" s="301"/>
      <c r="E31" s="301"/>
      <c r="F31" s="301"/>
      <c r="G31" s="301"/>
      <c r="H31" s="301"/>
      <c r="I31" s="301"/>
      <c r="J31" s="301"/>
      <c r="K31" s="286" t="s">
        <v>2691</v>
      </c>
      <c r="L31" s="286" t="s">
        <v>2682</v>
      </c>
      <c r="M31" s="286" t="s">
        <v>2691</v>
      </c>
      <c r="N31" s="286" t="s">
        <v>2682</v>
      </c>
      <c r="O31" s="286" t="s">
        <v>2691</v>
      </c>
      <c r="P31" s="286" t="s">
        <v>2682</v>
      </c>
      <c r="Q31" s="286" t="s">
        <v>2691</v>
      </c>
      <c r="R31" s="286" t="s">
        <v>2682</v>
      </c>
      <c r="S31" s="286" t="s">
        <v>2691</v>
      </c>
      <c r="T31" s="286" t="s">
        <v>2682</v>
      </c>
      <c r="U31" s="301"/>
      <c r="V31" s="301"/>
      <c r="W31" s="301"/>
      <c r="X31" s="301"/>
      <c r="Y31" s="301"/>
      <c r="Z31" s="301"/>
      <c r="AA31" s="301"/>
      <c r="AB31" s="301"/>
    </row>
    <row r="32" spans="1:28" s="265" customFormat="1"/>
    <row r="33" spans="1:29" s="265" customFormat="1"/>
    <row r="34" spans="1:29" ht="31">
      <c r="A34" s="4255" t="s">
        <v>2833</v>
      </c>
      <c r="B34" s="4255"/>
      <c r="C34" s="4255"/>
      <c r="D34" s="4255"/>
      <c r="E34" s="4255"/>
      <c r="F34" s="4255"/>
      <c r="G34" s="4255"/>
      <c r="H34" s="4255"/>
      <c r="I34" s="4255"/>
      <c r="J34" s="4255"/>
      <c r="K34" s="4255"/>
      <c r="L34" s="4255"/>
      <c r="M34" s="4255"/>
      <c r="N34" s="4255"/>
      <c r="O34" s="4255"/>
      <c r="P34" s="4255"/>
      <c r="Q34" s="4255"/>
      <c r="R34" s="4255"/>
      <c r="S34" s="4255"/>
      <c r="T34" s="4255"/>
      <c r="U34" s="4255"/>
      <c r="V34" s="4255"/>
      <c r="W34" s="4255"/>
      <c r="X34" s="4255"/>
      <c r="Y34" s="4255"/>
      <c r="Z34" s="4255"/>
      <c r="AA34" s="4255"/>
      <c r="AB34" s="4255"/>
      <c r="AC34" s="4255"/>
    </row>
    <row r="35" spans="1:29" ht="24">
      <c r="A35" s="4256" t="s">
        <v>2798</v>
      </c>
      <c r="B35" s="4256"/>
      <c r="C35" s="4256"/>
      <c r="D35" s="4256" t="s">
        <v>2799</v>
      </c>
      <c r="E35" s="4256"/>
      <c r="F35" s="4256"/>
      <c r="G35" s="4256"/>
      <c r="H35" s="4256"/>
      <c r="I35" s="4187" t="s">
        <v>2800</v>
      </c>
      <c r="J35" s="4187" t="s">
        <v>2801</v>
      </c>
      <c r="K35" s="4256" t="s">
        <v>2802</v>
      </c>
      <c r="L35" s="4256"/>
      <c r="M35" s="4256"/>
      <c r="N35" s="4256"/>
      <c r="O35" s="4256"/>
      <c r="P35" s="4256"/>
      <c r="Q35" s="4256"/>
      <c r="R35" s="4256"/>
      <c r="S35" s="4256"/>
      <c r="T35" s="4256"/>
      <c r="U35" s="4256"/>
      <c r="V35" s="4256"/>
      <c r="W35" s="4256"/>
      <c r="X35" s="4256"/>
      <c r="Y35" s="4256"/>
      <c r="Z35" s="4256"/>
      <c r="AA35" s="4256"/>
      <c r="AB35" s="4256"/>
      <c r="AC35" s="409"/>
    </row>
    <row r="36" spans="1:29" ht="51">
      <c r="A36" s="410" t="s">
        <v>2666</v>
      </c>
      <c r="B36" s="309" t="s">
        <v>2804</v>
      </c>
      <c r="C36" s="309" t="s">
        <v>2805</v>
      </c>
      <c r="D36" s="309" t="s">
        <v>2806</v>
      </c>
      <c r="E36" s="309" t="s">
        <v>2807</v>
      </c>
      <c r="F36" s="309" t="s">
        <v>2808</v>
      </c>
      <c r="G36" s="309" t="s">
        <v>2809</v>
      </c>
      <c r="H36" s="309" t="s">
        <v>2810</v>
      </c>
      <c r="I36" s="4187"/>
      <c r="J36" s="4187"/>
      <c r="K36" s="4183" t="s">
        <v>2825</v>
      </c>
      <c r="L36" s="4183"/>
      <c r="M36" s="4183" t="s">
        <v>2826</v>
      </c>
      <c r="N36" s="4183"/>
      <c r="O36" s="4183" t="s">
        <v>2827</v>
      </c>
      <c r="P36" s="4183"/>
      <c r="Q36" s="4183" t="s">
        <v>2828</v>
      </c>
      <c r="R36" s="4183"/>
      <c r="S36" s="4183" t="s">
        <v>2812</v>
      </c>
      <c r="T36" s="4183"/>
      <c r="U36" s="4183" t="s">
        <v>2813</v>
      </c>
      <c r="V36" s="4183"/>
      <c r="W36" s="4183" t="s">
        <v>2812</v>
      </c>
      <c r="X36" s="4183"/>
      <c r="Y36" s="4183" t="s">
        <v>2834</v>
      </c>
      <c r="Z36" s="4183"/>
      <c r="AA36" s="4183" t="s">
        <v>2814</v>
      </c>
      <c r="AB36" s="4183"/>
      <c r="AC36" s="309" t="s">
        <v>2821</v>
      </c>
    </row>
    <row r="37" spans="1:29" ht="16">
      <c r="A37" s="301"/>
      <c r="B37" s="301"/>
      <c r="C37" s="301"/>
      <c r="D37" s="301"/>
      <c r="E37" s="301"/>
      <c r="F37" s="301"/>
      <c r="G37" s="301"/>
      <c r="H37" s="301"/>
      <c r="I37" s="301"/>
      <c r="J37" s="301"/>
      <c r="K37" s="286" t="s">
        <v>2691</v>
      </c>
      <c r="L37" s="286" t="s">
        <v>2682</v>
      </c>
      <c r="M37" s="286" t="s">
        <v>2691</v>
      </c>
      <c r="N37" s="286" t="s">
        <v>2682</v>
      </c>
      <c r="O37" s="286" t="s">
        <v>2691</v>
      </c>
      <c r="P37" s="286" t="s">
        <v>2682</v>
      </c>
      <c r="Q37" s="286" t="s">
        <v>2691</v>
      </c>
      <c r="R37" s="286" t="s">
        <v>2682</v>
      </c>
      <c r="S37" s="286" t="s">
        <v>2691</v>
      </c>
      <c r="T37" s="286" t="s">
        <v>2682</v>
      </c>
      <c r="U37" s="286" t="s">
        <v>2691</v>
      </c>
      <c r="V37" s="286" t="s">
        <v>2682</v>
      </c>
      <c r="W37" s="286" t="s">
        <v>2691</v>
      </c>
      <c r="X37" s="286" t="s">
        <v>2682</v>
      </c>
      <c r="Y37" s="286" t="s">
        <v>2691</v>
      </c>
      <c r="Z37" s="286" t="s">
        <v>2682</v>
      </c>
      <c r="AA37" s="286" t="s">
        <v>2691</v>
      </c>
      <c r="AB37" s="286" t="s">
        <v>2682</v>
      </c>
      <c r="AC37" s="301"/>
    </row>
    <row r="38" spans="1:29" s="265" customFormat="1"/>
    <row r="39" spans="1:29" s="265" customFormat="1"/>
    <row r="40" spans="1:29" s="265" customFormat="1"/>
    <row r="41" spans="1:29" ht="31">
      <c r="A41" s="4255" t="s">
        <v>2835</v>
      </c>
      <c r="B41" s="4255"/>
      <c r="C41" s="4255"/>
      <c r="D41" s="4255"/>
      <c r="E41" s="4255"/>
      <c r="F41" s="4255"/>
      <c r="G41" s="4255"/>
      <c r="H41" s="4255"/>
      <c r="I41" s="4255"/>
      <c r="J41" s="4255"/>
      <c r="K41" s="4255"/>
      <c r="L41" s="4255"/>
      <c r="M41" s="4255"/>
      <c r="N41" s="4255"/>
      <c r="O41" s="4255"/>
      <c r="P41" s="4255"/>
      <c r="Q41" s="4255"/>
      <c r="R41" s="4255"/>
      <c r="S41" s="4255"/>
      <c r="T41" s="4255"/>
      <c r="U41" s="4255"/>
      <c r="V41" s="4255"/>
      <c r="W41" s="4255"/>
      <c r="X41" s="4255"/>
      <c r="Y41" s="4255"/>
      <c r="Z41" s="4255"/>
      <c r="AA41" s="4255"/>
      <c r="AB41" s="4255"/>
    </row>
    <row r="42" spans="1:29" ht="24">
      <c r="A42" s="4256" t="s">
        <v>2798</v>
      </c>
      <c r="B42" s="4256"/>
      <c r="C42" s="4256"/>
      <c r="D42" s="4256" t="s">
        <v>2799</v>
      </c>
      <c r="E42" s="4256"/>
      <c r="F42" s="4256"/>
      <c r="G42" s="4256"/>
      <c r="H42" s="4256"/>
      <c r="I42" s="4187" t="s">
        <v>2800</v>
      </c>
      <c r="J42" s="4187" t="s">
        <v>2801</v>
      </c>
      <c r="K42" s="4256" t="s">
        <v>2802</v>
      </c>
      <c r="L42" s="4256"/>
      <c r="M42" s="4256"/>
      <c r="N42" s="4256"/>
      <c r="O42" s="4256"/>
      <c r="P42" s="4256"/>
      <c r="Q42" s="4256"/>
      <c r="R42" s="4256"/>
      <c r="S42" s="4256"/>
      <c r="T42" s="4256"/>
      <c r="U42" s="4256"/>
      <c r="V42" s="4256"/>
      <c r="W42" s="4256"/>
      <c r="X42" s="4256"/>
      <c r="Y42" s="4256" t="s">
        <v>2803</v>
      </c>
      <c r="Z42" s="4256"/>
      <c r="AA42" s="4256"/>
      <c r="AB42" s="4256"/>
    </row>
    <row r="43" spans="1:29" ht="34">
      <c r="A43" s="410" t="s">
        <v>2666</v>
      </c>
      <c r="B43" s="309" t="s">
        <v>2804</v>
      </c>
      <c r="C43" s="309" t="s">
        <v>2805</v>
      </c>
      <c r="D43" s="309" t="s">
        <v>2806</v>
      </c>
      <c r="E43" s="309" t="s">
        <v>2807</v>
      </c>
      <c r="F43" s="309" t="s">
        <v>2808</v>
      </c>
      <c r="G43" s="309" t="s">
        <v>2809</v>
      </c>
      <c r="H43" s="309" t="s">
        <v>2810</v>
      </c>
      <c r="I43" s="4187"/>
      <c r="J43" s="4187"/>
      <c r="K43" s="4183" t="s">
        <v>2811</v>
      </c>
      <c r="L43" s="4183"/>
      <c r="M43" s="4183" t="s">
        <v>2812</v>
      </c>
      <c r="N43" s="4183"/>
      <c r="O43" s="4183" t="s">
        <v>2813</v>
      </c>
      <c r="P43" s="4183"/>
      <c r="Q43" s="4183" t="s">
        <v>2812</v>
      </c>
      <c r="R43" s="4183"/>
      <c r="S43" s="4183" t="s">
        <v>2834</v>
      </c>
      <c r="T43" s="4183"/>
      <c r="U43" s="4183" t="s">
        <v>2814</v>
      </c>
      <c r="V43" s="4183"/>
      <c r="W43" s="4183" t="s">
        <v>2815</v>
      </c>
      <c r="X43" s="4183"/>
      <c r="Y43" s="309" t="s">
        <v>2816</v>
      </c>
      <c r="Z43" s="309" t="s">
        <v>2817</v>
      </c>
      <c r="AA43" s="309" t="s">
        <v>2818</v>
      </c>
      <c r="AB43" s="309" t="s">
        <v>2696</v>
      </c>
    </row>
    <row r="44" spans="1:29" ht="16">
      <c r="A44" s="301"/>
      <c r="B44" s="301"/>
      <c r="C44" s="301"/>
      <c r="D44" s="301"/>
      <c r="E44" s="301"/>
      <c r="F44" s="301"/>
      <c r="G44" s="301"/>
      <c r="H44" s="301"/>
      <c r="I44" s="301"/>
      <c r="J44" s="301"/>
      <c r="K44" s="286" t="s">
        <v>2691</v>
      </c>
      <c r="L44" s="286" t="s">
        <v>2682</v>
      </c>
      <c r="M44" s="286" t="s">
        <v>2691</v>
      </c>
      <c r="N44" s="286" t="s">
        <v>2682</v>
      </c>
      <c r="O44" s="286" t="s">
        <v>2691</v>
      </c>
      <c r="P44" s="286" t="s">
        <v>2682</v>
      </c>
      <c r="Q44" s="286" t="s">
        <v>2691</v>
      </c>
      <c r="R44" s="286" t="s">
        <v>2682</v>
      </c>
      <c r="S44" s="286" t="s">
        <v>2691</v>
      </c>
      <c r="T44" s="286" t="s">
        <v>2682</v>
      </c>
      <c r="U44" s="286" t="s">
        <v>2691</v>
      </c>
      <c r="V44" s="286" t="s">
        <v>2682</v>
      </c>
      <c r="W44" s="286" t="s">
        <v>2691</v>
      </c>
      <c r="X44" s="286" t="s">
        <v>2682</v>
      </c>
      <c r="Y44" s="301"/>
      <c r="Z44" s="301"/>
      <c r="AA44" s="301"/>
      <c r="AB44" s="301"/>
    </row>
    <row r="45" spans="1:29" s="265" customFormat="1">
      <c r="K45" s="317"/>
      <c r="L45" s="317"/>
      <c r="M45" s="317"/>
      <c r="N45" s="317"/>
      <c r="O45" s="317"/>
      <c r="P45" s="317"/>
      <c r="Q45" s="317"/>
      <c r="R45" s="317"/>
      <c r="S45" s="317"/>
      <c r="T45" s="317"/>
      <c r="U45" s="317"/>
      <c r="V45" s="317"/>
      <c r="W45" s="317"/>
      <c r="X45" s="317"/>
    </row>
    <row r="46" spans="1:29" s="265" customFormat="1"/>
    <row r="47" spans="1:29" ht="31">
      <c r="A47" s="4255" t="s">
        <v>2836</v>
      </c>
      <c r="B47" s="4255"/>
      <c r="C47" s="4255"/>
      <c r="D47" s="4255"/>
      <c r="E47" s="4255"/>
      <c r="F47" s="4255"/>
      <c r="G47" s="4255"/>
      <c r="H47" s="4255"/>
      <c r="I47" s="4255"/>
      <c r="J47" s="4255"/>
      <c r="K47" s="4255"/>
      <c r="L47" s="4255"/>
      <c r="M47" s="4255"/>
      <c r="N47" s="4255"/>
      <c r="O47" s="4255"/>
      <c r="P47" s="4255"/>
      <c r="Q47" s="4255"/>
      <c r="R47" s="4255"/>
      <c r="S47" s="4255"/>
      <c r="T47" s="4255"/>
      <c r="U47" s="4255"/>
      <c r="V47" s="4255"/>
      <c r="W47" s="4255"/>
      <c r="X47" s="4255"/>
    </row>
    <row r="48" spans="1:29" ht="24">
      <c r="A48" s="4256" t="s">
        <v>2798</v>
      </c>
      <c r="B48" s="4256"/>
      <c r="C48" s="4256"/>
      <c r="D48" s="4256" t="s">
        <v>2799</v>
      </c>
      <c r="E48" s="4256"/>
      <c r="F48" s="4256"/>
      <c r="G48" s="4256"/>
      <c r="H48" s="4256"/>
      <c r="I48" s="4187" t="s">
        <v>2800</v>
      </c>
      <c r="J48" s="4187" t="s">
        <v>2801</v>
      </c>
      <c r="K48" s="4256" t="s">
        <v>2802</v>
      </c>
      <c r="L48" s="4256"/>
      <c r="M48" s="4256"/>
      <c r="N48" s="4256"/>
      <c r="O48" s="4256"/>
      <c r="P48" s="4256"/>
      <c r="Q48" s="4256" t="s">
        <v>2803</v>
      </c>
      <c r="R48" s="4256"/>
      <c r="S48" s="4256"/>
      <c r="T48" s="4256"/>
      <c r="U48" s="4256"/>
      <c r="V48" s="4256"/>
      <c r="W48" s="4256"/>
      <c r="X48" s="4256"/>
    </row>
    <row r="49" spans="1:24" ht="85">
      <c r="A49" s="410" t="s">
        <v>2666</v>
      </c>
      <c r="B49" s="309" t="s">
        <v>2804</v>
      </c>
      <c r="C49" s="309" t="s">
        <v>2805</v>
      </c>
      <c r="D49" s="309" t="s">
        <v>2806</v>
      </c>
      <c r="E49" s="309" t="s">
        <v>2807</v>
      </c>
      <c r="F49" s="309" t="s">
        <v>2808</v>
      </c>
      <c r="G49" s="309" t="s">
        <v>2809</v>
      </c>
      <c r="H49" s="309" t="s">
        <v>2810</v>
      </c>
      <c r="I49" s="4187"/>
      <c r="J49" s="4187"/>
      <c r="K49" s="4183" t="s">
        <v>2837</v>
      </c>
      <c r="L49" s="4183"/>
      <c r="M49" s="4183" t="s">
        <v>2838</v>
      </c>
      <c r="N49" s="4183"/>
      <c r="O49" s="4183" t="s">
        <v>2815</v>
      </c>
      <c r="P49" s="4183"/>
      <c r="Q49" s="309" t="s">
        <v>2816</v>
      </c>
      <c r="R49" s="309" t="s">
        <v>2817</v>
      </c>
      <c r="S49" s="309" t="s">
        <v>2818</v>
      </c>
      <c r="T49" s="309" t="s">
        <v>2696</v>
      </c>
      <c r="U49" s="309" t="s">
        <v>2819</v>
      </c>
      <c r="V49" s="309" t="s">
        <v>2820</v>
      </c>
      <c r="W49" s="309" t="s">
        <v>2699</v>
      </c>
      <c r="X49" s="309" t="s">
        <v>2821</v>
      </c>
    </row>
    <row r="50" spans="1:24" ht="16">
      <c r="A50" s="301"/>
      <c r="B50" s="301"/>
      <c r="C50" s="301"/>
      <c r="D50" s="301"/>
      <c r="E50" s="301"/>
      <c r="F50" s="301"/>
      <c r="G50" s="301"/>
      <c r="H50" s="301"/>
      <c r="I50" s="301"/>
      <c r="J50" s="301"/>
      <c r="K50" s="286" t="s">
        <v>2691</v>
      </c>
      <c r="L50" s="286" t="s">
        <v>2682</v>
      </c>
      <c r="M50" s="286" t="s">
        <v>2691</v>
      </c>
      <c r="N50" s="286" t="s">
        <v>2682</v>
      </c>
      <c r="O50" s="286" t="s">
        <v>2691</v>
      </c>
      <c r="P50" s="286" t="s">
        <v>2682</v>
      </c>
      <c r="Q50" s="301"/>
      <c r="R50" s="301"/>
      <c r="S50" s="301"/>
      <c r="T50" s="301"/>
      <c r="U50" s="301"/>
      <c r="V50" s="301"/>
      <c r="W50" s="301"/>
      <c r="X50" s="301"/>
    </row>
    <row r="51" spans="1:24" s="265" customFormat="1"/>
    <row r="52" spans="1:24" s="265" customFormat="1"/>
    <row r="53" spans="1:24" ht="31">
      <c r="A53" s="4255" t="s">
        <v>2839</v>
      </c>
      <c r="B53" s="4255"/>
      <c r="C53" s="4255"/>
      <c r="D53" s="4255"/>
      <c r="E53" s="4255"/>
      <c r="F53" s="4255"/>
      <c r="G53" s="4255"/>
      <c r="H53" s="4255"/>
      <c r="I53" s="4255"/>
      <c r="J53" s="4255"/>
      <c r="K53" s="4255"/>
      <c r="L53" s="4255"/>
      <c r="M53" s="4255"/>
      <c r="N53" s="4255"/>
      <c r="O53" s="4255"/>
      <c r="P53" s="4255"/>
      <c r="Q53" s="4255"/>
      <c r="R53" s="4255"/>
      <c r="S53" s="4255"/>
      <c r="T53" s="4255"/>
    </row>
    <row r="54" spans="1:24" ht="24">
      <c r="A54" s="4256" t="s">
        <v>2798</v>
      </c>
      <c r="B54" s="4256"/>
      <c r="C54" s="4256"/>
      <c r="D54" s="4256" t="s">
        <v>2799</v>
      </c>
      <c r="E54" s="4256"/>
      <c r="F54" s="4256"/>
      <c r="G54" s="4256"/>
      <c r="H54" s="4256"/>
      <c r="I54" s="4187" t="s">
        <v>2800</v>
      </c>
      <c r="J54" s="4187" t="s">
        <v>2801</v>
      </c>
      <c r="K54" s="4256" t="s">
        <v>2802</v>
      </c>
      <c r="L54" s="4256"/>
      <c r="M54" s="4256" t="s">
        <v>2803</v>
      </c>
      <c r="N54" s="4256"/>
      <c r="O54" s="4256"/>
      <c r="P54" s="4256"/>
      <c r="Q54" s="4256"/>
      <c r="R54" s="4256"/>
      <c r="S54" s="4256"/>
      <c r="T54" s="4256"/>
    </row>
    <row r="55" spans="1:24" ht="51">
      <c r="A55" s="410" t="s">
        <v>2666</v>
      </c>
      <c r="B55" s="309" t="s">
        <v>2804</v>
      </c>
      <c r="C55" s="309" t="s">
        <v>2805</v>
      </c>
      <c r="D55" s="309" t="s">
        <v>2806</v>
      </c>
      <c r="E55" s="309" t="s">
        <v>2807</v>
      </c>
      <c r="F55" s="309" t="s">
        <v>2808</v>
      </c>
      <c r="G55" s="309" t="s">
        <v>2809</v>
      </c>
      <c r="H55" s="309" t="s">
        <v>2810</v>
      </c>
      <c r="I55" s="4187"/>
      <c r="J55" s="4187"/>
      <c r="K55" s="4183" t="s">
        <v>2840</v>
      </c>
      <c r="L55" s="4183"/>
      <c r="M55" s="309" t="s">
        <v>2816</v>
      </c>
      <c r="N55" s="309" t="s">
        <v>2817</v>
      </c>
      <c r="O55" s="309" t="s">
        <v>2818</v>
      </c>
      <c r="P55" s="309" t="s">
        <v>2696</v>
      </c>
      <c r="Q55" s="309" t="s">
        <v>2819</v>
      </c>
      <c r="R55" s="309" t="s">
        <v>2820</v>
      </c>
      <c r="S55" s="309" t="s">
        <v>2699</v>
      </c>
      <c r="T55" s="309" t="s">
        <v>2821</v>
      </c>
    </row>
    <row r="56" spans="1:24" ht="16">
      <c r="A56" s="301"/>
      <c r="B56" s="301"/>
      <c r="C56" s="301"/>
      <c r="D56" s="301"/>
      <c r="E56" s="301"/>
      <c r="F56" s="301"/>
      <c r="G56" s="301"/>
      <c r="H56" s="301"/>
      <c r="I56" s="301"/>
      <c r="J56" s="301"/>
      <c r="K56" s="286" t="s">
        <v>2691</v>
      </c>
      <c r="L56" s="286" t="s">
        <v>2682</v>
      </c>
      <c r="M56" s="301"/>
      <c r="N56" s="301"/>
      <c r="O56" s="301"/>
      <c r="P56" s="301"/>
      <c r="Q56" s="301"/>
      <c r="R56" s="301"/>
      <c r="S56" s="301"/>
      <c r="T56" s="301"/>
    </row>
    <row r="57" spans="1:24" s="265" customFormat="1"/>
    <row r="58" spans="1:24" s="265" customFormat="1"/>
    <row r="59" spans="1:24" s="265" customFormat="1"/>
    <row r="60" spans="1:24" s="265" customFormat="1"/>
    <row r="61" spans="1:24" s="265" customFormat="1"/>
    <row r="239" s="265" customFormat="1"/>
    <row r="240" s="265" customFormat="1"/>
    <row r="241" spans="5:7" s="265" customFormat="1"/>
    <row r="242" spans="5:7" s="265" customFormat="1"/>
    <row r="243" spans="5:7" s="265" customFormat="1"/>
    <row r="244" spans="5:7" s="265" customFormat="1"/>
    <row r="245" spans="5:7" s="265" customFormat="1"/>
    <row r="246" spans="5:7" s="265" customFormat="1"/>
    <row r="247" spans="5:7" s="265" customFormat="1"/>
    <row r="248" spans="5:7" s="265" customFormat="1"/>
    <row r="249" spans="5:7" s="265" customFormat="1"/>
    <row r="250" spans="5:7" s="265" customFormat="1"/>
    <row r="251" spans="5:7" s="265" customFormat="1"/>
    <row r="252" spans="5:7" s="265" customFormat="1"/>
    <row r="253" spans="5:7" s="265" customFormat="1"/>
    <row r="254" spans="5:7" s="265" customFormat="1">
      <c r="E254" s="273"/>
      <c r="F254" s="273"/>
      <c r="G254" s="273"/>
    </row>
    <row r="255" spans="5:7" s="265" customFormat="1">
      <c r="E255" s="273"/>
      <c r="F255" s="273"/>
      <c r="G255" s="273"/>
    </row>
    <row r="256" spans="5:7" s="265" customFormat="1">
      <c r="E256" s="273"/>
      <c r="F256" s="273"/>
      <c r="G256" s="273"/>
    </row>
    <row r="257" spans="5:7" s="265" customFormat="1">
      <c r="E257" s="273"/>
      <c r="F257" s="273"/>
      <c r="G257" s="273"/>
    </row>
    <row r="258" spans="5:7" s="265" customFormat="1">
      <c r="E258" s="273"/>
      <c r="F258" s="273"/>
      <c r="G258" s="273"/>
    </row>
    <row r="259" spans="5:7" s="265" customFormat="1">
      <c r="E259" s="273"/>
      <c r="F259" s="273"/>
      <c r="G259" s="273"/>
    </row>
    <row r="260" spans="5:7" s="265" customFormat="1">
      <c r="E260" s="273"/>
      <c r="F260" s="273"/>
      <c r="G260" s="273"/>
    </row>
    <row r="261" spans="5:7" s="265" customFormat="1">
      <c r="E261" s="273"/>
      <c r="F261" s="273"/>
      <c r="G261" s="273"/>
    </row>
    <row r="262" spans="5:7" s="265" customFormat="1">
      <c r="E262" s="273"/>
      <c r="F262" s="273"/>
      <c r="G262" s="273"/>
    </row>
  </sheetData>
  <mergeCells count="92">
    <mergeCell ref="A2:AB2"/>
    <mergeCell ref="A4:AB4"/>
    <mergeCell ref="A5:C5"/>
    <mergeCell ref="D5:H5"/>
    <mergeCell ref="I5:I6"/>
    <mergeCell ref="J5:J6"/>
    <mergeCell ref="K5:T5"/>
    <mergeCell ref="U5:AB5"/>
    <mergeCell ref="K6:L6"/>
    <mergeCell ref="M6:N6"/>
    <mergeCell ref="AA13:AB13"/>
    <mergeCell ref="O6:P6"/>
    <mergeCell ref="Q6:R6"/>
    <mergeCell ref="S6:T6"/>
    <mergeCell ref="A10:C10"/>
    <mergeCell ref="F10:AB10"/>
    <mergeCell ref="A12:AB12"/>
    <mergeCell ref="A13:C13"/>
    <mergeCell ref="D13:H13"/>
    <mergeCell ref="I13:I14"/>
    <mergeCell ref="J13:J14"/>
    <mergeCell ref="K13:Z13"/>
    <mergeCell ref="A18:V18"/>
    <mergeCell ref="A19:C19"/>
    <mergeCell ref="D19:H19"/>
    <mergeCell ref="I19:I20"/>
    <mergeCell ref="J19:J20"/>
    <mergeCell ref="K19:N19"/>
    <mergeCell ref="O19:V19"/>
    <mergeCell ref="K20:L20"/>
    <mergeCell ref="M20:N20"/>
    <mergeCell ref="A25:C25"/>
    <mergeCell ref="F25:V25"/>
    <mergeCell ref="A28:AB28"/>
    <mergeCell ref="A29:C29"/>
    <mergeCell ref="D29:H29"/>
    <mergeCell ref="I29:I30"/>
    <mergeCell ref="J29:J30"/>
    <mergeCell ref="K29:T29"/>
    <mergeCell ref="U29:AB29"/>
    <mergeCell ref="K30:L30"/>
    <mergeCell ref="M30:N30"/>
    <mergeCell ref="O30:P30"/>
    <mergeCell ref="Q30:R30"/>
    <mergeCell ref="S30:T30"/>
    <mergeCell ref="A34:AC34"/>
    <mergeCell ref="W36:X36"/>
    <mergeCell ref="Y36:Z36"/>
    <mergeCell ref="AA36:AB36"/>
    <mergeCell ref="A41:AB41"/>
    <mergeCell ref="A35:C35"/>
    <mergeCell ref="D35:H35"/>
    <mergeCell ref="I35:I36"/>
    <mergeCell ref="J35:J36"/>
    <mergeCell ref="K35:AB35"/>
    <mergeCell ref="A42:C42"/>
    <mergeCell ref="D42:H42"/>
    <mergeCell ref="I42:I43"/>
    <mergeCell ref="J42:J43"/>
    <mergeCell ref="K42:X42"/>
    <mergeCell ref="W43:X43"/>
    <mergeCell ref="K43:L43"/>
    <mergeCell ref="M43:N43"/>
    <mergeCell ref="O43:P43"/>
    <mergeCell ref="Q43:R43"/>
    <mergeCell ref="S43:T43"/>
    <mergeCell ref="U43:V43"/>
    <mergeCell ref="Y42:AB42"/>
    <mergeCell ref="K36:L36"/>
    <mergeCell ref="M36:N36"/>
    <mergeCell ref="O36:P36"/>
    <mergeCell ref="Q36:R36"/>
    <mergeCell ref="S36:T36"/>
    <mergeCell ref="U36:V36"/>
    <mergeCell ref="A47:X47"/>
    <mergeCell ref="A48:C48"/>
    <mergeCell ref="D48:H48"/>
    <mergeCell ref="I48:I49"/>
    <mergeCell ref="J48:J49"/>
    <mergeCell ref="K48:P48"/>
    <mergeCell ref="Q48:X48"/>
    <mergeCell ref="K49:L49"/>
    <mergeCell ref="M49:N49"/>
    <mergeCell ref="O49:P49"/>
    <mergeCell ref="A53:T53"/>
    <mergeCell ref="A54:C54"/>
    <mergeCell ref="D54:H54"/>
    <mergeCell ref="I54:I55"/>
    <mergeCell ref="J54:J55"/>
    <mergeCell ref="K54:L54"/>
    <mergeCell ref="M54:T54"/>
    <mergeCell ref="K55:L55"/>
  </mergeCells>
  <dataValidations count="1">
    <dataValidation type="list" allowBlank="1" showInputMessage="1" showErrorMessage="1" sqref="Z45:Z46 V32:V33 R51:R52 V11 P26:P27 AB16:AB17 N57:N61" xr:uid="{00000000-0002-0000-2100-000000000000}">
      <formula1>#REF!</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100-000001000000}">
          <x14:formula1>
            <xm:f>'9_Resumen del PA - MH (3)'!$AC$11:$AC$12</xm:f>
          </x14:formula1>
          <xm:sqref>Q26:Q27 W32:W33 AA45:AA46 S51:S52 O57:O61 Q21 W7:W9</xm:sqref>
        </x14:dataValidation>
        <x14:dataValidation type="list" allowBlank="1" showInputMessage="1" showErrorMessage="1" xr:uid="{00000000-0002-0000-2100-000002000000}">
          <x14:formula1>
            <xm:f>'9_Resumen del PA - MH (3)'!$AD$10:$AD$12</xm:f>
          </x14:formula1>
          <xm:sqref>AA16:AA17 O26:O27 U32:U33 Y45:Y46 Q51:Q52 U11 M57:M61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EG222"/>
  <sheetViews>
    <sheetView showGridLines="0" topLeftCell="A151" zoomScale="70" zoomScaleNormal="70" workbookViewId="0">
      <selection activeCell="A7" sqref="A7:AF15"/>
    </sheetView>
  </sheetViews>
  <sheetFormatPr baseColWidth="10" defaultColWidth="11.5" defaultRowHeight="15"/>
  <cols>
    <col min="1" max="1" width="7.5" style="252" bestFit="1" customWidth="1"/>
    <col min="2" max="2" width="58.5" style="252" customWidth="1"/>
    <col min="3" max="3" width="11.5" style="252" bestFit="1" customWidth="1"/>
    <col min="4" max="4" width="15.5" style="252" customWidth="1"/>
    <col min="5" max="5" width="8.5" style="252" bestFit="1" customWidth="1"/>
    <col min="6" max="6" width="10.83203125" style="252" bestFit="1" customWidth="1"/>
    <col min="7" max="7" width="12.5" style="252" bestFit="1" customWidth="1"/>
    <col min="8" max="8" width="9.5" style="252" bestFit="1" customWidth="1"/>
    <col min="9" max="9" width="12" style="252" bestFit="1" customWidth="1"/>
    <col min="10" max="10" width="11.1640625" style="252" customWidth="1"/>
    <col min="11" max="11" width="14.5" style="252" bestFit="1" customWidth="1"/>
    <col min="12" max="12" width="11.5" style="252" bestFit="1" customWidth="1"/>
    <col min="13" max="13" width="14.5" style="252" bestFit="1" customWidth="1"/>
    <col min="14" max="14" width="11.5" style="252" bestFit="1" customWidth="1"/>
    <col min="15" max="15" width="18.1640625" style="252" bestFit="1" customWidth="1"/>
    <col min="16" max="16" width="13" style="252" bestFit="1" customWidth="1"/>
    <col min="17" max="17" width="18.1640625" style="252" bestFit="1" customWidth="1"/>
    <col min="18" max="18" width="13" style="252" bestFit="1" customWidth="1"/>
    <col min="19" max="19" width="16.83203125" style="252" bestFit="1" customWidth="1"/>
    <col min="20" max="20" width="11.5" style="252" bestFit="1" customWidth="1"/>
    <col min="21" max="21" width="18.1640625" style="252" bestFit="1" customWidth="1"/>
    <col min="22" max="22" width="21.5" style="252" bestFit="1" customWidth="1"/>
    <col min="23" max="23" width="16.83203125" style="252" bestFit="1" customWidth="1"/>
    <col min="24" max="24" width="11.5" style="252" bestFit="1" customWidth="1"/>
    <col min="25" max="25" width="18.1640625" style="252" bestFit="1" customWidth="1"/>
    <col min="26" max="26" width="13" style="252" bestFit="1" customWidth="1"/>
    <col min="27" max="27" width="15.5" style="252" bestFit="1" customWidth="1"/>
    <col min="28" max="28" width="20" style="252" bestFit="1" customWidth="1"/>
    <col min="29" max="29" width="11.5" style="252" bestFit="1" customWidth="1"/>
    <col min="30" max="30" width="7.83203125" style="252" bestFit="1" customWidth="1"/>
    <col min="31" max="31" width="6.83203125" style="252" bestFit="1" customWidth="1"/>
    <col min="32" max="32" width="5" style="252" bestFit="1" customWidth="1"/>
    <col min="33" max="37" width="11.5" style="252"/>
    <col min="38" max="38" width="41.5" style="252" bestFit="1" customWidth="1"/>
    <col min="39" max="42" width="11.5" style="252"/>
    <col min="43" max="43" width="21.5" style="252" bestFit="1" customWidth="1"/>
    <col min="44" max="44" width="66.5" style="252" bestFit="1" customWidth="1"/>
    <col min="45" max="45" width="34" style="252" bestFit="1" customWidth="1"/>
    <col min="46" max="16384" width="11.5" style="252"/>
  </cols>
  <sheetData>
    <row r="1" spans="1:137">
      <c r="AQ1" s="253"/>
      <c r="AR1" s="253"/>
      <c r="AS1" s="253"/>
      <c r="AT1" s="1939"/>
    </row>
    <row r="2" spans="1:137" s="1943" customFormat="1" ht="34">
      <c r="A2" s="4223" t="s">
        <v>2713</v>
      </c>
      <c r="B2" s="4223"/>
      <c r="C2" s="4223"/>
      <c r="D2" s="4223"/>
      <c r="E2" s="4223"/>
      <c r="F2" s="4223"/>
      <c r="G2" s="4223"/>
      <c r="H2" s="4223"/>
      <c r="I2" s="4223"/>
      <c r="J2" s="4223"/>
      <c r="K2" s="4223"/>
      <c r="L2" s="4223"/>
      <c r="M2" s="4223"/>
      <c r="N2" s="4223"/>
      <c r="O2" s="4223"/>
      <c r="P2" s="4223"/>
      <c r="Q2" s="4223"/>
      <c r="R2" s="4223"/>
      <c r="S2" s="4223"/>
      <c r="T2" s="4223"/>
      <c r="U2" s="4223"/>
      <c r="V2" s="4223"/>
      <c r="W2" s="4223"/>
      <c r="X2" s="4223"/>
      <c r="Y2" s="4223"/>
      <c r="Z2" s="4223"/>
      <c r="AA2" s="4223"/>
      <c r="AB2" s="4223"/>
      <c r="AC2" s="4223"/>
      <c r="AD2" s="4223"/>
      <c r="AE2" s="4223"/>
      <c r="AF2" s="4223"/>
      <c r="AG2" s="1940"/>
      <c r="AH2" s="1940"/>
      <c r="AI2" s="1940"/>
      <c r="AJ2" s="1940"/>
      <c r="AK2" s="1940"/>
      <c r="AL2" s="1940"/>
      <c r="AM2" s="1940"/>
      <c r="AN2" s="1940"/>
      <c r="AO2" s="1940"/>
      <c r="AP2" s="1940"/>
      <c r="AQ2" s="1941" t="s">
        <v>2263</v>
      </c>
      <c r="AR2" s="1941" t="s">
        <v>2714</v>
      </c>
      <c r="AS2" s="1941" t="s">
        <v>2262</v>
      </c>
      <c r="AT2" s="1942"/>
      <c r="AU2" s="1940"/>
      <c r="AV2" s="1940"/>
      <c r="AW2" s="1940"/>
      <c r="AX2" s="1940"/>
      <c r="AY2" s="1940"/>
      <c r="AZ2" s="1940"/>
      <c r="BA2" s="1940"/>
      <c r="BB2" s="1940"/>
      <c r="BC2" s="1940"/>
      <c r="BD2" s="1940"/>
      <c r="BE2" s="1940"/>
      <c r="BF2" s="1940"/>
      <c r="BG2" s="1940"/>
      <c r="BH2" s="1940"/>
      <c r="BI2" s="1940"/>
      <c r="BJ2" s="1940"/>
      <c r="BK2" s="1940"/>
      <c r="BL2" s="1940"/>
      <c r="BM2" s="1940"/>
      <c r="BN2" s="1940"/>
      <c r="BO2" s="1940"/>
      <c r="BP2" s="1940"/>
      <c r="BQ2" s="1940"/>
      <c r="BR2" s="1940"/>
      <c r="BS2" s="1940"/>
      <c r="BT2" s="1940"/>
      <c r="BU2" s="1940"/>
      <c r="BV2" s="1940"/>
      <c r="BW2" s="1940"/>
      <c r="BX2" s="1940"/>
      <c r="BY2" s="1940"/>
      <c r="BZ2" s="1940"/>
      <c r="CA2" s="1940"/>
      <c r="CB2" s="1940"/>
      <c r="CC2" s="1940"/>
      <c r="CD2" s="1940"/>
      <c r="CE2" s="1940"/>
      <c r="CF2" s="1940"/>
      <c r="CG2" s="1940"/>
      <c r="CH2" s="1940"/>
      <c r="CI2" s="1940"/>
      <c r="CJ2" s="1940"/>
      <c r="CK2" s="1940"/>
      <c r="CL2" s="1940"/>
      <c r="CM2" s="1940"/>
      <c r="CN2" s="1940"/>
      <c r="CO2" s="1940"/>
      <c r="CP2" s="1940"/>
      <c r="CQ2" s="1940"/>
      <c r="CR2" s="1940"/>
      <c r="CS2" s="1940"/>
      <c r="CT2" s="1940"/>
      <c r="CU2" s="1940"/>
      <c r="CV2" s="1940"/>
      <c r="CW2" s="1940"/>
      <c r="CX2" s="1940"/>
      <c r="CY2" s="1940"/>
      <c r="CZ2" s="1940"/>
      <c r="DA2" s="1940"/>
      <c r="DB2" s="1940"/>
      <c r="DC2" s="1940"/>
      <c r="DD2" s="1940"/>
      <c r="DE2" s="1940"/>
      <c r="DF2" s="1940"/>
      <c r="DG2" s="1940"/>
      <c r="DH2" s="1940"/>
      <c r="DI2" s="1940"/>
      <c r="DJ2" s="1940"/>
      <c r="DK2" s="1940"/>
      <c r="DL2" s="1940"/>
      <c r="DM2" s="1940"/>
      <c r="DN2" s="1940"/>
      <c r="DO2" s="1940"/>
      <c r="DP2" s="1940"/>
      <c r="DQ2" s="1940"/>
      <c r="DR2" s="1940"/>
      <c r="DS2" s="1940"/>
      <c r="DT2" s="1940"/>
      <c r="DU2" s="1940"/>
      <c r="DV2" s="1940"/>
      <c r="DW2" s="1940"/>
      <c r="DX2" s="1940"/>
      <c r="DY2" s="1940"/>
      <c r="DZ2" s="1940"/>
      <c r="EA2" s="1940"/>
      <c r="EB2" s="1940"/>
      <c r="EC2" s="1940"/>
      <c r="ED2" s="1940"/>
      <c r="EE2" s="1940"/>
      <c r="EF2" s="1940"/>
      <c r="EG2" s="1940"/>
    </row>
    <row r="3" spans="1:137">
      <c r="AQ3" s="253" t="s">
        <v>2266</v>
      </c>
      <c r="AR3" s="253" t="s">
        <v>2715</v>
      </c>
      <c r="AS3" s="253" t="s">
        <v>2265</v>
      </c>
      <c r="AT3" s="1939"/>
    </row>
    <row r="4" spans="1:137" ht="31">
      <c r="A4" s="4262" t="s">
        <v>2841</v>
      </c>
      <c r="B4" s="4262"/>
      <c r="C4" s="4262"/>
      <c r="D4" s="4262"/>
      <c r="E4" s="4262"/>
      <c r="F4" s="4262"/>
      <c r="G4" s="4262"/>
      <c r="H4" s="4262"/>
      <c r="I4" s="4262"/>
      <c r="J4" s="4262"/>
      <c r="K4" s="4262"/>
      <c r="L4" s="4262"/>
      <c r="M4" s="4262"/>
      <c r="N4" s="4262"/>
      <c r="O4" s="4262"/>
      <c r="P4" s="4262"/>
      <c r="Q4" s="4262"/>
      <c r="R4" s="4262"/>
      <c r="S4" s="4262"/>
      <c r="T4" s="4262"/>
      <c r="U4" s="4262"/>
      <c r="V4" s="4262"/>
      <c r="W4" s="4262"/>
      <c r="X4" s="4262"/>
      <c r="Y4" s="4262"/>
      <c r="Z4" s="4262"/>
      <c r="AA4" s="4262"/>
      <c r="AB4" s="4262"/>
      <c r="AC4" s="4262"/>
      <c r="AD4" s="4262"/>
      <c r="AE4" s="4262"/>
      <c r="AF4" s="4262"/>
      <c r="AQ4" s="253" t="s">
        <v>2268</v>
      </c>
      <c r="AR4" s="253" t="s">
        <v>2717</v>
      </c>
      <c r="AS4" s="253" t="s">
        <v>2267</v>
      </c>
      <c r="AT4" s="1939"/>
    </row>
    <row r="5" spans="1:137" ht="24">
      <c r="A5" s="4260" t="s">
        <v>2798</v>
      </c>
      <c r="B5" s="4260"/>
      <c r="C5" s="4260"/>
      <c r="D5" s="4260" t="s">
        <v>2799</v>
      </c>
      <c r="E5" s="4260"/>
      <c r="F5" s="4260"/>
      <c r="G5" s="4260"/>
      <c r="H5" s="4260"/>
      <c r="I5" s="4187" t="s">
        <v>2800</v>
      </c>
      <c r="J5" s="4187" t="s">
        <v>2801</v>
      </c>
      <c r="K5" s="4260" t="s">
        <v>2802</v>
      </c>
      <c r="L5" s="4260"/>
      <c r="M5" s="4260"/>
      <c r="N5" s="4260"/>
      <c r="O5" s="4260"/>
      <c r="P5" s="4260"/>
      <c r="Q5" s="4260"/>
      <c r="R5" s="4260"/>
      <c r="S5" s="4260"/>
      <c r="T5" s="4260"/>
      <c r="U5" s="4260"/>
      <c r="V5" s="4260"/>
      <c r="W5" s="4260"/>
      <c r="X5" s="4260"/>
      <c r="Y5" s="4260"/>
      <c r="Z5" s="4260"/>
      <c r="AA5" s="4260" t="s">
        <v>2803</v>
      </c>
      <c r="AB5" s="4260"/>
      <c r="AC5" s="4260"/>
      <c r="AD5" s="4260"/>
      <c r="AE5" s="4260"/>
      <c r="AF5" s="4260"/>
      <c r="AQ5" s="253" t="s">
        <v>2718</v>
      </c>
      <c r="AR5" s="253" t="s">
        <v>2719</v>
      </c>
      <c r="AS5" s="253"/>
      <c r="AT5" s="1939"/>
    </row>
    <row r="6" spans="1:137" ht="51">
      <c r="A6" s="410" t="s">
        <v>2666</v>
      </c>
      <c r="B6" s="309" t="s">
        <v>2804</v>
      </c>
      <c r="C6" s="309" t="s">
        <v>2805</v>
      </c>
      <c r="D6" s="309" t="s">
        <v>2806</v>
      </c>
      <c r="E6" s="309" t="s">
        <v>2807</v>
      </c>
      <c r="F6" s="309" t="s">
        <v>2808</v>
      </c>
      <c r="G6" s="309" t="s">
        <v>2809</v>
      </c>
      <c r="H6" s="309" t="s">
        <v>2810</v>
      </c>
      <c r="I6" s="4187"/>
      <c r="J6" s="4187"/>
      <c r="K6" s="4261" t="s">
        <v>2842</v>
      </c>
      <c r="L6" s="4261"/>
      <c r="M6" s="4261" t="s">
        <v>2843</v>
      </c>
      <c r="N6" s="4261"/>
      <c r="O6" s="4261" t="s">
        <v>2844</v>
      </c>
      <c r="P6" s="4261"/>
      <c r="Q6" s="4261" t="s">
        <v>2813</v>
      </c>
      <c r="R6" s="4261"/>
      <c r="S6" s="4261" t="s">
        <v>2844</v>
      </c>
      <c r="T6" s="4261"/>
      <c r="U6" s="4261" t="s">
        <v>2834</v>
      </c>
      <c r="V6" s="4261"/>
      <c r="W6" s="4261" t="s">
        <v>2838</v>
      </c>
      <c r="X6" s="4261"/>
      <c r="Y6" s="4261" t="s">
        <v>2815</v>
      </c>
      <c r="Z6" s="4261"/>
      <c r="AA6" s="309" t="s">
        <v>2816</v>
      </c>
      <c r="AB6" s="309" t="s">
        <v>2817</v>
      </c>
      <c r="AC6" s="309" t="s">
        <v>2818</v>
      </c>
      <c r="AD6" s="309" t="s">
        <v>2696</v>
      </c>
      <c r="AE6" s="309" t="s">
        <v>2819</v>
      </c>
      <c r="AF6" s="309" t="s">
        <v>2820</v>
      </c>
      <c r="AQ6" s="253" t="s">
        <v>2725</v>
      </c>
      <c r="AR6" s="253" t="s">
        <v>2726</v>
      </c>
      <c r="AS6" s="253"/>
      <c r="AT6" s="1939"/>
    </row>
    <row r="7" spans="1:137" s="1944" customFormat="1">
      <c r="A7" s="4205">
        <f>+'9.1_PA_OB&amp;S - MH (3)'!A21+1</f>
        <v>4</v>
      </c>
      <c r="B7" s="4207" t="s">
        <v>2295</v>
      </c>
      <c r="C7" s="4205" t="s">
        <v>1994</v>
      </c>
      <c r="D7" s="4203">
        <f>SUM(J7:J15)</f>
        <v>1000000</v>
      </c>
      <c r="E7" s="4203">
        <v>0</v>
      </c>
      <c r="F7" s="4209">
        <v>1</v>
      </c>
      <c r="G7" s="4209">
        <v>0</v>
      </c>
      <c r="H7" s="4209">
        <v>0</v>
      </c>
      <c r="I7" s="1966" t="str">
        <f>'8_MP'!D11</f>
        <v>1.1.1.1.2</v>
      </c>
      <c r="J7" s="4203">
        <f>'8_MP'!AN11</f>
        <v>0</v>
      </c>
      <c r="K7" s="3671" t="s">
        <v>2691</v>
      </c>
      <c r="L7" s="4194" t="s">
        <v>2682</v>
      </c>
      <c r="M7" s="3671" t="s">
        <v>2691</v>
      </c>
      <c r="N7" s="4194" t="s">
        <v>2682</v>
      </c>
      <c r="O7" s="3671" t="s">
        <v>2691</v>
      </c>
      <c r="P7" s="4194" t="s">
        <v>2682</v>
      </c>
      <c r="Q7" s="3671" t="s">
        <v>2691</v>
      </c>
      <c r="R7" s="4194" t="s">
        <v>2682</v>
      </c>
      <c r="S7" s="3671" t="s">
        <v>2691</v>
      </c>
      <c r="T7" s="4194" t="s">
        <v>2682</v>
      </c>
      <c r="U7" s="3671" t="s">
        <v>2691</v>
      </c>
      <c r="V7" s="4194" t="s">
        <v>2682</v>
      </c>
      <c r="W7" s="3671" t="s">
        <v>2691</v>
      </c>
      <c r="X7" s="4194" t="s">
        <v>2682</v>
      </c>
      <c r="Y7" s="3671" t="s">
        <v>2691</v>
      </c>
      <c r="Z7" s="4194" t="s">
        <v>2682</v>
      </c>
      <c r="AA7" s="4197" t="s">
        <v>1195</v>
      </c>
      <c r="AB7" s="4197" t="s">
        <v>2296</v>
      </c>
      <c r="AC7" s="4200" t="s">
        <v>2727</v>
      </c>
      <c r="AD7" s="4211"/>
      <c r="AE7" s="4211"/>
      <c r="AF7" s="4211"/>
      <c r="AQ7" s="1945"/>
      <c r="AR7" s="1945"/>
      <c r="AS7" s="1945"/>
      <c r="AT7" s="1946"/>
    </row>
    <row r="8" spans="1:137" s="1944" customFormat="1">
      <c r="A8" s="4217"/>
      <c r="B8" s="4216"/>
      <c r="C8" s="4217"/>
      <c r="D8" s="4215"/>
      <c r="E8" s="4215"/>
      <c r="F8" s="4214"/>
      <c r="G8" s="4214"/>
      <c r="H8" s="4214"/>
      <c r="I8" s="1966" t="str">
        <f>'8_MP'!D12</f>
        <v>1.1.1.1.5</v>
      </c>
      <c r="J8" s="4204"/>
      <c r="K8" s="3672"/>
      <c r="L8" s="4195"/>
      <c r="M8" s="3672"/>
      <c r="N8" s="4195"/>
      <c r="O8" s="3672"/>
      <c r="P8" s="4195"/>
      <c r="Q8" s="3672"/>
      <c r="R8" s="4195"/>
      <c r="S8" s="3672"/>
      <c r="T8" s="4195"/>
      <c r="U8" s="3672"/>
      <c r="V8" s="4195"/>
      <c r="W8" s="3672"/>
      <c r="X8" s="4195"/>
      <c r="Y8" s="3672"/>
      <c r="Z8" s="4195"/>
      <c r="AA8" s="4198"/>
      <c r="AB8" s="4198"/>
      <c r="AC8" s="4201"/>
      <c r="AD8" s="4212"/>
      <c r="AE8" s="4212"/>
      <c r="AF8" s="4212"/>
      <c r="AQ8" s="1945"/>
      <c r="AR8" s="1945"/>
      <c r="AS8" s="1945"/>
      <c r="AT8" s="1946"/>
    </row>
    <row r="9" spans="1:137" s="1944" customFormat="1">
      <c r="A9" s="4217"/>
      <c r="B9" s="4216"/>
      <c r="C9" s="4217"/>
      <c r="D9" s="4215"/>
      <c r="E9" s="4215"/>
      <c r="F9" s="4214"/>
      <c r="G9" s="4214"/>
      <c r="H9" s="4214"/>
      <c r="I9" s="1966" t="str">
        <f>'8_MP'!D40</f>
        <v>1.1.1.1.4.1</v>
      </c>
      <c r="J9" s="4203">
        <f>'8_MP'!AN40</f>
        <v>30000</v>
      </c>
      <c r="K9" s="3672"/>
      <c r="L9" s="4195"/>
      <c r="M9" s="3672"/>
      <c r="N9" s="4195"/>
      <c r="O9" s="3672"/>
      <c r="P9" s="4195"/>
      <c r="Q9" s="3672"/>
      <c r="R9" s="4195"/>
      <c r="S9" s="3672"/>
      <c r="T9" s="4195"/>
      <c r="U9" s="3672"/>
      <c r="V9" s="4195"/>
      <c r="W9" s="3672"/>
      <c r="X9" s="4195"/>
      <c r="Y9" s="3672"/>
      <c r="Z9" s="4195"/>
      <c r="AA9" s="4198"/>
      <c r="AB9" s="4198"/>
      <c r="AC9" s="4201"/>
      <c r="AD9" s="4212"/>
      <c r="AE9" s="4212"/>
      <c r="AF9" s="4212"/>
      <c r="AQ9" s="1945"/>
      <c r="AR9" s="1945"/>
      <c r="AS9" s="1945"/>
      <c r="AT9" s="1946"/>
    </row>
    <row r="10" spans="1:137" s="1944" customFormat="1">
      <c r="A10" s="4217"/>
      <c r="B10" s="4216"/>
      <c r="C10" s="4217"/>
      <c r="D10" s="4215"/>
      <c r="E10" s="4215"/>
      <c r="F10" s="4214"/>
      <c r="G10" s="4214"/>
      <c r="H10" s="4214"/>
      <c r="I10" s="1966" t="str">
        <f>'8_MP'!D41</f>
        <v>1.1.1.1.4.2</v>
      </c>
      <c r="J10" s="4215"/>
      <c r="K10" s="3672"/>
      <c r="L10" s="4195"/>
      <c r="M10" s="3672"/>
      <c r="N10" s="4195"/>
      <c r="O10" s="3672"/>
      <c r="P10" s="4195"/>
      <c r="Q10" s="3672"/>
      <c r="R10" s="4195"/>
      <c r="S10" s="3672"/>
      <c r="T10" s="4195"/>
      <c r="U10" s="3672"/>
      <c r="V10" s="4195"/>
      <c r="W10" s="3672"/>
      <c r="X10" s="4195"/>
      <c r="Y10" s="3672"/>
      <c r="Z10" s="4195"/>
      <c r="AA10" s="4198"/>
      <c r="AB10" s="4198"/>
      <c r="AC10" s="4201"/>
      <c r="AD10" s="4212"/>
      <c r="AE10" s="4212"/>
      <c r="AF10" s="4212"/>
      <c r="AQ10" s="1945"/>
      <c r="AR10" s="1945"/>
      <c r="AS10" s="1945"/>
      <c r="AT10" s="1946"/>
    </row>
    <row r="11" spans="1:137" s="1944" customFormat="1">
      <c r="A11" s="4217"/>
      <c r="B11" s="4216"/>
      <c r="C11" s="4206"/>
      <c r="D11" s="4215"/>
      <c r="E11" s="4215"/>
      <c r="F11" s="4214"/>
      <c r="G11" s="4214"/>
      <c r="H11" s="4214"/>
      <c r="I11" s="1966" t="e">
        <f>'8_MP'!#REF!</f>
        <v>#REF!</v>
      </c>
      <c r="J11" s="4204"/>
      <c r="K11" s="3672"/>
      <c r="L11" s="4195"/>
      <c r="M11" s="3672"/>
      <c r="N11" s="4195"/>
      <c r="O11" s="3672"/>
      <c r="P11" s="4195"/>
      <c r="Q11" s="3672"/>
      <c r="R11" s="4195"/>
      <c r="S11" s="3672"/>
      <c r="T11" s="4195"/>
      <c r="U11" s="3672"/>
      <c r="V11" s="4195"/>
      <c r="W11" s="3672"/>
      <c r="X11" s="4195"/>
      <c r="Y11" s="3672"/>
      <c r="Z11" s="4195"/>
      <c r="AA11" s="4198"/>
      <c r="AB11" s="4198"/>
      <c r="AC11" s="4201"/>
      <c r="AD11" s="4212"/>
      <c r="AE11" s="4212"/>
      <c r="AF11" s="4212"/>
      <c r="AQ11" s="1945"/>
      <c r="AR11" s="1945"/>
      <c r="AS11" s="1945"/>
      <c r="AT11" s="1946"/>
    </row>
    <row r="12" spans="1:137" s="1944" customFormat="1">
      <c r="A12" s="4217"/>
      <c r="B12" s="4216"/>
      <c r="C12" s="4205" t="s">
        <v>2102</v>
      </c>
      <c r="D12" s="4215"/>
      <c r="E12" s="4215"/>
      <c r="F12" s="4214"/>
      <c r="G12" s="4214"/>
      <c r="H12" s="4214"/>
      <c r="I12" s="1966" t="str">
        <f>'8_MP'!D64</f>
        <v>1.1.2.2.1.2</v>
      </c>
      <c r="J12" s="4203">
        <f>'8_MP'!AN64</f>
        <v>970000</v>
      </c>
      <c r="K12" s="3672"/>
      <c r="L12" s="4195"/>
      <c r="M12" s="3672"/>
      <c r="N12" s="4195"/>
      <c r="O12" s="3672"/>
      <c r="P12" s="4195"/>
      <c r="Q12" s="3672"/>
      <c r="R12" s="4195"/>
      <c r="S12" s="3672"/>
      <c r="T12" s="4195"/>
      <c r="U12" s="3672"/>
      <c r="V12" s="4195"/>
      <c r="W12" s="3672"/>
      <c r="X12" s="4195"/>
      <c r="Y12" s="3672"/>
      <c r="Z12" s="4195"/>
      <c r="AA12" s="4198"/>
      <c r="AB12" s="4198"/>
      <c r="AC12" s="4201"/>
      <c r="AD12" s="4212"/>
      <c r="AE12" s="4212"/>
      <c r="AF12" s="4212"/>
      <c r="AQ12" s="1945"/>
      <c r="AR12" s="1945"/>
      <c r="AS12" s="1945"/>
      <c r="AT12" s="1946"/>
    </row>
    <row r="13" spans="1:137" s="1944" customFormat="1">
      <c r="A13" s="4217"/>
      <c r="B13" s="4216"/>
      <c r="C13" s="4217"/>
      <c r="D13" s="4215"/>
      <c r="E13" s="4215"/>
      <c r="F13" s="4214"/>
      <c r="G13" s="4214"/>
      <c r="H13" s="4214"/>
      <c r="I13" s="1966" t="str">
        <f>'8_MP'!D65</f>
        <v>1.1.2.2.1.3</v>
      </c>
      <c r="J13" s="4215"/>
      <c r="K13" s="3672"/>
      <c r="L13" s="4195"/>
      <c r="M13" s="3672"/>
      <c r="N13" s="4195"/>
      <c r="O13" s="3672"/>
      <c r="P13" s="4195"/>
      <c r="Q13" s="3672"/>
      <c r="R13" s="4195"/>
      <c r="S13" s="3672"/>
      <c r="T13" s="4195"/>
      <c r="U13" s="3672"/>
      <c r="V13" s="4195"/>
      <c r="W13" s="3672"/>
      <c r="X13" s="4195"/>
      <c r="Y13" s="3672"/>
      <c r="Z13" s="4195"/>
      <c r="AA13" s="4198"/>
      <c r="AB13" s="4198"/>
      <c r="AC13" s="4201"/>
      <c r="AD13" s="4212"/>
      <c r="AE13" s="4212"/>
      <c r="AF13" s="4212"/>
      <c r="AQ13" s="1945"/>
      <c r="AR13" s="1945"/>
      <c r="AS13" s="1945"/>
      <c r="AT13" s="1946"/>
    </row>
    <row r="14" spans="1:137" s="1944" customFormat="1">
      <c r="A14" s="4217"/>
      <c r="B14" s="4216"/>
      <c r="C14" s="4206"/>
      <c r="D14" s="4215"/>
      <c r="E14" s="4215"/>
      <c r="F14" s="4214"/>
      <c r="G14" s="4214"/>
      <c r="H14" s="4214"/>
      <c r="I14" s="1966" t="str">
        <f>'8_MP'!D66</f>
        <v>1.1.2.2.1.4</v>
      </c>
      <c r="J14" s="4204"/>
      <c r="K14" s="3672"/>
      <c r="L14" s="4195"/>
      <c r="M14" s="3672"/>
      <c r="N14" s="4195"/>
      <c r="O14" s="3672"/>
      <c r="P14" s="4195"/>
      <c r="Q14" s="3672"/>
      <c r="R14" s="4195"/>
      <c r="S14" s="3672"/>
      <c r="T14" s="4195"/>
      <c r="U14" s="3672"/>
      <c r="V14" s="4195"/>
      <c r="W14" s="3672"/>
      <c r="X14" s="4195"/>
      <c r="Y14" s="3672"/>
      <c r="Z14" s="4195"/>
      <c r="AA14" s="4198"/>
      <c r="AB14" s="4198"/>
      <c r="AC14" s="4201"/>
      <c r="AD14" s="4212"/>
      <c r="AE14" s="4212"/>
      <c r="AF14" s="4212"/>
      <c r="AQ14" s="1945"/>
      <c r="AR14" s="1945"/>
      <c r="AS14" s="1945"/>
      <c r="AT14" s="1946"/>
    </row>
    <row r="15" spans="1:137" s="1944" customFormat="1">
      <c r="A15" s="4206"/>
      <c r="B15" s="4208"/>
      <c r="C15" s="1935" t="s">
        <v>2063</v>
      </c>
      <c r="D15" s="4204"/>
      <c r="E15" s="4204"/>
      <c r="F15" s="4210"/>
      <c r="G15" s="4210"/>
      <c r="H15" s="4210"/>
      <c r="I15" s="1966">
        <f>'8_MP'!$D$51</f>
        <v>0</v>
      </c>
      <c r="J15" s="1938">
        <f>'8_MP'!$AN$51</f>
        <v>0</v>
      </c>
      <c r="K15" s="3673"/>
      <c r="L15" s="4196"/>
      <c r="M15" s="3673"/>
      <c r="N15" s="4196"/>
      <c r="O15" s="3673"/>
      <c r="P15" s="4196"/>
      <c r="Q15" s="3673"/>
      <c r="R15" s="4196"/>
      <c r="S15" s="3673"/>
      <c r="T15" s="4196"/>
      <c r="U15" s="3673"/>
      <c r="V15" s="4196"/>
      <c r="W15" s="3673"/>
      <c r="X15" s="4196"/>
      <c r="Y15" s="3673"/>
      <c r="Z15" s="4196"/>
      <c r="AA15" s="4199"/>
      <c r="AB15" s="4199"/>
      <c r="AC15" s="4202"/>
      <c r="AD15" s="4213"/>
      <c r="AE15" s="4213"/>
      <c r="AF15" s="4213"/>
      <c r="AQ15" s="1945"/>
      <c r="AR15" s="1945"/>
      <c r="AS15" s="1945"/>
      <c r="AT15" s="1946"/>
    </row>
    <row r="16" spans="1:137" s="1944" customFormat="1" ht="64">
      <c r="A16" s="294">
        <f>+A7+1</f>
        <v>5</v>
      </c>
      <c r="B16" s="1962" t="s">
        <v>2728</v>
      </c>
      <c r="C16" s="294" t="s">
        <v>1994</v>
      </c>
      <c r="D16" s="298">
        <f>+J16</f>
        <v>616596</v>
      </c>
      <c r="E16" s="298">
        <v>0</v>
      </c>
      <c r="F16" s="297">
        <v>1</v>
      </c>
      <c r="G16" s="297">
        <v>0</v>
      </c>
      <c r="H16" s="297">
        <v>0</v>
      </c>
      <c r="I16" s="1966" t="str">
        <f>'8_MP'!$D$19</f>
        <v>1.1.1.7</v>
      </c>
      <c r="J16" s="1938">
        <f>'8_MP'!$AN$19</f>
        <v>616596</v>
      </c>
      <c r="K16" s="1937" t="s">
        <v>2691</v>
      </c>
      <c r="L16" s="1936" t="s">
        <v>2682</v>
      </c>
      <c r="M16" s="1937" t="s">
        <v>2691</v>
      </c>
      <c r="N16" s="1936" t="s">
        <v>2682</v>
      </c>
      <c r="O16" s="1937" t="s">
        <v>2691</v>
      </c>
      <c r="P16" s="1936" t="s">
        <v>2682</v>
      </c>
      <c r="Q16" s="1937" t="s">
        <v>2691</v>
      </c>
      <c r="R16" s="1936" t="s">
        <v>2682</v>
      </c>
      <c r="S16" s="1937" t="s">
        <v>2691</v>
      </c>
      <c r="T16" s="1936" t="s">
        <v>2682</v>
      </c>
      <c r="U16" s="1937" t="s">
        <v>2691</v>
      </c>
      <c r="V16" s="1936" t="s">
        <v>2682</v>
      </c>
      <c r="W16" s="1937" t="s">
        <v>2691</v>
      </c>
      <c r="X16" s="1936" t="s">
        <v>2682</v>
      </c>
      <c r="Y16" s="1937" t="s">
        <v>2691</v>
      </c>
      <c r="Z16" s="1936" t="s">
        <v>2682</v>
      </c>
      <c r="AA16" s="1956" t="s">
        <v>1195</v>
      </c>
      <c r="AB16" s="1956" t="s">
        <v>853</v>
      </c>
      <c r="AC16" s="1957" t="s">
        <v>2727</v>
      </c>
      <c r="AD16" s="1956"/>
      <c r="AE16" s="1956"/>
      <c r="AF16" s="1956"/>
      <c r="AQ16" s="1945"/>
      <c r="AR16" s="1945"/>
      <c r="AS16" s="1945"/>
      <c r="AT16" s="1946"/>
    </row>
    <row r="17" spans="1:46" s="1944" customFormat="1" ht="27.5" customHeight="1">
      <c r="A17" s="4205">
        <f>+A16+1</f>
        <v>6</v>
      </c>
      <c r="B17" s="4207" t="s">
        <v>2729</v>
      </c>
      <c r="C17" s="4205" t="s">
        <v>2021</v>
      </c>
      <c r="D17" s="4203">
        <f>SUM(J17:J18)</f>
        <v>900000</v>
      </c>
      <c r="E17" s="4203">
        <v>0</v>
      </c>
      <c r="F17" s="4209">
        <v>1</v>
      </c>
      <c r="G17" s="4209">
        <v>0</v>
      </c>
      <c r="H17" s="4209">
        <v>0</v>
      </c>
      <c r="I17" s="1966" t="str">
        <f>'8_MP'!$D$77</f>
        <v>1.2.1.1.2</v>
      </c>
      <c r="J17" s="298">
        <f>'8_MP'!$AN$77</f>
        <v>500000</v>
      </c>
      <c r="K17" s="3671" t="s">
        <v>2691</v>
      </c>
      <c r="L17" s="4194" t="s">
        <v>2682</v>
      </c>
      <c r="M17" s="3671" t="s">
        <v>2691</v>
      </c>
      <c r="N17" s="4194" t="s">
        <v>2682</v>
      </c>
      <c r="O17" s="3671" t="s">
        <v>2691</v>
      </c>
      <c r="P17" s="4194" t="s">
        <v>2682</v>
      </c>
      <c r="Q17" s="3671" t="s">
        <v>2691</v>
      </c>
      <c r="R17" s="4194" t="s">
        <v>2682</v>
      </c>
      <c r="S17" s="3671" t="s">
        <v>2691</v>
      </c>
      <c r="T17" s="4194" t="s">
        <v>2682</v>
      </c>
      <c r="U17" s="3671" t="s">
        <v>2691</v>
      </c>
      <c r="V17" s="4194" t="s">
        <v>2682</v>
      </c>
      <c r="W17" s="3671" t="s">
        <v>2691</v>
      </c>
      <c r="X17" s="4194" t="s">
        <v>2682</v>
      </c>
      <c r="Y17" s="3671" t="s">
        <v>2691</v>
      </c>
      <c r="Z17" s="4194" t="s">
        <v>2682</v>
      </c>
      <c r="AA17" s="4197" t="s">
        <v>1195</v>
      </c>
      <c r="AB17" s="4197" t="s">
        <v>853</v>
      </c>
      <c r="AC17" s="4200" t="s">
        <v>2727</v>
      </c>
      <c r="AD17" s="4197"/>
      <c r="AE17" s="4197"/>
      <c r="AF17" s="4197"/>
      <c r="AQ17" s="1945"/>
      <c r="AR17" s="1945"/>
      <c r="AS17" s="1945"/>
      <c r="AT17" s="1946"/>
    </row>
    <row r="18" spans="1:46" s="1944" customFormat="1" ht="27.5" customHeight="1">
      <c r="A18" s="4206"/>
      <c r="B18" s="4208"/>
      <c r="C18" s="4206"/>
      <c r="D18" s="4204"/>
      <c r="E18" s="4204"/>
      <c r="F18" s="4210"/>
      <c r="G18" s="4210"/>
      <c r="H18" s="4210"/>
      <c r="I18" s="1966" t="str">
        <f>'8_MP'!$D$80</f>
        <v>1.2.1.2.2</v>
      </c>
      <c r="J18" s="298">
        <f>'8_MP'!$AN$80</f>
        <v>400000</v>
      </c>
      <c r="K18" s="3673"/>
      <c r="L18" s="4196"/>
      <c r="M18" s="3673"/>
      <c r="N18" s="4196"/>
      <c r="O18" s="3673"/>
      <c r="P18" s="4196"/>
      <c r="Q18" s="3673"/>
      <c r="R18" s="4196"/>
      <c r="S18" s="3673"/>
      <c r="T18" s="4196"/>
      <c r="U18" s="3673"/>
      <c r="V18" s="4196"/>
      <c r="W18" s="3673"/>
      <c r="X18" s="4196"/>
      <c r="Y18" s="3673"/>
      <c r="Z18" s="4196"/>
      <c r="AA18" s="4199"/>
      <c r="AB18" s="4199"/>
      <c r="AC18" s="4202"/>
      <c r="AD18" s="4199"/>
      <c r="AE18" s="4199"/>
      <c r="AF18" s="4199"/>
      <c r="AQ18" s="1945"/>
      <c r="AR18" s="1945"/>
      <c r="AS18" s="1945"/>
      <c r="AT18" s="1946"/>
    </row>
    <row r="19" spans="1:46" s="1944" customFormat="1" ht="27.5" customHeight="1">
      <c r="A19" s="4205">
        <f>+A17+1</f>
        <v>7</v>
      </c>
      <c r="B19" s="4207" t="s">
        <v>2312</v>
      </c>
      <c r="C19" s="294" t="s">
        <v>2730</v>
      </c>
      <c r="D19" s="4203" t="e">
        <f>SUM(J19:J21)</f>
        <v>#REF!</v>
      </c>
      <c r="E19" s="4203">
        <v>0</v>
      </c>
      <c r="F19" s="4209">
        <v>1</v>
      </c>
      <c r="G19" s="4209">
        <v>0</v>
      </c>
      <c r="H19" s="4209">
        <v>0</v>
      </c>
      <c r="I19" s="1966" t="str">
        <f>'8_MP'!$D$147</f>
        <v>1.3.1.1.2</v>
      </c>
      <c r="J19" s="298">
        <f>'8_MP'!$AN$147</f>
        <v>35981.000039999999</v>
      </c>
      <c r="K19" s="3671" t="s">
        <v>2691</v>
      </c>
      <c r="L19" s="4194" t="s">
        <v>2682</v>
      </c>
      <c r="M19" s="3671" t="s">
        <v>2691</v>
      </c>
      <c r="N19" s="4194" t="s">
        <v>2682</v>
      </c>
      <c r="O19" s="3671" t="s">
        <v>2691</v>
      </c>
      <c r="P19" s="4194" t="s">
        <v>2682</v>
      </c>
      <c r="Q19" s="3671" t="s">
        <v>2691</v>
      </c>
      <c r="R19" s="4194" t="s">
        <v>2682</v>
      </c>
      <c r="S19" s="3671" t="s">
        <v>2691</v>
      </c>
      <c r="T19" s="4194" t="s">
        <v>2682</v>
      </c>
      <c r="U19" s="3671" t="s">
        <v>2691</v>
      </c>
      <c r="V19" s="4194" t="s">
        <v>2682</v>
      </c>
      <c r="W19" s="3671" t="s">
        <v>2691</v>
      </c>
      <c r="X19" s="4194" t="s">
        <v>2682</v>
      </c>
      <c r="Y19" s="3671" t="s">
        <v>2691</v>
      </c>
      <c r="Z19" s="4194" t="s">
        <v>2682</v>
      </c>
      <c r="AA19" s="4197" t="s">
        <v>1195</v>
      </c>
      <c r="AB19" s="4197" t="s">
        <v>853</v>
      </c>
      <c r="AC19" s="4200" t="s">
        <v>2727</v>
      </c>
      <c r="AD19" s="4197"/>
      <c r="AE19" s="4197"/>
      <c r="AF19" s="4197"/>
      <c r="AQ19" s="1945"/>
      <c r="AR19" s="1945"/>
      <c r="AS19" s="1945"/>
      <c r="AT19" s="1946"/>
    </row>
    <row r="20" spans="1:46" s="1944" customFormat="1" ht="27.5" customHeight="1">
      <c r="A20" s="4217"/>
      <c r="B20" s="4216"/>
      <c r="C20" s="294" t="s">
        <v>2731</v>
      </c>
      <c r="D20" s="4215"/>
      <c r="E20" s="4215">
        <v>0</v>
      </c>
      <c r="F20" s="4214">
        <v>1</v>
      </c>
      <c r="G20" s="4214">
        <v>0</v>
      </c>
      <c r="H20" s="4214">
        <v>0</v>
      </c>
      <c r="I20" s="1966" t="str">
        <f>'8_MP'!$D$171</f>
        <v>1.3.1.4.3</v>
      </c>
      <c r="J20" s="298">
        <f>'8_MP'!$AN$171</f>
        <v>2955715.0000399998</v>
      </c>
      <c r="K20" s="3672" t="s">
        <v>2691</v>
      </c>
      <c r="L20" s="4195" t="s">
        <v>2682</v>
      </c>
      <c r="M20" s="3672" t="s">
        <v>2691</v>
      </c>
      <c r="N20" s="4195" t="s">
        <v>2682</v>
      </c>
      <c r="O20" s="3672" t="s">
        <v>2691</v>
      </c>
      <c r="P20" s="4195" t="s">
        <v>2682</v>
      </c>
      <c r="Q20" s="3672" t="s">
        <v>2691</v>
      </c>
      <c r="R20" s="4195" t="s">
        <v>2682</v>
      </c>
      <c r="S20" s="3672" t="s">
        <v>2691</v>
      </c>
      <c r="T20" s="4195" t="s">
        <v>2682</v>
      </c>
      <c r="U20" s="3672" t="s">
        <v>2691</v>
      </c>
      <c r="V20" s="4195" t="s">
        <v>2682</v>
      </c>
      <c r="W20" s="3672" t="s">
        <v>2691</v>
      </c>
      <c r="X20" s="4195" t="s">
        <v>2682</v>
      </c>
      <c r="Y20" s="3672" t="s">
        <v>2691</v>
      </c>
      <c r="Z20" s="4195" t="s">
        <v>2682</v>
      </c>
      <c r="AA20" s="4198" t="s">
        <v>1195</v>
      </c>
      <c r="AB20" s="4198" t="s">
        <v>853</v>
      </c>
      <c r="AC20" s="4201" t="s">
        <v>2727</v>
      </c>
      <c r="AD20" s="4198"/>
      <c r="AE20" s="4198"/>
      <c r="AF20" s="4198"/>
      <c r="AQ20" s="1945"/>
      <c r="AR20" s="1945"/>
      <c r="AS20" s="1945"/>
      <c r="AT20" s="1946"/>
    </row>
    <row r="21" spans="1:46" s="1944" customFormat="1" ht="27.5" customHeight="1">
      <c r="A21" s="4206"/>
      <c r="B21" s="4208"/>
      <c r="C21" s="294" t="s">
        <v>2845</v>
      </c>
      <c r="D21" s="4204"/>
      <c r="E21" s="4204">
        <v>0</v>
      </c>
      <c r="F21" s="4210">
        <v>1</v>
      </c>
      <c r="G21" s="4210">
        <v>0</v>
      </c>
      <c r="H21" s="4210">
        <v>0</v>
      </c>
      <c r="I21" s="1966" t="e">
        <f>'8_MP'!#REF!</f>
        <v>#REF!</v>
      </c>
      <c r="J21" s="298" t="e">
        <f>'8_MP'!#REF!</f>
        <v>#REF!</v>
      </c>
      <c r="K21" s="3673" t="s">
        <v>2691</v>
      </c>
      <c r="L21" s="4196" t="s">
        <v>2682</v>
      </c>
      <c r="M21" s="3673" t="s">
        <v>2691</v>
      </c>
      <c r="N21" s="4196" t="s">
        <v>2682</v>
      </c>
      <c r="O21" s="3673" t="s">
        <v>2691</v>
      </c>
      <c r="P21" s="4196" t="s">
        <v>2682</v>
      </c>
      <c r="Q21" s="3673" t="s">
        <v>2691</v>
      </c>
      <c r="R21" s="4196" t="s">
        <v>2682</v>
      </c>
      <c r="S21" s="3673" t="s">
        <v>2691</v>
      </c>
      <c r="T21" s="4196" t="s">
        <v>2682</v>
      </c>
      <c r="U21" s="3673" t="s">
        <v>2691</v>
      </c>
      <c r="V21" s="4196" t="s">
        <v>2682</v>
      </c>
      <c r="W21" s="3673" t="s">
        <v>2691</v>
      </c>
      <c r="X21" s="4196" t="s">
        <v>2682</v>
      </c>
      <c r="Y21" s="3673" t="s">
        <v>2691</v>
      </c>
      <c r="Z21" s="4196" t="s">
        <v>2682</v>
      </c>
      <c r="AA21" s="4199" t="s">
        <v>1195</v>
      </c>
      <c r="AB21" s="4199" t="s">
        <v>853</v>
      </c>
      <c r="AC21" s="4202" t="s">
        <v>2727</v>
      </c>
      <c r="AD21" s="4199"/>
      <c r="AE21" s="4199"/>
      <c r="AF21" s="4199"/>
      <c r="AQ21" s="1945"/>
      <c r="AR21" s="1945"/>
      <c r="AS21" s="1945"/>
      <c r="AT21" s="1946"/>
    </row>
    <row r="22" spans="1:46" s="1944" customFormat="1" ht="45" customHeight="1">
      <c r="A22" s="294">
        <f>+A19+1</f>
        <v>8</v>
      </c>
      <c r="B22" s="1962" t="s">
        <v>2313</v>
      </c>
      <c r="C22" s="294" t="s">
        <v>2730</v>
      </c>
      <c r="D22" s="298">
        <f>+J22</f>
        <v>0</v>
      </c>
      <c r="E22" s="298">
        <v>0</v>
      </c>
      <c r="F22" s="297">
        <v>1</v>
      </c>
      <c r="G22" s="297">
        <v>0</v>
      </c>
      <c r="H22" s="297">
        <v>0</v>
      </c>
      <c r="I22" s="1966" t="str">
        <f>'8_MP'!$D$149</f>
        <v>1.3.1.2</v>
      </c>
      <c r="J22" s="298">
        <f>'8_MP'!$AN$149</f>
        <v>0</v>
      </c>
      <c r="K22" s="1937" t="s">
        <v>2691</v>
      </c>
      <c r="L22" s="1936" t="s">
        <v>2682</v>
      </c>
      <c r="M22" s="1937" t="s">
        <v>2691</v>
      </c>
      <c r="N22" s="1936" t="s">
        <v>2682</v>
      </c>
      <c r="O22" s="1937" t="s">
        <v>2691</v>
      </c>
      <c r="P22" s="1936" t="s">
        <v>2682</v>
      </c>
      <c r="Q22" s="1937" t="s">
        <v>2691</v>
      </c>
      <c r="R22" s="1936" t="s">
        <v>2682</v>
      </c>
      <c r="S22" s="1937" t="s">
        <v>2691</v>
      </c>
      <c r="T22" s="1936" t="s">
        <v>2682</v>
      </c>
      <c r="U22" s="1937" t="s">
        <v>2691</v>
      </c>
      <c r="V22" s="1936" t="s">
        <v>2682</v>
      </c>
      <c r="W22" s="1937" t="s">
        <v>2691</v>
      </c>
      <c r="X22" s="1936" t="s">
        <v>2682</v>
      </c>
      <c r="Y22" s="1937" t="s">
        <v>2691</v>
      </c>
      <c r="Z22" s="1936" t="s">
        <v>2682</v>
      </c>
      <c r="AA22" s="1958" t="s">
        <v>1195</v>
      </c>
      <c r="AB22" s="1958" t="s">
        <v>2296</v>
      </c>
      <c r="AC22" s="1960" t="s">
        <v>2727</v>
      </c>
      <c r="AD22" s="1959"/>
      <c r="AE22" s="1959"/>
      <c r="AF22" s="1959"/>
      <c r="AQ22" s="1945"/>
      <c r="AR22" s="1945"/>
      <c r="AS22" s="1945"/>
      <c r="AT22" s="1946"/>
    </row>
    <row r="23" spans="1:46" s="1944" customFormat="1" ht="27.5" customHeight="1">
      <c r="A23" s="4205">
        <f>+A22+1</f>
        <v>9</v>
      </c>
      <c r="B23" s="4207" t="s">
        <v>2319</v>
      </c>
      <c r="C23" s="4205" t="s">
        <v>2732</v>
      </c>
      <c r="D23" s="4203">
        <f>SUM(J23:J24)</f>
        <v>1020000</v>
      </c>
      <c r="E23" s="4203">
        <v>0</v>
      </c>
      <c r="F23" s="4209">
        <v>1</v>
      </c>
      <c r="G23" s="4209">
        <v>0</v>
      </c>
      <c r="H23" s="4209">
        <v>0</v>
      </c>
      <c r="I23" s="1966" t="str">
        <f>'8_MP'!D207</f>
        <v>1.4.1.4.1</v>
      </c>
      <c r="J23" s="298">
        <f>'8_MP'!AI207</f>
        <v>80000</v>
      </c>
      <c r="K23" s="3671" t="s">
        <v>2691</v>
      </c>
      <c r="L23" s="4194" t="s">
        <v>2682</v>
      </c>
      <c r="M23" s="3671" t="s">
        <v>2691</v>
      </c>
      <c r="N23" s="4194" t="s">
        <v>2682</v>
      </c>
      <c r="O23" s="3671" t="s">
        <v>2691</v>
      </c>
      <c r="P23" s="4194" t="s">
        <v>2682</v>
      </c>
      <c r="Q23" s="3671" t="s">
        <v>2691</v>
      </c>
      <c r="R23" s="4194" t="s">
        <v>2682</v>
      </c>
      <c r="S23" s="3671" t="s">
        <v>2691</v>
      </c>
      <c r="T23" s="4194" t="s">
        <v>2682</v>
      </c>
      <c r="U23" s="3671" t="s">
        <v>2691</v>
      </c>
      <c r="V23" s="4194" t="s">
        <v>2682</v>
      </c>
      <c r="W23" s="3671" t="s">
        <v>2691</v>
      </c>
      <c r="X23" s="4194" t="s">
        <v>2682</v>
      </c>
      <c r="Y23" s="3671" t="s">
        <v>2691</v>
      </c>
      <c r="Z23" s="4194" t="s">
        <v>2682</v>
      </c>
      <c r="AA23" s="4197" t="s">
        <v>1195</v>
      </c>
      <c r="AB23" s="4197" t="s">
        <v>853</v>
      </c>
      <c r="AC23" s="4200" t="s">
        <v>2727</v>
      </c>
      <c r="AD23" s="4197"/>
      <c r="AE23" s="4197"/>
      <c r="AF23" s="4197"/>
      <c r="AQ23" s="1945"/>
      <c r="AR23" s="1945"/>
      <c r="AS23" s="1945"/>
      <c r="AT23" s="1946"/>
    </row>
    <row r="24" spans="1:46" s="1944" customFormat="1" ht="27.5" customHeight="1">
      <c r="A24" s="4206"/>
      <c r="B24" s="4208"/>
      <c r="C24" s="4206"/>
      <c r="D24" s="4204"/>
      <c r="E24" s="4204"/>
      <c r="F24" s="4210"/>
      <c r="G24" s="4210"/>
      <c r="H24" s="4210"/>
      <c r="I24" s="1966" t="str">
        <f>'8_MP'!D208</f>
        <v>1.4.1.5</v>
      </c>
      <c r="J24" s="298">
        <f>'8_MP'!AI208</f>
        <v>940000</v>
      </c>
      <c r="K24" s="3673"/>
      <c r="L24" s="4196"/>
      <c r="M24" s="3673"/>
      <c r="N24" s="4196"/>
      <c r="O24" s="3673"/>
      <c r="P24" s="4196"/>
      <c r="Q24" s="3673"/>
      <c r="R24" s="4196"/>
      <c r="S24" s="3673"/>
      <c r="T24" s="4196"/>
      <c r="U24" s="3673"/>
      <c r="V24" s="4196"/>
      <c r="W24" s="3673"/>
      <c r="X24" s="4196"/>
      <c r="Y24" s="3673"/>
      <c r="Z24" s="4196"/>
      <c r="AA24" s="4199"/>
      <c r="AB24" s="4199"/>
      <c r="AC24" s="4202"/>
      <c r="AD24" s="4199"/>
      <c r="AE24" s="4199"/>
      <c r="AF24" s="4199"/>
      <c r="AQ24" s="1945"/>
      <c r="AR24" s="1945"/>
      <c r="AS24" s="1945"/>
      <c r="AT24" s="1946"/>
    </row>
    <row r="25" spans="1:46" s="1944" customFormat="1" ht="32">
      <c r="A25" s="294">
        <f>+A23+1</f>
        <v>10</v>
      </c>
      <c r="B25" s="295" t="s">
        <v>2846</v>
      </c>
      <c r="C25" s="294" t="s">
        <v>2168</v>
      </c>
      <c r="D25" s="296">
        <f>++J25</f>
        <v>0</v>
      </c>
      <c r="E25" s="298">
        <v>0</v>
      </c>
      <c r="F25" s="297">
        <v>1</v>
      </c>
      <c r="G25" s="297">
        <v>0</v>
      </c>
      <c r="H25" s="297">
        <v>0</v>
      </c>
      <c r="I25" s="1966">
        <f>'8_MP'!$D$267</f>
        <v>0</v>
      </c>
      <c r="J25" s="298">
        <f>'8_MP'!$AN$267</f>
        <v>0</v>
      </c>
      <c r="K25" s="1937" t="s">
        <v>2691</v>
      </c>
      <c r="L25" s="1936" t="s">
        <v>2682</v>
      </c>
      <c r="M25" s="1937" t="s">
        <v>2691</v>
      </c>
      <c r="N25" s="1936" t="s">
        <v>2682</v>
      </c>
      <c r="O25" s="1937" t="s">
        <v>2691</v>
      </c>
      <c r="P25" s="1936" t="s">
        <v>2682</v>
      </c>
      <c r="Q25" s="1937" t="s">
        <v>2691</v>
      </c>
      <c r="R25" s="1936" t="s">
        <v>2682</v>
      </c>
      <c r="S25" s="1937" t="s">
        <v>2691</v>
      </c>
      <c r="T25" s="1936" t="s">
        <v>2682</v>
      </c>
      <c r="U25" s="1937" t="s">
        <v>2691</v>
      </c>
      <c r="V25" s="1936" t="s">
        <v>2682</v>
      </c>
      <c r="W25" s="1937" t="s">
        <v>2691</v>
      </c>
      <c r="X25" s="1936" t="s">
        <v>2682</v>
      </c>
      <c r="Y25" s="1937" t="s">
        <v>2691</v>
      </c>
      <c r="Z25" s="1936" t="s">
        <v>2682</v>
      </c>
      <c r="AA25" s="1958" t="s">
        <v>1195</v>
      </c>
      <c r="AB25" s="1958" t="s">
        <v>853</v>
      </c>
      <c r="AC25" s="1961" t="s">
        <v>2727</v>
      </c>
      <c r="AD25" s="1958"/>
      <c r="AE25" s="1958"/>
      <c r="AF25" s="1958"/>
      <c r="AQ25" s="1945"/>
      <c r="AR25" s="1945"/>
      <c r="AS25" s="1945"/>
      <c r="AT25" s="1946"/>
    </row>
    <row r="26" spans="1:46" s="1944" customFormat="1" ht="48">
      <c r="A26" s="294">
        <f>+A25+1</f>
        <v>11</v>
      </c>
      <c r="B26" s="295" t="s">
        <v>2847</v>
      </c>
      <c r="C26" s="294" t="s">
        <v>2848</v>
      </c>
      <c r="D26" s="296">
        <f>+J26</f>
        <v>500000</v>
      </c>
      <c r="E26" s="298">
        <v>0</v>
      </c>
      <c r="F26" s="297">
        <v>1</v>
      </c>
      <c r="G26" s="297">
        <v>0</v>
      </c>
      <c r="H26" s="297">
        <v>0</v>
      </c>
      <c r="I26" s="1966" t="str">
        <f>'8_MP'!$D$328</f>
        <v>2.3.1.1.3</v>
      </c>
      <c r="J26" s="298">
        <f>'8_MP'!$AN$328</f>
        <v>500000</v>
      </c>
      <c r="K26" s="1937" t="s">
        <v>2691</v>
      </c>
      <c r="L26" s="1936" t="s">
        <v>2682</v>
      </c>
      <c r="M26" s="1937" t="s">
        <v>2691</v>
      </c>
      <c r="N26" s="1936" t="s">
        <v>2682</v>
      </c>
      <c r="O26" s="1937" t="s">
        <v>2691</v>
      </c>
      <c r="P26" s="1936" t="s">
        <v>2682</v>
      </c>
      <c r="Q26" s="1937" t="s">
        <v>2691</v>
      </c>
      <c r="R26" s="1936" t="s">
        <v>2682</v>
      </c>
      <c r="S26" s="1937" t="s">
        <v>2691</v>
      </c>
      <c r="T26" s="1936" t="s">
        <v>2682</v>
      </c>
      <c r="U26" s="1937" t="s">
        <v>2691</v>
      </c>
      <c r="V26" s="1936" t="s">
        <v>2682</v>
      </c>
      <c r="W26" s="1937" t="s">
        <v>2691</v>
      </c>
      <c r="X26" s="1936" t="s">
        <v>2682</v>
      </c>
      <c r="Y26" s="1937" t="s">
        <v>2691</v>
      </c>
      <c r="Z26" s="1936" t="s">
        <v>2682</v>
      </c>
      <c r="AA26" s="1958" t="s">
        <v>1195</v>
      </c>
      <c r="AB26" s="1958" t="s">
        <v>2296</v>
      </c>
      <c r="AC26" s="1961" t="s">
        <v>2727</v>
      </c>
      <c r="AD26" s="1958"/>
      <c r="AE26" s="1958"/>
      <c r="AF26" s="1958"/>
      <c r="AQ26" s="1945"/>
      <c r="AR26" s="1945"/>
      <c r="AS26" s="1945"/>
      <c r="AT26" s="1946"/>
    </row>
    <row r="27" spans="1:46" s="1944" customFormat="1" ht="64">
      <c r="A27" s="294">
        <f>+A26+1</f>
        <v>12</v>
      </c>
      <c r="B27" s="295" t="s">
        <v>2849</v>
      </c>
      <c r="C27" s="294" t="s">
        <v>2850</v>
      </c>
      <c r="D27" s="296">
        <f>+J27</f>
        <v>1202000</v>
      </c>
      <c r="E27" s="298">
        <v>0</v>
      </c>
      <c r="F27" s="297">
        <v>1</v>
      </c>
      <c r="G27" s="297">
        <v>0</v>
      </c>
      <c r="H27" s="297">
        <v>0</v>
      </c>
      <c r="I27" s="1966" t="str">
        <f>'8_MP'!$D$342</f>
        <v>2.3.1.1.5.2</v>
      </c>
      <c r="J27" s="298">
        <f>'8_MP'!$AN$342</f>
        <v>1202000</v>
      </c>
      <c r="K27" s="1937" t="s">
        <v>2691</v>
      </c>
      <c r="L27" s="1936" t="s">
        <v>2682</v>
      </c>
      <c r="M27" s="1937" t="s">
        <v>2691</v>
      </c>
      <c r="N27" s="1936" t="s">
        <v>2682</v>
      </c>
      <c r="O27" s="1937" t="s">
        <v>2691</v>
      </c>
      <c r="P27" s="1936" t="s">
        <v>2682</v>
      </c>
      <c r="Q27" s="1937" t="s">
        <v>2691</v>
      </c>
      <c r="R27" s="1936" t="s">
        <v>2682</v>
      </c>
      <c r="S27" s="1937" t="s">
        <v>2691</v>
      </c>
      <c r="T27" s="1936" t="s">
        <v>2682</v>
      </c>
      <c r="U27" s="1937" t="s">
        <v>2691</v>
      </c>
      <c r="V27" s="1936" t="s">
        <v>2682</v>
      </c>
      <c r="W27" s="1937" t="s">
        <v>2691</v>
      </c>
      <c r="X27" s="1936" t="s">
        <v>2682</v>
      </c>
      <c r="Y27" s="1937" t="s">
        <v>2691</v>
      </c>
      <c r="Z27" s="1936" t="s">
        <v>2682</v>
      </c>
      <c r="AA27" s="1958" t="s">
        <v>1195</v>
      </c>
      <c r="AB27" s="1958" t="s">
        <v>853</v>
      </c>
      <c r="AC27" s="1961" t="s">
        <v>2727</v>
      </c>
      <c r="AD27" s="1958"/>
      <c r="AE27" s="1958"/>
      <c r="AF27" s="1958"/>
      <c r="AQ27" s="1945"/>
      <c r="AR27" s="1945"/>
      <c r="AS27" s="1945"/>
      <c r="AT27" s="1946"/>
    </row>
    <row r="28" spans="1:46" s="1944" customFormat="1" ht="32">
      <c r="A28" s="294">
        <f>+A27+1</f>
        <v>13</v>
      </c>
      <c r="B28" s="295" t="s">
        <v>2851</v>
      </c>
      <c r="C28" s="294" t="s">
        <v>2852</v>
      </c>
      <c r="D28" s="296">
        <f>+J28</f>
        <v>223000</v>
      </c>
      <c r="E28" s="298">
        <v>0</v>
      </c>
      <c r="F28" s="297">
        <v>1</v>
      </c>
      <c r="G28" s="297">
        <v>0</v>
      </c>
      <c r="H28" s="297">
        <v>0</v>
      </c>
      <c r="I28" s="1966" t="str">
        <f>'8_MP'!$D$360</f>
        <v>2.3.1.2.2</v>
      </c>
      <c r="J28" s="298">
        <f>'8_MP'!$AN$360</f>
        <v>223000</v>
      </c>
      <c r="K28" s="1937" t="s">
        <v>2691</v>
      </c>
      <c r="L28" s="1936" t="s">
        <v>2682</v>
      </c>
      <c r="M28" s="1937" t="s">
        <v>2691</v>
      </c>
      <c r="N28" s="1936" t="s">
        <v>2682</v>
      </c>
      <c r="O28" s="1937" t="s">
        <v>2691</v>
      </c>
      <c r="P28" s="1936" t="s">
        <v>2682</v>
      </c>
      <c r="Q28" s="1937" t="s">
        <v>2691</v>
      </c>
      <c r="R28" s="1936" t="s">
        <v>2682</v>
      </c>
      <c r="S28" s="1937" t="s">
        <v>2691</v>
      </c>
      <c r="T28" s="1936" t="s">
        <v>2682</v>
      </c>
      <c r="U28" s="1937" t="s">
        <v>2691</v>
      </c>
      <c r="V28" s="1936" t="s">
        <v>2682</v>
      </c>
      <c r="W28" s="1937" t="s">
        <v>2691</v>
      </c>
      <c r="X28" s="1936" t="s">
        <v>2682</v>
      </c>
      <c r="Y28" s="1937" t="s">
        <v>2691</v>
      </c>
      <c r="Z28" s="1936" t="s">
        <v>2682</v>
      </c>
      <c r="AA28" s="1958" t="s">
        <v>1195</v>
      </c>
      <c r="AB28" s="1958" t="s">
        <v>853</v>
      </c>
      <c r="AC28" s="1961" t="s">
        <v>2727</v>
      </c>
      <c r="AD28" s="1958"/>
      <c r="AE28" s="1958"/>
      <c r="AF28" s="1958"/>
      <c r="AQ28" s="1945"/>
      <c r="AR28" s="1945"/>
      <c r="AS28" s="1945"/>
      <c r="AT28" s="1946"/>
    </row>
    <row r="29" spans="1:46" s="1944" customFormat="1" ht="23.5" customHeight="1">
      <c r="A29" s="4205">
        <f>+A28+1</f>
        <v>14</v>
      </c>
      <c r="B29" s="4207" t="s">
        <v>2733</v>
      </c>
      <c r="C29" s="294" t="s">
        <v>2734</v>
      </c>
      <c r="D29" s="4203">
        <f>SUM(J29:J34)</f>
        <v>3979000</v>
      </c>
      <c r="E29" s="4203">
        <v>0</v>
      </c>
      <c r="F29" s="4209">
        <v>1</v>
      </c>
      <c r="G29" s="4209">
        <v>0</v>
      </c>
      <c r="H29" s="4209">
        <v>0</v>
      </c>
      <c r="I29" s="1966" t="str">
        <f>'8_MP'!$D$379</f>
        <v>3.1.1.2.1</v>
      </c>
      <c r="J29" s="298">
        <f>'8_MP'!$AN$379</f>
        <v>20000</v>
      </c>
      <c r="K29" s="3671" t="s">
        <v>2691</v>
      </c>
      <c r="L29" s="4194" t="s">
        <v>2682</v>
      </c>
      <c r="M29" s="3671" t="s">
        <v>2691</v>
      </c>
      <c r="N29" s="4194" t="s">
        <v>2682</v>
      </c>
      <c r="O29" s="3671" t="s">
        <v>2691</v>
      </c>
      <c r="P29" s="4194" t="s">
        <v>2682</v>
      </c>
      <c r="Q29" s="3671" t="s">
        <v>2691</v>
      </c>
      <c r="R29" s="4194" t="s">
        <v>2682</v>
      </c>
      <c r="S29" s="3671" t="s">
        <v>2691</v>
      </c>
      <c r="T29" s="4194" t="s">
        <v>2682</v>
      </c>
      <c r="U29" s="3671" t="s">
        <v>2691</v>
      </c>
      <c r="V29" s="4194" t="s">
        <v>2682</v>
      </c>
      <c r="W29" s="3671" t="s">
        <v>2691</v>
      </c>
      <c r="X29" s="4194" t="s">
        <v>2682</v>
      </c>
      <c r="Y29" s="3671" t="s">
        <v>2691</v>
      </c>
      <c r="Z29" s="4194" t="s">
        <v>2682</v>
      </c>
      <c r="AA29" s="4197" t="s">
        <v>1195</v>
      </c>
      <c r="AB29" s="4197" t="s">
        <v>853</v>
      </c>
      <c r="AC29" s="4200" t="s">
        <v>2727</v>
      </c>
      <c r="AD29" s="4197"/>
      <c r="AE29" s="4197"/>
      <c r="AF29" s="4197"/>
      <c r="AQ29" s="1945"/>
      <c r="AR29" s="1945"/>
      <c r="AS29" s="1945"/>
      <c r="AT29" s="1946"/>
    </row>
    <row r="30" spans="1:46" s="1944" customFormat="1" ht="23.5" customHeight="1">
      <c r="A30" s="4217"/>
      <c r="B30" s="4216"/>
      <c r="C30" s="294" t="s">
        <v>2735</v>
      </c>
      <c r="D30" s="4215"/>
      <c r="E30" s="4215"/>
      <c r="F30" s="4214"/>
      <c r="G30" s="4214"/>
      <c r="H30" s="4214"/>
      <c r="I30" s="1966" t="str">
        <f>'8_MP'!$D$402</f>
        <v>3.1.3.4</v>
      </c>
      <c r="J30" s="298">
        <f>'8_MP'!$AN$402</f>
        <v>150000</v>
      </c>
      <c r="K30" s="3672"/>
      <c r="L30" s="4195"/>
      <c r="M30" s="3672"/>
      <c r="N30" s="4195"/>
      <c r="O30" s="3672"/>
      <c r="P30" s="4195"/>
      <c r="Q30" s="3672"/>
      <c r="R30" s="4195"/>
      <c r="S30" s="3672"/>
      <c r="T30" s="4195"/>
      <c r="U30" s="3672"/>
      <c r="V30" s="4195"/>
      <c r="W30" s="3672"/>
      <c r="X30" s="4195"/>
      <c r="Y30" s="3672"/>
      <c r="Z30" s="4195"/>
      <c r="AA30" s="4198"/>
      <c r="AB30" s="4198"/>
      <c r="AC30" s="4201"/>
      <c r="AD30" s="4198"/>
      <c r="AE30" s="4198"/>
      <c r="AF30" s="4198"/>
      <c r="AQ30" s="1945"/>
      <c r="AR30" s="1945"/>
      <c r="AS30" s="1945"/>
      <c r="AT30" s="1946"/>
    </row>
    <row r="31" spans="1:46" s="1944" customFormat="1" ht="23.5" customHeight="1">
      <c r="A31" s="4217"/>
      <c r="B31" s="4216"/>
      <c r="C31" s="294" t="s">
        <v>2736</v>
      </c>
      <c r="D31" s="4215"/>
      <c r="E31" s="4215"/>
      <c r="F31" s="4214"/>
      <c r="G31" s="4214"/>
      <c r="H31" s="4214"/>
      <c r="I31" s="1966" t="str">
        <f>'8_MP'!$D$385</f>
        <v>3.1.1.3.3</v>
      </c>
      <c r="J31" s="298">
        <f>'8_MP'!$AN$385</f>
        <v>144000</v>
      </c>
      <c r="K31" s="3672"/>
      <c r="L31" s="4195"/>
      <c r="M31" s="3672"/>
      <c r="N31" s="4195"/>
      <c r="O31" s="3672"/>
      <c r="P31" s="4195"/>
      <c r="Q31" s="3672"/>
      <c r="R31" s="4195"/>
      <c r="S31" s="3672"/>
      <c r="T31" s="4195"/>
      <c r="U31" s="3672"/>
      <c r="V31" s="4195"/>
      <c r="W31" s="3672"/>
      <c r="X31" s="4195"/>
      <c r="Y31" s="3672"/>
      <c r="Z31" s="4195"/>
      <c r="AA31" s="4198"/>
      <c r="AB31" s="4198"/>
      <c r="AC31" s="4201"/>
      <c r="AD31" s="4198"/>
      <c r="AE31" s="4198"/>
      <c r="AF31" s="4198"/>
      <c r="AQ31" s="1945"/>
      <c r="AR31" s="1945"/>
      <c r="AS31" s="1945"/>
      <c r="AT31" s="1946"/>
    </row>
    <row r="32" spans="1:46" s="1944" customFormat="1" ht="23.5" customHeight="1">
      <c r="A32" s="4217"/>
      <c r="B32" s="4216"/>
      <c r="C32" s="294" t="s">
        <v>2737</v>
      </c>
      <c r="D32" s="4215"/>
      <c r="E32" s="4215"/>
      <c r="F32" s="4214"/>
      <c r="G32" s="4214"/>
      <c r="H32" s="4214"/>
      <c r="I32" s="1966" t="str">
        <f>'8_MP'!$D$410</f>
        <v>3.2.1.3</v>
      </c>
      <c r="J32" s="298">
        <f>'8_MP'!$AN$410</f>
        <v>270000</v>
      </c>
      <c r="K32" s="3672"/>
      <c r="L32" s="4195"/>
      <c r="M32" s="3672"/>
      <c r="N32" s="4195"/>
      <c r="O32" s="3672"/>
      <c r="P32" s="4195"/>
      <c r="Q32" s="3672"/>
      <c r="R32" s="4195"/>
      <c r="S32" s="3672"/>
      <c r="T32" s="4195"/>
      <c r="U32" s="3672"/>
      <c r="V32" s="4195"/>
      <c r="W32" s="3672"/>
      <c r="X32" s="4195"/>
      <c r="Y32" s="3672"/>
      <c r="Z32" s="4195"/>
      <c r="AA32" s="4198"/>
      <c r="AB32" s="4198"/>
      <c r="AC32" s="4201"/>
      <c r="AD32" s="4198"/>
      <c r="AE32" s="4198"/>
      <c r="AF32" s="4198"/>
      <c r="AQ32" s="1945"/>
      <c r="AR32" s="1945"/>
      <c r="AS32" s="1945"/>
      <c r="AT32" s="1946"/>
    </row>
    <row r="33" spans="1:46" s="1944" customFormat="1" ht="23.5" customHeight="1">
      <c r="A33" s="4217"/>
      <c r="B33" s="4216"/>
      <c r="C33" s="294" t="s">
        <v>2738</v>
      </c>
      <c r="D33" s="4215"/>
      <c r="E33" s="4215"/>
      <c r="F33" s="4214"/>
      <c r="G33" s="4214"/>
      <c r="H33" s="4214"/>
      <c r="I33" s="1966" t="str">
        <f>'8_MP'!$D$417</f>
        <v>3.2.2.3</v>
      </c>
      <c r="J33" s="298">
        <f>'8_MP'!$AN$417</f>
        <v>135000</v>
      </c>
      <c r="K33" s="3672"/>
      <c r="L33" s="4195"/>
      <c r="M33" s="3672"/>
      <c r="N33" s="4195"/>
      <c r="O33" s="3672"/>
      <c r="P33" s="4195"/>
      <c r="Q33" s="3672"/>
      <c r="R33" s="4195"/>
      <c r="S33" s="3672"/>
      <c r="T33" s="4195"/>
      <c r="U33" s="3672"/>
      <c r="V33" s="4195"/>
      <c r="W33" s="3672"/>
      <c r="X33" s="4195"/>
      <c r="Y33" s="3672"/>
      <c r="Z33" s="4195"/>
      <c r="AA33" s="4198"/>
      <c r="AB33" s="4198"/>
      <c r="AC33" s="4201"/>
      <c r="AD33" s="4198"/>
      <c r="AE33" s="4198"/>
      <c r="AF33" s="4198"/>
      <c r="AQ33" s="1945"/>
      <c r="AR33" s="1945"/>
      <c r="AS33" s="1945"/>
      <c r="AT33" s="1946"/>
    </row>
    <row r="34" spans="1:46" s="1944" customFormat="1" ht="23.5" customHeight="1">
      <c r="A34" s="4217"/>
      <c r="B34" s="4216"/>
      <c r="C34" s="294" t="s">
        <v>2739</v>
      </c>
      <c r="D34" s="4215"/>
      <c r="E34" s="4215"/>
      <c r="F34" s="4214"/>
      <c r="G34" s="4214"/>
      <c r="H34" s="4214"/>
      <c r="I34" s="1966" t="str">
        <f>'8_MP'!$D$424</f>
        <v>3.3.1.2</v>
      </c>
      <c r="J34" s="298">
        <f>'8_MP'!$AN$424</f>
        <v>3260000</v>
      </c>
      <c r="K34" s="3672"/>
      <c r="L34" s="4195"/>
      <c r="M34" s="3672"/>
      <c r="N34" s="4195"/>
      <c r="O34" s="3672"/>
      <c r="P34" s="4195"/>
      <c r="Q34" s="3672"/>
      <c r="R34" s="4195"/>
      <c r="S34" s="3672"/>
      <c r="T34" s="4195"/>
      <c r="U34" s="3672"/>
      <c r="V34" s="4195"/>
      <c r="W34" s="3672"/>
      <c r="X34" s="4195"/>
      <c r="Y34" s="3672"/>
      <c r="Z34" s="4195"/>
      <c r="AA34" s="4198"/>
      <c r="AB34" s="4198"/>
      <c r="AC34" s="4201"/>
      <c r="AD34" s="4198"/>
      <c r="AE34" s="4198"/>
      <c r="AF34" s="4198"/>
      <c r="AQ34" s="1945"/>
      <c r="AR34" s="1945"/>
      <c r="AS34" s="1945"/>
      <c r="AT34" s="1946"/>
    </row>
    <row r="35" spans="1:46" s="1944" customFormat="1" ht="16">
      <c r="A35" s="294"/>
      <c r="B35" s="295"/>
      <c r="C35" s="294"/>
      <c r="D35" s="296"/>
      <c r="E35" s="1963">
        <v>0</v>
      </c>
      <c r="F35" s="297">
        <v>1</v>
      </c>
      <c r="G35" s="297">
        <v>0</v>
      </c>
      <c r="H35" s="297">
        <v>0</v>
      </c>
      <c r="I35" s="1966"/>
      <c r="J35" s="298"/>
      <c r="K35" s="286" t="s">
        <v>2691</v>
      </c>
      <c r="L35" s="1947" t="s">
        <v>2682</v>
      </c>
      <c r="M35" s="286" t="s">
        <v>2691</v>
      </c>
      <c r="N35" s="1947" t="s">
        <v>2682</v>
      </c>
      <c r="O35" s="286" t="s">
        <v>2691</v>
      </c>
      <c r="P35" s="1947" t="s">
        <v>2682</v>
      </c>
      <c r="Q35" s="286" t="s">
        <v>2691</v>
      </c>
      <c r="R35" s="1947" t="s">
        <v>2682</v>
      </c>
      <c r="S35" s="286" t="s">
        <v>2691</v>
      </c>
      <c r="T35" s="1947" t="s">
        <v>2682</v>
      </c>
      <c r="U35" s="286" t="s">
        <v>2691</v>
      </c>
      <c r="V35" s="1947" t="s">
        <v>2682</v>
      </c>
      <c r="W35" s="286" t="s">
        <v>2691</v>
      </c>
      <c r="X35" s="1947" t="s">
        <v>2682</v>
      </c>
      <c r="Y35" s="286" t="s">
        <v>2691</v>
      </c>
      <c r="Z35" s="1947" t="s">
        <v>2682</v>
      </c>
      <c r="AA35" s="1958" t="s">
        <v>1195</v>
      </c>
      <c r="AB35" s="1958" t="s">
        <v>853</v>
      </c>
      <c r="AC35" s="1961" t="s">
        <v>2727</v>
      </c>
      <c r="AD35" s="1958"/>
      <c r="AE35" s="1958"/>
      <c r="AF35" s="1958"/>
      <c r="AQ35" s="1945"/>
      <c r="AR35" s="1945"/>
      <c r="AS35" s="1945"/>
      <c r="AT35" s="1946"/>
    </row>
    <row r="36" spans="1:46" s="1949" customFormat="1">
      <c r="A36" s="4221" t="s">
        <v>2740</v>
      </c>
      <c r="B36" s="4221"/>
      <c r="C36" s="4221"/>
      <c r="D36" s="1948" t="e">
        <f>SUM(D7:D35)</f>
        <v>#REF!</v>
      </c>
      <c r="E36" s="1948">
        <f>SUM(E7:E35)</f>
        <v>0</v>
      </c>
      <c r="F36" s="4221"/>
      <c r="G36" s="4221"/>
      <c r="H36" s="4221"/>
      <c r="I36" s="4221"/>
      <c r="J36" s="4221"/>
      <c r="K36" s="4221"/>
      <c r="L36" s="4221"/>
      <c r="M36" s="4221"/>
      <c r="N36" s="4221"/>
      <c r="O36" s="4221"/>
      <c r="P36" s="4221"/>
      <c r="Q36" s="4221"/>
      <c r="R36" s="4221"/>
      <c r="S36" s="4221"/>
      <c r="T36" s="4221"/>
      <c r="U36" s="4221"/>
      <c r="V36" s="4221"/>
      <c r="W36" s="4221"/>
      <c r="X36" s="4221"/>
      <c r="Y36" s="4221"/>
      <c r="Z36" s="4221"/>
      <c r="AA36" s="4221"/>
      <c r="AB36" s="4221"/>
      <c r="AC36" s="4221"/>
      <c r="AD36" s="4221"/>
      <c r="AE36" s="4221"/>
      <c r="AF36" s="4221"/>
      <c r="AQ36" s="1950"/>
      <c r="AR36" s="1945"/>
      <c r="AS36" s="1950"/>
      <c r="AT36" s="1951"/>
    </row>
    <row r="37" spans="1:46" s="264" customFormat="1">
      <c r="AQ37" s="1952"/>
      <c r="AR37" s="253"/>
      <c r="AS37" s="1952"/>
      <c r="AT37" s="1953"/>
    </row>
    <row r="38" spans="1:46" ht="31">
      <c r="A38" s="4262" t="s">
        <v>2853</v>
      </c>
      <c r="B38" s="4262"/>
      <c r="C38" s="4262"/>
      <c r="D38" s="4262"/>
      <c r="E38" s="4262"/>
      <c r="F38" s="4262"/>
      <c r="G38" s="4262"/>
      <c r="H38" s="4262"/>
      <c r="I38" s="4262"/>
      <c r="J38" s="4262"/>
      <c r="K38" s="4262"/>
      <c r="L38" s="4262"/>
      <c r="M38" s="4262"/>
      <c r="N38" s="4262"/>
      <c r="O38" s="4262"/>
      <c r="P38" s="4262"/>
      <c r="Q38" s="4262"/>
      <c r="R38" s="4262"/>
      <c r="S38" s="4262"/>
      <c r="T38" s="4262"/>
      <c r="U38" s="4262"/>
      <c r="V38" s="4262"/>
      <c r="W38" s="4262"/>
      <c r="X38" s="4262"/>
      <c r="Y38" s="4262"/>
      <c r="Z38" s="4262"/>
      <c r="AA38" s="4262"/>
      <c r="AB38" s="4262"/>
      <c r="AC38" s="4262"/>
      <c r="AD38" s="4262"/>
      <c r="AQ38" s="253"/>
      <c r="AR38" s="253" t="s">
        <v>2742</v>
      </c>
      <c r="AS38" s="253"/>
      <c r="AT38" s="1939"/>
    </row>
    <row r="39" spans="1:46" ht="24">
      <c r="A39" s="4260" t="s">
        <v>2798</v>
      </c>
      <c r="B39" s="4260"/>
      <c r="C39" s="4260"/>
      <c r="D39" s="4260" t="s">
        <v>2799</v>
      </c>
      <c r="E39" s="4260"/>
      <c r="F39" s="4260"/>
      <c r="G39" s="4260"/>
      <c r="H39" s="4260"/>
      <c r="I39" s="4187" t="s">
        <v>2800</v>
      </c>
      <c r="J39" s="4187" t="s">
        <v>2801</v>
      </c>
      <c r="K39" s="4260" t="s">
        <v>2802</v>
      </c>
      <c r="L39" s="4260"/>
      <c r="M39" s="4260"/>
      <c r="N39" s="4260"/>
      <c r="O39" s="4260"/>
      <c r="P39" s="4260"/>
      <c r="Q39" s="4260"/>
      <c r="R39" s="4260"/>
      <c r="S39" s="4260"/>
      <c r="T39" s="4260"/>
      <c r="U39" s="4260"/>
      <c r="V39" s="4260"/>
      <c r="W39" s="4260"/>
      <c r="X39" s="4260"/>
      <c r="Y39" s="4260" t="s">
        <v>2803</v>
      </c>
      <c r="Z39" s="4260"/>
      <c r="AA39" s="4260"/>
      <c r="AB39" s="4260"/>
      <c r="AC39" s="4260"/>
      <c r="AD39" s="4260"/>
      <c r="AQ39" s="253"/>
      <c r="AR39" s="253" t="s">
        <v>2719</v>
      </c>
      <c r="AS39" s="253"/>
      <c r="AT39" s="1939"/>
    </row>
    <row r="40" spans="1:46" ht="51">
      <c r="A40" s="410" t="s">
        <v>2666</v>
      </c>
      <c r="B40" s="309" t="s">
        <v>2804</v>
      </c>
      <c r="C40" s="309" t="s">
        <v>2805</v>
      </c>
      <c r="D40" s="309" t="s">
        <v>2806</v>
      </c>
      <c r="E40" s="309" t="s">
        <v>2807</v>
      </c>
      <c r="F40" s="309" t="s">
        <v>2808</v>
      </c>
      <c r="G40" s="309" t="s">
        <v>2809</v>
      </c>
      <c r="H40" s="309" t="s">
        <v>2810</v>
      </c>
      <c r="I40" s="4187"/>
      <c r="J40" s="4187"/>
      <c r="K40" s="4261" t="s">
        <v>2842</v>
      </c>
      <c r="L40" s="4261"/>
      <c r="M40" s="4261" t="s">
        <v>2843</v>
      </c>
      <c r="N40" s="4261"/>
      <c r="O40" s="4261" t="s">
        <v>2844</v>
      </c>
      <c r="P40" s="4261"/>
      <c r="Q40" s="4261" t="s">
        <v>2813</v>
      </c>
      <c r="R40" s="4261"/>
      <c r="S40" s="4261" t="s">
        <v>2854</v>
      </c>
      <c r="T40" s="4261"/>
      <c r="U40" s="4261" t="s">
        <v>2838</v>
      </c>
      <c r="V40" s="4261"/>
      <c r="W40" s="4261" t="s">
        <v>2815</v>
      </c>
      <c r="X40" s="4261"/>
      <c r="Y40" s="309" t="s">
        <v>2816</v>
      </c>
      <c r="Z40" s="309" t="s">
        <v>2817</v>
      </c>
      <c r="AA40" s="309" t="s">
        <v>2818</v>
      </c>
      <c r="AB40" s="309" t="s">
        <v>2696</v>
      </c>
      <c r="AC40" s="309" t="s">
        <v>2819</v>
      </c>
      <c r="AD40" s="309" t="s">
        <v>2820</v>
      </c>
      <c r="AQ40" s="253"/>
      <c r="AR40" s="253" t="s">
        <v>2744</v>
      </c>
      <c r="AS40" s="253"/>
      <c r="AT40" s="1939"/>
    </row>
    <row r="41" spans="1:46" ht="16">
      <c r="A41" s="1954"/>
      <c r="B41" s="1954"/>
      <c r="C41" s="1954"/>
      <c r="D41" s="1954"/>
      <c r="E41" s="1954"/>
      <c r="F41" s="1954"/>
      <c r="G41" s="1954"/>
      <c r="H41" s="1954"/>
      <c r="I41" s="1954"/>
      <c r="J41" s="1954"/>
      <c r="K41" s="286" t="s">
        <v>2691</v>
      </c>
      <c r="L41" s="1947" t="s">
        <v>2682</v>
      </c>
      <c r="M41" s="286" t="s">
        <v>2691</v>
      </c>
      <c r="N41" s="1947" t="s">
        <v>2682</v>
      </c>
      <c r="O41" s="286" t="s">
        <v>2691</v>
      </c>
      <c r="P41" s="1947" t="s">
        <v>2682</v>
      </c>
      <c r="Q41" s="286" t="s">
        <v>2691</v>
      </c>
      <c r="R41" s="1947" t="s">
        <v>2682</v>
      </c>
      <c r="S41" s="286" t="s">
        <v>2691</v>
      </c>
      <c r="T41" s="1947" t="s">
        <v>2682</v>
      </c>
      <c r="U41" s="286" t="s">
        <v>2691</v>
      </c>
      <c r="V41" s="1947" t="s">
        <v>2682</v>
      </c>
      <c r="W41" s="286" t="s">
        <v>2691</v>
      </c>
      <c r="X41" s="1947" t="s">
        <v>2682</v>
      </c>
      <c r="Y41" s="1954"/>
      <c r="Z41" s="1954"/>
      <c r="AA41" s="1954"/>
      <c r="AB41" s="1954"/>
      <c r="AC41" s="1954"/>
      <c r="AD41" s="1954"/>
      <c r="AQ41" s="253"/>
      <c r="AR41" s="253" t="s">
        <v>2719</v>
      </c>
      <c r="AS41" s="253"/>
      <c r="AT41" s="1939"/>
    </row>
    <row r="42" spans="1:46" s="1949" customFormat="1">
      <c r="A42" s="4221" t="s">
        <v>2745</v>
      </c>
      <c r="B42" s="4221"/>
      <c r="C42" s="4221"/>
      <c r="D42" s="1948">
        <f>SUM(D39:D41)</f>
        <v>0</v>
      </c>
      <c r="E42" s="1948">
        <f>SUM(E39:E41)</f>
        <v>0</v>
      </c>
      <c r="F42" s="4224"/>
      <c r="G42" s="4225"/>
      <c r="H42" s="4225"/>
      <c r="I42" s="4225"/>
      <c r="J42" s="4225"/>
      <c r="K42" s="4225"/>
      <c r="L42" s="4225"/>
      <c r="M42" s="4225"/>
      <c r="N42" s="4225"/>
      <c r="O42" s="4225"/>
      <c r="P42" s="4225"/>
      <c r="Q42" s="4225"/>
      <c r="R42" s="4225"/>
      <c r="S42" s="4225"/>
      <c r="T42" s="4225"/>
      <c r="U42" s="4225"/>
      <c r="V42" s="4225"/>
      <c r="W42" s="4225"/>
      <c r="X42" s="4225"/>
      <c r="Y42" s="4225"/>
      <c r="Z42" s="4225"/>
      <c r="AA42" s="4225"/>
      <c r="AB42" s="4225"/>
      <c r="AC42" s="4225"/>
      <c r="AD42" s="4226"/>
      <c r="AO42" s="1950"/>
      <c r="AP42" s="1945"/>
      <c r="AQ42" s="1950"/>
      <c r="AR42" s="1951"/>
    </row>
    <row r="43" spans="1:46" s="264" customFormat="1">
      <c r="AQ43" s="1952"/>
      <c r="AR43" s="253" t="s">
        <v>2719</v>
      </c>
      <c r="AS43" s="1952"/>
      <c r="AT43" s="1953"/>
    </row>
    <row r="44" spans="1:46" ht="31">
      <c r="A44" s="4262" t="s">
        <v>2744</v>
      </c>
      <c r="B44" s="4262"/>
      <c r="C44" s="4262"/>
      <c r="D44" s="4262"/>
      <c r="E44" s="4262"/>
      <c r="F44" s="4262"/>
      <c r="G44" s="4262"/>
      <c r="H44" s="4262"/>
      <c r="I44" s="4262"/>
      <c r="J44" s="4262"/>
      <c r="K44" s="4262"/>
      <c r="L44" s="4262"/>
      <c r="M44" s="4262"/>
      <c r="N44" s="4262"/>
      <c r="O44" s="4262"/>
      <c r="P44" s="4262"/>
      <c r="Q44" s="4262"/>
      <c r="R44" s="4262"/>
      <c r="S44" s="4262"/>
      <c r="T44" s="4262"/>
      <c r="U44" s="4262"/>
      <c r="V44" s="4262"/>
      <c r="W44" s="4262"/>
      <c r="X44" s="4262"/>
      <c r="Y44" s="4262"/>
      <c r="Z44" s="4262"/>
    </row>
    <row r="45" spans="1:46" ht="24">
      <c r="A45" s="4260" t="s">
        <v>2798</v>
      </c>
      <c r="B45" s="4260"/>
      <c r="C45" s="4260"/>
      <c r="D45" s="4260" t="s">
        <v>2799</v>
      </c>
      <c r="E45" s="4260"/>
      <c r="F45" s="4260"/>
      <c r="G45" s="4260"/>
      <c r="H45" s="4260"/>
      <c r="I45" s="4187" t="s">
        <v>2800</v>
      </c>
      <c r="J45" s="4187" t="s">
        <v>2801</v>
      </c>
      <c r="K45" s="4260" t="s">
        <v>2802</v>
      </c>
      <c r="L45" s="4260"/>
      <c r="M45" s="4260"/>
      <c r="N45" s="4260"/>
      <c r="O45" s="4260"/>
      <c r="P45" s="4260"/>
      <c r="Q45" s="4260"/>
      <c r="R45" s="4260"/>
      <c r="S45" s="4260"/>
      <c r="T45" s="4260"/>
      <c r="U45" s="4260" t="s">
        <v>2803</v>
      </c>
      <c r="V45" s="4260"/>
      <c r="W45" s="4260"/>
      <c r="X45" s="4260"/>
      <c r="Y45" s="4260"/>
      <c r="Z45" s="4260"/>
    </row>
    <row r="46" spans="1:46" ht="51">
      <c r="A46" s="410" t="s">
        <v>2666</v>
      </c>
      <c r="B46" s="309" t="s">
        <v>2804</v>
      </c>
      <c r="C46" s="309" t="s">
        <v>2805</v>
      </c>
      <c r="D46" s="309" t="s">
        <v>2806</v>
      </c>
      <c r="E46" s="309" t="s">
        <v>2807</v>
      </c>
      <c r="F46" s="309" t="s">
        <v>2808</v>
      </c>
      <c r="G46" s="309" t="s">
        <v>2809</v>
      </c>
      <c r="H46" s="309" t="s">
        <v>2810</v>
      </c>
      <c r="I46" s="4187"/>
      <c r="J46" s="4187"/>
      <c r="K46" s="4261" t="s">
        <v>2842</v>
      </c>
      <c r="L46" s="4261"/>
      <c r="M46" s="4261" t="s">
        <v>2843</v>
      </c>
      <c r="N46" s="4261"/>
      <c r="O46" s="4261" t="s">
        <v>2834</v>
      </c>
      <c r="P46" s="4261"/>
      <c r="Q46" s="4261" t="s">
        <v>2838</v>
      </c>
      <c r="R46" s="4261"/>
      <c r="S46" s="4261" t="s">
        <v>2815</v>
      </c>
      <c r="T46" s="4261"/>
      <c r="U46" s="309" t="s">
        <v>2816</v>
      </c>
      <c r="V46" s="309" t="s">
        <v>2817</v>
      </c>
      <c r="W46" s="309" t="s">
        <v>2818</v>
      </c>
      <c r="X46" s="309" t="s">
        <v>2696</v>
      </c>
      <c r="Y46" s="309" t="s">
        <v>2819</v>
      </c>
      <c r="Z46" s="309" t="s">
        <v>2820</v>
      </c>
    </row>
    <row r="47" spans="1:46" s="1944" customFormat="1" ht="32">
      <c r="A47" s="294">
        <f>+A29+1</f>
        <v>15</v>
      </c>
      <c r="B47" s="295" t="s">
        <v>2747</v>
      </c>
      <c r="C47" s="294" t="s">
        <v>2748</v>
      </c>
      <c r="D47" s="296">
        <f>+J47</f>
        <v>0</v>
      </c>
      <c r="E47" s="298"/>
      <c r="F47" s="297">
        <v>1</v>
      </c>
      <c r="G47" s="297">
        <v>0</v>
      </c>
      <c r="H47" s="297">
        <v>0</v>
      </c>
      <c r="I47" s="1966" t="str">
        <f>'8_MP'!$D$138</f>
        <v>1.2.3.1.2</v>
      </c>
      <c r="J47" s="1969">
        <f>'8_MP'!$AN$138</f>
        <v>0</v>
      </c>
      <c r="K47" s="286" t="s">
        <v>2691</v>
      </c>
      <c r="L47" s="1947" t="s">
        <v>2682</v>
      </c>
      <c r="M47" s="286" t="s">
        <v>2691</v>
      </c>
      <c r="N47" s="1947" t="s">
        <v>2682</v>
      </c>
      <c r="O47" s="286" t="s">
        <v>2691</v>
      </c>
      <c r="P47" s="1947" t="s">
        <v>2682</v>
      </c>
      <c r="Q47" s="286" t="s">
        <v>2691</v>
      </c>
      <c r="R47" s="1947" t="s">
        <v>2682</v>
      </c>
      <c r="S47" s="286" t="s">
        <v>2691</v>
      </c>
      <c r="T47" s="1947" t="s">
        <v>2682</v>
      </c>
      <c r="U47" s="299" t="s">
        <v>1198</v>
      </c>
      <c r="V47" s="299" t="s">
        <v>838</v>
      </c>
      <c r="W47" s="1978" t="s">
        <v>2267</v>
      </c>
      <c r="X47" s="294"/>
      <c r="Y47" s="294"/>
      <c r="Z47" s="294"/>
      <c r="AK47" s="1945"/>
      <c r="AL47" s="1945" t="s">
        <v>2749</v>
      </c>
      <c r="AM47" s="1945"/>
      <c r="AN47" s="1946"/>
    </row>
    <row r="48" spans="1:46" s="1944" customFormat="1" ht="27.5" customHeight="1">
      <c r="A48" s="4205">
        <f>+A47+1</f>
        <v>16</v>
      </c>
      <c r="B48" s="4207" t="s">
        <v>2855</v>
      </c>
      <c r="C48" s="4205" t="s">
        <v>2186</v>
      </c>
      <c r="D48" s="4203">
        <f>+J48</f>
        <v>0</v>
      </c>
      <c r="E48" s="4203"/>
      <c r="F48" s="4209">
        <v>1</v>
      </c>
      <c r="G48" s="4209">
        <v>0</v>
      </c>
      <c r="H48" s="4209">
        <v>0</v>
      </c>
      <c r="I48" s="1966">
        <f>'8_MP'!D256</f>
        <v>0</v>
      </c>
      <c r="J48" s="4203">
        <f>'8_MP'!AN256</f>
        <v>0</v>
      </c>
      <c r="K48" s="3671" t="s">
        <v>2691</v>
      </c>
      <c r="L48" s="4194" t="s">
        <v>2682</v>
      </c>
      <c r="M48" s="3671" t="s">
        <v>2691</v>
      </c>
      <c r="N48" s="4194" t="s">
        <v>2682</v>
      </c>
      <c r="O48" s="3671" t="s">
        <v>2691</v>
      </c>
      <c r="P48" s="4194" t="s">
        <v>2682</v>
      </c>
      <c r="Q48" s="3671" t="s">
        <v>2691</v>
      </c>
      <c r="R48" s="4194" t="s">
        <v>2682</v>
      </c>
      <c r="S48" s="3671" t="s">
        <v>2691</v>
      </c>
      <c r="T48" s="4194" t="s">
        <v>2682</v>
      </c>
      <c r="U48" s="4197" t="s">
        <v>1198</v>
      </c>
      <c r="V48" s="4197" t="s">
        <v>838</v>
      </c>
      <c r="W48" s="4200" t="s">
        <v>2267</v>
      </c>
      <c r="X48" s="4197"/>
      <c r="Y48" s="4197"/>
      <c r="Z48" s="4197"/>
      <c r="AJ48" s="1945"/>
      <c r="AK48" s="1945"/>
      <c r="AL48" s="1945"/>
      <c r="AM48" s="1946"/>
    </row>
    <row r="49" spans="1:40" s="1944" customFormat="1" ht="27.5" customHeight="1">
      <c r="A49" s="4206"/>
      <c r="B49" s="4208"/>
      <c r="C49" s="4206"/>
      <c r="D49" s="4204"/>
      <c r="E49" s="4204"/>
      <c r="F49" s="4210"/>
      <c r="G49" s="4210"/>
      <c r="H49" s="4210"/>
      <c r="I49" s="1966">
        <f>'8_MP'!D257</f>
        <v>0</v>
      </c>
      <c r="J49" s="4204"/>
      <c r="K49" s="3673"/>
      <c r="L49" s="4196"/>
      <c r="M49" s="3673"/>
      <c r="N49" s="4196"/>
      <c r="O49" s="3673"/>
      <c r="P49" s="4196"/>
      <c r="Q49" s="3673"/>
      <c r="R49" s="4196"/>
      <c r="S49" s="3673"/>
      <c r="T49" s="4196"/>
      <c r="U49" s="4199"/>
      <c r="V49" s="4199"/>
      <c r="W49" s="4202"/>
      <c r="X49" s="4199"/>
      <c r="Y49" s="4199"/>
      <c r="Z49" s="4199"/>
      <c r="AJ49" s="1945"/>
      <c r="AK49" s="1945"/>
      <c r="AL49" s="1945"/>
      <c r="AM49" s="1946"/>
    </row>
    <row r="50" spans="1:40" s="1944" customFormat="1" ht="32">
      <c r="A50" s="294">
        <f>+A48+1</f>
        <v>17</v>
      </c>
      <c r="B50" s="295" t="s">
        <v>2856</v>
      </c>
      <c r="C50" s="294" t="s">
        <v>2174</v>
      </c>
      <c r="D50" s="296">
        <f>+J50</f>
        <v>0</v>
      </c>
      <c r="E50" s="321"/>
      <c r="F50" s="297">
        <v>1</v>
      </c>
      <c r="G50" s="297">
        <v>0</v>
      </c>
      <c r="H50" s="297">
        <v>0</v>
      </c>
      <c r="I50" s="294">
        <f>'8_MP'!$D$293</f>
        <v>0</v>
      </c>
      <c r="J50" s="298">
        <f>'8_MP'!$AN$293/2</f>
        <v>0</v>
      </c>
      <c r="K50" s="286" t="s">
        <v>2691</v>
      </c>
      <c r="L50" s="1947" t="s">
        <v>2682</v>
      </c>
      <c r="M50" s="286" t="s">
        <v>2691</v>
      </c>
      <c r="N50" s="1947" t="s">
        <v>2682</v>
      </c>
      <c r="O50" s="286" t="s">
        <v>2691</v>
      </c>
      <c r="P50" s="1947" t="s">
        <v>2682</v>
      </c>
      <c r="Q50" s="286" t="s">
        <v>2691</v>
      </c>
      <c r="R50" s="1947" t="s">
        <v>2682</v>
      </c>
      <c r="S50" s="286" t="s">
        <v>2691</v>
      </c>
      <c r="T50" s="1947" t="s">
        <v>2682</v>
      </c>
      <c r="U50" s="299" t="s">
        <v>1198</v>
      </c>
      <c r="V50" s="299" t="s">
        <v>838</v>
      </c>
      <c r="W50" s="1978" t="s">
        <v>2267</v>
      </c>
      <c r="X50" s="294"/>
      <c r="Y50" s="294"/>
      <c r="Z50" s="294"/>
      <c r="AK50" s="1945"/>
      <c r="AL50" s="1945" t="s">
        <v>2749</v>
      </c>
      <c r="AM50" s="1945"/>
      <c r="AN50" s="1946"/>
    </row>
    <row r="51" spans="1:40" s="1944" customFormat="1" ht="32">
      <c r="A51" s="294">
        <f>+A50+1</f>
        <v>18</v>
      </c>
      <c r="B51" s="295" t="s">
        <v>2857</v>
      </c>
      <c r="C51" s="294" t="s">
        <v>2174</v>
      </c>
      <c r="D51" s="296">
        <f>+J51</f>
        <v>0</v>
      </c>
      <c r="E51" s="321"/>
      <c r="F51" s="297">
        <v>1</v>
      </c>
      <c r="G51" s="297">
        <v>0</v>
      </c>
      <c r="H51" s="297">
        <v>0</v>
      </c>
      <c r="I51" s="294">
        <f>'8_MP'!$D$296</f>
        <v>0</v>
      </c>
      <c r="J51" s="298">
        <f>'8_MP'!$AN$296/2</f>
        <v>0</v>
      </c>
      <c r="K51" s="286" t="s">
        <v>2691</v>
      </c>
      <c r="L51" s="1947" t="s">
        <v>2682</v>
      </c>
      <c r="M51" s="286" t="s">
        <v>2691</v>
      </c>
      <c r="N51" s="1947" t="s">
        <v>2682</v>
      </c>
      <c r="O51" s="286" t="s">
        <v>2691</v>
      </c>
      <c r="P51" s="1947" t="s">
        <v>2682</v>
      </c>
      <c r="Q51" s="286" t="s">
        <v>2691</v>
      </c>
      <c r="R51" s="1947" t="s">
        <v>2682</v>
      </c>
      <c r="S51" s="286" t="s">
        <v>2691</v>
      </c>
      <c r="T51" s="1947" t="s">
        <v>2682</v>
      </c>
      <c r="U51" s="299" t="s">
        <v>1198</v>
      </c>
      <c r="V51" s="299" t="s">
        <v>838</v>
      </c>
      <c r="W51" s="1978" t="s">
        <v>2267</v>
      </c>
      <c r="X51" s="294"/>
      <c r="Y51" s="294"/>
      <c r="Z51" s="294"/>
      <c r="AK51" s="1945"/>
      <c r="AL51" s="1945"/>
      <c r="AM51" s="1945"/>
      <c r="AN51" s="1946"/>
    </row>
    <row r="52" spans="1:40" s="1944" customFormat="1" ht="32">
      <c r="A52" s="294">
        <f>+A51+1</f>
        <v>19</v>
      </c>
      <c r="B52" s="295" t="s">
        <v>2858</v>
      </c>
      <c r="C52" s="294" t="s">
        <v>2174</v>
      </c>
      <c r="D52" s="296">
        <f>+J52</f>
        <v>0</v>
      </c>
      <c r="E52" s="321"/>
      <c r="F52" s="297">
        <v>1</v>
      </c>
      <c r="G52" s="297">
        <v>0</v>
      </c>
      <c r="H52" s="297">
        <v>0</v>
      </c>
      <c r="I52" s="294">
        <f>'8_MP'!$D$305</f>
        <v>0</v>
      </c>
      <c r="J52" s="298">
        <f>'8_MP'!$AN$305</f>
        <v>0</v>
      </c>
      <c r="K52" s="286" t="s">
        <v>2691</v>
      </c>
      <c r="L52" s="1947" t="s">
        <v>2682</v>
      </c>
      <c r="M52" s="286" t="s">
        <v>2691</v>
      </c>
      <c r="N52" s="1947" t="s">
        <v>2682</v>
      </c>
      <c r="O52" s="286" t="s">
        <v>2691</v>
      </c>
      <c r="P52" s="1947" t="s">
        <v>2682</v>
      </c>
      <c r="Q52" s="286" t="s">
        <v>2691</v>
      </c>
      <c r="R52" s="1947" t="s">
        <v>2682</v>
      </c>
      <c r="S52" s="286" t="s">
        <v>2691</v>
      </c>
      <c r="T52" s="1947" t="s">
        <v>2682</v>
      </c>
      <c r="U52" s="299" t="s">
        <v>1198</v>
      </c>
      <c r="V52" s="299" t="s">
        <v>838</v>
      </c>
      <c r="W52" s="1978" t="s">
        <v>2267</v>
      </c>
      <c r="X52" s="294"/>
      <c r="Y52" s="294"/>
      <c r="Z52" s="294"/>
      <c r="AK52" s="1945"/>
      <c r="AL52" s="1945" t="s">
        <v>2749</v>
      </c>
      <c r="AM52" s="1945"/>
      <c r="AN52" s="1946"/>
    </row>
    <row r="53" spans="1:40" s="1944" customFormat="1" ht="64">
      <c r="A53" s="294">
        <f>+A52+1</f>
        <v>20</v>
      </c>
      <c r="B53" s="295" t="s">
        <v>2329</v>
      </c>
      <c r="C53" s="294" t="s">
        <v>2737</v>
      </c>
      <c r="D53" s="296">
        <f>+J53</f>
        <v>30000</v>
      </c>
      <c r="E53" s="321"/>
      <c r="F53" s="297">
        <v>1</v>
      </c>
      <c r="G53" s="297">
        <v>0</v>
      </c>
      <c r="H53" s="297">
        <v>0</v>
      </c>
      <c r="I53" s="294" t="str">
        <f>'8_MP'!$D$408</f>
        <v>3.2.1.1.1</v>
      </c>
      <c r="J53" s="298">
        <f>'8_MP'!$AN$408</f>
        <v>30000</v>
      </c>
      <c r="K53" s="286" t="s">
        <v>2691</v>
      </c>
      <c r="L53" s="1947" t="s">
        <v>2682</v>
      </c>
      <c r="M53" s="286" t="s">
        <v>2691</v>
      </c>
      <c r="N53" s="1947" t="s">
        <v>2682</v>
      </c>
      <c r="O53" s="286" t="s">
        <v>2691</v>
      </c>
      <c r="P53" s="1947" t="s">
        <v>2682</v>
      </c>
      <c r="Q53" s="286" t="s">
        <v>2691</v>
      </c>
      <c r="R53" s="1947" t="s">
        <v>2682</v>
      </c>
      <c r="S53" s="286" t="s">
        <v>2691</v>
      </c>
      <c r="T53" s="1947" t="s">
        <v>2682</v>
      </c>
      <c r="U53" s="299"/>
      <c r="V53" s="299"/>
      <c r="W53" s="294"/>
      <c r="X53" s="294"/>
      <c r="Y53" s="294"/>
      <c r="Z53" s="294"/>
      <c r="AK53" s="1945"/>
      <c r="AL53" s="1945"/>
      <c r="AM53" s="1945"/>
      <c r="AN53" s="1946"/>
    </row>
    <row r="54" spans="1:40" s="1944" customFormat="1" ht="16">
      <c r="A54" s="294"/>
      <c r="B54" s="295"/>
      <c r="C54" s="294"/>
      <c r="D54" s="296"/>
      <c r="E54" s="321"/>
      <c r="F54" s="297">
        <v>1</v>
      </c>
      <c r="G54" s="297">
        <v>0</v>
      </c>
      <c r="H54" s="297">
        <v>0</v>
      </c>
      <c r="I54" s="294"/>
      <c r="J54" s="298"/>
      <c r="K54" s="286" t="s">
        <v>2691</v>
      </c>
      <c r="L54" s="1947" t="s">
        <v>2682</v>
      </c>
      <c r="M54" s="286" t="s">
        <v>2691</v>
      </c>
      <c r="N54" s="1947" t="s">
        <v>2682</v>
      </c>
      <c r="O54" s="286" t="s">
        <v>2691</v>
      </c>
      <c r="P54" s="1947" t="s">
        <v>2682</v>
      </c>
      <c r="Q54" s="286" t="s">
        <v>2691</v>
      </c>
      <c r="R54" s="1947" t="s">
        <v>2682</v>
      </c>
      <c r="S54" s="286" t="s">
        <v>2691</v>
      </c>
      <c r="T54" s="1947" t="s">
        <v>2682</v>
      </c>
      <c r="U54" s="299"/>
      <c r="V54" s="299"/>
      <c r="W54" s="294"/>
      <c r="X54" s="294"/>
      <c r="Y54" s="294"/>
      <c r="Z54" s="294"/>
      <c r="AK54" s="1945"/>
      <c r="AL54" s="1945" t="s">
        <v>2749</v>
      </c>
      <c r="AM54" s="1945"/>
      <c r="AN54" s="1946"/>
    </row>
    <row r="55" spans="1:40" s="1944" customFormat="1" ht="16">
      <c r="A55" s="294"/>
      <c r="B55" s="295"/>
      <c r="C55" s="294"/>
      <c r="D55" s="296"/>
      <c r="E55" s="321"/>
      <c r="F55" s="297">
        <v>1</v>
      </c>
      <c r="G55" s="297">
        <v>0</v>
      </c>
      <c r="H55" s="297">
        <v>0</v>
      </c>
      <c r="I55" s="294"/>
      <c r="J55" s="298"/>
      <c r="K55" s="286" t="s">
        <v>2691</v>
      </c>
      <c r="L55" s="1947" t="s">
        <v>2682</v>
      </c>
      <c r="M55" s="286" t="s">
        <v>2691</v>
      </c>
      <c r="N55" s="1947" t="s">
        <v>2682</v>
      </c>
      <c r="O55" s="286" t="s">
        <v>2691</v>
      </c>
      <c r="P55" s="1947" t="s">
        <v>2682</v>
      </c>
      <c r="Q55" s="286" t="s">
        <v>2691</v>
      </c>
      <c r="R55" s="1947" t="s">
        <v>2682</v>
      </c>
      <c r="S55" s="286" t="s">
        <v>2691</v>
      </c>
      <c r="T55" s="1947" t="s">
        <v>2682</v>
      </c>
      <c r="U55" s="299"/>
      <c r="V55" s="299"/>
      <c r="W55" s="294"/>
      <c r="X55" s="294"/>
      <c r="Y55" s="294"/>
      <c r="Z55" s="294"/>
      <c r="AK55" s="1945"/>
      <c r="AL55" s="1945"/>
      <c r="AM55" s="1945"/>
      <c r="AN55" s="1946"/>
    </row>
    <row r="56" spans="1:40" s="264" customFormat="1">
      <c r="A56" s="4229" t="s">
        <v>2750</v>
      </c>
      <c r="B56" s="4229"/>
      <c r="C56" s="4229"/>
      <c r="D56" s="414">
        <f>SUM(D47:D55)</f>
        <v>30000</v>
      </c>
      <c r="E56" s="414">
        <f>SUM(E47:E55)</f>
        <v>0</v>
      </c>
      <c r="F56" s="4230"/>
      <c r="G56" s="4230"/>
      <c r="H56" s="4230"/>
      <c r="I56" s="4230"/>
      <c r="J56" s="4230"/>
      <c r="K56" s="4230"/>
      <c r="L56" s="4230"/>
      <c r="M56" s="4230"/>
      <c r="N56" s="4230"/>
      <c r="O56" s="4230"/>
      <c r="P56" s="4230"/>
      <c r="Q56" s="4230"/>
      <c r="R56" s="4230"/>
      <c r="S56" s="4230"/>
      <c r="T56" s="4230"/>
      <c r="U56" s="4230"/>
      <c r="V56" s="4230"/>
      <c r="W56" s="4230"/>
      <c r="X56" s="4230"/>
      <c r="Y56" s="4230"/>
      <c r="Z56" s="4230"/>
    </row>
    <row r="57" spans="1:40" s="264" customFormat="1"/>
    <row r="58" spans="1:40" ht="31">
      <c r="A58" s="4262" t="s">
        <v>2859</v>
      </c>
      <c r="B58" s="4262"/>
      <c r="C58" s="4262"/>
      <c r="D58" s="4262"/>
      <c r="E58" s="4262"/>
      <c r="F58" s="4262"/>
      <c r="G58" s="4262"/>
      <c r="H58" s="4262"/>
      <c r="I58" s="4262"/>
      <c r="J58" s="4262"/>
      <c r="K58" s="4262"/>
      <c r="L58" s="4262"/>
      <c r="M58" s="4262"/>
      <c r="N58" s="4262"/>
      <c r="O58" s="4262"/>
      <c r="P58" s="4262"/>
      <c r="Q58" s="4262"/>
      <c r="R58" s="4262"/>
      <c r="S58" s="4262"/>
      <c r="T58" s="4262"/>
      <c r="U58" s="4262"/>
      <c r="V58" s="4262"/>
    </row>
    <row r="59" spans="1:40" ht="24">
      <c r="A59" s="4260" t="s">
        <v>2798</v>
      </c>
      <c r="B59" s="4260"/>
      <c r="C59" s="4260"/>
      <c r="D59" s="4260" t="s">
        <v>2799</v>
      </c>
      <c r="E59" s="4260"/>
      <c r="F59" s="4260"/>
      <c r="G59" s="4260"/>
      <c r="H59" s="4260"/>
      <c r="I59" s="4187" t="s">
        <v>2800</v>
      </c>
      <c r="J59" s="4187" t="s">
        <v>2801</v>
      </c>
      <c r="K59" s="4260" t="s">
        <v>2802</v>
      </c>
      <c r="L59" s="4260"/>
      <c r="M59" s="4260"/>
      <c r="N59" s="4260"/>
      <c r="O59" s="4260"/>
      <c r="P59" s="4260"/>
      <c r="Q59" s="4260" t="s">
        <v>2803</v>
      </c>
      <c r="R59" s="4260"/>
      <c r="S59" s="4260"/>
      <c r="T59" s="4260"/>
      <c r="U59" s="4260"/>
      <c r="V59" s="4260"/>
    </row>
    <row r="60" spans="1:40" ht="51">
      <c r="A60" s="410" t="s">
        <v>2666</v>
      </c>
      <c r="B60" s="309" t="s">
        <v>2804</v>
      </c>
      <c r="C60" s="309" t="s">
        <v>2805</v>
      </c>
      <c r="D60" s="309" t="s">
        <v>2806</v>
      </c>
      <c r="E60" s="309" t="s">
        <v>2807</v>
      </c>
      <c r="F60" s="309" t="s">
        <v>2808</v>
      </c>
      <c r="G60" s="309" t="s">
        <v>2809</v>
      </c>
      <c r="H60" s="309" t="s">
        <v>2810</v>
      </c>
      <c r="I60" s="4187"/>
      <c r="J60" s="4187"/>
      <c r="K60" s="4261" t="s">
        <v>2860</v>
      </c>
      <c r="L60" s="4261"/>
      <c r="M60" s="4261" t="s">
        <v>2838</v>
      </c>
      <c r="N60" s="4261"/>
      <c r="O60" s="4261" t="s">
        <v>2861</v>
      </c>
      <c r="P60" s="4261"/>
      <c r="Q60" s="309" t="s">
        <v>2816</v>
      </c>
      <c r="R60" s="309" t="s">
        <v>2817</v>
      </c>
      <c r="S60" s="309" t="s">
        <v>2818</v>
      </c>
      <c r="T60" s="309" t="s">
        <v>2696</v>
      </c>
      <c r="U60" s="309" t="s">
        <v>2819</v>
      </c>
      <c r="V60" s="309" t="s">
        <v>2820</v>
      </c>
    </row>
    <row r="61" spans="1:40" ht="16">
      <c r="A61" s="294">
        <f>+A53+1</f>
        <v>21</v>
      </c>
      <c r="B61" s="284" t="s">
        <v>2862</v>
      </c>
      <c r="C61" s="283" t="s">
        <v>2174</v>
      </c>
      <c r="D61" s="323">
        <f>+J61</f>
        <v>0</v>
      </c>
      <c r="E61" s="324"/>
      <c r="F61" s="297">
        <v>1</v>
      </c>
      <c r="G61" s="297">
        <v>0</v>
      </c>
      <c r="H61" s="297">
        <v>0</v>
      </c>
      <c r="I61" s="1968">
        <f>'8_MP'!$D$294</f>
        <v>0</v>
      </c>
      <c r="J61" s="1968">
        <f>'8_MP'!$AN$294/2</f>
        <v>0</v>
      </c>
      <c r="K61" s="286" t="s">
        <v>2691</v>
      </c>
      <c r="L61" s="1947" t="s">
        <v>2682</v>
      </c>
      <c r="M61" s="286" t="s">
        <v>2691</v>
      </c>
      <c r="N61" s="1947" t="s">
        <v>2682</v>
      </c>
      <c r="O61" s="286" t="s">
        <v>2691</v>
      </c>
      <c r="P61" s="1947" t="s">
        <v>2682</v>
      </c>
      <c r="Q61" s="283"/>
      <c r="R61" s="283" t="s">
        <v>1202</v>
      </c>
      <c r="S61" s="283" t="s">
        <v>2727</v>
      </c>
      <c r="T61" s="1954"/>
      <c r="U61" s="1954"/>
      <c r="V61" s="1954"/>
    </row>
    <row r="62" spans="1:40" ht="16">
      <c r="A62" s="294">
        <f>+A61+1</f>
        <v>22</v>
      </c>
      <c r="B62" s="284" t="s">
        <v>2863</v>
      </c>
      <c r="C62" s="283" t="s">
        <v>2174</v>
      </c>
      <c r="D62" s="323">
        <f>+J62</f>
        <v>0</v>
      </c>
      <c r="E62" s="326"/>
      <c r="F62" s="297">
        <v>1</v>
      </c>
      <c r="G62" s="297">
        <v>0</v>
      </c>
      <c r="H62" s="297">
        <v>0</v>
      </c>
      <c r="I62" s="1979">
        <f>'8_MP'!$D$297</f>
        <v>0</v>
      </c>
      <c r="J62" s="1980">
        <f>'8_MP'!$AN$297/2</f>
        <v>0</v>
      </c>
      <c r="K62" s="286" t="s">
        <v>2691</v>
      </c>
      <c r="L62" s="1947" t="s">
        <v>2682</v>
      </c>
      <c r="M62" s="286" t="s">
        <v>2691</v>
      </c>
      <c r="N62" s="1947" t="s">
        <v>2682</v>
      </c>
      <c r="O62" s="286" t="s">
        <v>2691</v>
      </c>
      <c r="P62" s="1947" t="s">
        <v>2682</v>
      </c>
      <c r="Q62" s="283"/>
      <c r="R62" s="283" t="s">
        <v>1202</v>
      </c>
      <c r="S62" s="283" t="s">
        <v>2727</v>
      </c>
      <c r="T62" s="283"/>
      <c r="U62" s="283"/>
      <c r="V62" s="283"/>
      <c r="W62" s="511"/>
      <c r="AA62" s="1939"/>
      <c r="AB62" s="1939"/>
      <c r="AC62" s="1953"/>
      <c r="AD62" s="1939"/>
      <c r="AE62" s="1939"/>
    </row>
    <row r="63" spans="1:40" ht="16">
      <c r="A63" s="294">
        <f>+A62+1</f>
        <v>23</v>
      </c>
      <c r="B63" s="284" t="s">
        <v>2864</v>
      </c>
      <c r="C63" s="283" t="s">
        <v>2174</v>
      </c>
      <c r="D63" s="323">
        <f>+J63</f>
        <v>0</v>
      </c>
      <c r="E63" s="329"/>
      <c r="F63" s="297">
        <v>1</v>
      </c>
      <c r="G63" s="297">
        <v>0</v>
      </c>
      <c r="H63" s="297">
        <v>0</v>
      </c>
      <c r="I63" s="1968">
        <f>'8_MP'!$D$306</f>
        <v>0</v>
      </c>
      <c r="J63" s="1968">
        <f>'8_MP'!$AN$306</f>
        <v>0</v>
      </c>
      <c r="K63" s="286" t="s">
        <v>2691</v>
      </c>
      <c r="L63" s="1947" t="s">
        <v>2682</v>
      </c>
      <c r="M63" s="286" t="s">
        <v>2691</v>
      </c>
      <c r="N63" s="1947" t="s">
        <v>2682</v>
      </c>
      <c r="O63" s="286" t="s">
        <v>2691</v>
      </c>
      <c r="P63" s="1947" t="s">
        <v>2682</v>
      </c>
      <c r="Q63" s="283"/>
      <c r="R63" s="283" t="s">
        <v>1202</v>
      </c>
      <c r="S63" s="283" t="s">
        <v>2727</v>
      </c>
      <c r="T63" s="283"/>
      <c r="U63" s="283"/>
      <c r="V63" s="283"/>
    </row>
    <row r="64" spans="1:40" ht="32">
      <c r="A64" s="294">
        <f>+A63+1</f>
        <v>24</v>
      </c>
      <c r="B64" s="284" t="s">
        <v>2865</v>
      </c>
      <c r="C64" s="278" t="s">
        <v>2850</v>
      </c>
      <c r="D64" s="325">
        <f>+J64</f>
        <v>1803000</v>
      </c>
      <c r="E64" s="326"/>
      <c r="F64" s="297">
        <v>1</v>
      </c>
      <c r="G64" s="297">
        <v>0</v>
      </c>
      <c r="H64" s="297">
        <v>0</v>
      </c>
      <c r="I64" s="1982" t="str">
        <f>'8_MP'!$D$348</f>
        <v>2.3.1.1.5.3</v>
      </c>
      <c r="J64" s="305">
        <f>'8_MP'!$AN$348</f>
        <v>1803000</v>
      </c>
      <c r="K64" s="286" t="s">
        <v>2691</v>
      </c>
      <c r="L64" s="1947" t="s">
        <v>2682</v>
      </c>
      <c r="M64" s="286" t="s">
        <v>2691</v>
      </c>
      <c r="N64" s="1947" t="s">
        <v>2682</v>
      </c>
      <c r="O64" s="286" t="s">
        <v>2691</v>
      </c>
      <c r="P64" s="1947" t="s">
        <v>2682</v>
      </c>
      <c r="Q64" s="283" t="s">
        <v>1526</v>
      </c>
      <c r="R64" s="283" t="s">
        <v>1202</v>
      </c>
      <c r="S64" s="283" t="s">
        <v>2727</v>
      </c>
      <c r="T64" s="283"/>
      <c r="U64" s="283"/>
      <c r="V64" s="283"/>
      <c r="W64" s="511"/>
      <c r="AA64" s="1939"/>
      <c r="AB64" s="1939"/>
      <c r="AC64" s="1953"/>
      <c r="AD64" s="1939"/>
      <c r="AE64" s="1939"/>
    </row>
    <row r="65" spans="1:31" ht="48">
      <c r="A65" s="294">
        <f>+A64+1</f>
        <v>25</v>
      </c>
      <c r="B65" s="284" t="s">
        <v>2322</v>
      </c>
      <c r="C65" s="278" t="s">
        <v>2753</v>
      </c>
      <c r="D65" s="325">
        <f>+J65</f>
        <v>30000</v>
      </c>
      <c r="E65" s="329"/>
      <c r="F65" s="297">
        <v>1</v>
      </c>
      <c r="G65" s="297">
        <v>0</v>
      </c>
      <c r="H65" s="297">
        <v>0</v>
      </c>
      <c r="I65" s="1968" t="str">
        <f>'8_MP'!$D$372</f>
        <v>3.1.1.1.1</v>
      </c>
      <c r="J65" s="1968">
        <f>'8_MP'!$AN$372</f>
        <v>30000</v>
      </c>
      <c r="K65" s="286" t="s">
        <v>2691</v>
      </c>
      <c r="L65" s="1947" t="s">
        <v>2682</v>
      </c>
      <c r="M65" s="286" t="s">
        <v>2691</v>
      </c>
      <c r="N65" s="1947" t="s">
        <v>2682</v>
      </c>
      <c r="O65" s="286" t="s">
        <v>2691</v>
      </c>
      <c r="P65" s="1947" t="s">
        <v>2682</v>
      </c>
      <c r="Q65" s="283" t="s">
        <v>1526</v>
      </c>
      <c r="R65" s="283" t="s">
        <v>1202</v>
      </c>
      <c r="S65" s="283" t="s">
        <v>2727</v>
      </c>
      <c r="T65" s="283"/>
      <c r="U65" s="283"/>
      <c r="V65" s="283"/>
    </row>
    <row r="66" spans="1:31" ht="16">
      <c r="A66" s="294"/>
      <c r="B66" s="284"/>
      <c r="C66" s="278"/>
      <c r="D66" s="325"/>
      <c r="E66" s="326"/>
      <c r="F66" s="327"/>
      <c r="G66" s="327"/>
      <c r="H66" s="327"/>
      <c r="I66" s="328"/>
      <c r="J66" s="305"/>
      <c r="K66" s="286" t="s">
        <v>2691</v>
      </c>
      <c r="L66" s="1947" t="s">
        <v>2682</v>
      </c>
      <c r="M66" s="286" t="s">
        <v>2691</v>
      </c>
      <c r="N66" s="1947" t="s">
        <v>2682</v>
      </c>
      <c r="O66" s="286" t="s">
        <v>2691</v>
      </c>
      <c r="P66" s="1947" t="s">
        <v>2682</v>
      </c>
      <c r="Q66" s="283"/>
      <c r="R66" s="283"/>
      <c r="S66" s="283"/>
      <c r="T66" s="283"/>
      <c r="U66" s="283"/>
      <c r="V66" s="283"/>
      <c r="W66" s="511"/>
      <c r="AA66" s="1939"/>
      <c r="AB66" s="1939"/>
      <c r="AC66" s="1953"/>
      <c r="AD66" s="1939"/>
      <c r="AE66" s="1939"/>
    </row>
    <row r="67" spans="1:31" ht="16">
      <c r="A67" s="294"/>
      <c r="B67" s="284"/>
      <c r="C67" s="278"/>
      <c r="D67" s="285"/>
      <c r="E67" s="329"/>
      <c r="F67" s="413"/>
      <c r="G67" s="413"/>
      <c r="H67" s="413"/>
      <c r="I67" s="283"/>
      <c r="J67" s="323"/>
      <c r="K67" s="286" t="s">
        <v>2691</v>
      </c>
      <c r="L67" s="1947" t="s">
        <v>2682</v>
      </c>
      <c r="M67" s="286" t="s">
        <v>2691</v>
      </c>
      <c r="N67" s="1947" t="s">
        <v>2682</v>
      </c>
      <c r="O67" s="286" t="s">
        <v>2691</v>
      </c>
      <c r="P67" s="1947" t="s">
        <v>2682</v>
      </c>
      <c r="Q67" s="283"/>
      <c r="R67" s="283"/>
      <c r="S67" s="283"/>
      <c r="T67" s="283"/>
      <c r="U67" s="283"/>
      <c r="V67" s="283"/>
    </row>
    <row r="68" spans="1:31" ht="16">
      <c r="A68" s="294"/>
      <c r="B68" s="284"/>
      <c r="C68" s="278"/>
      <c r="D68" s="325"/>
      <c r="E68" s="326"/>
      <c r="F68" s="327"/>
      <c r="G68" s="327"/>
      <c r="H68" s="327"/>
      <c r="I68" s="328"/>
      <c r="J68" s="305"/>
      <c r="K68" s="286" t="s">
        <v>2691</v>
      </c>
      <c r="L68" s="1947" t="s">
        <v>2682</v>
      </c>
      <c r="M68" s="286" t="s">
        <v>2691</v>
      </c>
      <c r="N68" s="1947" t="s">
        <v>2682</v>
      </c>
      <c r="O68" s="286" t="s">
        <v>2691</v>
      </c>
      <c r="P68" s="1947" t="s">
        <v>2682</v>
      </c>
      <c r="Q68" s="283"/>
      <c r="R68" s="283"/>
      <c r="S68" s="283"/>
      <c r="T68" s="283"/>
      <c r="U68" s="283"/>
      <c r="V68" s="283"/>
      <c r="W68" s="511"/>
      <c r="AA68" s="1939"/>
      <c r="AB68" s="1939"/>
      <c r="AC68" s="1953"/>
      <c r="AD68" s="1939"/>
      <c r="AE68" s="1939"/>
    </row>
    <row r="69" spans="1:31" ht="16">
      <c r="A69" s="294"/>
      <c r="B69" s="284"/>
      <c r="C69" s="278"/>
      <c r="D69" s="285"/>
      <c r="E69" s="329"/>
      <c r="F69" s="413"/>
      <c r="G69" s="413"/>
      <c r="H69" s="413"/>
      <c r="I69" s="283"/>
      <c r="J69" s="323"/>
      <c r="K69" s="286" t="s">
        <v>2691</v>
      </c>
      <c r="L69" s="1947" t="s">
        <v>2682</v>
      </c>
      <c r="M69" s="286" t="s">
        <v>2691</v>
      </c>
      <c r="N69" s="1947" t="s">
        <v>2682</v>
      </c>
      <c r="O69" s="286" t="s">
        <v>2691</v>
      </c>
      <c r="P69" s="1947" t="s">
        <v>2682</v>
      </c>
      <c r="Q69" s="283"/>
      <c r="R69" s="283"/>
      <c r="S69" s="283"/>
      <c r="T69" s="283"/>
      <c r="U69" s="283"/>
      <c r="V69" s="283"/>
    </row>
    <row r="70" spans="1:31">
      <c r="A70" s="4227" t="s">
        <v>2754</v>
      </c>
      <c r="B70" s="4227"/>
      <c r="C70" s="4227"/>
      <c r="D70" s="330">
        <f>SUM(D61:D69)</f>
        <v>1833000</v>
      </c>
      <c r="E70" s="330">
        <f>SUM(E61:E69)</f>
        <v>0</v>
      </c>
      <c r="F70" s="4228"/>
      <c r="G70" s="4228"/>
      <c r="H70" s="4228"/>
      <c r="I70" s="4228"/>
      <c r="J70" s="4228"/>
      <c r="K70" s="4228"/>
      <c r="L70" s="4228"/>
      <c r="M70" s="4228"/>
      <c r="N70" s="4228"/>
      <c r="O70" s="4228"/>
      <c r="P70" s="4228"/>
      <c r="Q70" s="4228"/>
      <c r="R70" s="4228"/>
      <c r="S70" s="4228"/>
      <c r="T70" s="4228"/>
      <c r="U70" s="4228"/>
      <c r="V70" s="4228"/>
    </row>
    <row r="71" spans="1:31" s="264" customFormat="1"/>
    <row r="72" spans="1:31" ht="31">
      <c r="A72" s="4262" t="s">
        <v>2866</v>
      </c>
      <c r="B72" s="4262"/>
      <c r="C72" s="4262"/>
      <c r="D72" s="4262"/>
      <c r="E72" s="4262"/>
      <c r="F72" s="4262"/>
      <c r="G72" s="4262"/>
      <c r="H72" s="4262"/>
      <c r="I72" s="4262"/>
      <c r="J72" s="4262"/>
      <c r="K72" s="4262"/>
      <c r="L72" s="4262"/>
      <c r="M72" s="4262"/>
      <c r="N72" s="4262"/>
      <c r="O72" s="4262"/>
      <c r="P72" s="4262"/>
      <c r="Q72" s="4262"/>
      <c r="R72" s="4262"/>
      <c r="S72" s="4262"/>
      <c r="T72" s="4262"/>
    </row>
    <row r="73" spans="1:31" ht="24">
      <c r="A73" s="4260" t="s">
        <v>2798</v>
      </c>
      <c r="B73" s="4260"/>
      <c r="C73" s="4260"/>
      <c r="D73" s="4260" t="s">
        <v>2799</v>
      </c>
      <c r="E73" s="4260"/>
      <c r="F73" s="4260"/>
      <c r="G73" s="4260"/>
      <c r="H73" s="4260"/>
      <c r="I73" s="4187" t="s">
        <v>2800</v>
      </c>
      <c r="J73" s="4187" t="s">
        <v>2801</v>
      </c>
      <c r="K73" s="4260" t="s">
        <v>2802</v>
      </c>
      <c r="L73" s="4260"/>
      <c r="M73" s="4260"/>
      <c r="N73" s="4260"/>
      <c r="O73" s="4260" t="s">
        <v>2803</v>
      </c>
      <c r="P73" s="4260"/>
      <c r="Q73" s="4260"/>
      <c r="R73" s="4260"/>
      <c r="S73" s="4260"/>
      <c r="T73" s="4260"/>
    </row>
    <row r="74" spans="1:31" ht="51">
      <c r="A74" s="410" t="s">
        <v>2666</v>
      </c>
      <c r="B74" s="309" t="s">
        <v>2804</v>
      </c>
      <c r="C74" s="309" t="s">
        <v>2805</v>
      </c>
      <c r="D74" s="309" t="s">
        <v>2806</v>
      </c>
      <c r="E74" s="309" t="s">
        <v>2807</v>
      </c>
      <c r="F74" s="309" t="s">
        <v>2808</v>
      </c>
      <c r="G74" s="309" t="s">
        <v>2809</v>
      </c>
      <c r="H74" s="309" t="s">
        <v>2810</v>
      </c>
      <c r="I74" s="4187"/>
      <c r="J74" s="4187"/>
      <c r="K74" s="4261" t="s">
        <v>2867</v>
      </c>
      <c r="L74" s="4261"/>
      <c r="M74" s="4261" t="s">
        <v>2815</v>
      </c>
      <c r="N74" s="4261"/>
      <c r="O74" s="309" t="s">
        <v>2816</v>
      </c>
      <c r="P74" s="309" t="s">
        <v>2817</v>
      </c>
      <c r="Q74" s="309" t="s">
        <v>2818</v>
      </c>
      <c r="R74" s="309" t="s">
        <v>2696</v>
      </c>
      <c r="S74" s="309" t="s">
        <v>2819</v>
      </c>
      <c r="T74" s="309" t="s">
        <v>2820</v>
      </c>
    </row>
    <row r="75" spans="1:31" ht="32">
      <c r="A75" s="294">
        <f>+A65+1</f>
        <v>26</v>
      </c>
      <c r="B75" s="284" t="s">
        <v>2756</v>
      </c>
      <c r="C75" s="278" t="s">
        <v>1994</v>
      </c>
      <c r="D75" s="298" t="e">
        <f>+J75</f>
        <v>#REF!</v>
      </c>
      <c r="E75" s="298">
        <v>0</v>
      </c>
      <c r="F75" s="300">
        <v>1</v>
      </c>
      <c r="G75" s="300">
        <v>0</v>
      </c>
      <c r="H75" s="300">
        <v>0</v>
      </c>
      <c r="I75" s="1964" t="e">
        <f>'8_MP'!#REF!</f>
        <v>#REF!</v>
      </c>
      <c r="J75" s="298" t="e">
        <f>+'8_MP'!#REF!*12</f>
        <v>#REF!</v>
      </c>
      <c r="K75" s="286" t="s">
        <v>2691</v>
      </c>
      <c r="L75" s="1947" t="s">
        <v>2682</v>
      </c>
      <c r="M75" s="286" t="s">
        <v>2691</v>
      </c>
      <c r="N75" s="1947" t="s">
        <v>2682</v>
      </c>
      <c r="O75" s="287" t="s">
        <v>1413</v>
      </c>
      <c r="P75" s="283" t="s">
        <v>763</v>
      </c>
      <c r="Q75" s="1981" t="s">
        <v>2757</v>
      </c>
      <c r="R75" s="1954"/>
      <c r="S75" s="1954"/>
      <c r="T75" s="1954"/>
    </row>
    <row r="76" spans="1:31" ht="16">
      <c r="A76" s="294">
        <f>+A75+1</f>
        <v>27</v>
      </c>
      <c r="B76" s="284" t="s">
        <v>623</v>
      </c>
      <c r="C76" s="278" t="s">
        <v>1994</v>
      </c>
      <c r="D76" s="298" t="e">
        <f t="shared" ref="D76:D139" si="0">+J76</f>
        <v>#REF!</v>
      </c>
      <c r="E76" s="298">
        <v>0</v>
      </c>
      <c r="F76" s="300">
        <v>1</v>
      </c>
      <c r="G76" s="300">
        <v>0</v>
      </c>
      <c r="H76" s="300">
        <v>0</v>
      </c>
      <c r="I76" s="1964" t="e">
        <f>'8_MP'!#REF!</f>
        <v>#REF!</v>
      </c>
      <c r="J76" s="298" t="e">
        <f>+'8_MP'!#REF!*12</f>
        <v>#REF!</v>
      </c>
      <c r="K76" s="286" t="s">
        <v>2691</v>
      </c>
      <c r="L76" s="1947" t="s">
        <v>2682</v>
      </c>
      <c r="M76" s="286" t="s">
        <v>2691</v>
      </c>
      <c r="N76" s="1947" t="s">
        <v>2682</v>
      </c>
      <c r="O76" s="287" t="s">
        <v>1413</v>
      </c>
      <c r="P76" s="283" t="s">
        <v>763</v>
      </c>
      <c r="Q76" s="1981" t="s">
        <v>2757</v>
      </c>
      <c r="R76" s="1954"/>
      <c r="S76" s="1954"/>
      <c r="T76" s="1954"/>
    </row>
    <row r="77" spans="1:31" ht="48">
      <c r="A77" s="294">
        <f t="shared" ref="A77:A101" si="1">+A76+1</f>
        <v>28</v>
      </c>
      <c r="B77" s="284" t="s">
        <v>625</v>
      </c>
      <c r="C77" s="278" t="s">
        <v>1994</v>
      </c>
      <c r="D77" s="298">
        <f t="shared" si="0"/>
        <v>1685241.9387999999</v>
      </c>
      <c r="E77" s="298">
        <v>0</v>
      </c>
      <c r="F77" s="300">
        <v>1</v>
      </c>
      <c r="G77" s="300">
        <v>0</v>
      </c>
      <c r="H77" s="300">
        <v>0</v>
      </c>
      <c r="I77" s="1964">
        <f>'8_MP'!D13</f>
        <v>0</v>
      </c>
      <c r="J77" s="298">
        <f>'8_MP'!AN13</f>
        <v>1685241.9387999999</v>
      </c>
      <c r="K77" s="286" t="s">
        <v>2691</v>
      </c>
      <c r="L77" s="1947" t="s">
        <v>2682</v>
      </c>
      <c r="M77" s="286" t="s">
        <v>2691</v>
      </c>
      <c r="N77" s="1947" t="s">
        <v>2682</v>
      </c>
      <c r="O77" s="287" t="s">
        <v>1413</v>
      </c>
      <c r="P77" s="283" t="s">
        <v>763</v>
      </c>
      <c r="Q77" s="1981" t="s">
        <v>2757</v>
      </c>
      <c r="R77" s="1954"/>
      <c r="S77" s="1954"/>
      <c r="T77" s="1954"/>
    </row>
    <row r="78" spans="1:31" ht="80">
      <c r="A78" s="294">
        <f t="shared" si="1"/>
        <v>29</v>
      </c>
      <c r="B78" s="284" t="s">
        <v>2758</v>
      </c>
      <c r="C78" s="278" t="s">
        <v>1994</v>
      </c>
      <c r="D78" s="298">
        <f t="shared" si="0"/>
        <v>1173404</v>
      </c>
      <c r="E78" s="298">
        <v>0</v>
      </c>
      <c r="F78" s="300">
        <v>1</v>
      </c>
      <c r="G78" s="300">
        <v>0</v>
      </c>
      <c r="H78" s="300">
        <v>0</v>
      </c>
      <c r="I78" s="1964" t="str">
        <f>'8_MP'!D16</f>
        <v>1.1.1.5</v>
      </c>
      <c r="J78" s="298">
        <f>'8_MP'!AN16</f>
        <v>1173404</v>
      </c>
      <c r="K78" s="286" t="s">
        <v>2691</v>
      </c>
      <c r="L78" s="1947" t="s">
        <v>2682</v>
      </c>
      <c r="M78" s="286" t="s">
        <v>2691</v>
      </c>
      <c r="N78" s="1947" t="s">
        <v>2682</v>
      </c>
      <c r="O78" s="287" t="s">
        <v>1413</v>
      </c>
      <c r="P78" s="283" t="s">
        <v>763</v>
      </c>
      <c r="Q78" s="1981" t="s">
        <v>2757</v>
      </c>
      <c r="R78" s="1954"/>
      <c r="S78" s="1954"/>
      <c r="T78" s="1954"/>
    </row>
    <row r="79" spans="1:31" ht="32">
      <c r="A79" s="294">
        <f t="shared" si="1"/>
        <v>30</v>
      </c>
      <c r="B79" s="284" t="s">
        <v>2759</v>
      </c>
      <c r="C79" s="278" t="s">
        <v>1994</v>
      </c>
      <c r="D79" s="298" t="e">
        <f t="shared" si="0"/>
        <v>#REF!</v>
      </c>
      <c r="E79" s="298">
        <v>0</v>
      </c>
      <c r="F79" s="300">
        <v>1</v>
      </c>
      <c r="G79" s="300">
        <v>0</v>
      </c>
      <c r="H79" s="300">
        <v>0</v>
      </c>
      <c r="I79" s="1965" t="e">
        <f>'8_MP'!#REF!</f>
        <v>#REF!</v>
      </c>
      <c r="J79" s="298" t="e">
        <f>'8_MP'!#REF!/2</f>
        <v>#REF!</v>
      </c>
      <c r="K79" s="286" t="s">
        <v>2691</v>
      </c>
      <c r="L79" s="1947" t="s">
        <v>2682</v>
      </c>
      <c r="M79" s="286" t="s">
        <v>2691</v>
      </c>
      <c r="N79" s="1947" t="s">
        <v>2682</v>
      </c>
      <c r="O79" s="287" t="s">
        <v>1413</v>
      </c>
      <c r="P79" s="283" t="s">
        <v>763</v>
      </c>
      <c r="Q79" s="1981" t="s">
        <v>2757</v>
      </c>
      <c r="R79" s="1954"/>
      <c r="S79" s="1954"/>
      <c r="T79" s="1954"/>
    </row>
    <row r="80" spans="1:31" ht="32">
      <c r="A80" s="294">
        <f t="shared" si="1"/>
        <v>31</v>
      </c>
      <c r="B80" s="284" t="s">
        <v>2760</v>
      </c>
      <c r="C80" s="278" t="s">
        <v>1994</v>
      </c>
      <c r="D80" s="298" t="e">
        <f t="shared" si="0"/>
        <v>#REF!</v>
      </c>
      <c r="E80" s="298">
        <v>0</v>
      </c>
      <c r="F80" s="300">
        <v>1</v>
      </c>
      <c r="G80" s="300">
        <v>0</v>
      </c>
      <c r="H80" s="300">
        <v>0</v>
      </c>
      <c r="I80" s="1965" t="e">
        <f>'8_MP'!#REF!</f>
        <v>#REF!</v>
      </c>
      <c r="J80" s="298" t="e">
        <f>'8_MP'!#REF!/2</f>
        <v>#REF!</v>
      </c>
      <c r="K80" s="286" t="s">
        <v>2691</v>
      </c>
      <c r="L80" s="1947" t="s">
        <v>2682</v>
      </c>
      <c r="M80" s="286" t="s">
        <v>2691</v>
      </c>
      <c r="N80" s="1947" t="s">
        <v>2682</v>
      </c>
      <c r="O80" s="287" t="s">
        <v>1413</v>
      </c>
      <c r="P80" s="283" t="s">
        <v>763</v>
      </c>
      <c r="Q80" s="1981" t="s">
        <v>2757</v>
      </c>
      <c r="R80" s="1954"/>
      <c r="S80" s="1954"/>
      <c r="T80" s="1954"/>
    </row>
    <row r="81" spans="1:20" ht="32">
      <c r="A81" s="294">
        <f t="shared" si="1"/>
        <v>32</v>
      </c>
      <c r="B81" s="284" t="s">
        <v>2761</v>
      </c>
      <c r="C81" s="278" t="s">
        <v>1994</v>
      </c>
      <c r="D81" s="298" t="e">
        <f t="shared" si="0"/>
        <v>#REF!</v>
      </c>
      <c r="E81" s="298">
        <v>0</v>
      </c>
      <c r="F81" s="300">
        <v>1</v>
      </c>
      <c r="G81" s="300">
        <v>0</v>
      </c>
      <c r="H81" s="300">
        <v>0</v>
      </c>
      <c r="I81" s="1965" t="e">
        <f>'8_MP'!#REF!</f>
        <v>#REF!</v>
      </c>
      <c r="J81" s="298" t="e">
        <f>'8_MP'!#REF!/2</f>
        <v>#REF!</v>
      </c>
      <c r="K81" s="286" t="s">
        <v>2691</v>
      </c>
      <c r="L81" s="1947" t="s">
        <v>2682</v>
      </c>
      <c r="M81" s="286" t="s">
        <v>2691</v>
      </c>
      <c r="N81" s="1947" t="s">
        <v>2682</v>
      </c>
      <c r="O81" s="287" t="s">
        <v>1413</v>
      </c>
      <c r="P81" s="283" t="s">
        <v>763</v>
      </c>
      <c r="Q81" s="1981" t="s">
        <v>2757</v>
      </c>
      <c r="R81" s="1954"/>
      <c r="S81" s="1954"/>
      <c r="T81" s="1954"/>
    </row>
    <row r="82" spans="1:20" ht="48">
      <c r="A82" s="294">
        <f t="shared" si="1"/>
        <v>33</v>
      </c>
      <c r="B82" s="284" t="s">
        <v>2762</v>
      </c>
      <c r="C82" s="278" t="s">
        <v>1994</v>
      </c>
      <c r="D82" s="298" t="e">
        <f t="shared" si="0"/>
        <v>#REF!</v>
      </c>
      <c r="E82" s="298">
        <v>0</v>
      </c>
      <c r="F82" s="300">
        <v>1</v>
      </c>
      <c r="G82" s="300">
        <v>0</v>
      </c>
      <c r="H82" s="300">
        <v>0</v>
      </c>
      <c r="I82" s="1965" t="e">
        <f>'8_MP'!#REF!</f>
        <v>#REF!</v>
      </c>
      <c r="J82" s="298" t="e">
        <f>'8_MP'!#REF!/2</f>
        <v>#REF!</v>
      </c>
      <c r="K82" s="286" t="s">
        <v>2691</v>
      </c>
      <c r="L82" s="1947" t="s">
        <v>2682</v>
      </c>
      <c r="M82" s="286" t="s">
        <v>2691</v>
      </c>
      <c r="N82" s="1947" t="s">
        <v>2682</v>
      </c>
      <c r="O82" s="287" t="s">
        <v>1413</v>
      </c>
      <c r="P82" s="283" t="s">
        <v>763</v>
      </c>
      <c r="Q82" s="1981" t="s">
        <v>2757</v>
      </c>
      <c r="R82" s="1954"/>
      <c r="S82" s="1954"/>
      <c r="T82" s="1954"/>
    </row>
    <row r="83" spans="1:20" ht="32">
      <c r="A83" s="294">
        <f t="shared" si="1"/>
        <v>34</v>
      </c>
      <c r="B83" s="284" t="s">
        <v>2763</v>
      </c>
      <c r="C83" s="278" t="s">
        <v>1994</v>
      </c>
      <c r="D83" s="298" t="e">
        <f t="shared" si="0"/>
        <v>#REF!</v>
      </c>
      <c r="E83" s="298">
        <v>0</v>
      </c>
      <c r="F83" s="300">
        <v>1</v>
      </c>
      <c r="G83" s="300">
        <v>0</v>
      </c>
      <c r="H83" s="300">
        <v>0</v>
      </c>
      <c r="I83" s="1965" t="e">
        <f>'8_MP'!#REF!</f>
        <v>#REF!</v>
      </c>
      <c r="J83" s="298" t="e">
        <f>'8_MP'!#REF!</f>
        <v>#REF!</v>
      </c>
      <c r="K83" s="286" t="s">
        <v>2691</v>
      </c>
      <c r="L83" s="1947" t="s">
        <v>2682</v>
      </c>
      <c r="M83" s="286" t="s">
        <v>2691</v>
      </c>
      <c r="N83" s="1947" t="s">
        <v>2682</v>
      </c>
      <c r="O83" s="287" t="s">
        <v>1413</v>
      </c>
      <c r="P83" s="283" t="s">
        <v>763</v>
      </c>
      <c r="Q83" s="1981" t="s">
        <v>2757</v>
      </c>
      <c r="R83" s="1954"/>
      <c r="S83" s="1954"/>
      <c r="T83" s="1954"/>
    </row>
    <row r="84" spans="1:20" ht="32">
      <c r="A84" s="294">
        <f t="shared" si="1"/>
        <v>35</v>
      </c>
      <c r="B84" s="284" t="s">
        <v>2764</v>
      </c>
      <c r="C84" s="278" t="s">
        <v>1994</v>
      </c>
      <c r="D84" s="298" t="e">
        <f t="shared" si="0"/>
        <v>#REF!</v>
      </c>
      <c r="E84" s="298">
        <v>0</v>
      </c>
      <c r="F84" s="300">
        <v>1</v>
      </c>
      <c r="G84" s="300">
        <v>0</v>
      </c>
      <c r="H84" s="300">
        <v>0</v>
      </c>
      <c r="I84" s="1965" t="e">
        <f>'8_MP'!#REF!</f>
        <v>#REF!</v>
      </c>
      <c r="J84" s="298" t="e">
        <f>'8_MP'!#REF!</f>
        <v>#REF!</v>
      </c>
      <c r="K84" s="286" t="s">
        <v>2691</v>
      </c>
      <c r="L84" s="1947" t="s">
        <v>2682</v>
      </c>
      <c r="M84" s="286" t="s">
        <v>2691</v>
      </c>
      <c r="N84" s="1947" t="s">
        <v>2682</v>
      </c>
      <c r="O84" s="287" t="s">
        <v>1413</v>
      </c>
      <c r="P84" s="283" t="s">
        <v>763</v>
      </c>
      <c r="Q84" s="1981" t="s">
        <v>2757</v>
      </c>
      <c r="R84" s="1954"/>
      <c r="S84" s="1954"/>
      <c r="T84" s="1954"/>
    </row>
    <row r="85" spans="1:20" ht="64">
      <c r="A85" s="294">
        <f t="shared" si="1"/>
        <v>36</v>
      </c>
      <c r="B85" s="284" t="s">
        <v>2765</v>
      </c>
      <c r="C85" s="278" t="s">
        <v>2033</v>
      </c>
      <c r="D85" s="298">
        <f t="shared" si="0"/>
        <v>502000</v>
      </c>
      <c r="E85" s="298">
        <v>0</v>
      </c>
      <c r="F85" s="300">
        <v>1</v>
      </c>
      <c r="G85" s="300">
        <v>0</v>
      </c>
      <c r="H85" s="300">
        <v>0</v>
      </c>
      <c r="I85" s="1964" t="str">
        <f>'8_MP'!D53</f>
        <v>1.1.2.1</v>
      </c>
      <c r="J85" s="298">
        <f>'8_MP'!AN53</f>
        <v>502000</v>
      </c>
      <c r="K85" s="286" t="s">
        <v>2691</v>
      </c>
      <c r="L85" s="1947" t="s">
        <v>2682</v>
      </c>
      <c r="M85" s="286" t="s">
        <v>2691</v>
      </c>
      <c r="N85" s="1947" t="s">
        <v>2682</v>
      </c>
      <c r="O85" s="287" t="s">
        <v>1413</v>
      </c>
      <c r="P85" s="283" t="s">
        <v>763</v>
      </c>
      <c r="Q85" s="1981" t="s">
        <v>2757</v>
      </c>
      <c r="R85" s="1954"/>
      <c r="S85" s="1954"/>
      <c r="T85" s="1954"/>
    </row>
    <row r="86" spans="1:20" ht="32">
      <c r="A86" s="294">
        <f t="shared" si="1"/>
        <v>37</v>
      </c>
      <c r="B86" s="284" t="s">
        <v>682</v>
      </c>
      <c r="C86" s="278" t="s">
        <v>2033</v>
      </c>
      <c r="D86" s="298">
        <f t="shared" si="0"/>
        <v>0</v>
      </c>
      <c r="E86" s="298">
        <v>0</v>
      </c>
      <c r="F86" s="300">
        <v>1</v>
      </c>
      <c r="G86" s="300">
        <v>0</v>
      </c>
      <c r="H86" s="300">
        <v>0</v>
      </c>
      <c r="I86" s="1964" t="str">
        <f>'8_MP'!D55</f>
        <v>1.1.2.1.2</v>
      </c>
      <c r="J86" s="298">
        <f>'8_MP'!AN55</f>
        <v>0</v>
      </c>
      <c r="K86" s="286" t="s">
        <v>2691</v>
      </c>
      <c r="L86" s="1947" t="s">
        <v>2682</v>
      </c>
      <c r="M86" s="286" t="s">
        <v>2691</v>
      </c>
      <c r="N86" s="1947" t="s">
        <v>2682</v>
      </c>
      <c r="O86" s="287" t="s">
        <v>1413</v>
      </c>
      <c r="P86" s="283" t="s">
        <v>763</v>
      </c>
      <c r="Q86" s="1981" t="s">
        <v>2757</v>
      </c>
      <c r="R86" s="1954"/>
      <c r="S86" s="1954"/>
      <c r="T86" s="1954"/>
    </row>
    <row r="87" spans="1:20" ht="16">
      <c r="A87" s="294">
        <f t="shared" si="1"/>
        <v>38</v>
      </c>
      <c r="B87" s="284" t="s">
        <v>2766</v>
      </c>
      <c r="C87" s="278" t="s">
        <v>2102</v>
      </c>
      <c r="D87" s="298">
        <f t="shared" si="0"/>
        <v>30000</v>
      </c>
      <c r="E87" s="298">
        <v>0</v>
      </c>
      <c r="F87" s="300">
        <v>1</v>
      </c>
      <c r="G87" s="300">
        <v>0</v>
      </c>
      <c r="H87" s="300">
        <v>0</v>
      </c>
      <c r="I87" s="1964" t="str">
        <f>'8_MP'!$D$63</f>
        <v>1.1.2.2.1.1</v>
      </c>
      <c r="J87" s="298">
        <f>'8_MP'!$AN$63</f>
        <v>30000</v>
      </c>
      <c r="K87" s="286" t="s">
        <v>2691</v>
      </c>
      <c r="L87" s="1947" t="s">
        <v>2682</v>
      </c>
      <c r="M87" s="286" t="s">
        <v>2691</v>
      </c>
      <c r="N87" s="1947" t="s">
        <v>2682</v>
      </c>
      <c r="O87" s="287" t="s">
        <v>1413</v>
      </c>
      <c r="P87" s="283" t="s">
        <v>763</v>
      </c>
      <c r="Q87" s="1981" t="s">
        <v>2757</v>
      </c>
      <c r="R87" s="1954"/>
      <c r="S87" s="1954"/>
      <c r="T87" s="1954"/>
    </row>
    <row r="88" spans="1:20" ht="80">
      <c r="A88" s="294">
        <f t="shared" si="1"/>
        <v>39</v>
      </c>
      <c r="B88" s="284" t="s">
        <v>706</v>
      </c>
      <c r="C88" s="278" t="s">
        <v>2014</v>
      </c>
      <c r="D88" s="298" t="e">
        <f t="shared" si="0"/>
        <v>#REF!</v>
      </c>
      <c r="E88" s="298">
        <v>0</v>
      </c>
      <c r="F88" s="300">
        <v>1</v>
      </c>
      <c r="G88" s="300">
        <v>0</v>
      </c>
      <c r="H88" s="300">
        <v>0</v>
      </c>
      <c r="I88" s="1964" t="e">
        <f>'8_MP'!#REF!</f>
        <v>#REF!</v>
      </c>
      <c r="J88" s="298" t="e">
        <f>'8_MP'!#REF!</f>
        <v>#REF!</v>
      </c>
      <c r="K88" s="286" t="s">
        <v>2691</v>
      </c>
      <c r="L88" s="1947" t="s">
        <v>2682</v>
      </c>
      <c r="M88" s="286" t="s">
        <v>2691</v>
      </c>
      <c r="N88" s="1947" t="s">
        <v>2682</v>
      </c>
      <c r="O88" s="287" t="s">
        <v>1413</v>
      </c>
      <c r="P88" s="283" t="s">
        <v>763</v>
      </c>
      <c r="Q88" s="1981" t="s">
        <v>2757</v>
      </c>
      <c r="R88" s="1954"/>
      <c r="S88" s="1954"/>
      <c r="T88" s="1954"/>
    </row>
    <row r="89" spans="1:20" ht="65" thickBot="1">
      <c r="A89" s="294">
        <f t="shared" si="1"/>
        <v>40</v>
      </c>
      <c r="B89" s="1972" t="s">
        <v>714</v>
      </c>
      <c r="C89" s="278" t="s">
        <v>2021</v>
      </c>
      <c r="D89" s="298">
        <f t="shared" si="0"/>
        <v>35000</v>
      </c>
      <c r="E89" s="298">
        <v>0</v>
      </c>
      <c r="F89" s="300">
        <v>1</v>
      </c>
      <c r="G89" s="300">
        <v>0</v>
      </c>
      <c r="H89" s="300">
        <v>0</v>
      </c>
      <c r="I89" s="1964" t="str">
        <f>'8_MP'!$D$76</f>
        <v>1.2.1.1.1</v>
      </c>
      <c r="J89" s="298">
        <f>'8_MP'!$AN$76</f>
        <v>35000</v>
      </c>
      <c r="K89" s="286" t="s">
        <v>2691</v>
      </c>
      <c r="L89" s="1947" t="s">
        <v>2682</v>
      </c>
      <c r="M89" s="286" t="s">
        <v>2691</v>
      </c>
      <c r="N89" s="1947" t="s">
        <v>2682</v>
      </c>
      <c r="O89" s="287" t="s">
        <v>1413</v>
      </c>
      <c r="P89" s="283" t="s">
        <v>763</v>
      </c>
      <c r="Q89" s="1981" t="s">
        <v>2757</v>
      </c>
      <c r="R89" s="1954"/>
      <c r="S89" s="1954"/>
      <c r="T89" s="1954"/>
    </row>
    <row r="90" spans="1:20" ht="48">
      <c r="A90" s="294">
        <f t="shared" si="1"/>
        <v>41</v>
      </c>
      <c r="B90" s="1974" t="s">
        <v>2767</v>
      </c>
      <c r="C90" s="1971" t="s">
        <v>2005</v>
      </c>
      <c r="D90" s="298">
        <f t="shared" si="0"/>
        <v>61344</v>
      </c>
      <c r="E90" s="298">
        <v>0</v>
      </c>
      <c r="F90" s="300">
        <v>1</v>
      </c>
      <c r="G90" s="300">
        <v>0</v>
      </c>
      <c r="H90" s="300">
        <v>0</v>
      </c>
      <c r="I90" s="1965" t="str">
        <f>'8_MP'!$D$99</f>
        <v>1.2.1.7.1.1</v>
      </c>
      <c r="J90" s="298">
        <f>+'8_MP'!$AH$99*12</f>
        <v>61344</v>
      </c>
      <c r="K90" s="286" t="s">
        <v>2691</v>
      </c>
      <c r="L90" s="1947" t="s">
        <v>2682</v>
      </c>
      <c r="M90" s="286" t="s">
        <v>2691</v>
      </c>
      <c r="N90" s="1947" t="s">
        <v>2682</v>
      </c>
      <c r="O90" s="287" t="s">
        <v>1413</v>
      </c>
      <c r="P90" s="283" t="s">
        <v>763</v>
      </c>
      <c r="Q90" s="1981" t="s">
        <v>2757</v>
      </c>
      <c r="R90" s="1954"/>
      <c r="S90" s="1954"/>
      <c r="T90" s="1954"/>
    </row>
    <row r="91" spans="1:20" ht="49" thickBot="1">
      <c r="A91" s="294">
        <f t="shared" si="1"/>
        <v>42</v>
      </c>
      <c r="B91" s="1976" t="s">
        <v>2767</v>
      </c>
      <c r="C91" s="1971" t="s">
        <v>2005</v>
      </c>
      <c r="D91" s="298">
        <f t="shared" si="0"/>
        <v>61344</v>
      </c>
      <c r="E91" s="298">
        <v>0</v>
      </c>
      <c r="F91" s="300">
        <v>1</v>
      </c>
      <c r="G91" s="300">
        <v>0</v>
      </c>
      <c r="H91" s="300">
        <v>0</v>
      </c>
      <c r="I91" s="1965" t="str">
        <f>'8_MP'!$D$99</f>
        <v>1.2.1.7.1.1</v>
      </c>
      <c r="J91" s="298">
        <f>+'8_MP'!$AH$99*12</f>
        <v>61344</v>
      </c>
      <c r="K91" s="286" t="s">
        <v>2691</v>
      </c>
      <c r="L91" s="1947" t="s">
        <v>2682</v>
      </c>
      <c r="M91" s="286" t="s">
        <v>2691</v>
      </c>
      <c r="N91" s="1947" t="s">
        <v>2682</v>
      </c>
      <c r="O91" s="287" t="s">
        <v>1413</v>
      </c>
      <c r="P91" s="283" t="s">
        <v>763</v>
      </c>
      <c r="Q91" s="1981" t="s">
        <v>2757</v>
      </c>
      <c r="R91" s="1954"/>
      <c r="S91" s="1954"/>
      <c r="T91" s="1954"/>
    </row>
    <row r="92" spans="1:20" ht="48">
      <c r="A92" s="294">
        <f t="shared" si="1"/>
        <v>43</v>
      </c>
      <c r="B92" s="1974" t="s">
        <v>2768</v>
      </c>
      <c r="C92" s="1971" t="s">
        <v>2005</v>
      </c>
      <c r="D92" s="298">
        <f t="shared" si="0"/>
        <v>48000</v>
      </c>
      <c r="E92" s="298">
        <v>0</v>
      </c>
      <c r="F92" s="300">
        <v>1</v>
      </c>
      <c r="G92" s="300">
        <v>0</v>
      </c>
      <c r="H92" s="300">
        <v>0</v>
      </c>
      <c r="I92" s="1965" t="str">
        <f>'8_MP'!$D$100</f>
        <v>1.2.1.7.1.2</v>
      </c>
      <c r="J92" s="298">
        <f>+'8_MP'!$AH$100*12</f>
        <v>48000</v>
      </c>
      <c r="K92" s="286" t="s">
        <v>2691</v>
      </c>
      <c r="L92" s="1947" t="s">
        <v>2682</v>
      </c>
      <c r="M92" s="286" t="s">
        <v>2691</v>
      </c>
      <c r="N92" s="1947" t="s">
        <v>2682</v>
      </c>
      <c r="O92" s="287" t="s">
        <v>1413</v>
      </c>
      <c r="P92" s="283" t="s">
        <v>763</v>
      </c>
      <c r="Q92" s="1981" t="s">
        <v>2757</v>
      </c>
      <c r="R92" s="1954"/>
      <c r="S92" s="1954"/>
      <c r="T92" s="1954"/>
    </row>
    <row r="93" spans="1:20" ht="49" thickBot="1">
      <c r="A93" s="294">
        <f t="shared" si="1"/>
        <v>44</v>
      </c>
      <c r="B93" s="1976" t="s">
        <v>2768</v>
      </c>
      <c r="C93" s="1971" t="s">
        <v>2005</v>
      </c>
      <c r="D93" s="298">
        <f t="shared" si="0"/>
        <v>48000</v>
      </c>
      <c r="E93" s="298">
        <v>0</v>
      </c>
      <c r="F93" s="300">
        <v>1</v>
      </c>
      <c r="G93" s="300">
        <v>0</v>
      </c>
      <c r="H93" s="300">
        <v>0</v>
      </c>
      <c r="I93" s="1965" t="str">
        <f>'8_MP'!$D$100</f>
        <v>1.2.1.7.1.2</v>
      </c>
      <c r="J93" s="298">
        <f>+'8_MP'!$AH$100*12</f>
        <v>48000</v>
      </c>
      <c r="K93" s="286" t="s">
        <v>2691</v>
      </c>
      <c r="L93" s="1947" t="s">
        <v>2682</v>
      </c>
      <c r="M93" s="286" t="s">
        <v>2691</v>
      </c>
      <c r="N93" s="1947" t="s">
        <v>2682</v>
      </c>
      <c r="O93" s="287" t="s">
        <v>1413</v>
      </c>
      <c r="P93" s="283" t="s">
        <v>763</v>
      </c>
      <c r="Q93" s="1981" t="s">
        <v>2757</v>
      </c>
      <c r="R93" s="1954"/>
      <c r="S93" s="1954"/>
      <c r="T93" s="1954"/>
    </row>
    <row r="94" spans="1:20" ht="48">
      <c r="A94" s="294">
        <f t="shared" si="1"/>
        <v>45</v>
      </c>
      <c r="B94" s="1973" t="s">
        <v>2769</v>
      </c>
      <c r="C94" s="278" t="s">
        <v>2005</v>
      </c>
      <c r="D94" s="298">
        <f t="shared" si="0"/>
        <v>92040</v>
      </c>
      <c r="E94" s="298">
        <v>0</v>
      </c>
      <c r="F94" s="300">
        <v>1</v>
      </c>
      <c r="G94" s="300">
        <v>0</v>
      </c>
      <c r="H94" s="300">
        <v>0</v>
      </c>
      <c r="I94" s="1965" t="str">
        <f>'8_MP'!$D$101</f>
        <v>1.2.1.7.1.3</v>
      </c>
      <c r="J94" s="298">
        <f>+'8_MP'!$AH$101*12</f>
        <v>92040</v>
      </c>
      <c r="K94" s="286" t="s">
        <v>2691</v>
      </c>
      <c r="L94" s="1947" t="s">
        <v>2682</v>
      </c>
      <c r="M94" s="286" t="s">
        <v>2691</v>
      </c>
      <c r="N94" s="1947" t="s">
        <v>2682</v>
      </c>
      <c r="O94" s="287" t="s">
        <v>1413</v>
      </c>
      <c r="P94" s="283" t="s">
        <v>763</v>
      </c>
      <c r="Q94" s="1981" t="s">
        <v>2757</v>
      </c>
      <c r="R94" s="1954"/>
      <c r="S94" s="1954"/>
      <c r="T94" s="1954"/>
    </row>
    <row r="95" spans="1:20" ht="48">
      <c r="A95" s="294">
        <f t="shared" si="1"/>
        <v>46</v>
      </c>
      <c r="B95" s="284" t="s">
        <v>2770</v>
      </c>
      <c r="C95" s="278" t="s">
        <v>2005</v>
      </c>
      <c r="D95" s="298">
        <f t="shared" si="0"/>
        <v>78480</v>
      </c>
      <c r="E95" s="298">
        <v>0</v>
      </c>
      <c r="F95" s="300">
        <v>1</v>
      </c>
      <c r="G95" s="300">
        <v>0</v>
      </c>
      <c r="H95" s="300">
        <v>0</v>
      </c>
      <c r="I95" s="1965" t="str">
        <f>'8_MP'!$D$102</f>
        <v>1.2.1.7.1.4</v>
      </c>
      <c r="J95" s="298">
        <f>+'8_MP'!$AH$102*12</f>
        <v>78480</v>
      </c>
      <c r="K95" s="286" t="s">
        <v>2691</v>
      </c>
      <c r="L95" s="1947" t="s">
        <v>2682</v>
      </c>
      <c r="M95" s="286" t="s">
        <v>2691</v>
      </c>
      <c r="N95" s="1947" t="s">
        <v>2682</v>
      </c>
      <c r="O95" s="287" t="s">
        <v>1413</v>
      </c>
      <c r="P95" s="283" t="s">
        <v>763</v>
      </c>
      <c r="Q95" s="1981" t="s">
        <v>2757</v>
      </c>
      <c r="R95" s="1954"/>
      <c r="S95" s="1954"/>
      <c r="T95" s="1954"/>
    </row>
    <row r="96" spans="1:20" ht="48">
      <c r="A96" s="294">
        <f t="shared" si="1"/>
        <v>47</v>
      </c>
      <c r="B96" s="284" t="s">
        <v>791</v>
      </c>
      <c r="C96" s="278" t="s">
        <v>2036</v>
      </c>
      <c r="D96" s="298">
        <f t="shared" si="0"/>
        <v>50000</v>
      </c>
      <c r="E96" s="298">
        <v>0</v>
      </c>
      <c r="F96" s="300">
        <v>1</v>
      </c>
      <c r="G96" s="300">
        <v>0</v>
      </c>
      <c r="H96" s="300">
        <v>0</v>
      </c>
      <c r="I96" s="1964">
        <f>'8_MP'!$D$110</f>
        <v>0</v>
      </c>
      <c r="J96" s="298">
        <f>'8_MP'!$AN$110</f>
        <v>50000</v>
      </c>
      <c r="K96" s="286" t="s">
        <v>2691</v>
      </c>
      <c r="L96" s="1947" t="s">
        <v>2682</v>
      </c>
      <c r="M96" s="286" t="s">
        <v>2691</v>
      </c>
      <c r="N96" s="1947" t="s">
        <v>2682</v>
      </c>
      <c r="O96" s="287" t="s">
        <v>1413</v>
      </c>
      <c r="P96" s="283" t="s">
        <v>763</v>
      </c>
      <c r="Q96" s="1981" t="s">
        <v>2757</v>
      </c>
      <c r="R96" s="1954"/>
      <c r="S96" s="1954"/>
      <c r="T96" s="1954"/>
    </row>
    <row r="97" spans="1:34" ht="33" thickBot="1">
      <c r="A97" s="294">
        <f t="shared" si="1"/>
        <v>48</v>
      </c>
      <c r="B97" s="1972" t="s">
        <v>2771</v>
      </c>
      <c r="C97" s="278" t="s">
        <v>2036</v>
      </c>
      <c r="D97" s="298">
        <f t="shared" si="0"/>
        <v>34200</v>
      </c>
      <c r="E97" s="298">
        <v>0</v>
      </c>
      <c r="F97" s="300">
        <v>1</v>
      </c>
      <c r="G97" s="300">
        <v>0</v>
      </c>
      <c r="H97" s="300">
        <v>0</v>
      </c>
      <c r="I97" s="1964" t="str">
        <f>'8_MP'!D113</f>
        <v>1.2.1.8.2.2</v>
      </c>
      <c r="J97" s="298">
        <f>'8_MP'!$AH$113*12</f>
        <v>34200</v>
      </c>
      <c r="K97" s="286" t="s">
        <v>2691</v>
      </c>
      <c r="L97" s="1947" t="s">
        <v>2682</v>
      </c>
      <c r="M97" s="286" t="s">
        <v>2691</v>
      </c>
      <c r="N97" s="1947" t="s">
        <v>2682</v>
      </c>
      <c r="O97" s="287" t="s">
        <v>1413</v>
      </c>
      <c r="P97" s="283" t="s">
        <v>763</v>
      </c>
      <c r="Q97" s="1981" t="s">
        <v>2757</v>
      </c>
      <c r="R97" s="1954"/>
      <c r="S97" s="1954"/>
      <c r="T97" s="1954"/>
    </row>
    <row r="98" spans="1:34" ht="32">
      <c r="A98" s="294">
        <f t="shared" si="1"/>
        <v>49</v>
      </c>
      <c r="B98" s="1974" t="s">
        <v>2772</v>
      </c>
      <c r="C98" s="1971" t="s">
        <v>2036</v>
      </c>
      <c r="D98" s="298">
        <f t="shared" si="0"/>
        <v>34200</v>
      </c>
      <c r="E98" s="298">
        <v>0</v>
      </c>
      <c r="F98" s="300">
        <v>1</v>
      </c>
      <c r="G98" s="300">
        <v>0</v>
      </c>
      <c r="H98" s="300">
        <v>0</v>
      </c>
      <c r="I98" s="1965" t="str">
        <f>'8_MP'!$D$114</f>
        <v>1.2.1.8.2.3</v>
      </c>
      <c r="J98" s="298">
        <f>'8_MP'!$AH$114*12</f>
        <v>34200</v>
      </c>
      <c r="K98" s="286" t="s">
        <v>2691</v>
      </c>
      <c r="L98" s="1947" t="s">
        <v>2682</v>
      </c>
      <c r="M98" s="286" t="s">
        <v>2691</v>
      </c>
      <c r="N98" s="1947" t="s">
        <v>2682</v>
      </c>
      <c r="O98" s="287" t="s">
        <v>1413</v>
      </c>
      <c r="P98" s="283" t="s">
        <v>763</v>
      </c>
      <c r="Q98" s="1981" t="s">
        <v>2757</v>
      </c>
      <c r="R98" s="1954"/>
      <c r="S98" s="1954"/>
      <c r="T98" s="1954"/>
    </row>
    <row r="99" spans="1:34" ht="32">
      <c r="A99" s="294">
        <f t="shared" si="1"/>
        <v>50</v>
      </c>
      <c r="B99" s="1975" t="s">
        <v>2772</v>
      </c>
      <c r="C99" s="1971" t="s">
        <v>2036</v>
      </c>
      <c r="D99" s="298">
        <f t="shared" si="0"/>
        <v>34200</v>
      </c>
      <c r="E99" s="298">
        <v>0</v>
      </c>
      <c r="F99" s="300">
        <v>1</v>
      </c>
      <c r="G99" s="300">
        <v>0</v>
      </c>
      <c r="H99" s="300">
        <v>0</v>
      </c>
      <c r="I99" s="1965" t="str">
        <f>'8_MP'!$D$114</f>
        <v>1.2.1.8.2.3</v>
      </c>
      <c r="J99" s="298">
        <f>'8_MP'!$AH$114*12</f>
        <v>34200</v>
      </c>
      <c r="K99" s="286" t="s">
        <v>2691</v>
      </c>
      <c r="L99" s="1947" t="s">
        <v>2682</v>
      </c>
      <c r="M99" s="286" t="s">
        <v>2691</v>
      </c>
      <c r="N99" s="1947" t="s">
        <v>2682</v>
      </c>
      <c r="O99" s="287" t="s">
        <v>1413</v>
      </c>
      <c r="P99" s="283" t="s">
        <v>763</v>
      </c>
      <c r="Q99" s="1981" t="s">
        <v>2757</v>
      </c>
      <c r="R99" s="1954"/>
      <c r="S99" s="1954"/>
      <c r="T99" s="1954"/>
    </row>
    <row r="100" spans="1:34" ht="33" thickBot="1">
      <c r="A100" s="294">
        <f t="shared" si="1"/>
        <v>51</v>
      </c>
      <c r="B100" s="1976" t="s">
        <v>2772</v>
      </c>
      <c r="C100" s="1971" t="s">
        <v>2036</v>
      </c>
      <c r="D100" s="298">
        <f t="shared" si="0"/>
        <v>34200</v>
      </c>
      <c r="E100" s="298">
        <v>0</v>
      </c>
      <c r="F100" s="300">
        <v>1</v>
      </c>
      <c r="G100" s="300">
        <v>0</v>
      </c>
      <c r="H100" s="300">
        <v>0</v>
      </c>
      <c r="I100" s="1965" t="str">
        <f>'8_MP'!$D$114</f>
        <v>1.2.1.8.2.3</v>
      </c>
      <c r="J100" s="298">
        <f>'8_MP'!$AH$114*12</f>
        <v>34200</v>
      </c>
      <c r="K100" s="286" t="s">
        <v>2691</v>
      </c>
      <c r="L100" s="1947" t="s">
        <v>2682</v>
      </c>
      <c r="M100" s="286" t="s">
        <v>2691</v>
      </c>
      <c r="N100" s="1947" t="s">
        <v>2682</v>
      </c>
      <c r="O100" s="287" t="s">
        <v>1413</v>
      </c>
      <c r="P100" s="283" t="s">
        <v>763</v>
      </c>
      <c r="Q100" s="1981" t="s">
        <v>2757</v>
      </c>
      <c r="R100" s="1954"/>
      <c r="S100" s="1954"/>
      <c r="T100" s="1954"/>
    </row>
    <row r="101" spans="1:34" ht="32">
      <c r="A101" s="294">
        <f t="shared" si="1"/>
        <v>52</v>
      </c>
      <c r="B101" s="1973" t="s">
        <v>2773</v>
      </c>
      <c r="C101" s="278" t="s">
        <v>2774</v>
      </c>
      <c r="D101" s="298">
        <f t="shared" si="0"/>
        <v>80000</v>
      </c>
      <c r="E101" s="298">
        <v>0</v>
      </c>
      <c r="F101" s="300">
        <v>1</v>
      </c>
      <c r="G101" s="300">
        <v>0</v>
      </c>
      <c r="H101" s="300">
        <v>0</v>
      </c>
      <c r="I101" s="1964" t="str">
        <f>'8_MP'!$D$122</f>
        <v>1.2.2.1</v>
      </c>
      <c r="J101" s="298">
        <f>'8_MP'!$AN$122</f>
        <v>80000</v>
      </c>
      <c r="K101" s="286" t="s">
        <v>2691</v>
      </c>
      <c r="L101" s="1947" t="s">
        <v>2682</v>
      </c>
      <c r="M101" s="286" t="s">
        <v>2691</v>
      </c>
      <c r="N101" s="1947" t="s">
        <v>2682</v>
      </c>
      <c r="O101" s="287" t="s">
        <v>1413</v>
      </c>
      <c r="P101" s="283" t="s">
        <v>763</v>
      </c>
      <c r="Q101" s="1981" t="s">
        <v>2757</v>
      </c>
      <c r="R101" s="1954"/>
      <c r="S101" s="1954"/>
      <c r="T101" s="1954"/>
    </row>
    <row r="102" spans="1:34" ht="112">
      <c r="A102" s="1935">
        <f>+A101+1</f>
        <v>53</v>
      </c>
      <c r="B102" s="1977" t="s">
        <v>2315</v>
      </c>
      <c r="C102" s="278" t="s">
        <v>2731</v>
      </c>
      <c r="D102" s="298">
        <f t="shared" si="0"/>
        <v>2970715.0000399998</v>
      </c>
      <c r="E102" s="298">
        <v>0</v>
      </c>
      <c r="F102" s="300">
        <v>1</v>
      </c>
      <c r="G102" s="300">
        <v>0</v>
      </c>
      <c r="H102" s="300">
        <v>0</v>
      </c>
      <c r="I102" s="1964" t="str">
        <f>'8_MP'!$D$167</f>
        <v>1.3.1.4</v>
      </c>
      <c r="J102" s="298">
        <f>'8_MP'!$AN$167</f>
        <v>2970715.0000399998</v>
      </c>
      <c r="K102" s="286" t="s">
        <v>2691</v>
      </c>
      <c r="L102" s="1947" t="s">
        <v>2682</v>
      </c>
      <c r="M102" s="286" t="s">
        <v>2691</v>
      </c>
      <c r="N102" s="1947" t="s">
        <v>2682</v>
      </c>
      <c r="O102" s="287" t="s">
        <v>1413</v>
      </c>
      <c r="P102" s="283" t="s">
        <v>763</v>
      </c>
      <c r="Q102" s="1981" t="s">
        <v>2757</v>
      </c>
      <c r="R102" s="1986"/>
      <c r="S102" s="1986"/>
      <c r="T102" s="1986"/>
    </row>
    <row r="103" spans="1:34" s="1944" customFormat="1" ht="34.25" customHeight="1">
      <c r="A103" s="4205">
        <f>+A102+1</f>
        <v>54</v>
      </c>
      <c r="B103" s="4207" t="s">
        <v>2345</v>
      </c>
      <c r="C103" s="294" t="s">
        <v>2730</v>
      </c>
      <c r="D103" s="4203" t="e">
        <f>SUM(J103:J105)</f>
        <v>#REF!</v>
      </c>
      <c r="E103" s="4203">
        <v>0</v>
      </c>
      <c r="F103" s="4209">
        <v>1</v>
      </c>
      <c r="G103" s="4209">
        <v>0</v>
      </c>
      <c r="H103" s="4209">
        <v>0</v>
      </c>
      <c r="I103" s="1966" t="str">
        <f>'8_MP'!$D$145</f>
        <v>1.3.1.1</v>
      </c>
      <c r="J103" s="298">
        <f>'8_MP'!$AN$145</f>
        <v>2955715.0000399998</v>
      </c>
      <c r="K103" s="3671" t="s">
        <v>2691</v>
      </c>
      <c r="L103" s="4194" t="s">
        <v>2682</v>
      </c>
      <c r="M103" s="3671" t="s">
        <v>2691</v>
      </c>
      <c r="N103" s="4194" t="s">
        <v>2682</v>
      </c>
      <c r="O103" s="4231" t="s">
        <v>1413</v>
      </c>
      <c r="P103" s="4233" t="s">
        <v>763</v>
      </c>
      <c r="Q103" s="4235" t="s">
        <v>2757</v>
      </c>
      <c r="R103" s="4197"/>
      <c r="S103" s="4197"/>
      <c r="T103" s="4197"/>
      <c r="AE103" s="1945"/>
      <c r="AF103" s="1945"/>
      <c r="AG103" s="1945"/>
      <c r="AH103" s="1946"/>
    </row>
    <row r="104" spans="1:34" s="1944" customFormat="1" ht="34.25" customHeight="1">
      <c r="A104" s="4217"/>
      <c r="B104" s="4216"/>
      <c r="C104" s="294" t="s">
        <v>2731</v>
      </c>
      <c r="D104" s="4215"/>
      <c r="E104" s="4215">
        <v>0</v>
      </c>
      <c r="F104" s="4214">
        <v>1</v>
      </c>
      <c r="G104" s="4214">
        <v>0</v>
      </c>
      <c r="H104" s="4214">
        <v>0</v>
      </c>
      <c r="I104" s="1966" t="str">
        <f>'8_MP'!$D$169</f>
        <v>1.3.1.4.2</v>
      </c>
      <c r="J104" s="298">
        <f>'8_MP'!$AN$169</f>
        <v>15000</v>
      </c>
      <c r="K104" s="3672"/>
      <c r="L104" s="4195"/>
      <c r="M104" s="3672"/>
      <c r="N104" s="4195"/>
      <c r="O104" s="4232"/>
      <c r="P104" s="4234"/>
      <c r="Q104" s="4236"/>
      <c r="R104" s="4198"/>
      <c r="S104" s="4198"/>
      <c r="T104" s="4198"/>
      <c r="AE104" s="1945"/>
      <c r="AF104" s="1945"/>
      <c r="AG104" s="1945"/>
      <c r="AH104" s="1946"/>
    </row>
    <row r="105" spans="1:34" s="1944" customFormat="1" ht="34.25" customHeight="1">
      <c r="A105" s="4206"/>
      <c r="B105" s="4208"/>
      <c r="C105" s="294" t="s">
        <v>2845</v>
      </c>
      <c r="D105" s="4204"/>
      <c r="E105" s="4204">
        <v>0</v>
      </c>
      <c r="F105" s="4210">
        <v>1</v>
      </c>
      <c r="G105" s="4210">
        <v>0</v>
      </c>
      <c r="H105" s="4210">
        <v>0</v>
      </c>
      <c r="I105" s="1966" t="e">
        <f>'8_MP'!#REF!</f>
        <v>#REF!</v>
      </c>
      <c r="J105" s="298" t="e">
        <f>'8_MP'!#REF!</f>
        <v>#REF!</v>
      </c>
      <c r="K105" s="3673"/>
      <c r="L105" s="4196"/>
      <c r="M105" s="3673"/>
      <c r="N105" s="4196"/>
      <c r="O105" s="4257"/>
      <c r="P105" s="4258"/>
      <c r="Q105" s="4259"/>
      <c r="R105" s="4199"/>
      <c r="S105" s="4199"/>
      <c r="T105" s="4199"/>
      <c r="AE105" s="1945"/>
      <c r="AF105" s="1945"/>
      <c r="AG105" s="1945"/>
      <c r="AH105" s="1946"/>
    </row>
    <row r="106" spans="1:34" s="1944" customFormat="1" ht="34.25" customHeight="1">
      <c r="A106" s="4205">
        <f>+A103+1</f>
        <v>55</v>
      </c>
      <c r="B106" s="4207" t="s">
        <v>2868</v>
      </c>
      <c r="C106" s="294" t="s">
        <v>2730</v>
      </c>
      <c r="D106" s="4203" t="e">
        <f>SUM(J106:J108)</f>
        <v>#REF!</v>
      </c>
      <c r="E106" s="4203">
        <v>0</v>
      </c>
      <c r="F106" s="4209">
        <v>1</v>
      </c>
      <c r="G106" s="4209">
        <v>0</v>
      </c>
      <c r="H106" s="4209">
        <v>0</v>
      </c>
      <c r="I106" s="1966" t="str">
        <f>'8_MP'!$D$146</f>
        <v>1.3.1.1.1</v>
      </c>
      <c r="J106" s="298">
        <f>'8_MP'!$AN$146</f>
        <v>14991</v>
      </c>
      <c r="K106" s="3671" t="s">
        <v>2691</v>
      </c>
      <c r="L106" s="4194" t="s">
        <v>2682</v>
      </c>
      <c r="M106" s="3671" t="s">
        <v>2691</v>
      </c>
      <c r="N106" s="4194" t="s">
        <v>2682</v>
      </c>
      <c r="O106" s="4231" t="s">
        <v>1413</v>
      </c>
      <c r="P106" s="4233" t="s">
        <v>763</v>
      </c>
      <c r="Q106" s="4235" t="s">
        <v>2757</v>
      </c>
      <c r="R106" s="4197"/>
      <c r="S106" s="4197"/>
      <c r="T106" s="4197"/>
      <c r="AE106" s="1945"/>
      <c r="AF106" s="1945"/>
      <c r="AG106" s="1945"/>
      <c r="AH106" s="1946"/>
    </row>
    <row r="107" spans="1:34" s="1944" customFormat="1" ht="34.25" customHeight="1">
      <c r="A107" s="4217"/>
      <c r="B107" s="4216"/>
      <c r="C107" s="294" t="s">
        <v>2731</v>
      </c>
      <c r="D107" s="4215"/>
      <c r="E107" s="4215">
        <v>0</v>
      </c>
      <c r="F107" s="4214">
        <v>1</v>
      </c>
      <c r="G107" s="4214">
        <v>0</v>
      </c>
      <c r="H107" s="4214">
        <v>0</v>
      </c>
      <c r="I107" s="1966" t="str">
        <f>'8_MP'!$D$170</f>
        <v>1.3.1.4.2.1</v>
      </c>
      <c r="J107" s="298">
        <f>'8_MP'!$AN$170</f>
        <v>15000</v>
      </c>
      <c r="K107" s="3672"/>
      <c r="L107" s="4195"/>
      <c r="M107" s="3672"/>
      <c r="N107" s="4195"/>
      <c r="O107" s="4232"/>
      <c r="P107" s="4234"/>
      <c r="Q107" s="4236"/>
      <c r="R107" s="4198"/>
      <c r="S107" s="4198"/>
      <c r="T107" s="4198"/>
      <c r="AE107" s="1945"/>
      <c r="AF107" s="1945"/>
      <c r="AG107" s="1945"/>
      <c r="AH107" s="1946"/>
    </row>
    <row r="108" spans="1:34" s="1944" customFormat="1" ht="34.25" customHeight="1">
      <c r="A108" s="4206"/>
      <c r="B108" s="4208"/>
      <c r="C108" s="294" t="s">
        <v>2845</v>
      </c>
      <c r="D108" s="4204"/>
      <c r="E108" s="4204">
        <v>0</v>
      </c>
      <c r="F108" s="4210">
        <v>1</v>
      </c>
      <c r="G108" s="4210">
        <v>0</v>
      </c>
      <c r="H108" s="4210">
        <v>0</v>
      </c>
      <c r="I108" s="1966" t="e">
        <f>'8_MP'!#REF!</f>
        <v>#REF!</v>
      </c>
      <c r="J108" s="298" t="e">
        <f>'8_MP'!#REF!</f>
        <v>#REF!</v>
      </c>
      <c r="K108" s="3673"/>
      <c r="L108" s="4196"/>
      <c r="M108" s="3673"/>
      <c r="N108" s="4196"/>
      <c r="O108" s="4257"/>
      <c r="P108" s="4258"/>
      <c r="Q108" s="4259"/>
      <c r="R108" s="4199"/>
      <c r="S108" s="4199"/>
      <c r="T108" s="4199"/>
      <c r="AE108" s="1945"/>
      <c r="AF108" s="1945"/>
      <c r="AG108" s="1945"/>
      <c r="AH108" s="1946"/>
    </row>
    <row r="109" spans="1:34" ht="48">
      <c r="A109" s="294">
        <f>+A106+1</f>
        <v>56</v>
      </c>
      <c r="B109" s="284" t="s">
        <v>2316</v>
      </c>
      <c r="C109" s="278" t="s">
        <v>2778</v>
      </c>
      <c r="D109" s="298">
        <f t="shared" si="0"/>
        <v>0</v>
      </c>
      <c r="E109" s="298">
        <v>0</v>
      </c>
      <c r="F109" s="300">
        <v>1</v>
      </c>
      <c r="G109" s="300">
        <v>0</v>
      </c>
      <c r="H109" s="300">
        <v>0</v>
      </c>
      <c r="I109" s="1964" t="str">
        <f>'8_MP'!$D$184</f>
        <v>1.4.1.1.2</v>
      </c>
      <c r="J109" s="298">
        <f>'8_MP'!$AN$184</f>
        <v>0</v>
      </c>
      <c r="K109" s="286" t="s">
        <v>2691</v>
      </c>
      <c r="L109" s="1947" t="s">
        <v>2682</v>
      </c>
      <c r="M109" s="286" t="s">
        <v>2691</v>
      </c>
      <c r="N109" s="1947" t="s">
        <v>2682</v>
      </c>
      <c r="O109" s="287" t="s">
        <v>1413</v>
      </c>
      <c r="P109" s="283" t="s">
        <v>763</v>
      </c>
      <c r="Q109" s="1981" t="s">
        <v>2757</v>
      </c>
      <c r="R109" s="1954"/>
      <c r="S109" s="1954"/>
      <c r="T109" s="1954"/>
    </row>
    <row r="110" spans="1:34" ht="48">
      <c r="A110" s="294">
        <f>+A109+1</f>
        <v>57</v>
      </c>
      <c r="B110" s="284" t="s">
        <v>2317</v>
      </c>
      <c r="C110" s="278" t="s">
        <v>2778</v>
      </c>
      <c r="D110" s="298">
        <f t="shared" si="0"/>
        <v>0</v>
      </c>
      <c r="E110" s="298">
        <v>0</v>
      </c>
      <c r="F110" s="300">
        <v>1</v>
      </c>
      <c r="G110" s="300">
        <v>0</v>
      </c>
      <c r="H110" s="300">
        <v>0</v>
      </c>
      <c r="I110" s="1964" t="str">
        <f>'8_MP'!$D$189</f>
        <v>1.4.1.2.2.2</v>
      </c>
      <c r="J110" s="298">
        <f>'8_MP'!$AN$189</f>
        <v>0</v>
      </c>
      <c r="K110" s="286" t="s">
        <v>2691</v>
      </c>
      <c r="L110" s="1947" t="s">
        <v>2682</v>
      </c>
      <c r="M110" s="286" t="s">
        <v>2691</v>
      </c>
      <c r="N110" s="1947" t="s">
        <v>2682</v>
      </c>
      <c r="O110" s="287" t="s">
        <v>1413</v>
      </c>
      <c r="P110" s="283" t="s">
        <v>763</v>
      </c>
      <c r="Q110" s="1981" t="s">
        <v>2757</v>
      </c>
      <c r="R110" s="1954"/>
      <c r="S110" s="1954"/>
      <c r="T110" s="1954"/>
    </row>
    <row r="111" spans="1:34" ht="48">
      <c r="A111" s="294">
        <f t="shared" ref="A111:A151" si="2">+A110+1</f>
        <v>58</v>
      </c>
      <c r="B111" s="284" t="s">
        <v>2779</v>
      </c>
      <c r="C111" s="278" t="s">
        <v>2732</v>
      </c>
      <c r="D111" s="298">
        <f t="shared" si="0"/>
        <v>80000</v>
      </c>
      <c r="E111" s="298">
        <v>0</v>
      </c>
      <c r="F111" s="300">
        <v>1</v>
      </c>
      <c r="G111" s="300">
        <v>0</v>
      </c>
      <c r="H111" s="300">
        <v>0</v>
      </c>
      <c r="I111" s="1964" t="str">
        <f>'8_MP'!$D$206</f>
        <v>1.4.1.4</v>
      </c>
      <c r="J111" s="298">
        <f>'8_MP'!$AN$206</f>
        <v>80000</v>
      </c>
      <c r="K111" s="286" t="s">
        <v>2691</v>
      </c>
      <c r="L111" s="1947" t="s">
        <v>2682</v>
      </c>
      <c r="M111" s="286" t="s">
        <v>2691</v>
      </c>
      <c r="N111" s="1947" t="s">
        <v>2682</v>
      </c>
      <c r="O111" s="287" t="s">
        <v>1413</v>
      </c>
      <c r="P111" s="283" t="s">
        <v>763</v>
      </c>
      <c r="Q111" s="1981" t="s">
        <v>2757</v>
      </c>
      <c r="R111" s="1954"/>
      <c r="S111" s="1954"/>
      <c r="T111" s="1954"/>
    </row>
    <row r="112" spans="1:34" ht="48">
      <c r="A112" s="294">
        <f t="shared" si="2"/>
        <v>59</v>
      </c>
      <c r="B112" s="284" t="s">
        <v>2869</v>
      </c>
      <c r="C112" s="278" t="s">
        <v>2157</v>
      </c>
      <c r="D112" s="298">
        <f t="shared" si="0"/>
        <v>0</v>
      </c>
      <c r="E112" s="298">
        <v>0</v>
      </c>
      <c r="F112" s="300">
        <v>1</v>
      </c>
      <c r="G112" s="300">
        <v>0</v>
      </c>
      <c r="H112" s="300">
        <v>0</v>
      </c>
      <c r="I112" s="1964">
        <f>'8_MP'!D220</f>
        <v>0</v>
      </c>
      <c r="J112" s="298">
        <f>'8_MP'!AN220</f>
        <v>0</v>
      </c>
      <c r="K112" s="286" t="s">
        <v>2691</v>
      </c>
      <c r="L112" s="1947" t="s">
        <v>2682</v>
      </c>
      <c r="M112" s="286" t="s">
        <v>2691</v>
      </c>
      <c r="N112" s="1947" t="s">
        <v>2682</v>
      </c>
      <c r="O112" s="287" t="s">
        <v>1413</v>
      </c>
      <c r="P112" s="283" t="s">
        <v>763</v>
      </c>
      <c r="Q112" s="1981" t="s">
        <v>2757</v>
      </c>
      <c r="R112" s="1954"/>
      <c r="S112" s="1954"/>
      <c r="T112" s="1954"/>
    </row>
    <row r="113" spans="1:20" ht="48">
      <c r="A113" s="294">
        <f t="shared" si="2"/>
        <v>60</v>
      </c>
      <c r="B113" s="284" t="s">
        <v>2870</v>
      </c>
      <c r="C113" s="278" t="s">
        <v>2157</v>
      </c>
      <c r="D113" s="298">
        <f t="shared" si="0"/>
        <v>0</v>
      </c>
      <c r="E113" s="298">
        <v>0</v>
      </c>
      <c r="F113" s="300">
        <v>1</v>
      </c>
      <c r="G113" s="300">
        <v>0</v>
      </c>
      <c r="H113" s="300">
        <v>0</v>
      </c>
      <c r="I113" s="1964">
        <f>'8_MP'!D221</f>
        <v>0</v>
      </c>
      <c r="J113" s="298">
        <f>'8_MP'!AN221</f>
        <v>0</v>
      </c>
      <c r="K113" s="286" t="s">
        <v>2691</v>
      </c>
      <c r="L113" s="1947" t="s">
        <v>2682</v>
      </c>
      <c r="M113" s="286" t="s">
        <v>2691</v>
      </c>
      <c r="N113" s="1947" t="s">
        <v>2682</v>
      </c>
      <c r="O113" s="287" t="s">
        <v>1413</v>
      </c>
      <c r="P113" s="283" t="s">
        <v>763</v>
      </c>
      <c r="Q113" s="1981" t="s">
        <v>2757</v>
      </c>
      <c r="R113" s="1954"/>
      <c r="S113" s="1954"/>
      <c r="T113" s="1954"/>
    </row>
    <row r="114" spans="1:20" ht="48">
      <c r="A114" s="294">
        <f t="shared" si="2"/>
        <v>61</v>
      </c>
      <c r="B114" s="284" t="s">
        <v>2871</v>
      </c>
      <c r="C114" s="278" t="s">
        <v>2157</v>
      </c>
      <c r="D114" s="298">
        <f t="shared" si="0"/>
        <v>0</v>
      </c>
      <c r="E114" s="298">
        <v>0</v>
      </c>
      <c r="F114" s="300">
        <v>1</v>
      </c>
      <c r="G114" s="300">
        <v>0</v>
      </c>
      <c r="H114" s="300">
        <v>0</v>
      </c>
      <c r="I114" s="1964">
        <f>'8_MP'!D222</f>
        <v>0</v>
      </c>
      <c r="J114" s="298">
        <f>'8_MP'!AN222</f>
        <v>0</v>
      </c>
      <c r="K114" s="286" t="s">
        <v>2691</v>
      </c>
      <c r="L114" s="1947" t="s">
        <v>2682</v>
      </c>
      <c r="M114" s="286" t="s">
        <v>2691</v>
      </c>
      <c r="N114" s="1947" t="s">
        <v>2682</v>
      </c>
      <c r="O114" s="287" t="s">
        <v>1413</v>
      </c>
      <c r="P114" s="283" t="s">
        <v>763</v>
      </c>
      <c r="Q114" s="1981" t="s">
        <v>2757</v>
      </c>
      <c r="R114" s="1954"/>
      <c r="S114" s="1954"/>
      <c r="T114" s="1954"/>
    </row>
    <row r="115" spans="1:20" ht="49.25" customHeight="1">
      <c r="A115" s="294">
        <f t="shared" si="2"/>
        <v>62</v>
      </c>
      <c r="B115" s="284" t="s">
        <v>2426</v>
      </c>
      <c r="C115" s="278" t="s">
        <v>2157</v>
      </c>
      <c r="D115" s="298">
        <f t="shared" si="0"/>
        <v>0</v>
      </c>
      <c r="E115" s="298">
        <v>0</v>
      </c>
      <c r="F115" s="300">
        <v>1</v>
      </c>
      <c r="G115" s="300">
        <v>0</v>
      </c>
      <c r="H115" s="300">
        <v>0</v>
      </c>
      <c r="I115" s="1964">
        <f>'8_MP'!D223</f>
        <v>0</v>
      </c>
      <c r="J115" s="298">
        <f>'8_MP'!AN223</f>
        <v>0</v>
      </c>
      <c r="K115" s="286" t="s">
        <v>2691</v>
      </c>
      <c r="L115" s="1947" t="s">
        <v>2682</v>
      </c>
      <c r="M115" s="286" t="s">
        <v>2691</v>
      </c>
      <c r="N115" s="1947" t="s">
        <v>2682</v>
      </c>
      <c r="O115" s="287" t="s">
        <v>1413</v>
      </c>
      <c r="P115" s="283" t="s">
        <v>763</v>
      </c>
      <c r="Q115" s="1981" t="s">
        <v>2757</v>
      </c>
      <c r="R115" s="1954"/>
      <c r="S115" s="1954"/>
      <c r="T115" s="1954"/>
    </row>
    <row r="116" spans="1:20" ht="32">
      <c r="A116" s="294">
        <f t="shared" si="2"/>
        <v>63</v>
      </c>
      <c r="B116" s="284" t="s">
        <v>2872</v>
      </c>
      <c r="C116" s="278" t="s">
        <v>2157</v>
      </c>
      <c r="D116" s="298">
        <f t="shared" si="0"/>
        <v>0</v>
      </c>
      <c r="E116" s="298">
        <v>0</v>
      </c>
      <c r="F116" s="300">
        <v>1</v>
      </c>
      <c r="G116" s="300">
        <v>0</v>
      </c>
      <c r="H116" s="300">
        <v>0</v>
      </c>
      <c r="I116" s="1964">
        <f>'8_MP'!$D$227</f>
        <v>0</v>
      </c>
      <c r="J116" s="298">
        <f>'8_MP'!$AN$227</f>
        <v>0</v>
      </c>
      <c r="K116" s="286" t="s">
        <v>2691</v>
      </c>
      <c r="L116" s="1947" t="s">
        <v>2682</v>
      </c>
      <c r="M116" s="286" t="s">
        <v>2691</v>
      </c>
      <c r="N116" s="1947" t="s">
        <v>2682</v>
      </c>
      <c r="O116" s="287" t="s">
        <v>1413</v>
      </c>
      <c r="P116" s="283" t="s">
        <v>763</v>
      </c>
      <c r="Q116" s="1981" t="s">
        <v>2757</v>
      </c>
      <c r="R116" s="1954"/>
      <c r="S116" s="1954"/>
      <c r="T116" s="1954"/>
    </row>
    <row r="117" spans="1:20" ht="32">
      <c r="A117" s="294">
        <f t="shared" si="2"/>
        <v>64</v>
      </c>
      <c r="B117" s="284" t="s">
        <v>2873</v>
      </c>
      <c r="C117" s="278" t="s">
        <v>2157</v>
      </c>
      <c r="D117" s="298">
        <f t="shared" si="0"/>
        <v>0</v>
      </c>
      <c r="E117" s="298">
        <v>0</v>
      </c>
      <c r="F117" s="300">
        <v>1</v>
      </c>
      <c r="G117" s="300">
        <v>0</v>
      </c>
      <c r="H117" s="300">
        <v>0</v>
      </c>
      <c r="I117" s="1964">
        <f>'8_MP'!$D$228</f>
        <v>0</v>
      </c>
      <c r="J117" s="298">
        <f>'8_MP'!$AN$228</f>
        <v>0</v>
      </c>
      <c r="K117" s="286" t="s">
        <v>2691</v>
      </c>
      <c r="L117" s="1947" t="s">
        <v>2682</v>
      </c>
      <c r="M117" s="286" t="s">
        <v>2691</v>
      </c>
      <c r="N117" s="1947" t="s">
        <v>2682</v>
      </c>
      <c r="O117" s="287" t="s">
        <v>1413</v>
      </c>
      <c r="P117" s="283" t="s">
        <v>763</v>
      </c>
      <c r="Q117" s="1981" t="s">
        <v>2757</v>
      </c>
      <c r="R117" s="1954"/>
      <c r="S117" s="1954"/>
      <c r="T117" s="1954"/>
    </row>
    <row r="118" spans="1:20" ht="36" customHeight="1">
      <c r="A118" s="294">
        <f t="shared" si="2"/>
        <v>65</v>
      </c>
      <c r="B118" s="284" t="s">
        <v>2874</v>
      </c>
      <c r="C118" s="278" t="s">
        <v>2157</v>
      </c>
      <c r="D118" s="298">
        <f t="shared" si="0"/>
        <v>0</v>
      </c>
      <c r="E118" s="298">
        <v>0</v>
      </c>
      <c r="F118" s="300">
        <v>1</v>
      </c>
      <c r="G118" s="300">
        <v>0</v>
      </c>
      <c r="H118" s="300">
        <v>0</v>
      </c>
      <c r="I118" s="1964">
        <f>'8_MP'!$D$229</f>
        <v>0</v>
      </c>
      <c r="J118" s="298">
        <f>+'8_MP'!$AH$229*12</f>
        <v>0</v>
      </c>
      <c r="K118" s="286" t="s">
        <v>2691</v>
      </c>
      <c r="L118" s="1947" t="s">
        <v>2682</v>
      </c>
      <c r="M118" s="286" t="s">
        <v>2691</v>
      </c>
      <c r="N118" s="1947" t="s">
        <v>2682</v>
      </c>
      <c r="O118" s="287" t="s">
        <v>1413</v>
      </c>
      <c r="P118" s="283" t="s">
        <v>763</v>
      </c>
      <c r="Q118" s="1981" t="s">
        <v>2757</v>
      </c>
      <c r="R118" s="1954"/>
      <c r="S118" s="1954"/>
      <c r="T118" s="1954"/>
    </row>
    <row r="119" spans="1:20" ht="65" thickBot="1">
      <c r="A119" s="294">
        <f t="shared" si="2"/>
        <v>66</v>
      </c>
      <c r="B119" s="1972" t="s">
        <v>2875</v>
      </c>
      <c r="C119" s="278" t="s">
        <v>2186</v>
      </c>
      <c r="D119" s="298">
        <f t="shared" si="0"/>
        <v>0</v>
      </c>
      <c r="E119" s="298">
        <v>0</v>
      </c>
      <c r="F119" s="300">
        <v>1</v>
      </c>
      <c r="G119" s="300">
        <v>0</v>
      </c>
      <c r="H119" s="300">
        <v>0</v>
      </c>
      <c r="I119" s="1964">
        <f>'8_MP'!$D$248</f>
        <v>0</v>
      </c>
      <c r="J119" s="298">
        <f>'8_MP'!$AN$248</f>
        <v>0</v>
      </c>
      <c r="K119" s="286" t="s">
        <v>2691</v>
      </c>
      <c r="L119" s="1947" t="s">
        <v>2682</v>
      </c>
      <c r="M119" s="286" t="s">
        <v>2691</v>
      </c>
      <c r="N119" s="1947" t="s">
        <v>2682</v>
      </c>
      <c r="O119" s="287" t="s">
        <v>1413</v>
      </c>
      <c r="P119" s="283" t="s">
        <v>763</v>
      </c>
      <c r="Q119" s="1981" t="s">
        <v>2757</v>
      </c>
      <c r="R119" s="1954"/>
      <c r="S119" s="1954"/>
      <c r="T119" s="1954"/>
    </row>
    <row r="120" spans="1:20" ht="32">
      <c r="A120" s="294">
        <f t="shared" si="2"/>
        <v>67</v>
      </c>
      <c r="B120" s="1974" t="s">
        <v>2876</v>
      </c>
      <c r="C120" s="1971" t="s">
        <v>2186</v>
      </c>
      <c r="D120" s="298">
        <f t="shared" si="0"/>
        <v>0</v>
      </c>
      <c r="E120" s="298">
        <v>0</v>
      </c>
      <c r="F120" s="300">
        <v>1</v>
      </c>
      <c r="G120" s="300">
        <v>0</v>
      </c>
      <c r="H120" s="300">
        <v>0</v>
      </c>
      <c r="I120" s="1966">
        <f>'8_MP'!$D$259</f>
        <v>0</v>
      </c>
      <c r="J120" s="298">
        <f>'8_MP'!$AN$259/2</f>
        <v>0</v>
      </c>
      <c r="K120" s="286" t="s">
        <v>2691</v>
      </c>
      <c r="L120" s="1947" t="s">
        <v>2682</v>
      </c>
      <c r="M120" s="286" t="s">
        <v>2691</v>
      </c>
      <c r="N120" s="1947" t="s">
        <v>2682</v>
      </c>
      <c r="O120" s="287" t="s">
        <v>1413</v>
      </c>
      <c r="P120" s="283" t="s">
        <v>763</v>
      </c>
      <c r="Q120" s="1981" t="s">
        <v>2757</v>
      </c>
      <c r="R120" s="1954"/>
      <c r="S120" s="1954"/>
      <c r="T120" s="1954"/>
    </row>
    <row r="121" spans="1:20" ht="33" thickBot="1">
      <c r="A121" s="294">
        <f t="shared" si="2"/>
        <v>68</v>
      </c>
      <c r="B121" s="1976" t="s">
        <v>2876</v>
      </c>
      <c r="C121" s="1971" t="s">
        <v>2186</v>
      </c>
      <c r="D121" s="298">
        <f t="shared" si="0"/>
        <v>0</v>
      </c>
      <c r="E121" s="298">
        <v>0</v>
      </c>
      <c r="F121" s="300">
        <v>1</v>
      </c>
      <c r="G121" s="300">
        <v>0</v>
      </c>
      <c r="H121" s="300">
        <v>0</v>
      </c>
      <c r="I121" s="1966">
        <f>'8_MP'!$D$259</f>
        <v>0</v>
      </c>
      <c r="J121" s="298">
        <f>'8_MP'!$AN$259/2</f>
        <v>0</v>
      </c>
      <c r="K121" s="286" t="s">
        <v>2691</v>
      </c>
      <c r="L121" s="1947" t="s">
        <v>2682</v>
      </c>
      <c r="M121" s="286" t="s">
        <v>2691</v>
      </c>
      <c r="N121" s="1947" t="s">
        <v>2682</v>
      </c>
      <c r="O121" s="287" t="s">
        <v>1413</v>
      </c>
      <c r="P121" s="283" t="s">
        <v>763</v>
      </c>
      <c r="Q121" s="1981" t="s">
        <v>2757</v>
      </c>
      <c r="R121" s="1954"/>
      <c r="S121" s="1954"/>
      <c r="T121" s="1954"/>
    </row>
    <row r="122" spans="1:20" ht="33" thickBot="1">
      <c r="A122" s="294">
        <f t="shared" si="2"/>
        <v>69</v>
      </c>
      <c r="B122" s="1977" t="s">
        <v>2877</v>
      </c>
      <c r="C122" s="278" t="s">
        <v>2186</v>
      </c>
      <c r="D122" s="298">
        <f t="shared" si="0"/>
        <v>0</v>
      </c>
      <c r="E122" s="298">
        <v>0</v>
      </c>
      <c r="F122" s="300">
        <v>1</v>
      </c>
      <c r="G122" s="300">
        <v>0</v>
      </c>
      <c r="H122" s="300">
        <v>0</v>
      </c>
      <c r="I122" s="1966">
        <f>'8_MP'!D260</f>
        <v>0</v>
      </c>
      <c r="J122" s="298">
        <f>'8_MP'!AN260</f>
        <v>0</v>
      </c>
      <c r="K122" s="286" t="s">
        <v>2691</v>
      </c>
      <c r="L122" s="1947" t="s">
        <v>2682</v>
      </c>
      <c r="M122" s="286" t="s">
        <v>2691</v>
      </c>
      <c r="N122" s="1947" t="s">
        <v>2682</v>
      </c>
      <c r="O122" s="287" t="s">
        <v>1413</v>
      </c>
      <c r="P122" s="283" t="s">
        <v>763</v>
      </c>
      <c r="Q122" s="1981" t="s">
        <v>2757</v>
      </c>
      <c r="R122" s="1954"/>
      <c r="S122" s="1954"/>
      <c r="T122" s="1954"/>
    </row>
    <row r="123" spans="1:20" ht="32">
      <c r="A123" s="294">
        <f t="shared" si="2"/>
        <v>70</v>
      </c>
      <c r="B123" s="1974" t="s">
        <v>2878</v>
      </c>
      <c r="C123" s="1971" t="s">
        <v>2186</v>
      </c>
      <c r="D123" s="298">
        <f t="shared" si="0"/>
        <v>0</v>
      </c>
      <c r="E123" s="298">
        <v>0</v>
      </c>
      <c r="F123" s="300">
        <v>1</v>
      </c>
      <c r="G123" s="300">
        <v>0</v>
      </c>
      <c r="H123" s="300">
        <v>0</v>
      </c>
      <c r="I123" s="1966">
        <f>'8_MP'!$D$261</f>
        <v>0</v>
      </c>
      <c r="J123" s="298">
        <f>'8_MP'!$AN$261/2</f>
        <v>0</v>
      </c>
      <c r="K123" s="286" t="s">
        <v>2691</v>
      </c>
      <c r="L123" s="1947" t="s">
        <v>2682</v>
      </c>
      <c r="M123" s="286" t="s">
        <v>2691</v>
      </c>
      <c r="N123" s="1947" t="s">
        <v>2682</v>
      </c>
      <c r="O123" s="287" t="s">
        <v>1413</v>
      </c>
      <c r="P123" s="283" t="s">
        <v>763</v>
      </c>
      <c r="Q123" s="1981" t="s">
        <v>2757</v>
      </c>
      <c r="R123" s="1954"/>
      <c r="S123" s="1954"/>
      <c r="T123" s="1954"/>
    </row>
    <row r="124" spans="1:20" ht="33" thickBot="1">
      <c r="A124" s="294">
        <f t="shared" si="2"/>
        <v>71</v>
      </c>
      <c r="B124" s="1976" t="s">
        <v>2878</v>
      </c>
      <c r="C124" s="1971" t="s">
        <v>2186</v>
      </c>
      <c r="D124" s="298">
        <f t="shared" si="0"/>
        <v>0</v>
      </c>
      <c r="E124" s="298">
        <v>0</v>
      </c>
      <c r="F124" s="300">
        <v>1</v>
      </c>
      <c r="G124" s="300">
        <v>0</v>
      </c>
      <c r="H124" s="300">
        <v>0</v>
      </c>
      <c r="I124" s="1966">
        <f>'8_MP'!$D$261</f>
        <v>0</v>
      </c>
      <c r="J124" s="298">
        <f>'8_MP'!$AN$261/2</f>
        <v>0</v>
      </c>
      <c r="K124" s="286" t="s">
        <v>2691</v>
      </c>
      <c r="L124" s="1947" t="s">
        <v>2682</v>
      </c>
      <c r="M124" s="286" t="s">
        <v>2691</v>
      </c>
      <c r="N124" s="1947" t="s">
        <v>2682</v>
      </c>
      <c r="O124" s="287" t="s">
        <v>1413</v>
      </c>
      <c r="P124" s="283" t="s">
        <v>763</v>
      </c>
      <c r="Q124" s="1981" t="s">
        <v>2757</v>
      </c>
      <c r="R124" s="1954"/>
      <c r="S124" s="1954"/>
      <c r="T124" s="1954"/>
    </row>
    <row r="125" spans="1:20" ht="32">
      <c r="A125" s="294">
        <f t="shared" si="2"/>
        <v>72</v>
      </c>
      <c r="B125" s="1973" t="s">
        <v>2879</v>
      </c>
      <c r="C125" s="278" t="s">
        <v>2186</v>
      </c>
      <c r="D125" s="298">
        <f t="shared" si="0"/>
        <v>0</v>
      </c>
      <c r="E125" s="298">
        <v>0</v>
      </c>
      <c r="F125" s="300">
        <v>1</v>
      </c>
      <c r="G125" s="300">
        <v>0</v>
      </c>
      <c r="H125" s="300">
        <v>0</v>
      </c>
      <c r="I125" s="1966">
        <f>'8_MP'!D262</f>
        <v>0</v>
      </c>
      <c r="J125" s="298">
        <f>'8_MP'!AN262</f>
        <v>0</v>
      </c>
      <c r="K125" s="286" t="s">
        <v>2691</v>
      </c>
      <c r="L125" s="1947" t="s">
        <v>2682</v>
      </c>
      <c r="M125" s="286" t="s">
        <v>2691</v>
      </c>
      <c r="N125" s="1947" t="s">
        <v>2682</v>
      </c>
      <c r="O125" s="287" t="s">
        <v>1413</v>
      </c>
      <c r="P125" s="283" t="s">
        <v>763</v>
      </c>
      <c r="Q125" s="1981" t="s">
        <v>2757</v>
      </c>
      <c r="R125" s="1954"/>
      <c r="S125" s="1954"/>
      <c r="T125" s="1954"/>
    </row>
    <row r="126" spans="1:20" ht="32">
      <c r="A126" s="294">
        <f t="shared" si="2"/>
        <v>73</v>
      </c>
      <c r="B126" s="284" t="s">
        <v>2880</v>
      </c>
      <c r="C126" s="278" t="s">
        <v>2162</v>
      </c>
      <c r="D126" s="298">
        <f t="shared" si="0"/>
        <v>0</v>
      </c>
      <c r="E126" s="298">
        <v>0</v>
      </c>
      <c r="F126" s="300">
        <v>1</v>
      </c>
      <c r="G126" s="300">
        <v>0</v>
      </c>
      <c r="H126" s="300">
        <v>0</v>
      </c>
      <c r="I126" s="1964">
        <f>'8_MP'!$D$231</f>
        <v>0</v>
      </c>
      <c r="J126" s="298">
        <f>'8_MP'!$AN$231</f>
        <v>0</v>
      </c>
      <c r="K126" s="286" t="s">
        <v>2691</v>
      </c>
      <c r="L126" s="1947" t="s">
        <v>2682</v>
      </c>
      <c r="M126" s="286" t="s">
        <v>2691</v>
      </c>
      <c r="N126" s="1947" t="s">
        <v>2682</v>
      </c>
      <c r="O126" s="287" t="s">
        <v>1413</v>
      </c>
      <c r="P126" s="283" t="s">
        <v>763</v>
      </c>
      <c r="Q126" s="1981" t="s">
        <v>2757</v>
      </c>
      <c r="R126" s="1954"/>
      <c r="S126" s="1954"/>
      <c r="T126" s="1954"/>
    </row>
    <row r="127" spans="1:20" ht="48">
      <c r="A127" s="294">
        <f t="shared" si="2"/>
        <v>74</v>
      </c>
      <c r="B127" s="284" t="s">
        <v>2881</v>
      </c>
      <c r="C127" s="278" t="s">
        <v>2168</v>
      </c>
      <c r="D127" s="298">
        <f t="shared" si="0"/>
        <v>0</v>
      </c>
      <c r="E127" s="298">
        <v>0</v>
      </c>
      <c r="F127" s="300">
        <v>1</v>
      </c>
      <c r="G127" s="300">
        <v>0</v>
      </c>
      <c r="H127" s="300">
        <v>0</v>
      </c>
      <c r="I127" s="1964">
        <f>'8_MP'!$D$266</f>
        <v>0</v>
      </c>
      <c r="J127" s="298">
        <f>'8_MP'!$AN$266</f>
        <v>0</v>
      </c>
      <c r="K127" s="286" t="s">
        <v>2691</v>
      </c>
      <c r="L127" s="1947" t="s">
        <v>2682</v>
      </c>
      <c r="M127" s="286" t="s">
        <v>2691</v>
      </c>
      <c r="N127" s="1947" t="s">
        <v>2682</v>
      </c>
      <c r="O127" s="287" t="s">
        <v>1413</v>
      </c>
      <c r="P127" s="283" t="s">
        <v>763</v>
      </c>
      <c r="Q127" s="1981" t="s">
        <v>2757</v>
      </c>
      <c r="R127" s="1954"/>
      <c r="S127" s="1954"/>
      <c r="T127" s="1954"/>
    </row>
    <row r="128" spans="1:20" ht="64">
      <c r="A128" s="294">
        <f t="shared" si="2"/>
        <v>75</v>
      </c>
      <c r="B128" s="284" t="s">
        <v>2882</v>
      </c>
      <c r="C128" s="278" t="s">
        <v>2883</v>
      </c>
      <c r="D128" s="298">
        <f t="shared" si="0"/>
        <v>0</v>
      </c>
      <c r="E128" s="298">
        <v>0</v>
      </c>
      <c r="F128" s="300">
        <v>1</v>
      </c>
      <c r="G128" s="300">
        <v>0</v>
      </c>
      <c r="H128" s="300">
        <v>0</v>
      </c>
      <c r="I128" s="1964">
        <f>'8_MP'!$D$310</f>
        <v>0</v>
      </c>
      <c r="J128" s="298">
        <f>'8_MP'!$AN$310</f>
        <v>0</v>
      </c>
      <c r="K128" s="286" t="s">
        <v>2691</v>
      </c>
      <c r="L128" s="1947" t="s">
        <v>2682</v>
      </c>
      <c r="M128" s="286" t="s">
        <v>2691</v>
      </c>
      <c r="N128" s="1947" t="s">
        <v>2682</v>
      </c>
      <c r="O128" s="287" t="s">
        <v>1413</v>
      </c>
      <c r="P128" s="283" t="s">
        <v>763</v>
      </c>
      <c r="Q128" s="1981" t="s">
        <v>2757</v>
      </c>
      <c r="R128" s="1954"/>
      <c r="S128" s="1954"/>
      <c r="T128" s="1954"/>
    </row>
    <row r="129" spans="1:20" ht="48">
      <c r="A129" s="294">
        <f t="shared" si="2"/>
        <v>76</v>
      </c>
      <c r="B129" s="284" t="s">
        <v>2884</v>
      </c>
      <c r="C129" s="278" t="s">
        <v>2883</v>
      </c>
      <c r="D129" s="298">
        <f t="shared" si="0"/>
        <v>0</v>
      </c>
      <c r="E129" s="298">
        <v>0</v>
      </c>
      <c r="F129" s="300">
        <v>1</v>
      </c>
      <c r="G129" s="300">
        <v>0</v>
      </c>
      <c r="H129" s="300">
        <v>0</v>
      </c>
      <c r="I129" s="1964">
        <f>'8_MP'!$D$312</f>
        <v>0</v>
      </c>
      <c r="J129" s="298">
        <f>'8_MP'!$AN$312</f>
        <v>0</v>
      </c>
      <c r="K129" s="286" t="s">
        <v>2691</v>
      </c>
      <c r="L129" s="1947" t="s">
        <v>2682</v>
      </c>
      <c r="M129" s="286" t="s">
        <v>2691</v>
      </c>
      <c r="N129" s="1947" t="s">
        <v>2682</v>
      </c>
      <c r="O129" s="287" t="s">
        <v>1413</v>
      </c>
      <c r="P129" s="283" t="s">
        <v>763</v>
      </c>
      <c r="Q129" s="1981" t="s">
        <v>2757</v>
      </c>
      <c r="R129" s="1954"/>
      <c r="S129" s="1954"/>
      <c r="T129" s="1954"/>
    </row>
    <row r="130" spans="1:20" ht="32">
      <c r="A130" s="294">
        <f t="shared" si="2"/>
        <v>77</v>
      </c>
      <c r="B130" s="284" t="s">
        <v>2885</v>
      </c>
      <c r="C130" s="278" t="s">
        <v>2848</v>
      </c>
      <c r="D130" s="298">
        <f t="shared" si="0"/>
        <v>30000</v>
      </c>
      <c r="E130" s="298">
        <v>0</v>
      </c>
      <c r="F130" s="300">
        <v>1</v>
      </c>
      <c r="G130" s="300">
        <v>0</v>
      </c>
      <c r="H130" s="300">
        <v>0</v>
      </c>
      <c r="I130" s="1964" t="str">
        <f>'8_MP'!$D$326</f>
        <v>2.3.1.1.1</v>
      </c>
      <c r="J130" s="298">
        <f>'8_MP'!$AN$326</f>
        <v>30000</v>
      </c>
      <c r="K130" s="286" t="s">
        <v>2691</v>
      </c>
      <c r="L130" s="1947" t="s">
        <v>2682</v>
      </c>
      <c r="M130" s="286" t="s">
        <v>2691</v>
      </c>
      <c r="N130" s="1947" t="s">
        <v>2682</v>
      </c>
      <c r="O130" s="287" t="s">
        <v>1413</v>
      </c>
      <c r="P130" s="283" t="s">
        <v>763</v>
      </c>
      <c r="Q130" s="1981" t="s">
        <v>2757</v>
      </c>
      <c r="R130" s="1954"/>
      <c r="S130" s="1954"/>
      <c r="T130" s="1954"/>
    </row>
    <row r="131" spans="1:20" ht="48">
      <c r="A131" s="294">
        <f t="shared" si="2"/>
        <v>78</v>
      </c>
      <c r="B131" s="284" t="s">
        <v>2886</v>
      </c>
      <c r="C131" s="278" t="s">
        <v>2850</v>
      </c>
      <c r="D131" s="298">
        <f t="shared" si="0"/>
        <v>48000</v>
      </c>
      <c r="E131" s="298">
        <v>0</v>
      </c>
      <c r="F131" s="300">
        <v>1</v>
      </c>
      <c r="G131" s="300">
        <v>0</v>
      </c>
      <c r="H131" s="300">
        <v>0</v>
      </c>
      <c r="I131" s="1964" t="str">
        <f>'8_MP'!$D$341</f>
        <v>2.3.1.1.5.1</v>
      </c>
      <c r="J131" s="298">
        <f>'8_MP'!$AN$341</f>
        <v>48000</v>
      </c>
      <c r="K131" s="286" t="s">
        <v>2691</v>
      </c>
      <c r="L131" s="1947" t="s">
        <v>2682</v>
      </c>
      <c r="M131" s="286" t="s">
        <v>2691</v>
      </c>
      <c r="N131" s="1947" t="s">
        <v>2682</v>
      </c>
      <c r="O131" s="287" t="s">
        <v>1413</v>
      </c>
      <c r="P131" s="283" t="s">
        <v>763</v>
      </c>
      <c r="Q131" s="1981" t="s">
        <v>2757</v>
      </c>
      <c r="R131" s="1954"/>
      <c r="S131" s="1954"/>
      <c r="T131" s="1954"/>
    </row>
    <row r="132" spans="1:20" ht="64">
      <c r="A132" s="294">
        <f t="shared" si="2"/>
        <v>79</v>
      </c>
      <c r="B132" s="284" t="s">
        <v>2326</v>
      </c>
      <c r="C132" s="278" t="s">
        <v>2735</v>
      </c>
      <c r="D132" s="298">
        <f t="shared" si="0"/>
        <v>63000</v>
      </c>
      <c r="E132" s="298">
        <v>0</v>
      </c>
      <c r="F132" s="300">
        <v>1</v>
      </c>
      <c r="G132" s="300">
        <v>0</v>
      </c>
      <c r="H132" s="300">
        <v>0</v>
      </c>
      <c r="I132" s="1964" t="str">
        <f>'8_MP'!$D$400</f>
        <v>3.1.3.2</v>
      </c>
      <c r="J132" s="298">
        <f>'8_MP'!$AN$400</f>
        <v>63000</v>
      </c>
      <c r="K132" s="286" t="s">
        <v>2691</v>
      </c>
      <c r="L132" s="1947" t="s">
        <v>2682</v>
      </c>
      <c r="M132" s="286" t="s">
        <v>2691</v>
      </c>
      <c r="N132" s="1947" t="s">
        <v>2682</v>
      </c>
      <c r="O132" s="287" t="s">
        <v>1413</v>
      </c>
      <c r="P132" s="283" t="s">
        <v>763</v>
      </c>
      <c r="Q132" s="1981" t="s">
        <v>2757</v>
      </c>
      <c r="R132" s="1954"/>
      <c r="S132" s="1954"/>
      <c r="T132" s="1954"/>
    </row>
    <row r="133" spans="1:20" ht="64">
      <c r="A133" s="294">
        <f t="shared" si="2"/>
        <v>80</v>
      </c>
      <c r="B133" s="284" t="s">
        <v>2327</v>
      </c>
      <c r="C133" s="278" t="s">
        <v>2736</v>
      </c>
      <c r="D133" s="298">
        <f t="shared" si="0"/>
        <v>160000</v>
      </c>
      <c r="E133" s="298">
        <v>0</v>
      </c>
      <c r="F133" s="300">
        <v>1</v>
      </c>
      <c r="G133" s="300">
        <v>0</v>
      </c>
      <c r="H133" s="300">
        <v>0</v>
      </c>
      <c r="I133" s="1964" t="str">
        <f>'8_MP'!D383</f>
        <v>3.1.1.3.1</v>
      </c>
      <c r="J133" s="298">
        <f>'8_MP'!AN383</f>
        <v>160000</v>
      </c>
      <c r="K133" s="286" t="s">
        <v>2691</v>
      </c>
      <c r="L133" s="1947" t="s">
        <v>2682</v>
      </c>
      <c r="M133" s="286" t="s">
        <v>2691</v>
      </c>
      <c r="N133" s="1947" t="s">
        <v>2682</v>
      </c>
      <c r="O133" s="287" t="s">
        <v>1413</v>
      </c>
      <c r="P133" s="283" t="s">
        <v>763</v>
      </c>
      <c r="Q133" s="1981" t="s">
        <v>2757</v>
      </c>
      <c r="R133" s="1954"/>
      <c r="S133" s="1954"/>
      <c r="T133" s="1954"/>
    </row>
    <row r="134" spans="1:20" ht="48">
      <c r="A134" s="294">
        <f t="shared" si="2"/>
        <v>81</v>
      </c>
      <c r="B134" s="284" t="s">
        <v>2328</v>
      </c>
      <c r="C134" s="278" t="s">
        <v>2736</v>
      </c>
      <c r="D134" s="298">
        <f t="shared" si="0"/>
        <v>216000</v>
      </c>
      <c r="E134" s="298">
        <v>0</v>
      </c>
      <c r="F134" s="300">
        <v>1</v>
      </c>
      <c r="G134" s="300">
        <v>0</v>
      </c>
      <c r="H134" s="300">
        <v>0</v>
      </c>
      <c r="I134" s="1964" t="str">
        <f>'8_MP'!D384</f>
        <v>3.1.1.3.2</v>
      </c>
      <c r="J134" s="298">
        <f>'8_MP'!AN384</f>
        <v>216000</v>
      </c>
      <c r="K134" s="286" t="s">
        <v>2691</v>
      </c>
      <c r="L134" s="1947" t="s">
        <v>2682</v>
      </c>
      <c r="M134" s="286" t="s">
        <v>2691</v>
      </c>
      <c r="N134" s="1947" t="s">
        <v>2682</v>
      </c>
      <c r="O134" s="287" t="s">
        <v>1413</v>
      </c>
      <c r="P134" s="283" t="s">
        <v>763</v>
      </c>
      <c r="Q134" s="1981" t="s">
        <v>2757</v>
      </c>
      <c r="R134" s="1954"/>
      <c r="S134" s="1954"/>
      <c r="T134" s="1954"/>
    </row>
    <row r="135" spans="1:20" ht="32">
      <c r="A135" s="294">
        <f t="shared" si="2"/>
        <v>82</v>
      </c>
      <c r="B135" s="284" t="s">
        <v>2330</v>
      </c>
      <c r="C135" s="278" t="s">
        <v>2738</v>
      </c>
      <c r="D135" s="298">
        <f t="shared" si="0"/>
        <v>60000</v>
      </c>
      <c r="E135" s="298">
        <v>0</v>
      </c>
      <c r="F135" s="300">
        <v>1</v>
      </c>
      <c r="G135" s="300">
        <v>0</v>
      </c>
      <c r="H135" s="300">
        <v>0</v>
      </c>
      <c r="I135" s="1964" t="str">
        <f>'8_MP'!D414</f>
        <v>3.2.2.1.2</v>
      </c>
      <c r="J135" s="298">
        <f>'8_MP'!AN414</f>
        <v>60000</v>
      </c>
      <c r="K135" s="286" t="s">
        <v>2691</v>
      </c>
      <c r="L135" s="1947" t="s">
        <v>2682</v>
      </c>
      <c r="M135" s="286" t="s">
        <v>2691</v>
      </c>
      <c r="N135" s="1947" t="s">
        <v>2682</v>
      </c>
      <c r="O135" s="287" t="s">
        <v>1413</v>
      </c>
      <c r="P135" s="283" t="s">
        <v>763</v>
      </c>
      <c r="Q135" s="1981" t="s">
        <v>2757</v>
      </c>
      <c r="R135" s="1954"/>
      <c r="S135" s="1954"/>
      <c r="T135" s="1954"/>
    </row>
    <row r="136" spans="1:20" ht="48">
      <c r="A136" s="294">
        <f t="shared" si="2"/>
        <v>83</v>
      </c>
      <c r="B136" s="284" t="s">
        <v>2331</v>
      </c>
      <c r="C136" s="278" t="s">
        <v>2738</v>
      </c>
      <c r="D136" s="298">
        <f t="shared" si="0"/>
        <v>60000</v>
      </c>
      <c r="E136" s="298">
        <v>0</v>
      </c>
      <c r="F136" s="300">
        <v>1</v>
      </c>
      <c r="G136" s="300">
        <v>0</v>
      </c>
      <c r="H136" s="300">
        <v>0</v>
      </c>
      <c r="I136" s="1964" t="str">
        <f>'8_MP'!D415</f>
        <v>3.2.2.1.3</v>
      </c>
      <c r="J136" s="298">
        <f>'8_MP'!AN415</f>
        <v>60000</v>
      </c>
      <c r="K136" s="286" t="s">
        <v>2691</v>
      </c>
      <c r="L136" s="1947" t="s">
        <v>2682</v>
      </c>
      <c r="M136" s="286" t="s">
        <v>2691</v>
      </c>
      <c r="N136" s="1947" t="s">
        <v>2682</v>
      </c>
      <c r="O136" s="287" t="s">
        <v>1413</v>
      </c>
      <c r="P136" s="283" t="s">
        <v>763</v>
      </c>
      <c r="Q136" s="1981" t="s">
        <v>2757</v>
      </c>
      <c r="R136" s="1954"/>
      <c r="S136" s="1954"/>
      <c r="T136" s="1954"/>
    </row>
    <row r="137" spans="1:20" ht="48">
      <c r="A137" s="294">
        <f t="shared" si="2"/>
        <v>84</v>
      </c>
      <c r="B137" s="284" t="s">
        <v>2332</v>
      </c>
      <c r="C137" s="278" t="s">
        <v>2738</v>
      </c>
      <c r="D137" s="298">
        <f t="shared" si="0"/>
        <v>60000</v>
      </c>
      <c r="E137" s="298">
        <v>0</v>
      </c>
      <c r="F137" s="300">
        <v>1</v>
      </c>
      <c r="G137" s="300">
        <v>0</v>
      </c>
      <c r="H137" s="300">
        <v>0</v>
      </c>
      <c r="I137" s="1964" t="str">
        <f>'8_MP'!D416</f>
        <v>3.2.2.1.4</v>
      </c>
      <c r="J137" s="298">
        <f>'8_MP'!AN416</f>
        <v>60000</v>
      </c>
      <c r="K137" s="286" t="s">
        <v>2691</v>
      </c>
      <c r="L137" s="1947" t="s">
        <v>2682</v>
      </c>
      <c r="M137" s="286" t="s">
        <v>2691</v>
      </c>
      <c r="N137" s="1947" t="s">
        <v>2682</v>
      </c>
      <c r="O137" s="287" t="s">
        <v>1413</v>
      </c>
      <c r="P137" s="283" t="s">
        <v>763</v>
      </c>
      <c r="Q137" s="1981" t="s">
        <v>2757</v>
      </c>
      <c r="R137" s="1954"/>
      <c r="S137" s="1954"/>
      <c r="T137" s="1954"/>
    </row>
    <row r="138" spans="1:20" ht="48">
      <c r="A138" s="294">
        <f t="shared" si="2"/>
        <v>85</v>
      </c>
      <c r="B138" s="284" t="s">
        <v>2333</v>
      </c>
      <c r="C138" s="278" t="s">
        <v>2739</v>
      </c>
      <c r="D138" s="298">
        <f t="shared" si="0"/>
        <v>40000</v>
      </c>
      <c r="E138" s="298">
        <v>0</v>
      </c>
      <c r="F138" s="300">
        <v>1</v>
      </c>
      <c r="G138" s="300">
        <v>0</v>
      </c>
      <c r="H138" s="300">
        <v>0</v>
      </c>
      <c r="I138" s="1964" t="str">
        <f>'8_MP'!$D$423</f>
        <v>3.3.1.1</v>
      </c>
      <c r="J138" s="298">
        <f>'8_MP'!$AN$423</f>
        <v>40000</v>
      </c>
      <c r="K138" s="286" t="s">
        <v>2691</v>
      </c>
      <c r="L138" s="1947" t="s">
        <v>2682</v>
      </c>
      <c r="M138" s="286" t="s">
        <v>2691</v>
      </c>
      <c r="N138" s="1947" t="s">
        <v>2682</v>
      </c>
      <c r="O138" s="287" t="s">
        <v>1413</v>
      </c>
      <c r="P138" s="283" t="s">
        <v>763</v>
      </c>
      <c r="Q138" s="1981" t="s">
        <v>2757</v>
      </c>
      <c r="R138" s="1954"/>
      <c r="S138" s="1954"/>
      <c r="T138" s="1954"/>
    </row>
    <row r="139" spans="1:20" ht="16">
      <c r="A139" s="294">
        <f t="shared" si="2"/>
        <v>86</v>
      </c>
      <c r="B139" s="284" t="s">
        <v>2335</v>
      </c>
      <c r="C139" s="278" t="s">
        <v>2783</v>
      </c>
      <c r="D139" s="298" t="e">
        <f t="shared" si="0"/>
        <v>#REF!</v>
      </c>
      <c r="E139" s="298">
        <v>0</v>
      </c>
      <c r="F139" s="300">
        <v>1</v>
      </c>
      <c r="G139" s="300">
        <v>0</v>
      </c>
      <c r="H139" s="300">
        <v>0</v>
      </c>
      <c r="I139" s="1965" t="e">
        <f>'8_MP'!#REF!</f>
        <v>#REF!</v>
      </c>
      <c r="J139" s="298" t="e">
        <f>'8_MP'!#REF!*12</f>
        <v>#REF!</v>
      </c>
      <c r="K139" s="286" t="s">
        <v>2691</v>
      </c>
      <c r="L139" s="1947" t="s">
        <v>2682</v>
      </c>
      <c r="M139" s="286" t="s">
        <v>2691</v>
      </c>
      <c r="N139" s="1947" t="s">
        <v>2682</v>
      </c>
      <c r="O139" s="287" t="s">
        <v>1413</v>
      </c>
      <c r="P139" s="283" t="s">
        <v>763</v>
      </c>
      <c r="Q139" s="1981" t="s">
        <v>2727</v>
      </c>
      <c r="R139" s="1954"/>
      <c r="S139" s="1954"/>
      <c r="T139" s="1954"/>
    </row>
    <row r="140" spans="1:20" ht="17" thickBot="1">
      <c r="A140" s="294">
        <f t="shared" si="2"/>
        <v>87</v>
      </c>
      <c r="B140" s="1972" t="s">
        <v>2336</v>
      </c>
      <c r="C140" s="278" t="s">
        <v>2783</v>
      </c>
      <c r="D140" s="298" t="e">
        <f t="shared" ref="D140:D157" si="3">+J140</f>
        <v>#REF!</v>
      </c>
      <c r="E140" s="298">
        <v>0</v>
      </c>
      <c r="F140" s="300">
        <v>1</v>
      </c>
      <c r="G140" s="300">
        <v>0</v>
      </c>
      <c r="H140" s="300">
        <v>0</v>
      </c>
      <c r="I140" s="1965" t="e">
        <f>'8_MP'!#REF!</f>
        <v>#REF!</v>
      </c>
      <c r="J140" s="298" t="e">
        <f>'8_MP'!#REF!*12</f>
        <v>#REF!</v>
      </c>
      <c r="K140" s="286" t="s">
        <v>2691</v>
      </c>
      <c r="L140" s="1947" t="s">
        <v>2682</v>
      </c>
      <c r="M140" s="286" t="s">
        <v>2691</v>
      </c>
      <c r="N140" s="1947" t="s">
        <v>2682</v>
      </c>
      <c r="O140" s="287" t="s">
        <v>1413</v>
      </c>
      <c r="P140" s="283" t="s">
        <v>763</v>
      </c>
      <c r="Q140" s="1981" t="s">
        <v>2727</v>
      </c>
      <c r="R140" s="1954"/>
      <c r="S140" s="1954"/>
      <c r="T140" s="1954"/>
    </row>
    <row r="141" spans="1:20" ht="16">
      <c r="A141" s="1970">
        <f t="shared" si="2"/>
        <v>88</v>
      </c>
      <c r="B141" s="1974" t="s">
        <v>2784</v>
      </c>
      <c r="C141" s="1971" t="s">
        <v>2783</v>
      </c>
      <c r="D141" s="298" t="e">
        <f t="shared" si="3"/>
        <v>#REF!</v>
      </c>
      <c r="E141" s="298">
        <v>0</v>
      </c>
      <c r="F141" s="300">
        <v>1</v>
      </c>
      <c r="G141" s="300">
        <v>0</v>
      </c>
      <c r="H141" s="300">
        <v>0</v>
      </c>
      <c r="I141" s="1965" t="e">
        <f>'8_MP'!#REF!</f>
        <v>#REF!</v>
      </c>
      <c r="J141" s="298" t="e">
        <f>'8_MP'!#REF!*12</f>
        <v>#REF!</v>
      </c>
      <c r="K141" s="286" t="s">
        <v>2691</v>
      </c>
      <c r="L141" s="1947" t="s">
        <v>2682</v>
      </c>
      <c r="M141" s="286" t="s">
        <v>2691</v>
      </c>
      <c r="N141" s="1947" t="s">
        <v>2682</v>
      </c>
      <c r="O141" s="287" t="s">
        <v>1413</v>
      </c>
      <c r="P141" s="283" t="s">
        <v>763</v>
      </c>
      <c r="Q141" s="1981" t="s">
        <v>2727</v>
      </c>
      <c r="R141" s="1954"/>
      <c r="S141" s="1954"/>
      <c r="T141" s="1954"/>
    </row>
    <row r="142" spans="1:20" ht="17" thickBot="1">
      <c r="A142" s="1970">
        <f t="shared" si="2"/>
        <v>89</v>
      </c>
      <c r="B142" s="1976" t="s">
        <v>2784</v>
      </c>
      <c r="C142" s="1971" t="s">
        <v>2783</v>
      </c>
      <c r="D142" s="298" t="e">
        <f t="shared" si="3"/>
        <v>#REF!</v>
      </c>
      <c r="E142" s="298">
        <v>0</v>
      </c>
      <c r="F142" s="300">
        <v>1</v>
      </c>
      <c r="G142" s="300">
        <v>0</v>
      </c>
      <c r="H142" s="300">
        <v>0</v>
      </c>
      <c r="I142" s="1965" t="e">
        <f>'8_MP'!#REF!</f>
        <v>#REF!</v>
      </c>
      <c r="J142" s="298" t="e">
        <f>'8_MP'!#REF!*12</f>
        <v>#REF!</v>
      </c>
      <c r="K142" s="286" t="s">
        <v>2691</v>
      </c>
      <c r="L142" s="1947" t="s">
        <v>2682</v>
      </c>
      <c r="M142" s="286" t="s">
        <v>2691</v>
      </c>
      <c r="N142" s="1947" t="s">
        <v>2682</v>
      </c>
      <c r="O142" s="287" t="s">
        <v>1413</v>
      </c>
      <c r="P142" s="283" t="s">
        <v>763</v>
      </c>
      <c r="Q142" s="1981" t="s">
        <v>2727</v>
      </c>
      <c r="R142" s="1954"/>
      <c r="S142" s="1954"/>
      <c r="T142" s="1954"/>
    </row>
    <row r="143" spans="1:20" ht="16">
      <c r="A143" s="294">
        <f t="shared" si="2"/>
        <v>90</v>
      </c>
      <c r="B143" s="1973" t="s">
        <v>2785</v>
      </c>
      <c r="C143" s="278" t="s">
        <v>2783</v>
      </c>
      <c r="D143" s="298" t="e">
        <f t="shared" si="3"/>
        <v>#REF!</v>
      </c>
      <c r="E143" s="298">
        <v>0</v>
      </c>
      <c r="F143" s="300">
        <v>1</v>
      </c>
      <c r="G143" s="300">
        <v>0</v>
      </c>
      <c r="H143" s="300">
        <v>0</v>
      </c>
      <c r="I143" s="1965" t="e">
        <f>'8_MP'!#REF!</f>
        <v>#REF!</v>
      </c>
      <c r="J143" s="298" t="e">
        <f>'8_MP'!#REF!*12</f>
        <v>#REF!</v>
      </c>
      <c r="K143" s="286" t="s">
        <v>2691</v>
      </c>
      <c r="L143" s="1947" t="s">
        <v>2682</v>
      </c>
      <c r="M143" s="286" t="s">
        <v>2691</v>
      </c>
      <c r="N143" s="1947" t="s">
        <v>2682</v>
      </c>
      <c r="O143" s="287" t="s">
        <v>1413</v>
      </c>
      <c r="P143" s="283" t="s">
        <v>763</v>
      </c>
      <c r="Q143" s="1981" t="s">
        <v>2727</v>
      </c>
      <c r="R143" s="1954"/>
      <c r="S143" s="1954"/>
      <c r="T143" s="1954"/>
    </row>
    <row r="144" spans="1:20" ht="16">
      <c r="A144" s="294">
        <f t="shared" si="2"/>
        <v>91</v>
      </c>
      <c r="B144" s="284" t="s">
        <v>2786</v>
      </c>
      <c r="C144" s="278" t="s">
        <v>2783</v>
      </c>
      <c r="D144" s="298" t="e">
        <f t="shared" si="3"/>
        <v>#REF!</v>
      </c>
      <c r="E144" s="298">
        <v>0</v>
      </c>
      <c r="F144" s="300">
        <v>1</v>
      </c>
      <c r="G144" s="300">
        <v>0</v>
      </c>
      <c r="H144" s="300">
        <v>0</v>
      </c>
      <c r="I144" s="1965" t="e">
        <f>'8_MP'!#REF!</f>
        <v>#REF!</v>
      </c>
      <c r="J144" s="298" t="e">
        <f>'8_MP'!#REF!*12</f>
        <v>#REF!</v>
      </c>
      <c r="K144" s="286" t="s">
        <v>2691</v>
      </c>
      <c r="L144" s="1947" t="s">
        <v>2682</v>
      </c>
      <c r="M144" s="286" t="s">
        <v>2691</v>
      </c>
      <c r="N144" s="1947" t="s">
        <v>2682</v>
      </c>
      <c r="O144" s="287" t="s">
        <v>1413</v>
      </c>
      <c r="P144" s="283" t="s">
        <v>763</v>
      </c>
      <c r="Q144" s="1981" t="s">
        <v>2727</v>
      </c>
      <c r="R144" s="1954"/>
      <c r="S144" s="1954"/>
      <c r="T144" s="1954"/>
    </row>
    <row r="145" spans="1:20" ht="32">
      <c r="A145" s="294">
        <f t="shared" si="2"/>
        <v>92</v>
      </c>
      <c r="B145" s="284" t="s">
        <v>2887</v>
      </c>
      <c r="C145" s="278" t="s">
        <v>2783</v>
      </c>
      <c r="D145" s="298" t="e">
        <f t="shared" si="3"/>
        <v>#REF!</v>
      </c>
      <c r="E145" s="298">
        <v>0</v>
      </c>
      <c r="F145" s="300">
        <v>1</v>
      </c>
      <c r="G145" s="300">
        <v>0</v>
      </c>
      <c r="H145" s="300">
        <v>0</v>
      </c>
      <c r="I145" s="1965" t="e">
        <f>'8_MP'!#REF!</f>
        <v>#REF!</v>
      </c>
      <c r="J145" s="298" t="e">
        <f>'8_MP'!#REF!*12</f>
        <v>#REF!</v>
      </c>
      <c r="K145" s="286" t="s">
        <v>2691</v>
      </c>
      <c r="L145" s="1947" t="s">
        <v>2682</v>
      </c>
      <c r="M145" s="286" t="s">
        <v>2691</v>
      </c>
      <c r="N145" s="1947" t="s">
        <v>2682</v>
      </c>
      <c r="O145" s="287" t="s">
        <v>1413</v>
      </c>
      <c r="P145" s="283" t="s">
        <v>763</v>
      </c>
      <c r="Q145" s="1981" t="s">
        <v>2727</v>
      </c>
      <c r="R145" s="1954"/>
      <c r="S145" s="1954"/>
      <c r="T145" s="1954"/>
    </row>
    <row r="146" spans="1:20" ht="32">
      <c r="A146" s="294">
        <f t="shared" si="2"/>
        <v>93</v>
      </c>
      <c r="B146" s="284" t="s">
        <v>2787</v>
      </c>
      <c r="C146" s="278" t="s">
        <v>2783</v>
      </c>
      <c r="D146" s="298" t="e">
        <f t="shared" si="3"/>
        <v>#REF!</v>
      </c>
      <c r="E146" s="298">
        <v>0</v>
      </c>
      <c r="F146" s="300">
        <v>1</v>
      </c>
      <c r="G146" s="300">
        <v>0</v>
      </c>
      <c r="H146" s="300">
        <v>0</v>
      </c>
      <c r="I146" s="1965" t="e">
        <f>'8_MP'!#REF!</f>
        <v>#REF!</v>
      </c>
      <c r="J146" s="298" t="e">
        <f>'8_MP'!#REF!*6*12</f>
        <v>#REF!</v>
      </c>
      <c r="K146" s="286" t="s">
        <v>2691</v>
      </c>
      <c r="L146" s="1947" t="s">
        <v>2682</v>
      </c>
      <c r="M146" s="286" t="s">
        <v>2691</v>
      </c>
      <c r="N146" s="1947" t="s">
        <v>2682</v>
      </c>
      <c r="O146" s="287" t="s">
        <v>1413</v>
      </c>
      <c r="P146" s="287" t="s">
        <v>1659</v>
      </c>
      <c r="Q146" s="1981" t="s">
        <v>2727</v>
      </c>
      <c r="R146" s="1954"/>
      <c r="S146" s="1954"/>
      <c r="T146" s="1954"/>
    </row>
    <row r="147" spans="1:20" ht="16">
      <c r="A147" s="294">
        <f t="shared" si="2"/>
        <v>94</v>
      </c>
      <c r="B147" s="1972" t="s">
        <v>2888</v>
      </c>
      <c r="C147" s="278" t="s">
        <v>2889</v>
      </c>
      <c r="D147" s="298" t="e">
        <f t="shared" si="3"/>
        <v>#REF!</v>
      </c>
      <c r="E147" s="298">
        <v>0</v>
      </c>
      <c r="F147" s="300">
        <v>1</v>
      </c>
      <c r="G147" s="300">
        <v>0</v>
      </c>
      <c r="H147" s="300">
        <v>0</v>
      </c>
      <c r="I147" s="1965" t="e">
        <f>'8_MP'!#REF!</f>
        <v>#REF!</v>
      </c>
      <c r="J147" s="298" t="e">
        <f>'8_MP'!#REF!*12</f>
        <v>#REF!</v>
      </c>
      <c r="K147" s="286" t="s">
        <v>2691</v>
      </c>
      <c r="L147" s="1947" t="s">
        <v>2682</v>
      </c>
      <c r="M147" s="286" t="s">
        <v>2691</v>
      </c>
      <c r="N147" s="1947" t="s">
        <v>2682</v>
      </c>
      <c r="O147" s="287" t="s">
        <v>1413</v>
      </c>
      <c r="P147" s="283" t="s">
        <v>763</v>
      </c>
      <c r="Q147" s="1981" t="s">
        <v>2727</v>
      </c>
      <c r="R147" s="1954"/>
      <c r="S147" s="1954"/>
      <c r="T147" s="1954"/>
    </row>
    <row r="148" spans="1:20" ht="17" thickBot="1">
      <c r="A148" s="294">
        <f t="shared" si="2"/>
        <v>95</v>
      </c>
      <c r="B148" s="1972" t="s">
        <v>2890</v>
      </c>
      <c r="C148" s="278" t="s">
        <v>2889</v>
      </c>
      <c r="D148" s="298" t="e">
        <f t="shared" si="3"/>
        <v>#REF!</v>
      </c>
      <c r="E148" s="298">
        <v>0</v>
      </c>
      <c r="F148" s="300">
        <v>1</v>
      </c>
      <c r="G148" s="300">
        <v>0</v>
      </c>
      <c r="H148" s="300">
        <v>0</v>
      </c>
      <c r="I148" s="1965" t="e">
        <f>'8_MP'!#REF!</f>
        <v>#REF!</v>
      </c>
      <c r="J148" s="298" t="e">
        <f>'8_MP'!#REF!*12</f>
        <v>#REF!</v>
      </c>
      <c r="K148" s="286" t="s">
        <v>2691</v>
      </c>
      <c r="L148" s="1947" t="s">
        <v>2682</v>
      </c>
      <c r="M148" s="286" t="s">
        <v>2691</v>
      </c>
      <c r="N148" s="1947" t="s">
        <v>2682</v>
      </c>
      <c r="O148" s="287" t="s">
        <v>1413</v>
      </c>
      <c r="P148" s="283" t="s">
        <v>763</v>
      </c>
      <c r="Q148" s="1981" t="s">
        <v>2727</v>
      </c>
      <c r="R148" s="1954"/>
      <c r="S148" s="1954"/>
      <c r="T148" s="1954"/>
    </row>
    <row r="149" spans="1:20" ht="16">
      <c r="A149" s="294">
        <f t="shared" si="2"/>
        <v>96</v>
      </c>
      <c r="B149" s="1974" t="s">
        <v>2891</v>
      </c>
      <c r="C149" s="1971" t="s">
        <v>2889</v>
      </c>
      <c r="D149" s="298" t="e">
        <f t="shared" si="3"/>
        <v>#REF!</v>
      </c>
      <c r="E149" s="298">
        <v>0</v>
      </c>
      <c r="F149" s="300">
        <v>1</v>
      </c>
      <c r="G149" s="300">
        <v>0</v>
      </c>
      <c r="H149" s="300">
        <v>0</v>
      </c>
      <c r="I149" s="1965" t="e">
        <f>'8_MP'!#REF!</f>
        <v>#REF!</v>
      </c>
      <c r="J149" s="298" t="e">
        <f>'8_MP'!#REF!*12</f>
        <v>#REF!</v>
      </c>
      <c r="K149" s="286" t="s">
        <v>2691</v>
      </c>
      <c r="L149" s="1947" t="s">
        <v>2682</v>
      </c>
      <c r="M149" s="286" t="s">
        <v>2691</v>
      </c>
      <c r="N149" s="1947" t="s">
        <v>2682</v>
      </c>
      <c r="O149" s="287" t="s">
        <v>1413</v>
      </c>
      <c r="P149" s="283" t="s">
        <v>763</v>
      </c>
      <c r="Q149" s="1981" t="s">
        <v>2727</v>
      </c>
      <c r="R149" s="1954"/>
      <c r="S149" s="1954"/>
      <c r="T149" s="1954"/>
    </row>
    <row r="150" spans="1:20" ht="17" thickBot="1">
      <c r="A150" s="294">
        <f t="shared" si="2"/>
        <v>97</v>
      </c>
      <c r="B150" s="1976" t="s">
        <v>2891</v>
      </c>
      <c r="C150" s="1971" t="s">
        <v>2889</v>
      </c>
      <c r="D150" s="298" t="e">
        <f t="shared" si="3"/>
        <v>#REF!</v>
      </c>
      <c r="E150" s="298">
        <v>0</v>
      </c>
      <c r="F150" s="300">
        <v>1</v>
      </c>
      <c r="G150" s="300">
        <v>0</v>
      </c>
      <c r="H150" s="300">
        <v>0</v>
      </c>
      <c r="I150" s="1965" t="e">
        <f>'8_MP'!#REF!</f>
        <v>#REF!</v>
      </c>
      <c r="J150" s="298" t="e">
        <f>'8_MP'!#REF!*12</f>
        <v>#REF!</v>
      </c>
      <c r="K150" s="286" t="s">
        <v>2691</v>
      </c>
      <c r="L150" s="1947" t="s">
        <v>2682</v>
      </c>
      <c r="M150" s="286" t="s">
        <v>2691</v>
      </c>
      <c r="N150" s="1947" t="s">
        <v>2682</v>
      </c>
      <c r="O150" s="287" t="s">
        <v>1413</v>
      </c>
      <c r="P150" s="283" t="s">
        <v>763</v>
      </c>
      <c r="Q150" s="1981" t="s">
        <v>2727</v>
      </c>
      <c r="R150" s="1954"/>
      <c r="S150" s="1954"/>
      <c r="T150" s="1954"/>
    </row>
    <row r="151" spans="1:20" ht="16">
      <c r="A151" s="294">
        <f t="shared" si="2"/>
        <v>98</v>
      </c>
      <c r="B151" s="1973" t="s">
        <v>2892</v>
      </c>
      <c r="C151" s="278" t="s">
        <v>2889</v>
      </c>
      <c r="D151" s="298" t="e">
        <f t="shared" si="3"/>
        <v>#REF!</v>
      </c>
      <c r="E151" s="298">
        <v>0</v>
      </c>
      <c r="F151" s="300">
        <v>1</v>
      </c>
      <c r="G151" s="300">
        <v>0</v>
      </c>
      <c r="H151" s="300">
        <v>0</v>
      </c>
      <c r="I151" s="1965" t="e">
        <f>'8_MP'!#REF!</f>
        <v>#REF!</v>
      </c>
      <c r="J151" s="298" t="e">
        <f>'8_MP'!#REF!*12</f>
        <v>#REF!</v>
      </c>
      <c r="K151" s="286" t="s">
        <v>2691</v>
      </c>
      <c r="L151" s="1947" t="s">
        <v>2682</v>
      </c>
      <c r="M151" s="286" t="s">
        <v>2691</v>
      </c>
      <c r="N151" s="1947" t="s">
        <v>2682</v>
      </c>
      <c r="O151" s="287" t="s">
        <v>1413</v>
      </c>
      <c r="P151" s="283" t="s">
        <v>763</v>
      </c>
      <c r="Q151" s="1981" t="s">
        <v>2727</v>
      </c>
      <c r="R151" s="1954"/>
      <c r="S151" s="1954"/>
      <c r="T151" s="1954"/>
    </row>
    <row r="152" spans="1:20" ht="16">
      <c r="A152" s="294"/>
      <c r="B152" s="284"/>
      <c r="C152" s="278"/>
      <c r="D152" s="298">
        <f t="shared" si="3"/>
        <v>0</v>
      </c>
      <c r="E152" s="298">
        <v>0</v>
      </c>
      <c r="F152" s="300">
        <v>1</v>
      </c>
      <c r="G152" s="300">
        <v>0</v>
      </c>
      <c r="H152" s="300">
        <v>0</v>
      </c>
      <c r="I152" s="1964"/>
      <c r="J152" s="298"/>
      <c r="K152" s="286" t="s">
        <v>2691</v>
      </c>
      <c r="L152" s="1947" t="s">
        <v>2682</v>
      </c>
      <c r="M152" s="286" t="s">
        <v>2691</v>
      </c>
      <c r="N152" s="1947" t="s">
        <v>2682</v>
      </c>
      <c r="O152" s="287"/>
      <c r="P152" s="283"/>
      <c r="Q152" s="283"/>
      <c r="R152" s="1954"/>
      <c r="S152" s="1954"/>
      <c r="T152" s="1954"/>
    </row>
    <row r="153" spans="1:20" ht="16">
      <c r="A153" s="294"/>
      <c r="B153" s="284"/>
      <c r="C153" s="278"/>
      <c r="D153" s="298">
        <f t="shared" si="3"/>
        <v>0</v>
      </c>
      <c r="E153" s="298">
        <v>0</v>
      </c>
      <c r="F153" s="300">
        <v>1</v>
      </c>
      <c r="G153" s="300">
        <v>0</v>
      </c>
      <c r="H153" s="300">
        <v>0</v>
      </c>
      <c r="I153" s="1964"/>
      <c r="J153" s="298"/>
      <c r="K153" s="286" t="s">
        <v>2691</v>
      </c>
      <c r="L153" s="1947" t="s">
        <v>2682</v>
      </c>
      <c r="M153" s="286" t="s">
        <v>2691</v>
      </c>
      <c r="N153" s="1947" t="s">
        <v>2682</v>
      </c>
      <c r="O153" s="287"/>
      <c r="P153" s="283"/>
      <c r="Q153" s="283"/>
      <c r="R153" s="1954"/>
      <c r="S153" s="1954"/>
      <c r="T153" s="1954"/>
    </row>
    <row r="154" spans="1:20" ht="16">
      <c r="A154" s="294"/>
      <c r="B154" s="284"/>
      <c r="C154" s="278"/>
      <c r="D154" s="298">
        <f t="shared" si="3"/>
        <v>0</v>
      </c>
      <c r="E154" s="298">
        <v>0</v>
      </c>
      <c r="F154" s="300">
        <v>1</v>
      </c>
      <c r="G154" s="300">
        <v>0</v>
      </c>
      <c r="H154" s="300">
        <v>0</v>
      </c>
      <c r="I154" s="1964"/>
      <c r="J154" s="298"/>
      <c r="K154" s="286" t="s">
        <v>2691</v>
      </c>
      <c r="L154" s="1947" t="s">
        <v>2682</v>
      </c>
      <c r="M154" s="286" t="s">
        <v>2691</v>
      </c>
      <c r="N154" s="1947" t="s">
        <v>2682</v>
      </c>
      <c r="O154" s="287"/>
      <c r="P154" s="283"/>
      <c r="Q154" s="283"/>
      <c r="R154" s="1954"/>
      <c r="S154" s="1954"/>
      <c r="T154" s="1954"/>
    </row>
    <row r="155" spans="1:20" ht="16">
      <c r="A155" s="294"/>
      <c r="B155" s="284"/>
      <c r="C155" s="278"/>
      <c r="D155" s="298">
        <f t="shared" si="3"/>
        <v>0</v>
      </c>
      <c r="E155" s="298">
        <v>0</v>
      </c>
      <c r="F155" s="300">
        <v>1</v>
      </c>
      <c r="G155" s="300">
        <v>0</v>
      </c>
      <c r="H155" s="300">
        <v>0</v>
      </c>
      <c r="I155" s="1964"/>
      <c r="J155" s="298"/>
      <c r="K155" s="286" t="s">
        <v>2691</v>
      </c>
      <c r="L155" s="1947" t="s">
        <v>2682</v>
      </c>
      <c r="M155" s="286" t="s">
        <v>2691</v>
      </c>
      <c r="N155" s="1947" t="s">
        <v>2682</v>
      </c>
      <c r="O155" s="287"/>
      <c r="P155" s="283"/>
      <c r="Q155" s="283"/>
      <c r="R155" s="1954"/>
      <c r="S155" s="1954"/>
      <c r="T155" s="1954"/>
    </row>
    <row r="156" spans="1:20" ht="16">
      <c r="A156" s="294"/>
      <c r="B156" s="284"/>
      <c r="C156" s="278"/>
      <c r="D156" s="298">
        <f t="shared" si="3"/>
        <v>0</v>
      </c>
      <c r="E156" s="298">
        <v>0</v>
      </c>
      <c r="F156" s="300">
        <v>1</v>
      </c>
      <c r="G156" s="300">
        <v>0</v>
      </c>
      <c r="H156" s="300">
        <v>0</v>
      </c>
      <c r="I156" s="1964"/>
      <c r="J156" s="298"/>
      <c r="K156" s="286" t="s">
        <v>2691</v>
      </c>
      <c r="L156" s="1947" t="s">
        <v>2682</v>
      </c>
      <c r="M156" s="286" t="s">
        <v>2691</v>
      </c>
      <c r="N156" s="1947" t="s">
        <v>2682</v>
      </c>
      <c r="O156" s="287"/>
      <c r="P156" s="283"/>
      <c r="Q156" s="283"/>
      <c r="R156" s="1954"/>
      <c r="S156" s="1954"/>
      <c r="T156" s="1954"/>
    </row>
    <row r="157" spans="1:20" ht="16">
      <c r="A157" s="294"/>
      <c r="B157" s="284"/>
      <c r="C157" s="278"/>
      <c r="D157" s="298">
        <f t="shared" si="3"/>
        <v>0</v>
      </c>
      <c r="E157" s="298">
        <v>0</v>
      </c>
      <c r="F157" s="300">
        <v>1</v>
      </c>
      <c r="G157" s="300">
        <v>0</v>
      </c>
      <c r="H157" s="300">
        <v>0</v>
      </c>
      <c r="I157" s="1964"/>
      <c r="J157" s="298"/>
      <c r="K157" s="286" t="s">
        <v>2691</v>
      </c>
      <c r="L157" s="1947" t="s">
        <v>2682</v>
      </c>
      <c r="M157" s="286" t="s">
        <v>2691</v>
      </c>
      <c r="N157" s="1947" t="s">
        <v>2682</v>
      </c>
      <c r="O157" s="287"/>
      <c r="P157" s="283"/>
      <c r="Q157" s="283"/>
      <c r="R157" s="1954"/>
      <c r="S157" s="1954"/>
      <c r="T157" s="1954"/>
    </row>
    <row r="158" spans="1:20">
      <c r="A158" s="4222" t="s">
        <v>2788</v>
      </c>
      <c r="B158" s="4222"/>
      <c r="C158" s="4222"/>
      <c r="D158" s="1955" t="e">
        <f>SUM(D75:D157)</f>
        <v>#REF!</v>
      </c>
      <c r="E158" s="1955">
        <f>SUM(E75:E157)</f>
        <v>0</v>
      </c>
      <c r="F158" s="4222"/>
      <c r="G158" s="4222"/>
      <c r="H158" s="4222"/>
      <c r="I158" s="4222"/>
      <c r="J158" s="4222"/>
      <c r="K158" s="4222"/>
      <c r="L158" s="4222"/>
      <c r="M158" s="4222"/>
      <c r="N158" s="4222"/>
      <c r="O158" s="4222"/>
      <c r="P158" s="4222"/>
      <c r="Q158" s="4222"/>
      <c r="R158" s="4222"/>
      <c r="S158" s="4222"/>
      <c r="T158" s="4222"/>
    </row>
    <row r="159" spans="1:20">
      <c r="O159" s="264"/>
      <c r="P159" s="264"/>
      <c r="Q159" s="264"/>
    </row>
    <row r="160" spans="1:20">
      <c r="O160" s="264"/>
      <c r="P160" s="264"/>
      <c r="Q160" s="264"/>
    </row>
    <row r="161" spans="4:17">
      <c r="O161" s="264"/>
      <c r="P161" s="264"/>
      <c r="Q161" s="264"/>
    </row>
    <row r="162" spans="4:17">
      <c r="O162" s="264"/>
      <c r="P162" s="264"/>
      <c r="Q162" s="264"/>
    </row>
    <row r="163" spans="4:17">
      <c r="D163" s="257"/>
      <c r="O163" s="264"/>
      <c r="P163" s="264"/>
      <c r="Q163" s="264"/>
    </row>
    <row r="164" spans="4:17">
      <c r="O164" s="264"/>
      <c r="P164" s="264"/>
      <c r="Q164" s="264"/>
    </row>
    <row r="165" spans="4:17">
      <c r="O165" s="264"/>
      <c r="P165" s="264"/>
      <c r="Q165" s="264"/>
    </row>
    <row r="166" spans="4:17">
      <c r="O166" s="264"/>
      <c r="P166" s="264"/>
      <c r="Q166" s="264"/>
    </row>
    <row r="167" spans="4:17">
      <c r="O167" s="264"/>
      <c r="P167" s="264"/>
      <c r="Q167" s="264"/>
    </row>
    <row r="168" spans="4:17">
      <c r="O168" s="264"/>
      <c r="P168" s="264"/>
      <c r="Q168" s="264"/>
    </row>
    <row r="169" spans="4:17">
      <c r="O169" s="264"/>
      <c r="P169" s="264"/>
      <c r="Q169" s="264"/>
    </row>
    <row r="170" spans="4:17">
      <c r="O170" s="264"/>
      <c r="P170" s="264"/>
      <c r="Q170" s="264"/>
    </row>
    <row r="171" spans="4:17">
      <c r="O171" s="264"/>
      <c r="P171" s="264"/>
      <c r="Q171" s="264"/>
    </row>
    <row r="172" spans="4:17">
      <c r="O172" s="264"/>
      <c r="P172" s="264"/>
      <c r="Q172" s="264"/>
    </row>
    <row r="173" spans="4:17">
      <c r="O173" s="264"/>
      <c r="P173" s="264"/>
      <c r="Q173" s="264"/>
    </row>
    <row r="174" spans="4:17">
      <c r="O174" s="264"/>
      <c r="P174" s="264"/>
      <c r="Q174" s="264"/>
    </row>
    <row r="175" spans="4:17">
      <c r="O175" s="264"/>
      <c r="P175" s="264"/>
      <c r="Q175" s="264"/>
    </row>
    <row r="176" spans="4:17">
      <c r="O176" s="264"/>
      <c r="P176" s="264"/>
      <c r="Q176" s="264"/>
    </row>
    <row r="177" spans="15:17">
      <c r="O177" s="264"/>
      <c r="P177" s="264"/>
      <c r="Q177" s="264"/>
    </row>
    <row r="178" spans="15:17">
      <c r="O178" s="264"/>
      <c r="P178" s="264"/>
      <c r="Q178" s="264"/>
    </row>
    <row r="179" spans="15:17">
      <c r="O179" s="264"/>
      <c r="P179" s="264"/>
      <c r="Q179" s="264"/>
    </row>
    <row r="180" spans="15:17">
      <c r="O180" s="264"/>
      <c r="P180" s="264"/>
      <c r="Q180" s="264"/>
    </row>
    <row r="181" spans="15:17">
      <c r="O181" s="264"/>
      <c r="P181" s="264"/>
      <c r="Q181" s="264"/>
    </row>
    <row r="182" spans="15:17">
      <c r="O182" s="264"/>
      <c r="P182" s="264"/>
      <c r="Q182" s="264"/>
    </row>
    <row r="183" spans="15:17">
      <c r="O183" s="264"/>
      <c r="P183" s="264"/>
      <c r="Q183" s="264"/>
    </row>
    <row r="184" spans="15:17">
      <c r="O184" s="264"/>
      <c r="P184" s="264"/>
      <c r="Q184" s="264"/>
    </row>
    <row r="185" spans="15:17">
      <c r="O185" s="264"/>
      <c r="P185" s="264"/>
      <c r="Q185" s="264"/>
    </row>
    <row r="186" spans="15:17">
      <c r="O186" s="264"/>
      <c r="P186" s="264"/>
      <c r="Q186" s="264"/>
    </row>
    <row r="187" spans="15:17">
      <c r="O187" s="264"/>
      <c r="P187" s="264"/>
      <c r="Q187" s="264"/>
    </row>
    <row r="188" spans="15:17">
      <c r="O188" s="264"/>
      <c r="P188" s="264"/>
      <c r="Q188" s="264"/>
    </row>
    <row r="189" spans="15:17">
      <c r="O189" s="264"/>
      <c r="P189" s="264"/>
      <c r="Q189" s="264"/>
    </row>
    <row r="190" spans="15:17">
      <c r="O190" s="264"/>
      <c r="P190" s="264"/>
      <c r="Q190" s="264"/>
    </row>
    <row r="191" spans="15:17">
      <c r="O191" s="264"/>
      <c r="P191" s="264"/>
      <c r="Q191" s="264"/>
    </row>
    <row r="192" spans="15:17">
      <c r="O192" s="264"/>
      <c r="P192" s="264"/>
      <c r="Q192" s="264"/>
    </row>
    <row r="193" spans="15:17">
      <c r="O193" s="264"/>
      <c r="P193" s="264"/>
      <c r="Q193" s="264"/>
    </row>
    <row r="194" spans="15:17">
      <c r="O194" s="264"/>
      <c r="P194" s="264"/>
      <c r="Q194" s="264"/>
    </row>
    <row r="195" spans="15:17">
      <c r="O195" s="264"/>
      <c r="P195" s="264"/>
      <c r="Q195" s="264"/>
    </row>
    <row r="196" spans="15:17">
      <c r="O196" s="264"/>
      <c r="P196" s="264"/>
      <c r="Q196" s="264"/>
    </row>
    <row r="197" spans="15:17">
      <c r="O197" s="264"/>
      <c r="P197" s="264"/>
      <c r="Q197" s="264"/>
    </row>
    <row r="198" spans="15:17">
      <c r="O198" s="264"/>
      <c r="P198" s="264"/>
      <c r="Q198" s="264"/>
    </row>
    <row r="199" spans="15:17">
      <c r="O199" s="264"/>
      <c r="P199" s="264"/>
      <c r="Q199" s="264"/>
    </row>
    <row r="200" spans="15:17">
      <c r="O200" s="264"/>
      <c r="P200" s="264"/>
      <c r="Q200" s="264"/>
    </row>
    <row r="201" spans="15:17">
      <c r="O201" s="264"/>
      <c r="P201" s="264"/>
      <c r="Q201" s="264"/>
    </row>
    <row r="202" spans="15:17">
      <c r="O202" s="264"/>
      <c r="P202" s="264"/>
      <c r="Q202" s="264"/>
    </row>
    <row r="203" spans="15:17">
      <c r="O203" s="264"/>
      <c r="P203" s="264"/>
      <c r="Q203" s="264"/>
    </row>
    <row r="204" spans="15:17">
      <c r="O204" s="264"/>
      <c r="P204" s="264"/>
      <c r="Q204" s="264"/>
    </row>
    <row r="205" spans="15:17">
      <c r="O205" s="264"/>
      <c r="P205" s="264"/>
      <c r="Q205" s="264"/>
    </row>
    <row r="206" spans="15:17">
      <c r="O206" s="264"/>
      <c r="P206" s="264"/>
      <c r="Q206" s="264"/>
    </row>
    <row r="207" spans="15:17">
      <c r="O207" s="264"/>
      <c r="P207" s="264"/>
      <c r="Q207" s="264"/>
    </row>
    <row r="208" spans="15:17">
      <c r="O208" s="264"/>
      <c r="P208" s="264"/>
      <c r="Q208" s="264"/>
    </row>
    <row r="209" spans="15:17">
      <c r="O209" s="264"/>
      <c r="P209" s="264"/>
      <c r="Q209" s="264"/>
    </row>
    <row r="210" spans="15:17">
      <c r="O210" s="264"/>
      <c r="P210" s="264"/>
      <c r="Q210" s="264"/>
    </row>
    <row r="211" spans="15:17">
      <c r="O211" s="264"/>
      <c r="P211" s="264"/>
      <c r="Q211" s="264"/>
    </row>
    <row r="212" spans="15:17">
      <c r="O212" s="264"/>
      <c r="P212" s="264"/>
      <c r="Q212" s="264"/>
    </row>
    <row r="213" spans="15:17">
      <c r="O213" s="264"/>
      <c r="P213" s="264"/>
      <c r="Q213" s="264"/>
    </row>
    <row r="214" spans="15:17">
      <c r="O214" s="264"/>
      <c r="P214" s="264"/>
      <c r="Q214" s="264"/>
    </row>
    <row r="215" spans="15:17">
      <c r="O215" s="264"/>
      <c r="P215" s="264"/>
      <c r="Q215" s="264"/>
    </row>
    <row r="216" spans="15:17">
      <c r="O216" s="264"/>
      <c r="P216" s="264"/>
      <c r="Q216" s="264"/>
    </row>
    <row r="217" spans="15:17">
      <c r="O217" s="264"/>
      <c r="P217" s="264"/>
      <c r="Q217" s="264"/>
    </row>
    <row r="218" spans="15:17">
      <c r="O218" s="264"/>
      <c r="P218" s="264"/>
      <c r="Q218" s="264"/>
    </row>
    <row r="219" spans="15:17">
      <c r="O219" s="264"/>
      <c r="P219" s="264"/>
      <c r="Q219" s="264"/>
    </row>
    <row r="220" spans="15:17">
      <c r="O220" s="264"/>
      <c r="P220" s="264"/>
      <c r="Q220" s="264"/>
    </row>
    <row r="221" spans="15:17">
      <c r="O221" s="264"/>
      <c r="P221" s="264"/>
      <c r="Q221" s="264"/>
    </row>
    <row r="222" spans="15:17">
      <c r="O222" s="264"/>
      <c r="P222" s="264"/>
      <c r="Q222" s="264"/>
    </row>
  </sheetData>
  <mergeCells count="282">
    <mergeCell ref="U6:V6"/>
    <mergeCell ref="W6:X6"/>
    <mergeCell ref="Y6:Z6"/>
    <mergeCell ref="A2:AF2"/>
    <mergeCell ref="A4:AF4"/>
    <mergeCell ref="A5:C5"/>
    <mergeCell ref="D5:H5"/>
    <mergeCell ref="I5:I6"/>
    <mergeCell ref="J5:J6"/>
    <mergeCell ref="K5:Z5"/>
    <mergeCell ref="AA5:AF5"/>
    <mergeCell ref="K6:L6"/>
    <mergeCell ref="M6:N6"/>
    <mergeCell ref="A7:A15"/>
    <mergeCell ref="B7:B15"/>
    <mergeCell ref="C7:C11"/>
    <mergeCell ref="D7:D15"/>
    <mergeCell ref="E7:E15"/>
    <mergeCell ref="F7:F15"/>
    <mergeCell ref="O6:P6"/>
    <mergeCell ref="Q6:R6"/>
    <mergeCell ref="S6:T6"/>
    <mergeCell ref="P7:P15"/>
    <mergeCell ref="Q7:Q15"/>
    <mergeCell ref="R7:R15"/>
    <mergeCell ref="S7:S15"/>
    <mergeCell ref="G7:G15"/>
    <mergeCell ref="H7:H15"/>
    <mergeCell ref="J7:J8"/>
    <mergeCell ref="K7:K15"/>
    <mergeCell ref="L7:L15"/>
    <mergeCell ref="M7:M15"/>
    <mergeCell ref="AF7:AF15"/>
    <mergeCell ref="J9:J11"/>
    <mergeCell ref="C12:C14"/>
    <mergeCell ref="J12:J14"/>
    <mergeCell ref="A17:A18"/>
    <mergeCell ref="B17:B18"/>
    <mergeCell ref="C17:C18"/>
    <mergeCell ref="D17:D18"/>
    <mergeCell ref="E17:E18"/>
    <mergeCell ref="F17:F18"/>
    <mergeCell ref="Z7:Z15"/>
    <mergeCell ref="AA7:AA15"/>
    <mergeCell ref="AB7:AB15"/>
    <mergeCell ref="AC7:AC15"/>
    <mergeCell ref="AD7:AD15"/>
    <mergeCell ref="AE7:AE15"/>
    <mergeCell ref="T7:T15"/>
    <mergeCell ref="U7:U15"/>
    <mergeCell ref="V7:V15"/>
    <mergeCell ref="W7:W15"/>
    <mergeCell ref="X7:X15"/>
    <mergeCell ref="Y7:Y15"/>
    <mergeCell ref="N7:N15"/>
    <mergeCell ref="O7:O15"/>
    <mergeCell ref="O17:O18"/>
    <mergeCell ref="P17:P18"/>
    <mergeCell ref="Q17:Q18"/>
    <mergeCell ref="R17:R18"/>
    <mergeCell ref="S17:S18"/>
    <mergeCell ref="T17:T18"/>
    <mergeCell ref="G17:G18"/>
    <mergeCell ref="H17:H18"/>
    <mergeCell ref="K17:K18"/>
    <mergeCell ref="L17:L18"/>
    <mergeCell ref="M17:M18"/>
    <mergeCell ref="N17:N18"/>
    <mergeCell ref="AA17:AA18"/>
    <mergeCell ref="AB17:AB18"/>
    <mergeCell ref="AC17:AC18"/>
    <mergeCell ref="AD17:AD18"/>
    <mergeCell ref="AE17:AE18"/>
    <mergeCell ref="AF17:AF18"/>
    <mergeCell ref="U17:U18"/>
    <mergeCell ref="V17:V18"/>
    <mergeCell ref="W17:W18"/>
    <mergeCell ref="X17:X18"/>
    <mergeCell ref="Y17:Y18"/>
    <mergeCell ref="Z17:Z18"/>
    <mergeCell ref="L19:L21"/>
    <mergeCell ref="M19:M21"/>
    <mergeCell ref="N19:N21"/>
    <mergeCell ref="O19:O21"/>
    <mergeCell ref="A19:A21"/>
    <mergeCell ref="B19:B21"/>
    <mergeCell ref="D19:D21"/>
    <mergeCell ref="E19:E21"/>
    <mergeCell ref="F19:F21"/>
    <mergeCell ref="G19:G21"/>
    <mergeCell ref="AB19:AB21"/>
    <mergeCell ref="AC19:AC21"/>
    <mergeCell ref="AD19:AD21"/>
    <mergeCell ref="AE19:AE21"/>
    <mergeCell ref="AF19:AF21"/>
    <mergeCell ref="A23:A24"/>
    <mergeCell ref="B23:B24"/>
    <mergeCell ref="C23:C24"/>
    <mergeCell ref="D23:D24"/>
    <mergeCell ref="E23:E24"/>
    <mergeCell ref="V19:V21"/>
    <mergeCell ref="W19:W21"/>
    <mergeCell ref="X19:X21"/>
    <mergeCell ref="Y19:Y21"/>
    <mergeCell ref="Z19:Z21"/>
    <mergeCell ref="AA19:AA21"/>
    <mergeCell ref="P19:P21"/>
    <mergeCell ref="Q19:Q21"/>
    <mergeCell ref="R19:R21"/>
    <mergeCell ref="S19:S21"/>
    <mergeCell ref="T19:T21"/>
    <mergeCell ref="U19:U21"/>
    <mergeCell ref="H19:H21"/>
    <mergeCell ref="K19:K21"/>
    <mergeCell ref="P23:P24"/>
    <mergeCell ref="Q23:Q24"/>
    <mergeCell ref="R23:R24"/>
    <mergeCell ref="S23:S24"/>
    <mergeCell ref="F23:F24"/>
    <mergeCell ref="G23:G24"/>
    <mergeCell ref="H23:H24"/>
    <mergeCell ref="K23:K24"/>
    <mergeCell ref="L23:L24"/>
    <mergeCell ref="M23:M24"/>
    <mergeCell ref="AF23:AF24"/>
    <mergeCell ref="A29:A34"/>
    <mergeCell ref="B29:B34"/>
    <mergeCell ref="D29:D34"/>
    <mergeCell ref="E29:E34"/>
    <mergeCell ref="F29:F34"/>
    <mergeCell ref="G29:G34"/>
    <mergeCell ref="H29:H34"/>
    <mergeCell ref="K29:K34"/>
    <mergeCell ref="L29:L34"/>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AF29:AF34"/>
    <mergeCell ref="A36:C36"/>
    <mergeCell ref="F36:AF36"/>
    <mergeCell ref="A38:AD38"/>
    <mergeCell ref="A39:C39"/>
    <mergeCell ref="D39:H39"/>
    <mergeCell ref="I39:I40"/>
    <mergeCell ref="J39:J40"/>
    <mergeCell ref="K39:X39"/>
    <mergeCell ref="Y29:Y34"/>
    <mergeCell ref="Z29:Z34"/>
    <mergeCell ref="AA29:AA34"/>
    <mergeCell ref="AB29:AB34"/>
    <mergeCell ref="AC29:AC34"/>
    <mergeCell ref="AD29:AD34"/>
    <mergeCell ref="S29:S34"/>
    <mergeCell ref="T29:T34"/>
    <mergeCell ref="U29:U34"/>
    <mergeCell ref="V29:V34"/>
    <mergeCell ref="W29:W34"/>
    <mergeCell ref="X29:X34"/>
    <mergeCell ref="M29:M34"/>
    <mergeCell ref="N29:N34"/>
    <mergeCell ref="O29:O34"/>
    <mergeCell ref="Y39:AD39"/>
    <mergeCell ref="K40:L40"/>
    <mergeCell ref="M40:N40"/>
    <mergeCell ref="O40:P40"/>
    <mergeCell ref="Q40:R40"/>
    <mergeCell ref="S40:T40"/>
    <mergeCell ref="U40:V40"/>
    <mergeCell ref="W40:X40"/>
    <mergeCell ref="AE29:AE34"/>
    <mergeCell ref="P29:P34"/>
    <mergeCell ref="Q29:Q34"/>
    <mergeCell ref="R29:R34"/>
    <mergeCell ref="A42:C42"/>
    <mergeCell ref="F42:AD42"/>
    <mergeCell ref="A44:Z44"/>
    <mergeCell ref="A45:C45"/>
    <mergeCell ref="D45:H45"/>
    <mergeCell ref="I45:I46"/>
    <mergeCell ref="J45:J46"/>
    <mergeCell ref="K45:T45"/>
    <mergeCell ref="U45:Z45"/>
    <mergeCell ref="K46:L46"/>
    <mergeCell ref="J48:J49"/>
    <mergeCell ref="K48:K49"/>
    <mergeCell ref="L48:L49"/>
    <mergeCell ref="M48:M49"/>
    <mergeCell ref="M46:N46"/>
    <mergeCell ref="O46:P46"/>
    <mergeCell ref="Q46:R46"/>
    <mergeCell ref="S46:T46"/>
    <mergeCell ref="A48:A49"/>
    <mergeCell ref="B48:B49"/>
    <mergeCell ref="C48:C49"/>
    <mergeCell ref="D48:D49"/>
    <mergeCell ref="E48:E49"/>
    <mergeCell ref="F48:F49"/>
    <mergeCell ref="Z48:Z49"/>
    <mergeCell ref="A56:C56"/>
    <mergeCell ref="F56:Z56"/>
    <mergeCell ref="A58:V58"/>
    <mergeCell ref="A59:C59"/>
    <mergeCell ref="D59:H59"/>
    <mergeCell ref="I59:I60"/>
    <mergeCell ref="J59:J60"/>
    <mergeCell ref="K59:P59"/>
    <mergeCell ref="Q59:V59"/>
    <mergeCell ref="T48:T49"/>
    <mergeCell ref="U48:U49"/>
    <mergeCell ref="V48:V49"/>
    <mergeCell ref="W48:W49"/>
    <mergeCell ref="X48:X49"/>
    <mergeCell ref="Y48:Y49"/>
    <mergeCell ref="N48:N49"/>
    <mergeCell ref="O48:O49"/>
    <mergeCell ref="P48:P49"/>
    <mergeCell ref="Q48:Q49"/>
    <mergeCell ref="R48:R49"/>
    <mergeCell ref="S48:S49"/>
    <mergeCell ref="G48:G49"/>
    <mergeCell ref="H48:H49"/>
    <mergeCell ref="A73:C73"/>
    <mergeCell ref="D73:H73"/>
    <mergeCell ref="I73:I74"/>
    <mergeCell ref="J73:J74"/>
    <mergeCell ref="K73:N73"/>
    <mergeCell ref="O73:T73"/>
    <mergeCell ref="K74:L74"/>
    <mergeCell ref="M74:N74"/>
    <mergeCell ref="K60:L60"/>
    <mergeCell ref="M60:N60"/>
    <mergeCell ref="O60:P60"/>
    <mergeCell ref="A70:C70"/>
    <mergeCell ref="F70:V70"/>
    <mergeCell ref="A72:T72"/>
    <mergeCell ref="P103:P105"/>
    <mergeCell ref="Q103:Q105"/>
    <mergeCell ref="R103:R105"/>
    <mergeCell ref="S103:S105"/>
    <mergeCell ref="T103:T105"/>
    <mergeCell ref="A106:A108"/>
    <mergeCell ref="B106:B108"/>
    <mergeCell ref="D106:D108"/>
    <mergeCell ref="E106:E108"/>
    <mergeCell ref="F106:F108"/>
    <mergeCell ref="H103:H105"/>
    <mergeCell ref="K103:K105"/>
    <mergeCell ref="L103:L105"/>
    <mergeCell ref="M103:M105"/>
    <mergeCell ref="N103:N105"/>
    <mergeCell ref="O103:O105"/>
    <mergeCell ref="A103:A105"/>
    <mergeCell ref="B103:B105"/>
    <mergeCell ref="D103:D105"/>
    <mergeCell ref="E103:E105"/>
    <mergeCell ref="F103:F105"/>
    <mergeCell ref="G103:G105"/>
    <mergeCell ref="A158:C158"/>
    <mergeCell ref="F158:T158"/>
    <mergeCell ref="O106:O108"/>
    <mergeCell ref="P106:P108"/>
    <mergeCell ref="Q106:Q108"/>
    <mergeCell ref="R106:R108"/>
    <mergeCell ref="S106:S108"/>
    <mergeCell ref="T106:T108"/>
    <mergeCell ref="G106:G108"/>
    <mergeCell ref="H106:H108"/>
    <mergeCell ref="K106:K108"/>
    <mergeCell ref="L106:L108"/>
    <mergeCell ref="M106:M108"/>
    <mergeCell ref="N106:N108"/>
  </mergeCells>
  <dataValidations count="7">
    <dataValidation type="list" allowBlank="1" showInputMessage="1" showErrorMessage="1" sqref="Z43" xr:uid="{00000000-0002-0000-2200-000000000000}">
      <formula1>$AR$42:$AR$43</formula1>
    </dataValidation>
    <dataValidation type="list" allowBlank="1" showInputMessage="1" showErrorMessage="1" sqref="O159:O222 U57 Q71 AA37 Y43" xr:uid="{00000000-0002-0000-2200-000001000000}">
      <formula1>$AQ$5</formula1>
    </dataValidation>
    <dataValidation type="list" allowBlank="1" showInputMessage="1" showErrorMessage="1" sqref="AB37" xr:uid="{00000000-0002-0000-2200-000002000000}">
      <formula1>$AR$2:$AR$5</formula1>
    </dataValidation>
    <dataValidation type="list" allowBlank="1" showInputMessage="1" showErrorMessage="1" sqref="W57 Q159:Q222 S71 AC37 AA43" xr:uid="{00000000-0002-0000-2200-000003000000}">
      <formula1>$AS$3:$AS$4</formula1>
    </dataValidation>
    <dataValidation type="list" allowBlank="1" showInputMessage="1" showErrorMessage="1" sqref="R71" xr:uid="{00000000-0002-0000-2200-000004000000}">
      <formula1>$AR$6:$AR$6</formula1>
    </dataValidation>
    <dataValidation type="list" allowBlank="1" showInputMessage="1" showErrorMessage="1" sqref="P159:P222" xr:uid="{00000000-0002-0000-2200-000005000000}">
      <formula1>$AR$36:$AR$39</formula1>
    </dataValidation>
    <dataValidation type="list" allowBlank="1" showInputMessage="1" showErrorMessage="1" sqref="V57" xr:uid="{00000000-0002-0000-2200-000006000000}">
      <formula1>$AR$40:$AR$41</formula1>
    </dataValidation>
  </dataValidation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T411"/>
  <sheetViews>
    <sheetView showGridLines="0" topLeftCell="A2" zoomScale="55" zoomScaleNormal="55" workbookViewId="0">
      <selection activeCell="A7" sqref="A7:AF15"/>
    </sheetView>
  </sheetViews>
  <sheetFormatPr baseColWidth="10" defaultColWidth="11.5" defaultRowHeight="15"/>
  <cols>
    <col min="1" max="1" width="11.5" style="273"/>
    <col min="2" max="2" width="52.5" style="273" customWidth="1"/>
    <col min="3" max="3" width="25.5" style="273" customWidth="1"/>
    <col min="4" max="4" width="23.5" style="273" customWidth="1"/>
    <col min="5" max="5" width="21.1640625" style="333" customWidth="1"/>
    <col min="6" max="6" width="11.5" style="273"/>
    <col min="7" max="7" width="15.83203125" style="273" customWidth="1"/>
    <col min="8" max="8" width="14.5" style="273" customWidth="1"/>
    <col min="9" max="9" width="15.5" style="273" customWidth="1"/>
    <col min="10" max="10" width="16.5" style="273" customWidth="1"/>
    <col min="11" max="11" width="14.5" style="273" bestFit="1" customWidth="1"/>
    <col min="12" max="12" width="10.83203125" style="273" bestFit="1" customWidth="1"/>
    <col min="13" max="13" width="14.5" style="273" bestFit="1" customWidth="1"/>
    <col min="14" max="14" width="10.83203125" style="273" bestFit="1" customWidth="1"/>
    <col min="15" max="15" width="14.5" style="273" bestFit="1" customWidth="1"/>
    <col min="16" max="16" width="10.83203125" style="273" bestFit="1" customWidth="1"/>
    <col min="17" max="17" width="18.1640625" style="273" bestFit="1" customWidth="1"/>
    <col min="18" max="18" width="21.5" style="273" bestFit="1" customWidth="1"/>
    <col min="19" max="19" width="16.83203125" style="273" customWidth="1"/>
    <col min="20" max="20" width="10.83203125" style="273" bestFit="1" customWidth="1"/>
    <col min="21" max="21" width="20.1640625" style="273" bestFit="1" customWidth="1"/>
    <col min="22" max="22" width="23.5" style="273" bestFit="1" customWidth="1"/>
    <col min="23" max="23" width="16.83203125" style="273" bestFit="1" customWidth="1"/>
    <col min="24" max="24" width="10.83203125" style="273" bestFit="1" customWidth="1"/>
    <col min="25" max="25" width="14.5" style="273" bestFit="1" customWidth="1"/>
    <col min="26" max="26" width="10.83203125" style="273" bestFit="1" customWidth="1"/>
    <col min="27" max="27" width="21.5" style="273" customWidth="1"/>
    <col min="28" max="28" width="27.5" style="273" customWidth="1"/>
    <col min="29" max="29" width="23.5" style="273" customWidth="1"/>
    <col min="30" max="38" width="11.5" style="273"/>
    <col min="39" max="39" width="11.5" style="345"/>
    <col min="40" max="40" width="11.5" style="347"/>
    <col min="41" max="41" width="44.5" style="347" bestFit="1" customWidth="1"/>
    <col min="42" max="42" width="13.5" style="347" bestFit="1" customWidth="1"/>
    <col min="43" max="16384" width="11.5" style="273"/>
  </cols>
  <sheetData>
    <row r="1" spans="1:46">
      <c r="AN1" s="346"/>
      <c r="AO1" s="346"/>
      <c r="AP1" s="346"/>
    </row>
    <row r="2" spans="1:46" s="338" customFormat="1" ht="34">
      <c r="A2" s="4184" t="s">
        <v>2789</v>
      </c>
      <c r="B2" s="4184"/>
      <c r="C2" s="4184"/>
      <c r="D2" s="4184"/>
      <c r="E2" s="4184"/>
      <c r="F2" s="4184"/>
      <c r="G2" s="4184"/>
      <c r="H2" s="4184"/>
      <c r="I2" s="4184"/>
      <c r="J2" s="4184"/>
      <c r="K2" s="4184"/>
      <c r="L2" s="4184"/>
      <c r="M2" s="4184"/>
      <c r="N2" s="4184"/>
      <c r="O2" s="4184"/>
      <c r="P2" s="4184"/>
      <c r="Q2" s="4184"/>
      <c r="R2" s="4184"/>
      <c r="S2" s="4184"/>
      <c r="T2" s="4184"/>
      <c r="U2" s="4184"/>
      <c r="V2" s="4184"/>
      <c r="W2" s="4184"/>
      <c r="X2" s="4184"/>
      <c r="Y2" s="4184"/>
      <c r="Z2" s="4184"/>
      <c r="AA2" s="4184"/>
      <c r="AB2" s="4184"/>
      <c r="AC2" s="4184"/>
      <c r="AD2" s="4184"/>
      <c r="AE2" s="4184"/>
      <c r="AF2" s="4184"/>
      <c r="AM2" s="345"/>
      <c r="AN2" s="347" t="s">
        <v>2265</v>
      </c>
      <c r="AO2" s="347" t="s">
        <v>2714</v>
      </c>
      <c r="AP2" s="347" t="s">
        <v>2656</v>
      </c>
    </row>
    <row r="3" spans="1:46">
      <c r="AN3" s="347" t="s">
        <v>2267</v>
      </c>
      <c r="AO3" s="347" t="s">
        <v>2715</v>
      </c>
    </row>
    <row r="4" spans="1:46" ht="31.25" customHeight="1">
      <c r="A4" s="4263" t="s">
        <v>2893</v>
      </c>
      <c r="B4" s="4263"/>
      <c r="C4" s="4263"/>
      <c r="D4" s="4263"/>
      <c r="E4" s="4263"/>
      <c r="F4" s="4263"/>
      <c r="G4" s="4263"/>
      <c r="H4" s="4263"/>
      <c r="I4" s="4263"/>
      <c r="J4" s="4263"/>
      <c r="K4" s="4263"/>
      <c r="L4" s="4263"/>
      <c r="M4" s="4263"/>
      <c r="N4" s="4263"/>
      <c r="O4" s="4263"/>
      <c r="P4" s="4263"/>
      <c r="Q4" s="4263"/>
      <c r="R4" s="4263"/>
      <c r="S4" s="4263"/>
      <c r="T4" s="4263"/>
      <c r="U4" s="4263"/>
      <c r="V4" s="4263"/>
      <c r="W4" s="4263"/>
      <c r="X4" s="4263"/>
      <c r="Y4" s="4263"/>
      <c r="Z4" s="4263"/>
      <c r="AA4" s="4263"/>
      <c r="AB4" s="4263"/>
      <c r="AC4" s="4263"/>
      <c r="AD4" s="4263"/>
      <c r="AE4" s="4263"/>
      <c r="AF4" s="4263"/>
      <c r="AO4" s="347" t="s">
        <v>2719</v>
      </c>
    </row>
    <row r="5" spans="1:46" ht="24">
      <c r="A5" s="4264" t="s">
        <v>2798</v>
      </c>
      <c r="B5" s="4264"/>
      <c r="C5" s="4264"/>
      <c r="D5" s="4264" t="s">
        <v>2799</v>
      </c>
      <c r="E5" s="4264"/>
      <c r="F5" s="4264"/>
      <c r="G5" s="4264"/>
      <c r="H5" s="4264"/>
      <c r="I5" s="4265" t="s">
        <v>2800</v>
      </c>
      <c r="J5" s="4265" t="s">
        <v>2801</v>
      </c>
      <c r="K5" s="4264" t="s">
        <v>2802</v>
      </c>
      <c r="L5" s="4264"/>
      <c r="M5" s="4264"/>
      <c r="N5" s="4264"/>
      <c r="O5" s="4264"/>
      <c r="P5" s="4264"/>
      <c r="Q5" s="4264"/>
      <c r="R5" s="4264"/>
      <c r="S5" s="4264"/>
      <c r="T5" s="4264"/>
      <c r="U5" s="4264"/>
      <c r="V5" s="4264"/>
      <c r="W5" s="4264"/>
      <c r="X5" s="4264"/>
      <c r="Y5" s="4264"/>
      <c r="Z5" s="4264"/>
      <c r="AA5" s="4264" t="s">
        <v>2803</v>
      </c>
      <c r="AB5" s="4264"/>
      <c r="AC5" s="4264"/>
      <c r="AD5" s="4264"/>
      <c r="AE5" s="4264"/>
      <c r="AF5" s="4264"/>
      <c r="AO5" s="347" t="s">
        <v>2726</v>
      </c>
    </row>
    <row r="6" spans="1:46" ht="34">
      <c r="A6" s="302" t="s">
        <v>2666</v>
      </c>
      <c r="B6" s="303" t="s">
        <v>2804</v>
      </c>
      <c r="C6" s="303" t="s">
        <v>2805</v>
      </c>
      <c r="D6" s="303" t="s">
        <v>2806</v>
      </c>
      <c r="E6" s="303" t="s">
        <v>2807</v>
      </c>
      <c r="F6" s="303" t="s">
        <v>2808</v>
      </c>
      <c r="G6" s="303" t="s">
        <v>2809</v>
      </c>
      <c r="H6" s="303" t="s">
        <v>2810</v>
      </c>
      <c r="I6" s="4266"/>
      <c r="J6" s="4266"/>
      <c r="K6" s="4267" t="s">
        <v>2842</v>
      </c>
      <c r="L6" s="4267"/>
      <c r="M6" s="4267" t="s">
        <v>2843</v>
      </c>
      <c r="N6" s="4267"/>
      <c r="O6" s="4267" t="s">
        <v>2844</v>
      </c>
      <c r="P6" s="4267"/>
      <c r="Q6" s="4267" t="s">
        <v>2813</v>
      </c>
      <c r="R6" s="4267"/>
      <c r="S6" s="4267" t="s">
        <v>2844</v>
      </c>
      <c r="T6" s="4267"/>
      <c r="U6" s="4267" t="s">
        <v>2834</v>
      </c>
      <c r="V6" s="4267"/>
      <c r="W6" s="4267" t="s">
        <v>2838</v>
      </c>
      <c r="X6" s="4267"/>
      <c r="Y6" s="4267" t="s">
        <v>2815</v>
      </c>
      <c r="Z6" s="4267"/>
      <c r="AA6" s="303" t="s">
        <v>2816</v>
      </c>
      <c r="AB6" s="303" t="s">
        <v>2817</v>
      </c>
      <c r="AC6" s="303" t="s">
        <v>2818</v>
      </c>
      <c r="AD6" s="303" t="s">
        <v>2696</v>
      </c>
      <c r="AE6" s="303" t="s">
        <v>2819</v>
      </c>
      <c r="AF6" s="303" t="s">
        <v>2820</v>
      </c>
      <c r="AO6" s="347" t="s">
        <v>2719</v>
      </c>
    </row>
    <row r="7" spans="1:46" s="333" customFormat="1" ht="16">
      <c r="A7" s="320">
        <f>+'9.2_PA_SC - MH (3)'!A151+1</f>
        <v>99</v>
      </c>
      <c r="B7" s="295" t="s">
        <v>2341</v>
      </c>
      <c r="C7" s="280" t="s">
        <v>2783</v>
      </c>
      <c r="D7" s="331" t="e">
        <f>+J7</f>
        <v>#REF!</v>
      </c>
      <c r="E7" s="298">
        <v>0</v>
      </c>
      <c r="F7" s="332">
        <v>1</v>
      </c>
      <c r="G7" s="332">
        <v>0</v>
      </c>
      <c r="H7" s="332">
        <v>0</v>
      </c>
      <c r="I7" s="280" t="e">
        <f>'8_MP'!#REF!</f>
        <v>#REF!</v>
      </c>
      <c r="J7" s="331" t="e">
        <f>'8_MP'!#REF!</f>
        <v>#REF!</v>
      </c>
      <c r="K7" s="279" t="s">
        <v>2691</v>
      </c>
      <c r="L7" s="279" t="s">
        <v>2682</v>
      </c>
      <c r="M7" s="279" t="s">
        <v>2691</v>
      </c>
      <c r="N7" s="279" t="s">
        <v>2682</v>
      </c>
      <c r="O7" s="279" t="s">
        <v>2691</v>
      </c>
      <c r="P7" s="279" t="s">
        <v>2682</v>
      </c>
      <c r="Q7" s="279" t="s">
        <v>2691</v>
      </c>
      <c r="R7" s="279" t="s">
        <v>2682</v>
      </c>
      <c r="S7" s="279" t="s">
        <v>2691</v>
      </c>
      <c r="T7" s="279" t="s">
        <v>2682</v>
      </c>
      <c r="U7" s="279" t="s">
        <v>2691</v>
      </c>
      <c r="V7" s="279" t="s">
        <v>2682</v>
      </c>
      <c r="W7" s="279" t="s">
        <v>2691</v>
      </c>
      <c r="X7" s="279" t="s">
        <v>2682</v>
      </c>
      <c r="Y7" s="279" t="s">
        <v>2691</v>
      </c>
      <c r="Z7" s="279" t="s">
        <v>2682</v>
      </c>
      <c r="AA7" s="293"/>
      <c r="AB7" s="293"/>
      <c r="AC7" s="293"/>
      <c r="AD7" s="282"/>
      <c r="AE7" s="282"/>
      <c r="AF7" s="282"/>
      <c r="AM7" s="348"/>
      <c r="AN7" s="349"/>
      <c r="AO7" s="349" t="s">
        <v>2744</v>
      </c>
      <c r="AP7" s="349"/>
    </row>
    <row r="8" spans="1:46" s="340" customFormat="1">
      <c r="A8" s="4240" t="s">
        <v>2740</v>
      </c>
      <c r="B8" s="4240"/>
      <c r="C8" s="4240"/>
      <c r="D8" s="339" t="e">
        <f>SUM(D7)</f>
        <v>#REF!</v>
      </c>
      <c r="E8" s="334">
        <f>SUM(E7)</f>
        <v>0</v>
      </c>
      <c r="F8" s="4240"/>
      <c r="G8" s="4240"/>
      <c r="H8" s="4240"/>
      <c r="I8" s="4240"/>
      <c r="J8" s="4240"/>
      <c r="K8" s="4240"/>
      <c r="L8" s="4240"/>
      <c r="M8" s="4240"/>
      <c r="N8" s="4240"/>
      <c r="O8" s="4240"/>
      <c r="P8" s="4240"/>
      <c r="Q8" s="4240"/>
      <c r="R8" s="4240"/>
      <c r="S8" s="4240"/>
      <c r="T8" s="4240"/>
      <c r="U8" s="4240"/>
      <c r="V8" s="4240"/>
      <c r="W8" s="4240"/>
      <c r="X8" s="4240"/>
      <c r="Y8" s="4240"/>
      <c r="Z8" s="4240"/>
      <c r="AA8" s="4240"/>
      <c r="AB8" s="4240"/>
      <c r="AC8" s="4240"/>
      <c r="AD8" s="4240"/>
      <c r="AE8" s="4240"/>
      <c r="AF8" s="4240"/>
      <c r="AM8" s="350"/>
      <c r="AN8" s="350"/>
      <c r="AO8" s="350"/>
      <c r="AP8" s="350"/>
      <c r="AQ8" s="341"/>
      <c r="AR8" s="342"/>
      <c r="AS8" s="341"/>
      <c r="AT8" s="343"/>
    </row>
    <row r="9" spans="1:46" s="265" customFormat="1">
      <c r="E9" s="317"/>
      <c r="AM9" s="351"/>
      <c r="AN9" s="352"/>
      <c r="AO9" s="352"/>
      <c r="AP9" s="352"/>
    </row>
    <row r="10" spans="1:46" ht="31">
      <c r="A10" s="4263" t="s">
        <v>2744</v>
      </c>
      <c r="B10" s="4263"/>
      <c r="C10" s="4263"/>
      <c r="D10" s="4263"/>
      <c r="E10" s="4263"/>
      <c r="F10" s="4263"/>
      <c r="G10" s="4263"/>
      <c r="H10" s="4263"/>
      <c r="I10" s="4263"/>
      <c r="J10" s="4263"/>
      <c r="K10" s="4263"/>
      <c r="L10" s="4263"/>
      <c r="M10" s="4263"/>
      <c r="N10" s="4263"/>
      <c r="O10" s="4263"/>
      <c r="P10" s="4263"/>
      <c r="Q10" s="4263"/>
      <c r="R10" s="4263"/>
      <c r="S10" s="4263"/>
      <c r="T10" s="4263"/>
      <c r="U10" s="4263"/>
      <c r="V10" s="4263"/>
      <c r="W10" s="4263"/>
      <c r="X10" s="4263"/>
      <c r="Y10" s="4263"/>
      <c r="Z10" s="4263"/>
    </row>
    <row r="11" spans="1:46" ht="24">
      <c r="A11" s="4264" t="s">
        <v>2798</v>
      </c>
      <c r="B11" s="4264"/>
      <c r="C11" s="4264"/>
      <c r="D11" s="4264" t="s">
        <v>2799</v>
      </c>
      <c r="E11" s="4264"/>
      <c r="F11" s="4264"/>
      <c r="G11" s="4264"/>
      <c r="H11" s="4264"/>
      <c r="I11" s="4265" t="s">
        <v>2800</v>
      </c>
      <c r="J11" s="4265" t="s">
        <v>2801</v>
      </c>
      <c r="K11" s="4264" t="s">
        <v>2802</v>
      </c>
      <c r="L11" s="4264"/>
      <c r="M11" s="4264"/>
      <c r="N11" s="4264"/>
      <c r="O11" s="4264"/>
      <c r="P11" s="4264"/>
      <c r="Q11" s="4264"/>
      <c r="R11" s="4264"/>
      <c r="S11" s="4264"/>
      <c r="T11" s="4264"/>
      <c r="U11" s="4264" t="s">
        <v>2803</v>
      </c>
      <c r="V11" s="4264"/>
      <c r="W11" s="4264"/>
      <c r="X11" s="4264"/>
      <c r="Y11" s="4264"/>
      <c r="Z11" s="4264"/>
    </row>
    <row r="12" spans="1:46" ht="34">
      <c r="A12" s="416" t="s">
        <v>2666</v>
      </c>
      <c r="B12" s="304" t="s">
        <v>2804</v>
      </c>
      <c r="C12" s="304" t="s">
        <v>2805</v>
      </c>
      <c r="D12" s="304" t="s">
        <v>2806</v>
      </c>
      <c r="E12" s="304" t="s">
        <v>2807</v>
      </c>
      <c r="F12" s="304" t="s">
        <v>2808</v>
      </c>
      <c r="G12" s="304" t="s">
        <v>2809</v>
      </c>
      <c r="H12" s="304" t="s">
        <v>2810</v>
      </c>
      <c r="I12" s="4268"/>
      <c r="J12" s="4268"/>
      <c r="K12" s="4269" t="s">
        <v>2842</v>
      </c>
      <c r="L12" s="4269"/>
      <c r="M12" s="4269" t="s">
        <v>2843</v>
      </c>
      <c r="N12" s="4269"/>
      <c r="O12" s="4269" t="s">
        <v>2834</v>
      </c>
      <c r="P12" s="4269"/>
      <c r="Q12" s="4269" t="s">
        <v>2838</v>
      </c>
      <c r="R12" s="4269"/>
      <c r="S12" s="4269" t="s">
        <v>2815</v>
      </c>
      <c r="T12" s="4269"/>
      <c r="U12" s="304" t="s">
        <v>2816</v>
      </c>
      <c r="V12" s="304" t="s">
        <v>2817</v>
      </c>
      <c r="W12" s="304" t="s">
        <v>2818</v>
      </c>
      <c r="X12" s="304" t="s">
        <v>2696</v>
      </c>
      <c r="Y12" s="303" t="s">
        <v>2819</v>
      </c>
      <c r="Z12" s="303" t="s">
        <v>2820</v>
      </c>
    </row>
    <row r="13" spans="1:46" s="333" customFormat="1" ht="16">
      <c r="A13" s="299"/>
      <c r="B13" s="284"/>
      <c r="C13" s="310"/>
      <c r="D13" s="335"/>
      <c r="E13" s="305"/>
      <c r="F13" s="336"/>
      <c r="G13" s="336"/>
      <c r="H13" s="336"/>
      <c r="I13" s="310"/>
      <c r="J13" s="335"/>
      <c r="K13" s="279" t="s">
        <v>2691</v>
      </c>
      <c r="L13" s="279" t="s">
        <v>2682</v>
      </c>
      <c r="M13" s="279" t="s">
        <v>2691</v>
      </c>
      <c r="N13" s="279" t="s">
        <v>2682</v>
      </c>
      <c r="O13" s="279" t="s">
        <v>2691</v>
      </c>
      <c r="P13" s="279" t="s">
        <v>2682</v>
      </c>
      <c r="Q13" s="279" t="s">
        <v>2691</v>
      </c>
      <c r="R13" s="279" t="s">
        <v>2682</v>
      </c>
      <c r="S13" s="279" t="s">
        <v>2691</v>
      </c>
      <c r="T13" s="279" t="s">
        <v>2682</v>
      </c>
      <c r="U13" s="299"/>
      <c r="V13" s="299"/>
      <c r="W13" s="299"/>
      <c r="X13" s="287"/>
      <c r="Y13" s="337"/>
      <c r="Z13" s="282"/>
      <c r="AM13" s="348"/>
      <c r="AN13" s="349"/>
      <c r="AO13" s="349"/>
      <c r="AP13" s="349"/>
    </row>
    <row r="14" spans="1:46" s="265" customFormat="1">
      <c r="A14" s="4241" t="s">
        <v>2750</v>
      </c>
      <c r="B14" s="4241"/>
      <c r="C14" s="4241"/>
      <c r="D14" s="415">
        <f>SUM(D13)</f>
        <v>0</v>
      </c>
      <c r="E14" s="415">
        <f>SUM(E13)</f>
        <v>0</v>
      </c>
      <c r="F14" s="4242"/>
      <c r="G14" s="4242"/>
      <c r="H14" s="4242"/>
      <c r="I14" s="4242"/>
      <c r="J14" s="4242"/>
      <c r="K14" s="4242"/>
      <c r="L14" s="4242"/>
      <c r="M14" s="4242"/>
      <c r="N14" s="4242"/>
      <c r="O14" s="4242"/>
      <c r="P14" s="4242"/>
      <c r="Q14" s="4242"/>
      <c r="R14" s="4242"/>
      <c r="S14" s="4242"/>
      <c r="T14" s="4242"/>
      <c r="U14" s="4242"/>
      <c r="V14" s="4242"/>
      <c r="W14" s="4242"/>
      <c r="X14" s="4242"/>
      <c r="Y14" s="4242"/>
      <c r="Z14" s="4242"/>
      <c r="AM14" s="351"/>
      <c r="AN14" s="351"/>
      <c r="AO14" s="351"/>
      <c r="AP14" s="351"/>
    </row>
    <row r="15" spans="1:46" s="265" customFormat="1">
      <c r="E15" s="317"/>
      <c r="AM15" s="351"/>
      <c r="AN15" s="352"/>
      <c r="AO15" s="352"/>
      <c r="AP15" s="352"/>
    </row>
    <row r="16" spans="1:46" ht="31">
      <c r="A16" s="4263" t="s">
        <v>2726</v>
      </c>
      <c r="B16" s="4263"/>
      <c r="C16" s="4263"/>
      <c r="D16" s="4263"/>
      <c r="E16" s="4263"/>
      <c r="F16" s="4263"/>
      <c r="G16" s="4263"/>
      <c r="H16" s="4263"/>
      <c r="I16" s="4263"/>
      <c r="J16" s="4263"/>
      <c r="K16" s="4263"/>
      <c r="L16" s="4263"/>
      <c r="M16" s="4263"/>
      <c r="N16" s="4263"/>
      <c r="O16" s="4263"/>
      <c r="P16" s="4263"/>
      <c r="Q16" s="4263"/>
      <c r="R16" s="4263"/>
      <c r="S16" s="4263"/>
      <c r="T16" s="4263"/>
      <c r="U16" s="4263"/>
      <c r="V16" s="4263"/>
    </row>
    <row r="17" spans="1:42" ht="24">
      <c r="A17" s="4264" t="s">
        <v>2798</v>
      </c>
      <c r="B17" s="4264"/>
      <c r="C17" s="4264"/>
      <c r="D17" s="4264" t="s">
        <v>2799</v>
      </c>
      <c r="E17" s="4264"/>
      <c r="F17" s="4264"/>
      <c r="G17" s="4264"/>
      <c r="H17" s="4264"/>
      <c r="I17" s="4265" t="s">
        <v>2800</v>
      </c>
      <c r="J17" s="4265" t="s">
        <v>2801</v>
      </c>
      <c r="K17" s="4264" t="s">
        <v>2802</v>
      </c>
      <c r="L17" s="4264"/>
      <c r="M17" s="4264"/>
      <c r="N17" s="4264"/>
      <c r="O17" s="4264"/>
      <c r="P17" s="4264"/>
      <c r="Q17" s="4264" t="s">
        <v>2803</v>
      </c>
      <c r="R17" s="4264"/>
      <c r="S17" s="4264"/>
      <c r="T17" s="4264"/>
      <c r="U17" s="4264"/>
      <c r="V17" s="4264"/>
    </row>
    <row r="18" spans="1:42" ht="34">
      <c r="A18" s="302" t="s">
        <v>2666</v>
      </c>
      <c r="B18" s="303" t="s">
        <v>2804</v>
      </c>
      <c r="C18" s="303" t="s">
        <v>2805</v>
      </c>
      <c r="D18" s="303" t="s">
        <v>2806</v>
      </c>
      <c r="E18" s="303" t="s">
        <v>2807</v>
      </c>
      <c r="F18" s="303" t="s">
        <v>2808</v>
      </c>
      <c r="G18" s="303" t="s">
        <v>2809</v>
      </c>
      <c r="H18" s="303" t="s">
        <v>2810</v>
      </c>
      <c r="I18" s="4266"/>
      <c r="J18" s="4266"/>
      <c r="K18" s="4267" t="s">
        <v>2860</v>
      </c>
      <c r="L18" s="4267"/>
      <c r="M18" s="4267" t="s">
        <v>2838</v>
      </c>
      <c r="N18" s="4267"/>
      <c r="O18" s="4267" t="s">
        <v>2861</v>
      </c>
      <c r="P18" s="4267"/>
      <c r="Q18" s="303" t="s">
        <v>2816</v>
      </c>
      <c r="R18" s="303" t="s">
        <v>2817</v>
      </c>
      <c r="S18" s="303" t="s">
        <v>2818</v>
      </c>
      <c r="T18" s="303" t="s">
        <v>2696</v>
      </c>
      <c r="U18" s="303" t="s">
        <v>2819</v>
      </c>
      <c r="V18" s="303" t="s">
        <v>2820</v>
      </c>
    </row>
    <row r="19" spans="1:42" ht="16">
      <c r="A19" s="344"/>
      <c r="B19" s="344"/>
      <c r="C19" s="344"/>
      <c r="D19" s="344"/>
      <c r="E19" s="282"/>
      <c r="F19" s="344"/>
      <c r="G19" s="344"/>
      <c r="H19" s="344"/>
      <c r="I19" s="344"/>
      <c r="J19" s="344"/>
      <c r="K19" s="279" t="s">
        <v>2691</v>
      </c>
      <c r="L19" s="279" t="s">
        <v>2682</v>
      </c>
      <c r="M19" s="279" t="s">
        <v>2691</v>
      </c>
      <c r="N19" s="279" t="s">
        <v>2682</v>
      </c>
      <c r="O19" s="279" t="s">
        <v>2691</v>
      </c>
      <c r="P19" s="279" t="s">
        <v>2682</v>
      </c>
      <c r="Q19" s="344"/>
      <c r="R19" s="344"/>
      <c r="S19" s="344"/>
      <c r="T19" s="344"/>
      <c r="U19" s="344"/>
      <c r="V19" s="344"/>
    </row>
    <row r="20" spans="1:42" s="265" customFormat="1">
      <c r="E20" s="317"/>
      <c r="AM20" s="351"/>
      <c r="AN20" s="352"/>
      <c r="AO20" s="352"/>
      <c r="AP20" s="352"/>
    </row>
    <row r="21" spans="1:42" s="265" customFormat="1">
      <c r="E21" s="317"/>
      <c r="AM21" s="351"/>
      <c r="AN21" s="352"/>
      <c r="AO21" s="352"/>
      <c r="AP21" s="352"/>
    </row>
    <row r="22" spans="1:42" s="265" customFormat="1">
      <c r="E22" s="317"/>
      <c r="AM22" s="351"/>
      <c r="AN22" s="352"/>
      <c r="AO22" s="352"/>
      <c r="AP22" s="352"/>
    </row>
    <row r="23" spans="1:42" s="265" customFormat="1">
      <c r="E23" s="317"/>
      <c r="AM23" s="351"/>
      <c r="AN23" s="352"/>
      <c r="AO23" s="352"/>
      <c r="AP23" s="352"/>
    </row>
    <row r="24" spans="1:42" s="265" customFormat="1">
      <c r="E24" s="317"/>
      <c r="AM24" s="351"/>
      <c r="AN24" s="352"/>
      <c r="AO24" s="352"/>
      <c r="AP24" s="352"/>
    </row>
    <row r="25" spans="1:42" s="265" customFormat="1">
      <c r="E25" s="317"/>
      <c r="AM25" s="351"/>
      <c r="AN25" s="352"/>
      <c r="AO25" s="352"/>
      <c r="AP25" s="352"/>
    </row>
    <row r="26" spans="1:42" s="265" customFormat="1">
      <c r="E26" s="317"/>
      <c r="AM26" s="351"/>
      <c r="AN26" s="352"/>
      <c r="AO26" s="352"/>
      <c r="AP26" s="352"/>
    </row>
    <row r="27" spans="1:42" s="265" customFormat="1">
      <c r="E27" s="317"/>
      <c r="AM27" s="351"/>
      <c r="AN27" s="352"/>
      <c r="AO27" s="352"/>
      <c r="AP27" s="352"/>
    </row>
    <row r="28" spans="1:42" s="265" customFormat="1">
      <c r="E28" s="317"/>
      <c r="AM28" s="351"/>
      <c r="AN28" s="352"/>
      <c r="AO28" s="352"/>
      <c r="AP28" s="352"/>
    </row>
    <row r="29" spans="1:42" s="265" customFormat="1">
      <c r="E29" s="317"/>
      <c r="AM29" s="351"/>
      <c r="AN29" s="352"/>
      <c r="AO29" s="352"/>
      <c r="AP29" s="352"/>
    </row>
    <row r="30" spans="1:42" s="265" customFormat="1">
      <c r="E30" s="317"/>
      <c r="AM30" s="351"/>
      <c r="AN30" s="352"/>
      <c r="AO30" s="352"/>
      <c r="AP30" s="352"/>
    </row>
    <row r="31" spans="1:42" s="265" customFormat="1">
      <c r="E31" s="317"/>
      <c r="AM31" s="351"/>
      <c r="AN31" s="352"/>
      <c r="AO31" s="352"/>
      <c r="AP31" s="352"/>
    </row>
    <row r="32" spans="1:42" s="265" customFormat="1">
      <c r="E32" s="317"/>
      <c r="AM32" s="351"/>
      <c r="AN32" s="352"/>
      <c r="AO32" s="352"/>
      <c r="AP32" s="352"/>
    </row>
    <row r="33" spans="5:42" s="265" customFormat="1">
      <c r="E33" s="317"/>
      <c r="AM33" s="351"/>
      <c r="AN33" s="352"/>
      <c r="AO33" s="352"/>
      <c r="AP33" s="352"/>
    </row>
    <row r="34" spans="5:42" s="265" customFormat="1">
      <c r="E34" s="317"/>
      <c r="AM34" s="351"/>
      <c r="AN34" s="352"/>
      <c r="AO34" s="352"/>
      <c r="AP34" s="352"/>
    </row>
    <row r="35" spans="5:42" s="265" customFormat="1">
      <c r="E35" s="317"/>
      <c r="AM35" s="351"/>
      <c r="AN35" s="352"/>
      <c r="AO35" s="352"/>
      <c r="AP35" s="352"/>
    </row>
    <row r="36" spans="5:42" s="265" customFormat="1">
      <c r="E36" s="317"/>
      <c r="AM36" s="351"/>
      <c r="AN36" s="352"/>
      <c r="AO36" s="352"/>
      <c r="AP36" s="352"/>
    </row>
    <row r="37" spans="5:42" s="265" customFormat="1">
      <c r="E37" s="317"/>
      <c r="AM37" s="351"/>
      <c r="AN37" s="352"/>
      <c r="AO37" s="352"/>
      <c r="AP37" s="352"/>
    </row>
    <row r="38" spans="5:42" s="265" customFormat="1">
      <c r="E38" s="317"/>
      <c r="AM38" s="351"/>
      <c r="AN38" s="352"/>
      <c r="AO38" s="352"/>
      <c r="AP38" s="352"/>
    </row>
    <row r="39" spans="5:42" s="265" customFormat="1">
      <c r="E39" s="317"/>
      <c r="AM39" s="351"/>
      <c r="AN39" s="352"/>
      <c r="AO39" s="352"/>
      <c r="AP39" s="352"/>
    </row>
    <row r="40" spans="5:42" s="265" customFormat="1">
      <c r="E40" s="317"/>
      <c r="AM40" s="351"/>
      <c r="AN40" s="352"/>
      <c r="AO40" s="352"/>
      <c r="AP40" s="352"/>
    </row>
    <row r="41" spans="5:42" s="265" customFormat="1">
      <c r="E41" s="317"/>
      <c r="AM41" s="351"/>
      <c r="AN41" s="352"/>
      <c r="AO41" s="352"/>
      <c r="AP41" s="352"/>
    </row>
    <row r="42" spans="5:42" s="265" customFormat="1">
      <c r="E42" s="317"/>
      <c r="AM42" s="351"/>
      <c r="AN42" s="352"/>
      <c r="AO42" s="352"/>
      <c r="AP42" s="352"/>
    </row>
    <row r="43" spans="5:42" s="265" customFormat="1">
      <c r="E43" s="317"/>
      <c r="AM43" s="351"/>
      <c r="AN43" s="352"/>
      <c r="AO43" s="352"/>
      <c r="AP43" s="352"/>
    </row>
    <row r="44" spans="5:42" s="265" customFormat="1">
      <c r="E44" s="317"/>
      <c r="AM44" s="351"/>
      <c r="AN44" s="352"/>
      <c r="AO44" s="352"/>
      <c r="AP44" s="352"/>
    </row>
    <row r="45" spans="5:42" s="265" customFormat="1">
      <c r="E45" s="317"/>
      <c r="AM45" s="351"/>
      <c r="AN45" s="352"/>
      <c r="AO45" s="352"/>
      <c r="AP45" s="352"/>
    </row>
    <row r="46" spans="5:42" s="265" customFormat="1">
      <c r="E46" s="317"/>
      <c r="AM46" s="351"/>
      <c r="AN46" s="352"/>
      <c r="AO46" s="352"/>
      <c r="AP46" s="352"/>
    </row>
    <row r="47" spans="5:42" s="265" customFormat="1">
      <c r="E47" s="317"/>
      <c r="AM47" s="351"/>
      <c r="AN47" s="352"/>
      <c r="AO47" s="352"/>
      <c r="AP47" s="352"/>
    </row>
    <row r="48" spans="5:42" s="265" customFormat="1">
      <c r="E48" s="317"/>
      <c r="AM48" s="351"/>
      <c r="AN48" s="352"/>
      <c r="AO48" s="352"/>
      <c r="AP48" s="352"/>
    </row>
    <row r="49" spans="5:42" s="265" customFormat="1">
      <c r="E49" s="317"/>
      <c r="AM49" s="351"/>
      <c r="AN49" s="352"/>
      <c r="AO49" s="352"/>
      <c r="AP49" s="352"/>
    </row>
    <row r="50" spans="5:42" s="265" customFormat="1">
      <c r="E50" s="317"/>
      <c r="AM50" s="351"/>
      <c r="AN50" s="352"/>
      <c r="AO50" s="352"/>
      <c r="AP50" s="352"/>
    </row>
    <row r="51" spans="5:42" s="265" customFormat="1">
      <c r="E51" s="317"/>
      <c r="AM51" s="351"/>
      <c r="AN51" s="352"/>
      <c r="AO51" s="352"/>
      <c r="AP51" s="352"/>
    </row>
    <row r="52" spans="5:42" s="265" customFormat="1">
      <c r="E52" s="317"/>
      <c r="AM52" s="351"/>
      <c r="AN52" s="352"/>
      <c r="AO52" s="352"/>
      <c r="AP52" s="352"/>
    </row>
    <row r="53" spans="5:42" s="265" customFormat="1">
      <c r="E53" s="317"/>
      <c r="AM53" s="351"/>
      <c r="AN53" s="352"/>
      <c r="AO53" s="352"/>
      <c r="AP53" s="352"/>
    </row>
    <row r="54" spans="5:42" s="265" customFormat="1">
      <c r="E54" s="317"/>
      <c r="AM54" s="351"/>
      <c r="AN54" s="352"/>
      <c r="AO54" s="352"/>
      <c r="AP54" s="352"/>
    </row>
    <row r="55" spans="5:42" s="265" customFormat="1">
      <c r="E55" s="317"/>
      <c r="AM55" s="351"/>
      <c r="AN55" s="352"/>
      <c r="AO55" s="352"/>
      <c r="AP55" s="352"/>
    </row>
    <row r="56" spans="5:42" s="265" customFormat="1">
      <c r="E56" s="317"/>
      <c r="AM56" s="351"/>
      <c r="AN56" s="352"/>
      <c r="AO56" s="352"/>
      <c r="AP56" s="352"/>
    </row>
    <row r="57" spans="5:42" s="265" customFormat="1">
      <c r="E57" s="317"/>
      <c r="AM57" s="351"/>
      <c r="AN57" s="352"/>
      <c r="AO57" s="352"/>
      <c r="AP57" s="352"/>
    </row>
    <row r="58" spans="5:42" s="265" customFormat="1">
      <c r="E58" s="317"/>
      <c r="AM58" s="351"/>
      <c r="AN58" s="352"/>
      <c r="AO58" s="352"/>
      <c r="AP58" s="352"/>
    </row>
    <row r="59" spans="5:42" s="265" customFormat="1">
      <c r="E59" s="317"/>
      <c r="AM59" s="351"/>
      <c r="AN59" s="352"/>
      <c r="AO59" s="352"/>
      <c r="AP59" s="352"/>
    </row>
    <row r="60" spans="5:42" s="265" customFormat="1">
      <c r="E60" s="317"/>
      <c r="AM60" s="351"/>
      <c r="AN60" s="352"/>
      <c r="AO60" s="352"/>
      <c r="AP60" s="352"/>
    </row>
    <row r="61" spans="5:42" s="265" customFormat="1">
      <c r="E61" s="317"/>
      <c r="AM61" s="351"/>
      <c r="AN61" s="352"/>
      <c r="AO61" s="352"/>
      <c r="AP61" s="352"/>
    </row>
    <row r="62" spans="5:42" s="265" customFormat="1">
      <c r="E62" s="317"/>
      <c r="AM62" s="351"/>
      <c r="AN62" s="352"/>
      <c r="AO62" s="352"/>
      <c r="AP62" s="352"/>
    </row>
    <row r="63" spans="5:42" s="265" customFormat="1">
      <c r="E63" s="317"/>
      <c r="AM63" s="351"/>
      <c r="AN63" s="352"/>
      <c r="AO63" s="352"/>
      <c r="AP63" s="352"/>
    </row>
    <row r="64" spans="5:42" s="265" customFormat="1">
      <c r="E64" s="317"/>
      <c r="AM64" s="351"/>
      <c r="AN64" s="352"/>
      <c r="AO64" s="352"/>
      <c r="AP64" s="352"/>
    </row>
    <row r="65" spans="5:42" s="265" customFormat="1">
      <c r="E65" s="317"/>
      <c r="AM65" s="351"/>
      <c r="AN65" s="352"/>
      <c r="AO65" s="352"/>
      <c r="AP65" s="352"/>
    </row>
    <row r="66" spans="5:42" s="265" customFormat="1">
      <c r="E66" s="317"/>
      <c r="AM66" s="351"/>
      <c r="AN66" s="352"/>
      <c r="AO66" s="352"/>
      <c r="AP66" s="352"/>
    </row>
    <row r="67" spans="5:42" s="265" customFormat="1">
      <c r="E67" s="317"/>
      <c r="AM67" s="351"/>
      <c r="AN67" s="352"/>
      <c r="AO67" s="352"/>
      <c r="AP67" s="352"/>
    </row>
    <row r="68" spans="5:42" s="265" customFormat="1">
      <c r="E68" s="317"/>
      <c r="AM68" s="351"/>
      <c r="AN68" s="352"/>
      <c r="AO68" s="352"/>
      <c r="AP68" s="352"/>
    </row>
    <row r="69" spans="5:42" s="265" customFormat="1">
      <c r="E69" s="317"/>
      <c r="AM69" s="351"/>
      <c r="AN69" s="352"/>
      <c r="AO69" s="352"/>
      <c r="AP69" s="352"/>
    </row>
    <row r="70" spans="5:42" s="265" customFormat="1">
      <c r="E70" s="317"/>
      <c r="AM70" s="351"/>
      <c r="AN70" s="352"/>
      <c r="AO70" s="352"/>
      <c r="AP70" s="352"/>
    </row>
    <row r="71" spans="5:42" s="265" customFormat="1">
      <c r="E71" s="317"/>
      <c r="AM71" s="351"/>
      <c r="AN71" s="352"/>
      <c r="AO71" s="352"/>
      <c r="AP71" s="352"/>
    </row>
    <row r="72" spans="5:42" s="265" customFormat="1">
      <c r="E72" s="317"/>
      <c r="AM72" s="351"/>
      <c r="AN72" s="352"/>
      <c r="AO72" s="352"/>
      <c r="AP72" s="352"/>
    </row>
    <row r="73" spans="5:42" s="265" customFormat="1">
      <c r="E73" s="317"/>
      <c r="AM73" s="351"/>
      <c r="AN73" s="352"/>
      <c r="AO73" s="352"/>
      <c r="AP73" s="352"/>
    </row>
    <row r="74" spans="5:42" s="265" customFormat="1">
      <c r="E74" s="317"/>
      <c r="AM74" s="351"/>
      <c r="AN74" s="352"/>
      <c r="AO74" s="352"/>
      <c r="AP74" s="352"/>
    </row>
    <row r="75" spans="5:42" s="265" customFormat="1">
      <c r="E75" s="317"/>
      <c r="AM75" s="351"/>
      <c r="AN75" s="352"/>
      <c r="AO75" s="352"/>
      <c r="AP75" s="352"/>
    </row>
    <row r="76" spans="5:42" s="265" customFormat="1">
      <c r="E76" s="317"/>
      <c r="AM76" s="351"/>
      <c r="AN76" s="352"/>
      <c r="AO76" s="352"/>
      <c r="AP76" s="352"/>
    </row>
    <row r="77" spans="5:42" s="265" customFormat="1">
      <c r="E77" s="317"/>
      <c r="AM77" s="351"/>
      <c r="AN77" s="352"/>
      <c r="AO77" s="352"/>
      <c r="AP77" s="352"/>
    </row>
    <row r="78" spans="5:42" s="265" customFormat="1">
      <c r="E78" s="317"/>
      <c r="AM78" s="351"/>
      <c r="AN78" s="352"/>
      <c r="AO78" s="352"/>
      <c r="AP78" s="352"/>
    </row>
    <row r="79" spans="5:42" s="265" customFormat="1">
      <c r="E79" s="317"/>
      <c r="AM79" s="351"/>
      <c r="AN79" s="352"/>
      <c r="AO79" s="352"/>
      <c r="AP79" s="352"/>
    </row>
    <row r="80" spans="5:42" s="265" customFormat="1">
      <c r="E80" s="317"/>
      <c r="AM80" s="351"/>
      <c r="AN80" s="352"/>
      <c r="AO80" s="352"/>
      <c r="AP80" s="352"/>
    </row>
    <row r="81" spans="5:42" s="265" customFormat="1">
      <c r="E81" s="317"/>
      <c r="AM81" s="351"/>
      <c r="AN81" s="352"/>
      <c r="AO81" s="352"/>
      <c r="AP81" s="352"/>
    </row>
    <row r="82" spans="5:42" s="265" customFormat="1">
      <c r="E82" s="317"/>
      <c r="AM82" s="351"/>
      <c r="AN82" s="352"/>
      <c r="AO82" s="352"/>
      <c r="AP82" s="352"/>
    </row>
    <row r="83" spans="5:42" s="265" customFormat="1">
      <c r="E83" s="317"/>
      <c r="AM83" s="351"/>
      <c r="AN83" s="352"/>
      <c r="AO83" s="352"/>
      <c r="AP83" s="352"/>
    </row>
    <row r="84" spans="5:42" s="265" customFormat="1">
      <c r="E84" s="317"/>
      <c r="AM84" s="351"/>
      <c r="AN84" s="352"/>
      <c r="AO84" s="352"/>
      <c r="AP84" s="352"/>
    </row>
    <row r="85" spans="5:42" s="265" customFormat="1">
      <c r="E85" s="317"/>
      <c r="AM85" s="351"/>
      <c r="AN85" s="352"/>
      <c r="AO85" s="352"/>
      <c r="AP85" s="352"/>
    </row>
    <row r="86" spans="5:42" s="265" customFormat="1">
      <c r="E86" s="317"/>
      <c r="AM86" s="351"/>
      <c r="AN86" s="352"/>
      <c r="AO86" s="352"/>
      <c r="AP86" s="352"/>
    </row>
    <row r="87" spans="5:42" s="265" customFormat="1">
      <c r="E87" s="317"/>
      <c r="AM87" s="351"/>
      <c r="AN87" s="352"/>
      <c r="AO87" s="352"/>
      <c r="AP87" s="352"/>
    </row>
    <row r="88" spans="5:42" s="265" customFormat="1">
      <c r="E88" s="317"/>
      <c r="AM88" s="351"/>
      <c r="AN88" s="352"/>
      <c r="AO88" s="352"/>
      <c r="AP88" s="352"/>
    </row>
    <row r="89" spans="5:42" s="265" customFormat="1">
      <c r="E89" s="317"/>
      <c r="AM89" s="351"/>
      <c r="AN89" s="352"/>
      <c r="AO89" s="352"/>
      <c r="AP89" s="352"/>
    </row>
    <row r="90" spans="5:42" s="265" customFormat="1">
      <c r="E90" s="317"/>
      <c r="AM90" s="351"/>
      <c r="AN90" s="352"/>
      <c r="AO90" s="352"/>
      <c r="AP90" s="352"/>
    </row>
    <row r="91" spans="5:42" s="265" customFormat="1">
      <c r="E91" s="317"/>
      <c r="AM91" s="351"/>
      <c r="AN91" s="352"/>
      <c r="AO91" s="352"/>
      <c r="AP91" s="352"/>
    </row>
    <row r="92" spans="5:42" s="265" customFormat="1">
      <c r="E92" s="317"/>
      <c r="AM92" s="351"/>
      <c r="AN92" s="352"/>
      <c r="AO92" s="352"/>
      <c r="AP92" s="352"/>
    </row>
    <row r="93" spans="5:42" s="265" customFormat="1">
      <c r="E93" s="317"/>
      <c r="AM93" s="351"/>
      <c r="AN93" s="352"/>
      <c r="AO93" s="352"/>
      <c r="AP93" s="352"/>
    </row>
    <row r="94" spans="5:42" s="265" customFormat="1">
      <c r="E94" s="317"/>
      <c r="AM94" s="351"/>
      <c r="AN94" s="352"/>
      <c r="AO94" s="352"/>
      <c r="AP94" s="352"/>
    </row>
    <row r="95" spans="5:42" s="265" customFormat="1">
      <c r="E95" s="317"/>
      <c r="AM95" s="351"/>
      <c r="AN95" s="352"/>
      <c r="AO95" s="352"/>
      <c r="AP95" s="352"/>
    </row>
    <row r="96" spans="5:42" s="265" customFormat="1">
      <c r="E96" s="317"/>
      <c r="AM96" s="351"/>
      <c r="AN96" s="352"/>
      <c r="AO96" s="352"/>
      <c r="AP96" s="352"/>
    </row>
    <row r="97" spans="5:42" s="265" customFormat="1">
      <c r="E97" s="317"/>
      <c r="AM97" s="351"/>
      <c r="AN97" s="352"/>
      <c r="AO97" s="352"/>
      <c r="AP97" s="352"/>
    </row>
    <row r="98" spans="5:42" s="265" customFormat="1">
      <c r="E98" s="317"/>
      <c r="AM98" s="351"/>
      <c r="AN98" s="352"/>
      <c r="AO98" s="352"/>
      <c r="AP98" s="352"/>
    </row>
    <row r="99" spans="5:42" s="265" customFormat="1">
      <c r="E99" s="317"/>
      <c r="AM99" s="351"/>
      <c r="AN99" s="352"/>
      <c r="AO99" s="352"/>
      <c r="AP99" s="352"/>
    </row>
    <row r="100" spans="5:42" s="265" customFormat="1">
      <c r="E100" s="317"/>
      <c r="AM100" s="351"/>
      <c r="AN100" s="352"/>
      <c r="AO100" s="352"/>
      <c r="AP100" s="352"/>
    </row>
    <row r="101" spans="5:42" s="265" customFormat="1">
      <c r="E101" s="317"/>
      <c r="AM101" s="351"/>
      <c r="AN101" s="352"/>
      <c r="AO101" s="352"/>
      <c r="AP101" s="352"/>
    </row>
    <row r="102" spans="5:42" s="265" customFormat="1">
      <c r="E102" s="317"/>
      <c r="AM102" s="351"/>
      <c r="AN102" s="352"/>
      <c r="AO102" s="352"/>
      <c r="AP102" s="352"/>
    </row>
    <row r="103" spans="5:42" s="265" customFormat="1">
      <c r="E103" s="317"/>
      <c r="AM103" s="351"/>
      <c r="AN103" s="352"/>
      <c r="AO103" s="352"/>
      <c r="AP103" s="352"/>
    </row>
    <row r="104" spans="5:42" s="265" customFormat="1">
      <c r="E104" s="317"/>
      <c r="AM104" s="351"/>
      <c r="AN104" s="352"/>
      <c r="AO104" s="352"/>
      <c r="AP104" s="352"/>
    </row>
    <row r="105" spans="5:42" s="265" customFormat="1">
      <c r="E105" s="317"/>
      <c r="AM105" s="351"/>
      <c r="AN105" s="352"/>
      <c r="AO105" s="352"/>
      <c r="AP105" s="352"/>
    </row>
    <row r="106" spans="5:42" s="265" customFormat="1">
      <c r="E106" s="317"/>
      <c r="AM106" s="351"/>
      <c r="AN106" s="352"/>
      <c r="AO106" s="352"/>
      <c r="AP106" s="352"/>
    </row>
    <row r="107" spans="5:42" s="265" customFormat="1">
      <c r="E107" s="317"/>
      <c r="AM107" s="351"/>
      <c r="AN107" s="352"/>
      <c r="AO107" s="352"/>
      <c r="AP107" s="352"/>
    </row>
    <row r="108" spans="5:42" s="265" customFormat="1">
      <c r="E108" s="317"/>
      <c r="AM108" s="351"/>
      <c r="AN108" s="352"/>
      <c r="AO108" s="352"/>
      <c r="AP108" s="352"/>
    </row>
    <row r="109" spans="5:42" s="265" customFormat="1">
      <c r="E109" s="317"/>
      <c r="AM109" s="351"/>
      <c r="AN109" s="352"/>
      <c r="AO109" s="352"/>
      <c r="AP109" s="352"/>
    </row>
    <row r="110" spans="5:42" s="265" customFormat="1">
      <c r="E110" s="317"/>
      <c r="AM110" s="351"/>
      <c r="AN110" s="352"/>
      <c r="AO110" s="352"/>
      <c r="AP110" s="352"/>
    </row>
    <row r="111" spans="5:42" s="265" customFormat="1">
      <c r="E111" s="317"/>
      <c r="AM111" s="351"/>
      <c r="AN111" s="352"/>
      <c r="AO111" s="352"/>
      <c r="AP111" s="352"/>
    </row>
    <row r="112" spans="5:42" s="265" customFormat="1">
      <c r="E112" s="317"/>
      <c r="AM112" s="351"/>
      <c r="AN112" s="352"/>
      <c r="AO112" s="352"/>
      <c r="AP112" s="352"/>
    </row>
    <row r="113" spans="5:42" s="265" customFormat="1">
      <c r="E113" s="317"/>
      <c r="AM113" s="351"/>
      <c r="AN113" s="352"/>
      <c r="AO113" s="352"/>
      <c r="AP113" s="352"/>
    </row>
    <row r="114" spans="5:42" s="265" customFormat="1">
      <c r="E114" s="317"/>
      <c r="AM114" s="351"/>
      <c r="AN114" s="352"/>
      <c r="AO114" s="352"/>
      <c r="AP114" s="352"/>
    </row>
    <row r="115" spans="5:42" s="265" customFormat="1">
      <c r="E115" s="317"/>
      <c r="AM115" s="351"/>
      <c r="AN115" s="352"/>
      <c r="AO115" s="352"/>
      <c r="AP115" s="352"/>
    </row>
    <row r="116" spans="5:42" s="265" customFormat="1">
      <c r="E116" s="317"/>
      <c r="AM116" s="351"/>
      <c r="AN116" s="352"/>
      <c r="AO116" s="352"/>
      <c r="AP116" s="352"/>
    </row>
    <row r="117" spans="5:42" s="265" customFormat="1">
      <c r="E117" s="317"/>
      <c r="AM117" s="351"/>
      <c r="AN117" s="352"/>
      <c r="AO117" s="352"/>
      <c r="AP117" s="352"/>
    </row>
    <row r="118" spans="5:42" s="265" customFormat="1">
      <c r="E118" s="317"/>
      <c r="AM118" s="351"/>
      <c r="AN118" s="352"/>
      <c r="AO118" s="352"/>
      <c r="AP118" s="352"/>
    </row>
    <row r="119" spans="5:42" s="265" customFormat="1">
      <c r="E119" s="317"/>
      <c r="AM119" s="351"/>
      <c r="AN119" s="352"/>
      <c r="AO119" s="352"/>
      <c r="AP119" s="352"/>
    </row>
    <row r="120" spans="5:42" s="265" customFormat="1">
      <c r="E120" s="317"/>
      <c r="AM120" s="351"/>
      <c r="AN120" s="352"/>
      <c r="AO120" s="352"/>
      <c r="AP120" s="352"/>
    </row>
    <row r="121" spans="5:42" s="265" customFormat="1">
      <c r="E121" s="317"/>
      <c r="AM121" s="351"/>
      <c r="AN121" s="352"/>
      <c r="AO121" s="352"/>
      <c r="AP121" s="352"/>
    </row>
    <row r="122" spans="5:42" s="265" customFormat="1">
      <c r="E122" s="317"/>
      <c r="AM122" s="351"/>
      <c r="AN122" s="352"/>
      <c r="AO122" s="352"/>
      <c r="AP122" s="352"/>
    </row>
    <row r="123" spans="5:42" s="265" customFormat="1">
      <c r="E123" s="317"/>
      <c r="AM123" s="351"/>
      <c r="AN123" s="352"/>
      <c r="AO123" s="352"/>
      <c r="AP123" s="352"/>
    </row>
    <row r="124" spans="5:42" s="265" customFormat="1">
      <c r="E124" s="317"/>
      <c r="AM124" s="351"/>
      <c r="AN124" s="352"/>
      <c r="AO124" s="352"/>
      <c r="AP124" s="352"/>
    </row>
    <row r="125" spans="5:42" s="265" customFormat="1">
      <c r="E125" s="317"/>
      <c r="AM125" s="351"/>
      <c r="AN125" s="352"/>
      <c r="AO125" s="352"/>
      <c r="AP125" s="352"/>
    </row>
    <row r="126" spans="5:42" s="265" customFormat="1">
      <c r="E126" s="317"/>
      <c r="AM126" s="351"/>
      <c r="AN126" s="352"/>
      <c r="AO126" s="352"/>
      <c r="AP126" s="352"/>
    </row>
    <row r="127" spans="5:42" s="265" customFormat="1">
      <c r="E127" s="317"/>
      <c r="AM127" s="351"/>
      <c r="AN127" s="352"/>
      <c r="AO127" s="352"/>
      <c r="AP127" s="352"/>
    </row>
    <row r="128" spans="5:42" s="265" customFormat="1">
      <c r="E128" s="317"/>
      <c r="AM128" s="351"/>
      <c r="AN128" s="352"/>
      <c r="AO128" s="352"/>
      <c r="AP128" s="352"/>
    </row>
    <row r="129" spans="5:42" s="265" customFormat="1">
      <c r="E129" s="317"/>
      <c r="AM129" s="351"/>
      <c r="AN129" s="352"/>
      <c r="AO129" s="352"/>
      <c r="AP129" s="352"/>
    </row>
    <row r="130" spans="5:42" s="265" customFormat="1">
      <c r="E130" s="317"/>
      <c r="AM130" s="351"/>
      <c r="AN130" s="352"/>
      <c r="AO130" s="352"/>
      <c r="AP130" s="352"/>
    </row>
    <row r="131" spans="5:42" s="265" customFormat="1">
      <c r="E131" s="317"/>
      <c r="AM131" s="351"/>
      <c r="AN131" s="352"/>
      <c r="AO131" s="352"/>
      <c r="AP131" s="352"/>
    </row>
    <row r="132" spans="5:42" s="265" customFormat="1">
      <c r="E132" s="317"/>
      <c r="AM132" s="351"/>
      <c r="AN132" s="352"/>
      <c r="AO132" s="352"/>
      <c r="AP132" s="352"/>
    </row>
    <row r="133" spans="5:42" s="265" customFormat="1">
      <c r="E133" s="317"/>
      <c r="AM133" s="351"/>
      <c r="AN133" s="352"/>
      <c r="AO133" s="352"/>
      <c r="AP133" s="352"/>
    </row>
    <row r="134" spans="5:42" s="265" customFormat="1">
      <c r="E134" s="317"/>
      <c r="AM134" s="351"/>
      <c r="AN134" s="352"/>
      <c r="AO134" s="352"/>
      <c r="AP134" s="352"/>
    </row>
    <row r="135" spans="5:42" s="265" customFormat="1">
      <c r="E135" s="317"/>
      <c r="AM135" s="351"/>
      <c r="AN135" s="352"/>
      <c r="AO135" s="352"/>
      <c r="AP135" s="352"/>
    </row>
    <row r="136" spans="5:42" s="265" customFormat="1">
      <c r="E136" s="317"/>
      <c r="AM136" s="351"/>
      <c r="AN136" s="352"/>
      <c r="AO136" s="352"/>
      <c r="AP136" s="352"/>
    </row>
    <row r="137" spans="5:42" s="265" customFormat="1">
      <c r="E137" s="317"/>
      <c r="AM137" s="351"/>
      <c r="AN137" s="352"/>
      <c r="AO137" s="352"/>
      <c r="AP137" s="352"/>
    </row>
    <row r="138" spans="5:42" s="265" customFormat="1">
      <c r="E138" s="317"/>
      <c r="AM138" s="351"/>
      <c r="AN138" s="352"/>
      <c r="AO138" s="352"/>
      <c r="AP138" s="352"/>
    </row>
    <row r="139" spans="5:42" s="265" customFormat="1">
      <c r="E139" s="317"/>
      <c r="AM139" s="351"/>
      <c r="AN139" s="352"/>
      <c r="AO139" s="352"/>
      <c r="AP139" s="352"/>
    </row>
    <row r="140" spans="5:42" s="265" customFormat="1">
      <c r="E140" s="317"/>
      <c r="AM140" s="351"/>
      <c r="AN140" s="352"/>
      <c r="AO140" s="352"/>
      <c r="AP140" s="352"/>
    </row>
    <row r="141" spans="5:42" s="265" customFormat="1">
      <c r="E141" s="317"/>
      <c r="AM141" s="351"/>
      <c r="AN141" s="352"/>
      <c r="AO141" s="352"/>
      <c r="AP141" s="352"/>
    </row>
    <row r="142" spans="5:42" s="265" customFormat="1">
      <c r="E142" s="317"/>
      <c r="AM142" s="351"/>
      <c r="AN142" s="352"/>
      <c r="AO142" s="352"/>
      <c r="AP142" s="352"/>
    </row>
    <row r="143" spans="5:42" s="265" customFormat="1">
      <c r="E143" s="317"/>
      <c r="AM143" s="351"/>
      <c r="AN143" s="352"/>
      <c r="AO143" s="352"/>
      <c r="AP143" s="352"/>
    </row>
    <row r="144" spans="5:42" s="265" customFormat="1">
      <c r="E144" s="317"/>
      <c r="AM144" s="351"/>
      <c r="AN144" s="352"/>
      <c r="AO144" s="352"/>
      <c r="AP144" s="352"/>
    </row>
    <row r="145" spans="5:42" s="265" customFormat="1">
      <c r="E145" s="317"/>
      <c r="AM145" s="351"/>
      <c r="AN145" s="352"/>
      <c r="AO145" s="352"/>
      <c r="AP145" s="352"/>
    </row>
    <row r="146" spans="5:42" s="265" customFormat="1">
      <c r="E146" s="317"/>
      <c r="AM146" s="351"/>
      <c r="AN146" s="352"/>
      <c r="AO146" s="352"/>
      <c r="AP146" s="352"/>
    </row>
    <row r="147" spans="5:42" s="265" customFormat="1">
      <c r="E147" s="317"/>
      <c r="AM147" s="351"/>
      <c r="AN147" s="352"/>
      <c r="AO147" s="352"/>
      <c r="AP147" s="352"/>
    </row>
    <row r="148" spans="5:42" s="265" customFormat="1">
      <c r="E148" s="317"/>
      <c r="AM148" s="351"/>
      <c r="AN148" s="352"/>
      <c r="AO148" s="352"/>
      <c r="AP148" s="352"/>
    </row>
    <row r="149" spans="5:42" s="265" customFormat="1">
      <c r="E149" s="317"/>
      <c r="AM149" s="351"/>
      <c r="AN149" s="352"/>
      <c r="AO149" s="352"/>
      <c r="AP149" s="352"/>
    </row>
    <row r="150" spans="5:42" s="265" customFormat="1">
      <c r="E150" s="317"/>
      <c r="AM150" s="351"/>
      <c r="AN150" s="352"/>
      <c r="AO150" s="352"/>
      <c r="AP150" s="352"/>
    </row>
    <row r="151" spans="5:42" s="265" customFormat="1">
      <c r="E151" s="317"/>
      <c r="AM151" s="351"/>
      <c r="AN151" s="352"/>
      <c r="AO151" s="352"/>
      <c r="AP151" s="352"/>
    </row>
    <row r="152" spans="5:42" s="265" customFormat="1">
      <c r="E152" s="317"/>
      <c r="AM152" s="351"/>
      <c r="AN152" s="352"/>
      <c r="AO152" s="352"/>
      <c r="AP152" s="352"/>
    </row>
    <row r="153" spans="5:42" s="265" customFormat="1">
      <c r="E153" s="317"/>
      <c r="AM153" s="351"/>
      <c r="AN153" s="352"/>
      <c r="AO153" s="352"/>
      <c r="AP153" s="352"/>
    </row>
    <row r="154" spans="5:42" s="265" customFormat="1">
      <c r="E154" s="317"/>
      <c r="AM154" s="351"/>
      <c r="AN154" s="352"/>
      <c r="AO154" s="352"/>
      <c r="AP154" s="352"/>
    </row>
    <row r="155" spans="5:42" s="265" customFormat="1">
      <c r="E155" s="317"/>
      <c r="AM155" s="351"/>
      <c r="AN155" s="352"/>
      <c r="AO155" s="352"/>
      <c r="AP155" s="352"/>
    </row>
    <row r="156" spans="5:42" s="265" customFormat="1">
      <c r="E156" s="317"/>
      <c r="AM156" s="351"/>
      <c r="AN156" s="352"/>
      <c r="AO156" s="352"/>
      <c r="AP156" s="352"/>
    </row>
    <row r="157" spans="5:42" s="265" customFormat="1">
      <c r="E157" s="317"/>
      <c r="AM157" s="351"/>
      <c r="AN157" s="352"/>
      <c r="AO157" s="352"/>
      <c r="AP157" s="352"/>
    </row>
    <row r="158" spans="5:42" s="265" customFormat="1">
      <c r="E158" s="317"/>
      <c r="AM158" s="351"/>
      <c r="AN158" s="352"/>
      <c r="AO158" s="352"/>
      <c r="AP158" s="352"/>
    </row>
    <row r="159" spans="5:42" s="265" customFormat="1">
      <c r="E159" s="317"/>
      <c r="AM159" s="351"/>
      <c r="AN159" s="352"/>
      <c r="AO159" s="352"/>
      <c r="AP159" s="352"/>
    </row>
    <row r="160" spans="5:42" s="265" customFormat="1">
      <c r="E160" s="317"/>
      <c r="AM160" s="351"/>
      <c r="AN160" s="352"/>
      <c r="AO160" s="352"/>
      <c r="AP160" s="352"/>
    </row>
    <row r="161" spans="5:42" s="265" customFormat="1">
      <c r="E161" s="317"/>
      <c r="AM161" s="351"/>
      <c r="AN161" s="352"/>
      <c r="AO161" s="352"/>
      <c r="AP161" s="352"/>
    </row>
    <row r="162" spans="5:42" s="265" customFormat="1">
      <c r="E162" s="317"/>
      <c r="AM162" s="351"/>
      <c r="AN162" s="352"/>
      <c r="AO162" s="352"/>
      <c r="AP162" s="352"/>
    </row>
    <row r="163" spans="5:42" s="265" customFormat="1">
      <c r="E163" s="317"/>
      <c r="AM163" s="351"/>
      <c r="AN163" s="352"/>
      <c r="AO163" s="352"/>
      <c r="AP163" s="352"/>
    </row>
    <row r="164" spans="5:42" s="265" customFormat="1">
      <c r="E164" s="317"/>
      <c r="AM164" s="351"/>
      <c r="AN164" s="352"/>
      <c r="AO164" s="352"/>
      <c r="AP164" s="352"/>
    </row>
    <row r="165" spans="5:42" s="265" customFormat="1">
      <c r="E165" s="317"/>
      <c r="AM165" s="351"/>
      <c r="AN165" s="352"/>
      <c r="AO165" s="352"/>
      <c r="AP165" s="352"/>
    </row>
    <row r="166" spans="5:42" s="265" customFormat="1">
      <c r="E166" s="317"/>
      <c r="AM166" s="351"/>
      <c r="AN166" s="352"/>
      <c r="AO166" s="352"/>
      <c r="AP166" s="352"/>
    </row>
    <row r="167" spans="5:42" s="265" customFormat="1">
      <c r="E167" s="317"/>
      <c r="AM167" s="351"/>
      <c r="AN167" s="352"/>
      <c r="AO167" s="352"/>
      <c r="AP167" s="352"/>
    </row>
    <row r="168" spans="5:42" s="265" customFormat="1">
      <c r="E168" s="317"/>
      <c r="AM168" s="351"/>
      <c r="AN168" s="352"/>
      <c r="AO168" s="352"/>
      <c r="AP168" s="352"/>
    </row>
    <row r="169" spans="5:42" s="265" customFormat="1">
      <c r="E169" s="317"/>
      <c r="AM169" s="351"/>
      <c r="AN169" s="352"/>
      <c r="AO169" s="352"/>
      <c r="AP169" s="352"/>
    </row>
    <row r="170" spans="5:42" s="265" customFormat="1">
      <c r="E170" s="317"/>
      <c r="AM170" s="351"/>
      <c r="AN170" s="352"/>
      <c r="AO170" s="352"/>
      <c r="AP170" s="352"/>
    </row>
    <row r="171" spans="5:42" s="265" customFormat="1">
      <c r="E171" s="317"/>
      <c r="AM171" s="351"/>
      <c r="AN171" s="352"/>
      <c r="AO171" s="352"/>
      <c r="AP171" s="352"/>
    </row>
    <row r="172" spans="5:42" s="265" customFormat="1">
      <c r="E172" s="317"/>
      <c r="AM172" s="351"/>
      <c r="AN172" s="352"/>
      <c r="AO172" s="352"/>
      <c r="AP172" s="352"/>
    </row>
    <row r="173" spans="5:42" s="265" customFormat="1">
      <c r="E173" s="317"/>
      <c r="AM173" s="351"/>
      <c r="AN173" s="352"/>
      <c r="AO173" s="352"/>
      <c r="AP173" s="352"/>
    </row>
    <row r="174" spans="5:42" s="265" customFormat="1">
      <c r="E174" s="317"/>
      <c r="AM174" s="351"/>
      <c r="AN174" s="352"/>
      <c r="AO174" s="352"/>
      <c r="AP174" s="352"/>
    </row>
    <row r="175" spans="5:42" s="265" customFormat="1">
      <c r="E175" s="317"/>
      <c r="AM175" s="351"/>
      <c r="AN175" s="352"/>
      <c r="AO175" s="352"/>
      <c r="AP175" s="352"/>
    </row>
    <row r="176" spans="5:42" s="265" customFormat="1">
      <c r="E176" s="317"/>
      <c r="AM176" s="351"/>
      <c r="AN176" s="352"/>
      <c r="AO176" s="352"/>
      <c r="AP176" s="352"/>
    </row>
    <row r="177" spans="5:42" s="265" customFormat="1">
      <c r="E177" s="317"/>
      <c r="AM177" s="351"/>
      <c r="AN177" s="352"/>
      <c r="AO177" s="352"/>
      <c r="AP177" s="352"/>
    </row>
    <row r="178" spans="5:42" s="265" customFormat="1">
      <c r="E178" s="317"/>
      <c r="AM178" s="351"/>
      <c r="AN178" s="352"/>
      <c r="AO178" s="352"/>
      <c r="AP178" s="352"/>
    </row>
    <row r="179" spans="5:42" s="265" customFormat="1">
      <c r="E179" s="317"/>
      <c r="AM179" s="351"/>
      <c r="AN179" s="352"/>
      <c r="AO179" s="352"/>
      <c r="AP179" s="352"/>
    </row>
    <row r="180" spans="5:42" s="265" customFormat="1">
      <c r="E180" s="317"/>
      <c r="AM180" s="351"/>
      <c r="AN180" s="352"/>
      <c r="AO180" s="352"/>
      <c r="AP180" s="352"/>
    </row>
    <row r="181" spans="5:42" s="265" customFormat="1">
      <c r="E181" s="317"/>
      <c r="AM181" s="351"/>
      <c r="AN181" s="352"/>
      <c r="AO181" s="352"/>
      <c r="AP181" s="352"/>
    </row>
    <row r="182" spans="5:42" s="265" customFormat="1">
      <c r="E182" s="317"/>
      <c r="AM182" s="351"/>
      <c r="AN182" s="352"/>
      <c r="AO182" s="352"/>
      <c r="AP182" s="352"/>
    </row>
    <row r="183" spans="5:42" s="265" customFormat="1">
      <c r="E183" s="317"/>
      <c r="AM183" s="351"/>
      <c r="AN183" s="352"/>
      <c r="AO183" s="352"/>
      <c r="AP183" s="352"/>
    </row>
    <row r="184" spans="5:42" s="265" customFormat="1">
      <c r="E184" s="317"/>
      <c r="AM184" s="351"/>
      <c r="AN184" s="352"/>
      <c r="AO184" s="352"/>
      <c r="AP184" s="352"/>
    </row>
    <row r="185" spans="5:42" s="265" customFormat="1">
      <c r="E185" s="317"/>
      <c r="AM185" s="351"/>
      <c r="AN185" s="352"/>
      <c r="AO185" s="352"/>
      <c r="AP185" s="352"/>
    </row>
    <row r="186" spans="5:42" s="265" customFormat="1">
      <c r="E186" s="317"/>
      <c r="AM186" s="351"/>
      <c r="AN186" s="352"/>
      <c r="AO186" s="352"/>
      <c r="AP186" s="352"/>
    </row>
    <row r="187" spans="5:42" s="265" customFormat="1">
      <c r="E187" s="317"/>
      <c r="AM187" s="351"/>
      <c r="AN187" s="352"/>
      <c r="AO187" s="352"/>
      <c r="AP187" s="352"/>
    </row>
    <row r="188" spans="5:42" s="265" customFormat="1">
      <c r="E188" s="317"/>
      <c r="AM188" s="351"/>
      <c r="AN188" s="352"/>
      <c r="AO188" s="352"/>
      <c r="AP188" s="352"/>
    </row>
    <row r="189" spans="5:42" s="265" customFormat="1">
      <c r="E189" s="317"/>
      <c r="AM189" s="351"/>
      <c r="AN189" s="352"/>
      <c r="AO189" s="352"/>
      <c r="AP189" s="352"/>
    </row>
    <row r="190" spans="5:42" s="265" customFormat="1">
      <c r="E190" s="317"/>
      <c r="AM190" s="351"/>
      <c r="AN190" s="352"/>
      <c r="AO190" s="352"/>
      <c r="AP190" s="352"/>
    </row>
    <row r="191" spans="5:42" s="265" customFormat="1">
      <c r="E191" s="317"/>
      <c r="AM191" s="351"/>
      <c r="AN191" s="352"/>
      <c r="AO191" s="352"/>
      <c r="AP191" s="352"/>
    </row>
    <row r="192" spans="5:42" s="265" customFormat="1">
      <c r="E192" s="317"/>
      <c r="AM192" s="351"/>
      <c r="AN192" s="352"/>
      <c r="AO192" s="352"/>
      <c r="AP192" s="352"/>
    </row>
    <row r="193" spans="5:42" s="265" customFormat="1">
      <c r="E193" s="317"/>
      <c r="AM193" s="351"/>
      <c r="AN193" s="352"/>
      <c r="AO193" s="352"/>
      <c r="AP193" s="352"/>
    </row>
    <row r="194" spans="5:42" s="265" customFormat="1">
      <c r="E194" s="317"/>
      <c r="AM194" s="351"/>
      <c r="AN194" s="352"/>
      <c r="AO194" s="352"/>
      <c r="AP194" s="352"/>
    </row>
    <row r="195" spans="5:42" s="265" customFormat="1">
      <c r="E195" s="317"/>
      <c r="AM195" s="351"/>
      <c r="AN195" s="352"/>
      <c r="AO195" s="352"/>
      <c r="AP195" s="352"/>
    </row>
    <row r="196" spans="5:42" s="265" customFormat="1">
      <c r="E196" s="317"/>
      <c r="AM196" s="351"/>
      <c r="AN196" s="352"/>
      <c r="AO196" s="352"/>
      <c r="AP196" s="352"/>
    </row>
    <row r="197" spans="5:42" s="265" customFormat="1">
      <c r="E197" s="317"/>
      <c r="AM197" s="351"/>
      <c r="AN197" s="352"/>
      <c r="AO197" s="352"/>
      <c r="AP197" s="352"/>
    </row>
    <row r="198" spans="5:42" s="265" customFormat="1">
      <c r="E198" s="317"/>
      <c r="AM198" s="351"/>
      <c r="AN198" s="352"/>
      <c r="AO198" s="352"/>
      <c r="AP198" s="352"/>
    </row>
    <row r="199" spans="5:42" s="265" customFormat="1">
      <c r="E199" s="317"/>
      <c r="AM199" s="351"/>
      <c r="AN199" s="352"/>
      <c r="AO199" s="352"/>
      <c r="AP199" s="352"/>
    </row>
    <row r="200" spans="5:42" s="265" customFormat="1">
      <c r="E200" s="317"/>
      <c r="AM200" s="351"/>
      <c r="AN200" s="352"/>
      <c r="AO200" s="352"/>
      <c r="AP200" s="352"/>
    </row>
    <row r="201" spans="5:42" s="265" customFormat="1">
      <c r="E201" s="317"/>
      <c r="AM201" s="351"/>
      <c r="AN201" s="352"/>
      <c r="AO201" s="352"/>
      <c r="AP201" s="352"/>
    </row>
    <row r="202" spans="5:42" s="265" customFormat="1">
      <c r="E202" s="317"/>
      <c r="AM202" s="351"/>
      <c r="AN202" s="352"/>
      <c r="AO202" s="352"/>
      <c r="AP202" s="352"/>
    </row>
    <row r="203" spans="5:42" s="265" customFormat="1">
      <c r="E203" s="317"/>
      <c r="AM203" s="351"/>
      <c r="AN203" s="352"/>
      <c r="AO203" s="352"/>
      <c r="AP203" s="352"/>
    </row>
    <row r="204" spans="5:42" s="265" customFormat="1">
      <c r="E204" s="317"/>
      <c r="AM204" s="351"/>
      <c r="AN204" s="352"/>
      <c r="AO204" s="352"/>
      <c r="AP204" s="352"/>
    </row>
    <row r="205" spans="5:42" s="265" customFormat="1">
      <c r="E205" s="317"/>
      <c r="AM205" s="351"/>
      <c r="AN205" s="352"/>
      <c r="AO205" s="352"/>
      <c r="AP205" s="352"/>
    </row>
    <row r="206" spans="5:42" s="265" customFormat="1">
      <c r="E206" s="317"/>
      <c r="AM206" s="351"/>
      <c r="AN206" s="352"/>
      <c r="AO206" s="352"/>
      <c r="AP206" s="352"/>
    </row>
    <row r="207" spans="5:42" s="265" customFormat="1">
      <c r="E207" s="317"/>
      <c r="AM207" s="351"/>
      <c r="AN207" s="352"/>
      <c r="AO207" s="352"/>
      <c r="AP207" s="352"/>
    </row>
    <row r="208" spans="5:42" s="265" customFormat="1">
      <c r="E208" s="317"/>
      <c r="AM208" s="351"/>
      <c r="AN208" s="352"/>
      <c r="AO208" s="352"/>
      <c r="AP208" s="352"/>
    </row>
    <row r="209" spans="5:42" s="265" customFormat="1">
      <c r="E209" s="317"/>
      <c r="AM209" s="351"/>
      <c r="AN209" s="352"/>
      <c r="AO209" s="352"/>
      <c r="AP209" s="352"/>
    </row>
    <row r="210" spans="5:42" s="265" customFormat="1">
      <c r="E210" s="317"/>
      <c r="AM210" s="351"/>
      <c r="AN210" s="352"/>
      <c r="AO210" s="352"/>
      <c r="AP210" s="352"/>
    </row>
    <row r="211" spans="5:42" s="265" customFormat="1">
      <c r="E211" s="317"/>
      <c r="AM211" s="351"/>
      <c r="AN211" s="352"/>
      <c r="AO211" s="352"/>
      <c r="AP211" s="352"/>
    </row>
    <row r="212" spans="5:42" s="265" customFormat="1">
      <c r="E212" s="317"/>
      <c r="AM212" s="351"/>
      <c r="AN212" s="352"/>
      <c r="AO212" s="352"/>
      <c r="AP212" s="352"/>
    </row>
    <row r="213" spans="5:42" s="265" customFormat="1">
      <c r="E213" s="317"/>
      <c r="AM213" s="351"/>
      <c r="AN213" s="352"/>
      <c r="AO213" s="352"/>
      <c r="AP213" s="352"/>
    </row>
    <row r="214" spans="5:42" s="265" customFormat="1">
      <c r="E214" s="317"/>
      <c r="AM214" s="351"/>
      <c r="AN214" s="352"/>
      <c r="AO214" s="352"/>
      <c r="AP214" s="352"/>
    </row>
    <row r="215" spans="5:42" s="265" customFormat="1">
      <c r="E215" s="317"/>
      <c r="AM215" s="351"/>
      <c r="AN215" s="352"/>
      <c r="AO215" s="352"/>
      <c r="AP215" s="352"/>
    </row>
    <row r="216" spans="5:42" s="265" customFormat="1">
      <c r="E216" s="317"/>
      <c r="AM216" s="351"/>
      <c r="AN216" s="352"/>
      <c r="AO216" s="352"/>
      <c r="AP216" s="352"/>
    </row>
    <row r="217" spans="5:42" s="265" customFormat="1">
      <c r="E217" s="317"/>
      <c r="AM217" s="351"/>
      <c r="AN217" s="352"/>
      <c r="AO217" s="352"/>
      <c r="AP217" s="352"/>
    </row>
    <row r="218" spans="5:42" s="265" customFormat="1">
      <c r="E218" s="317"/>
      <c r="AM218" s="351"/>
      <c r="AN218" s="352"/>
      <c r="AO218" s="352"/>
      <c r="AP218" s="352"/>
    </row>
    <row r="219" spans="5:42" s="265" customFormat="1">
      <c r="E219" s="317"/>
      <c r="AM219" s="351"/>
      <c r="AN219" s="352"/>
      <c r="AO219" s="352"/>
      <c r="AP219" s="352"/>
    </row>
    <row r="220" spans="5:42" s="265" customFormat="1">
      <c r="E220" s="317"/>
      <c r="AM220" s="351"/>
      <c r="AN220" s="352"/>
      <c r="AO220" s="352"/>
      <c r="AP220" s="352"/>
    </row>
    <row r="221" spans="5:42" s="265" customFormat="1">
      <c r="E221" s="317"/>
      <c r="AM221" s="351"/>
      <c r="AN221" s="352"/>
      <c r="AO221" s="352"/>
      <c r="AP221" s="352"/>
    </row>
    <row r="222" spans="5:42" s="265" customFormat="1">
      <c r="E222" s="317"/>
      <c r="AM222" s="351"/>
      <c r="AN222" s="352"/>
      <c r="AO222" s="352"/>
      <c r="AP222" s="352"/>
    </row>
    <row r="223" spans="5:42" s="265" customFormat="1">
      <c r="E223" s="317"/>
      <c r="AM223" s="351"/>
      <c r="AN223" s="352"/>
      <c r="AO223" s="352"/>
      <c r="AP223" s="352"/>
    </row>
    <row r="224" spans="5:42" s="265" customFormat="1">
      <c r="E224" s="317"/>
      <c r="AM224" s="351"/>
      <c r="AN224" s="352"/>
      <c r="AO224" s="352"/>
      <c r="AP224" s="352"/>
    </row>
    <row r="225" spans="5:42" s="265" customFormat="1">
      <c r="E225" s="317"/>
      <c r="AM225" s="351"/>
      <c r="AN225" s="352"/>
      <c r="AO225" s="352"/>
      <c r="AP225" s="352"/>
    </row>
    <row r="226" spans="5:42" s="265" customFormat="1">
      <c r="E226" s="317"/>
      <c r="AM226" s="351"/>
      <c r="AN226" s="352"/>
      <c r="AO226" s="352"/>
      <c r="AP226" s="352"/>
    </row>
    <row r="227" spans="5:42" s="265" customFormat="1">
      <c r="E227" s="317"/>
      <c r="AM227" s="351"/>
      <c r="AN227" s="352"/>
      <c r="AO227" s="352"/>
      <c r="AP227" s="352"/>
    </row>
    <row r="228" spans="5:42" s="265" customFormat="1">
      <c r="E228" s="317"/>
      <c r="AM228" s="351"/>
      <c r="AN228" s="352"/>
      <c r="AO228" s="352"/>
      <c r="AP228" s="352"/>
    </row>
    <row r="229" spans="5:42" s="265" customFormat="1">
      <c r="E229" s="317"/>
      <c r="AM229" s="351"/>
      <c r="AN229" s="352"/>
      <c r="AO229" s="352"/>
      <c r="AP229" s="352"/>
    </row>
    <row r="230" spans="5:42" s="265" customFormat="1">
      <c r="E230" s="317"/>
      <c r="AM230" s="351"/>
      <c r="AN230" s="352"/>
      <c r="AO230" s="352"/>
      <c r="AP230" s="352"/>
    </row>
    <row r="231" spans="5:42" s="265" customFormat="1">
      <c r="E231" s="317"/>
      <c r="AM231" s="351"/>
      <c r="AN231" s="352"/>
      <c r="AO231" s="352"/>
      <c r="AP231" s="352"/>
    </row>
    <row r="232" spans="5:42" s="265" customFormat="1">
      <c r="E232" s="317"/>
      <c r="AM232" s="351"/>
      <c r="AN232" s="352"/>
      <c r="AO232" s="352"/>
      <c r="AP232" s="352"/>
    </row>
    <row r="233" spans="5:42" s="265" customFormat="1">
      <c r="E233" s="317"/>
      <c r="AM233" s="351"/>
      <c r="AN233" s="352"/>
      <c r="AO233" s="352"/>
      <c r="AP233" s="352"/>
    </row>
    <row r="234" spans="5:42" s="265" customFormat="1">
      <c r="E234" s="317"/>
      <c r="AM234" s="351"/>
      <c r="AN234" s="352"/>
      <c r="AO234" s="352"/>
      <c r="AP234" s="352"/>
    </row>
    <row r="235" spans="5:42" s="265" customFormat="1">
      <c r="E235" s="317"/>
      <c r="AM235" s="351"/>
      <c r="AN235" s="352"/>
      <c r="AO235" s="352"/>
      <c r="AP235" s="352"/>
    </row>
    <row r="236" spans="5:42" s="265" customFormat="1">
      <c r="E236" s="317"/>
      <c r="AM236" s="351"/>
      <c r="AN236" s="352"/>
      <c r="AO236" s="352"/>
      <c r="AP236" s="352"/>
    </row>
    <row r="237" spans="5:42" s="265" customFormat="1">
      <c r="E237" s="317"/>
      <c r="AM237" s="351"/>
      <c r="AN237" s="352"/>
      <c r="AO237" s="352"/>
      <c r="AP237" s="352"/>
    </row>
    <row r="238" spans="5:42" s="265" customFormat="1">
      <c r="E238" s="317"/>
      <c r="AM238" s="351"/>
      <c r="AN238" s="352"/>
      <c r="AO238" s="352"/>
      <c r="AP238" s="352"/>
    </row>
    <row r="239" spans="5:42" s="265" customFormat="1">
      <c r="E239" s="317"/>
      <c r="AM239" s="351"/>
      <c r="AN239" s="352"/>
      <c r="AO239" s="352"/>
      <c r="AP239" s="352"/>
    </row>
    <row r="240" spans="5:42" s="265" customFormat="1">
      <c r="E240" s="317"/>
      <c r="AM240" s="351"/>
      <c r="AN240" s="352"/>
      <c r="AO240" s="352"/>
      <c r="AP240" s="352"/>
    </row>
    <row r="241" spans="5:42" s="265" customFormat="1">
      <c r="E241" s="317"/>
      <c r="AM241" s="351"/>
      <c r="AN241" s="352"/>
      <c r="AO241" s="352"/>
      <c r="AP241" s="352"/>
    </row>
    <row r="242" spans="5:42" s="265" customFormat="1">
      <c r="E242" s="317"/>
      <c r="AM242" s="351"/>
      <c r="AN242" s="352"/>
      <c r="AO242" s="352"/>
      <c r="AP242" s="352"/>
    </row>
    <row r="243" spans="5:42" s="265" customFormat="1">
      <c r="E243" s="317"/>
      <c r="AM243" s="351"/>
      <c r="AN243" s="352"/>
      <c r="AO243" s="352"/>
      <c r="AP243" s="352"/>
    </row>
    <row r="244" spans="5:42" s="265" customFormat="1">
      <c r="E244" s="317"/>
      <c r="AM244" s="351"/>
      <c r="AN244" s="352"/>
      <c r="AO244" s="352"/>
      <c r="AP244" s="352"/>
    </row>
    <row r="245" spans="5:42" s="265" customFormat="1">
      <c r="E245" s="317"/>
      <c r="AM245" s="351"/>
      <c r="AN245" s="352"/>
      <c r="AO245" s="352"/>
      <c r="AP245" s="352"/>
    </row>
    <row r="246" spans="5:42" s="265" customFormat="1">
      <c r="E246" s="317"/>
      <c r="AM246" s="351"/>
      <c r="AN246" s="352"/>
      <c r="AO246" s="352"/>
      <c r="AP246" s="352"/>
    </row>
    <row r="247" spans="5:42" s="265" customFormat="1">
      <c r="E247" s="317"/>
      <c r="AM247" s="351"/>
      <c r="AN247" s="352"/>
      <c r="AO247" s="352"/>
      <c r="AP247" s="352"/>
    </row>
    <row r="248" spans="5:42" s="265" customFormat="1">
      <c r="E248" s="317"/>
      <c r="AM248" s="351"/>
      <c r="AN248" s="352"/>
      <c r="AO248" s="352"/>
      <c r="AP248" s="352"/>
    </row>
    <row r="249" spans="5:42" s="265" customFormat="1">
      <c r="E249" s="317"/>
      <c r="AM249" s="351"/>
      <c r="AN249" s="352"/>
      <c r="AO249" s="352"/>
      <c r="AP249" s="352"/>
    </row>
    <row r="250" spans="5:42" s="265" customFormat="1">
      <c r="E250" s="317"/>
      <c r="AM250" s="351"/>
      <c r="AN250" s="352"/>
      <c r="AO250" s="352"/>
      <c r="AP250" s="352"/>
    </row>
    <row r="251" spans="5:42" s="265" customFormat="1">
      <c r="E251" s="317"/>
      <c r="AM251" s="351"/>
      <c r="AN251" s="352"/>
      <c r="AO251" s="352"/>
      <c r="AP251" s="352"/>
    </row>
    <row r="252" spans="5:42" s="265" customFormat="1">
      <c r="E252" s="317"/>
      <c r="AM252" s="351"/>
      <c r="AN252" s="352"/>
      <c r="AO252" s="352"/>
      <c r="AP252" s="352"/>
    </row>
    <row r="253" spans="5:42" s="265" customFormat="1">
      <c r="E253" s="317"/>
      <c r="AM253" s="351"/>
      <c r="AN253" s="352"/>
      <c r="AO253" s="352"/>
      <c r="AP253" s="352"/>
    </row>
    <row r="254" spans="5:42" s="265" customFormat="1">
      <c r="E254" s="317"/>
      <c r="AM254" s="351"/>
      <c r="AN254" s="352"/>
      <c r="AO254" s="352"/>
      <c r="AP254" s="352"/>
    </row>
    <row r="255" spans="5:42" s="265" customFormat="1">
      <c r="E255" s="317"/>
      <c r="AM255" s="351"/>
      <c r="AN255" s="352"/>
      <c r="AO255" s="352"/>
      <c r="AP255" s="352"/>
    </row>
    <row r="256" spans="5:42" s="265" customFormat="1">
      <c r="E256" s="317"/>
      <c r="AM256" s="351"/>
      <c r="AN256" s="352"/>
      <c r="AO256" s="352"/>
      <c r="AP256" s="352"/>
    </row>
    <row r="257" spans="5:42" s="265" customFormat="1">
      <c r="E257" s="317"/>
      <c r="AM257" s="351"/>
      <c r="AN257" s="352"/>
      <c r="AO257" s="352"/>
      <c r="AP257" s="352"/>
    </row>
    <row r="258" spans="5:42" s="265" customFormat="1">
      <c r="E258" s="317"/>
      <c r="AM258" s="351"/>
      <c r="AN258" s="352"/>
      <c r="AO258" s="352"/>
      <c r="AP258" s="352"/>
    </row>
    <row r="259" spans="5:42" s="265" customFormat="1">
      <c r="E259" s="317"/>
      <c r="AM259" s="351"/>
      <c r="AN259" s="352"/>
      <c r="AO259" s="352"/>
      <c r="AP259" s="352"/>
    </row>
    <row r="260" spans="5:42" s="265" customFormat="1">
      <c r="E260" s="317"/>
      <c r="AM260" s="351"/>
      <c r="AN260" s="352"/>
      <c r="AO260" s="352"/>
      <c r="AP260" s="352"/>
    </row>
    <row r="261" spans="5:42" s="265" customFormat="1">
      <c r="E261" s="317"/>
      <c r="AM261" s="351"/>
      <c r="AN261" s="352"/>
      <c r="AO261" s="352"/>
      <c r="AP261" s="352"/>
    </row>
    <row r="262" spans="5:42" s="265" customFormat="1">
      <c r="E262" s="317"/>
      <c r="AM262" s="351"/>
      <c r="AN262" s="352"/>
      <c r="AO262" s="352"/>
      <c r="AP262" s="352"/>
    </row>
    <row r="263" spans="5:42" s="265" customFormat="1">
      <c r="E263" s="317"/>
      <c r="AM263" s="351"/>
      <c r="AN263" s="352"/>
      <c r="AO263" s="352"/>
      <c r="AP263" s="352"/>
    </row>
    <row r="264" spans="5:42" s="265" customFormat="1">
      <c r="E264" s="317"/>
      <c r="AM264" s="351"/>
      <c r="AN264" s="352"/>
      <c r="AO264" s="352"/>
      <c r="AP264" s="352"/>
    </row>
    <row r="265" spans="5:42" s="265" customFormat="1">
      <c r="E265" s="317"/>
      <c r="AM265" s="351"/>
      <c r="AN265" s="352"/>
      <c r="AO265" s="352"/>
      <c r="AP265" s="352"/>
    </row>
    <row r="266" spans="5:42" s="265" customFormat="1">
      <c r="E266" s="317"/>
      <c r="AM266" s="351"/>
      <c r="AN266" s="352"/>
      <c r="AO266" s="352"/>
      <c r="AP266" s="352"/>
    </row>
    <row r="267" spans="5:42" s="265" customFormat="1">
      <c r="E267" s="317"/>
      <c r="AM267" s="351"/>
      <c r="AN267" s="352"/>
      <c r="AO267" s="352"/>
      <c r="AP267" s="352"/>
    </row>
    <row r="268" spans="5:42" s="265" customFormat="1">
      <c r="E268" s="317"/>
      <c r="AM268" s="351"/>
      <c r="AN268" s="352"/>
      <c r="AO268" s="352"/>
      <c r="AP268" s="352"/>
    </row>
    <row r="269" spans="5:42" s="265" customFormat="1">
      <c r="E269" s="317"/>
      <c r="AM269" s="351"/>
      <c r="AN269" s="352"/>
      <c r="AO269" s="352"/>
      <c r="AP269" s="352"/>
    </row>
    <row r="270" spans="5:42" s="265" customFormat="1">
      <c r="E270" s="317"/>
      <c r="AM270" s="351"/>
      <c r="AN270" s="352"/>
      <c r="AO270" s="352"/>
      <c r="AP270" s="352"/>
    </row>
    <row r="271" spans="5:42" s="265" customFormat="1">
      <c r="E271" s="317"/>
      <c r="AM271" s="351"/>
      <c r="AN271" s="352"/>
      <c r="AO271" s="352"/>
      <c r="AP271" s="352"/>
    </row>
    <row r="272" spans="5:42" s="265" customFormat="1">
      <c r="E272" s="317"/>
      <c r="AM272" s="351"/>
      <c r="AN272" s="352"/>
      <c r="AO272" s="352"/>
      <c r="AP272" s="352"/>
    </row>
    <row r="273" spans="5:42" s="265" customFormat="1">
      <c r="E273" s="317"/>
      <c r="AM273" s="351"/>
      <c r="AN273" s="352"/>
      <c r="AO273" s="352"/>
      <c r="AP273" s="352"/>
    </row>
    <row r="274" spans="5:42" s="265" customFormat="1">
      <c r="E274" s="317"/>
      <c r="AM274" s="351"/>
      <c r="AN274" s="352"/>
      <c r="AO274" s="352"/>
      <c r="AP274" s="352"/>
    </row>
    <row r="275" spans="5:42" s="265" customFormat="1">
      <c r="E275" s="317"/>
      <c r="AM275" s="351"/>
      <c r="AN275" s="352"/>
      <c r="AO275" s="352"/>
      <c r="AP275" s="352"/>
    </row>
    <row r="276" spans="5:42" s="265" customFormat="1">
      <c r="E276" s="317"/>
      <c r="AM276" s="351"/>
      <c r="AN276" s="352"/>
      <c r="AO276" s="352"/>
      <c r="AP276" s="352"/>
    </row>
    <row r="277" spans="5:42" s="265" customFormat="1">
      <c r="E277" s="317"/>
      <c r="AM277" s="351"/>
      <c r="AN277" s="352"/>
      <c r="AO277" s="352"/>
      <c r="AP277" s="352"/>
    </row>
    <row r="278" spans="5:42" s="265" customFormat="1">
      <c r="E278" s="317"/>
      <c r="AM278" s="351"/>
      <c r="AN278" s="352"/>
      <c r="AO278" s="352"/>
      <c r="AP278" s="352"/>
    </row>
    <row r="279" spans="5:42" s="265" customFormat="1">
      <c r="E279" s="317"/>
      <c r="AM279" s="351"/>
      <c r="AN279" s="352"/>
      <c r="AO279" s="352"/>
      <c r="AP279" s="352"/>
    </row>
    <row r="280" spans="5:42" s="265" customFormat="1">
      <c r="E280" s="317"/>
      <c r="AM280" s="351"/>
      <c r="AN280" s="352"/>
      <c r="AO280" s="352"/>
      <c r="AP280" s="352"/>
    </row>
    <row r="281" spans="5:42" s="265" customFormat="1">
      <c r="E281" s="317"/>
      <c r="AM281" s="351"/>
      <c r="AN281" s="352"/>
      <c r="AO281" s="352"/>
      <c r="AP281" s="352"/>
    </row>
    <row r="282" spans="5:42" s="265" customFormat="1">
      <c r="E282" s="317"/>
      <c r="AM282" s="351"/>
      <c r="AN282" s="352"/>
      <c r="AO282" s="352"/>
      <c r="AP282" s="352"/>
    </row>
    <row r="283" spans="5:42" s="265" customFormat="1">
      <c r="E283" s="317"/>
      <c r="AM283" s="351"/>
      <c r="AN283" s="352"/>
      <c r="AO283" s="352"/>
      <c r="AP283" s="352"/>
    </row>
    <row r="284" spans="5:42" s="265" customFormat="1">
      <c r="E284" s="317"/>
      <c r="AM284" s="351"/>
      <c r="AN284" s="352"/>
      <c r="AO284" s="352"/>
      <c r="AP284" s="352"/>
    </row>
    <row r="285" spans="5:42" s="265" customFormat="1">
      <c r="E285" s="317"/>
      <c r="AM285" s="351"/>
      <c r="AN285" s="352"/>
      <c r="AO285" s="352"/>
      <c r="AP285" s="352"/>
    </row>
    <row r="286" spans="5:42" s="265" customFormat="1">
      <c r="E286" s="317"/>
      <c r="AM286" s="351"/>
      <c r="AN286" s="352"/>
      <c r="AO286" s="352"/>
      <c r="AP286" s="352"/>
    </row>
    <row r="287" spans="5:42" s="265" customFormat="1">
      <c r="E287" s="317"/>
      <c r="AM287" s="351"/>
      <c r="AN287" s="352"/>
      <c r="AO287" s="352"/>
      <c r="AP287" s="352"/>
    </row>
    <row r="288" spans="5:42" s="265" customFormat="1">
      <c r="E288" s="317"/>
      <c r="AM288" s="351"/>
      <c r="AN288" s="352"/>
      <c r="AO288" s="352"/>
      <c r="AP288" s="352"/>
    </row>
    <row r="289" spans="5:42" s="265" customFormat="1">
      <c r="E289" s="317"/>
      <c r="AM289" s="351"/>
      <c r="AN289" s="352"/>
      <c r="AO289" s="352"/>
      <c r="AP289" s="352"/>
    </row>
    <row r="290" spans="5:42" s="265" customFormat="1">
      <c r="E290" s="317"/>
      <c r="AM290" s="351"/>
      <c r="AN290" s="352"/>
      <c r="AO290" s="352"/>
      <c r="AP290" s="352"/>
    </row>
    <row r="291" spans="5:42" s="265" customFormat="1">
      <c r="E291" s="317"/>
      <c r="AM291" s="351"/>
      <c r="AN291" s="352"/>
      <c r="AO291" s="352"/>
      <c r="AP291" s="352"/>
    </row>
    <row r="292" spans="5:42" s="265" customFormat="1">
      <c r="E292" s="317"/>
      <c r="AM292" s="351"/>
      <c r="AN292" s="352"/>
      <c r="AO292" s="352"/>
      <c r="AP292" s="352"/>
    </row>
    <row r="293" spans="5:42" s="265" customFormat="1">
      <c r="E293" s="317"/>
      <c r="AM293" s="351"/>
      <c r="AN293" s="352"/>
      <c r="AO293" s="352"/>
      <c r="AP293" s="352"/>
    </row>
    <row r="294" spans="5:42" s="265" customFormat="1">
      <c r="E294" s="317"/>
      <c r="AM294" s="351"/>
      <c r="AN294" s="352"/>
      <c r="AO294" s="352"/>
      <c r="AP294" s="352"/>
    </row>
    <row r="295" spans="5:42" s="265" customFormat="1">
      <c r="E295" s="317"/>
      <c r="AM295" s="351"/>
      <c r="AN295" s="352"/>
      <c r="AO295" s="352"/>
      <c r="AP295" s="352"/>
    </row>
    <row r="296" spans="5:42" s="265" customFormat="1">
      <c r="E296" s="317"/>
      <c r="AM296" s="351"/>
      <c r="AN296" s="352"/>
      <c r="AO296" s="352"/>
      <c r="AP296" s="352"/>
    </row>
    <row r="297" spans="5:42" s="265" customFormat="1">
      <c r="E297" s="317"/>
      <c r="AM297" s="351"/>
      <c r="AN297" s="352"/>
      <c r="AO297" s="352"/>
      <c r="AP297" s="352"/>
    </row>
    <row r="298" spans="5:42" s="265" customFormat="1">
      <c r="E298" s="317"/>
      <c r="AM298" s="351"/>
      <c r="AN298" s="352"/>
      <c r="AO298" s="352"/>
      <c r="AP298" s="352"/>
    </row>
    <row r="299" spans="5:42" s="265" customFormat="1">
      <c r="E299" s="317"/>
      <c r="AM299" s="351"/>
      <c r="AN299" s="352"/>
      <c r="AO299" s="352"/>
      <c r="AP299" s="352"/>
    </row>
    <row r="300" spans="5:42" s="265" customFormat="1">
      <c r="E300" s="317"/>
      <c r="AM300" s="351"/>
      <c r="AN300" s="352"/>
      <c r="AO300" s="352"/>
      <c r="AP300" s="352"/>
    </row>
    <row r="301" spans="5:42" s="265" customFormat="1">
      <c r="E301" s="317"/>
      <c r="AM301" s="351"/>
      <c r="AN301" s="352"/>
      <c r="AO301" s="352"/>
      <c r="AP301" s="352"/>
    </row>
    <row r="302" spans="5:42" s="265" customFormat="1">
      <c r="E302" s="317"/>
      <c r="AM302" s="351"/>
      <c r="AN302" s="352"/>
      <c r="AO302" s="352"/>
      <c r="AP302" s="352"/>
    </row>
    <row r="303" spans="5:42" s="265" customFormat="1">
      <c r="E303" s="317"/>
      <c r="AM303" s="351"/>
      <c r="AN303" s="352"/>
      <c r="AO303" s="352"/>
      <c r="AP303" s="352"/>
    </row>
    <row r="304" spans="5:42" s="265" customFormat="1">
      <c r="E304" s="317"/>
      <c r="AM304" s="351"/>
      <c r="AN304" s="352"/>
      <c r="AO304" s="352"/>
      <c r="AP304" s="352"/>
    </row>
    <row r="305" spans="5:42" s="265" customFormat="1">
      <c r="E305" s="317"/>
      <c r="AM305" s="351"/>
      <c r="AN305" s="352"/>
      <c r="AO305" s="352"/>
      <c r="AP305" s="352"/>
    </row>
    <row r="306" spans="5:42" s="265" customFormat="1">
      <c r="E306" s="317"/>
      <c r="AM306" s="351"/>
      <c r="AN306" s="352"/>
      <c r="AO306" s="352"/>
      <c r="AP306" s="352"/>
    </row>
    <row r="307" spans="5:42" s="265" customFormat="1">
      <c r="E307" s="317"/>
      <c r="AM307" s="351"/>
      <c r="AN307" s="352"/>
      <c r="AO307" s="352"/>
      <c r="AP307" s="352"/>
    </row>
    <row r="308" spans="5:42" s="265" customFormat="1">
      <c r="E308" s="317"/>
      <c r="AM308" s="351"/>
      <c r="AN308" s="352"/>
      <c r="AO308" s="352"/>
      <c r="AP308" s="352"/>
    </row>
    <row r="309" spans="5:42" s="265" customFormat="1">
      <c r="E309" s="317"/>
      <c r="AM309" s="351"/>
      <c r="AN309" s="352"/>
      <c r="AO309" s="352"/>
      <c r="AP309" s="352"/>
    </row>
    <row r="310" spans="5:42" s="265" customFormat="1">
      <c r="E310" s="317"/>
      <c r="AM310" s="351"/>
      <c r="AN310" s="352"/>
      <c r="AO310" s="352"/>
      <c r="AP310" s="352"/>
    </row>
    <row r="311" spans="5:42" s="265" customFormat="1">
      <c r="E311" s="317"/>
      <c r="AM311" s="351"/>
      <c r="AN311" s="352"/>
      <c r="AO311" s="352"/>
      <c r="AP311" s="352"/>
    </row>
    <row r="312" spans="5:42" s="265" customFormat="1">
      <c r="E312" s="317"/>
      <c r="AM312" s="351"/>
      <c r="AN312" s="352"/>
      <c r="AO312" s="352"/>
      <c r="AP312" s="352"/>
    </row>
    <row r="313" spans="5:42" s="265" customFormat="1">
      <c r="E313" s="317"/>
      <c r="AM313" s="351"/>
      <c r="AN313" s="352"/>
      <c r="AO313" s="352"/>
      <c r="AP313" s="352"/>
    </row>
    <row r="314" spans="5:42" s="265" customFormat="1">
      <c r="E314" s="317"/>
      <c r="AM314" s="351"/>
      <c r="AN314" s="352"/>
      <c r="AO314" s="352"/>
      <c r="AP314" s="352"/>
    </row>
    <row r="315" spans="5:42" s="265" customFormat="1">
      <c r="E315" s="317"/>
      <c r="AM315" s="351"/>
      <c r="AN315" s="352"/>
      <c r="AO315" s="352"/>
      <c r="AP315" s="352"/>
    </row>
    <row r="316" spans="5:42" s="265" customFormat="1">
      <c r="E316" s="317"/>
      <c r="AM316" s="351"/>
      <c r="AN316" s="352"/>
      <c r="AO316" s="352"/>
      <c r="AP316" s="352"/>
    </row>
    <row r="317" spans="5:42" s="265" customFormat="1">
      <c r="E317" s="317"/>
      <c r="AM317" s="351"/>
      <c r="AN317" s="352"/>
      <c r="AO317" s="352"/>
      <c r="AP317" s="352"/>
    </row>
    <row r="318" spans="5:42" s="265" customFormat="1">
      <c r="E318" s="317"/>
      <c r="AM318" s="351"/>
      <c r="AN318" s="352"/>
      <c r="AO318" s="352"/>
      <c r="AP318" s="352"/>
    </row>
    <row r="319" spans="5:42" s="265" customFormat="1">
      <c r="E319" s="317"/>
      <c r="AM319" s="351"/>
      <c r="AN319" s="352"/>
      <c r="AO319" s="352"/>
      <c r="AP319" s="352"/>
    </row>
    <row r="320" spans="5:42" s="265" customFormat="1">
      <c r="E320" s="317"/>
      <c r="AM320" s="351"/>
      <c r="AN320" s="352"/>
      <c r="AO320" s="352"/>
      <c r="AP320" s="352"/>
    </row>
    <row r="321" spans="5:42" s="265" customFormat="1">
      <c r="E321" s="317"/>
      <c r="AM321" s="351"/>
      <c r="AN321" s="352"/>
      <c r="AO321" s="352"/>
      <c r="AP321" s="352"/>
    </row>
    <row r="322" spans="5:42" s="265" customFormat="1">
      <c r="E322" s="317"/>
      <c r="AM322" s="351"/>
      <c r="AN322" s="352"/>
      <c r="AO322" s="352"/>
      <c r="AP322" s="352"/>
    </row>
    <row r="323" spans="5:42" s="265" customFormat="1">
      <c r="E323" s="317"/>
      <c r="AM323" s="351"/>
      <c r="AN323" s="352"/>
      <c r="AO323" s="352"/>
      <c r="AP323" s="352"/>
    </row>
    <row r="324" spans="5:42" s="265" customFormat="1">
      <c r="E324" s="317"/>
      <c r="AM324" s="351"/>
      <c r="AN324" s="352"/>
      <c r="AO324" s="352"/>
      <c r="AP324" s="352"/>
    </row>
    <row r="325" spans="5:42" s="265" customFormat="1">
      <c r="E325" s="317"/>
      <c r="AM325" s="351"/>
      <c r="AN325" s="352"/>
      <c r="AO325" s="352"/>
      <c r="AP325" s="352"/>
    </row>
    <row r="326" spans="5:42" s="265" customFormat="1">
      <c r="E326" s="317"/>
      <c r="AM326" s="351"/>
      <c r="AN326" s="352"/>
      <c r="AO326" s="352"/>
      <c r="AP326" s="352"/>
    </row>
    <row r="327" spans="5:42" s="265" customFormat="1">
      <c r="E327" s="317"/>
      <c r="AM327" s="351"/>
      <c r="AN327" s="352"/>
      <c r="AO327" s="352"/>
      <c r="AP327" s="352"/>
    </row>
    <row r="328" spans="5:42" s="265" customFormat="1">
      <c r="E328" s="317"/>
      <c r="AM328" s="351"/>
      <c r="AN328" s="352"/>
      <c r="AO328" s="352"/>
      <c r="AP328" s="352"/>
    </row>
    <row r="329" spans="5:42" s="265" customFormat="1">
      <c r="E329" s="317"/>
      <c r="AM329" s="351"/>
      <c r="AN329" s="352"/>
      <c r="AO329" s="352"/>
      <c r="AP329" s="352"/>
    </row>
    <row r="330" spans="5:42" s="265" customFormat="1">
      <c r="E330" s="317"/>
      <c r="AM330" s="351"/>
      <c r="AN330" s="352"/>
      <c r="AO330" s="352"/>
      <c r="AP330" s="352"/>
    </row>
    <row r="331" spans="5:42" s="265" customFormat="1">
      <c r="E331" s="317"/>
      <c r="AM331" s="351"/>
      <c r="AN331" s="352"/>
      <c r="AO331" s="352"/>
      <c r="AP331" s="352"/>
    </row>
    <row r="332" spans="5:42" s="265" customFormat="1">
      <c r="E332" s="317"/>
      <c r="AM332" s="351"/>
      <c r="AN332" s="352"/>
      <c r="AO332" s="352"/>
      <c r="AP332" s="352"/>
    </row>
    <row r="333" spans="5:42" s="265" customFormat="1">
      <c r="E333" s="317"/>
      <c r="AM333" s="351"/>
      <c r="AN333" s="352"/>
      <c r="AO333" s="352"/>
      <c r="AP333" s="352"/>
    </row>
    <row r="334" spans="5:42" s="265" customFormat="1">
      <c r="E334" s="317"/>
      <c r="AM334" s="351"/>
      <c r="AN334" s="352"/>
      <c r="AO334" s="352"/>
      <c r="AP334" s="352"/>
    </row>
    <row r="335" spans="5:42" s="265" customFormat="1">
      <c r="E335" s="317"/>
      <c r="AM335" s="351"/>
      <c r="AN335" s="352"/>
      <c r="AO335" s="352"/>
      <c r="AP335" s="352"/>
    </row>
    <row r="336" spans="5:42" s="265" customFormat="1">
      <c r="E336" s="317"/>
      <c r="AM336" s="351"/>
      <c r="AN336" s="352"/>
      <c r="AO336" s="352"/>
      <c r="AP336" s="352"/>
    </row>
    <row r="337" spans="5:42" s="265" customFormat="1">
      <c r="E337" s="317"/>
      <c r="AM337" s="351"/>
      <c r="AN337" s="352"/>
      <c r="AO337" s="352"/>
      <c r="AP337" s="352"/>
    </row>
    <row r="338" spans="5:42" s="265" customFormat="1">
      <c r="E338" s="317"/>
      <c r="AM338" s="351"/>
      <c r="AN338" s="352"/>
      <c r="AO338" s="352"/>
      <c r="AP338" s="352"/>
    </row>
    <row r="339" spans="5:42" s="265" customFormat="1">
      <c r="E339" s="317"/>
      <c r="AM339" s="351"/>
      <c r="AN339" s="352"/>
      <c r="AO339" s="352"/>
      <c r="AP339" s="352"/>
    </row>
    <row r="340" spans="5:42" s="265" customFormat="1">
      <c r="E340" s="317"/>
      <c r="AM340" s="351"/>
      <c r="AN340" s="352"/>
      <c r="AO340" s="352"/>
      <c r="AP340" s="352"/>
    </row>
    <row r="341" spans="5:42" s="265" customFormat="1">
      <c r="E341" s="317"/>
      <c r="AM341" s="351"/>
      <c r="AN341" s="352"/>
      <c r="AO341" s="352"/>
      <c r="AP341" s="352"/>
    </row>
    <row r="342" spans="5:42" s="265" customFormat="1">
      <c r="E342" s="317"/>
      <c r="AM342" s="351"/>
      <c r="AN342" s="352"/>
      <c r="AO342" s="352"/>
      <c r="AP342" s="352"/>
    </row>
    <row r="343" spans="5:42" s="265" customFormat="1">
      <c r="E343" s="317"/>
      <c r="AM343" s="351"/>
      <c r="AN343" s="352"/>
      <c r="AO343" s="352"/>
      <c r="AP343" s="352"/>
    </row>
    <row r="344" spans="5:42" s="265" customFormat="1">
      <c r="E344" s="317"/>
      <c r="AM344" s="351"/>
      <c r="AN344" s="352"/>
      <c r="AO344" s="352"/>
      <c r="AP344" s="352"/>
    </row>
    <row r="345" spans="5:42" s="265" customFormat="1">
      <c r="E345" s="317"/>
      <c r="AM345" s="351"/>
      <c r="AN345" s="352"/>
      <c r="AO345" s="352"/>
      <c r="AP345" s="352"/>
    </row>
    <row r="346" spans="5:42" s="265" customFormat="1">
      <c r="E346" s="317"/>
      <c r="AM346" s="351"/>
      <c r="AN346" s="352"/>
      <c r="AO346" s="352"/>
      <c r="AP346" s="352"/>
    </row>
    <row r="347" spans="5:42" s="265" customFormat="1">
      <c r="E347" s="317"/>
      <c r="AM347" s="351"/>
      <c r="AN347" s="352"/>
      <c r="AO347" s="352"/>
      <c r="AP347" s="352"/>
    </row>
    <row r="348" spans="5:42" s="265" customFormat="1">
      <c r="E348" s="317"/>
      <c r="AM348" s="351"/>
      <c r="AN348" s="352"/>
      <c r="AO348" s="352"/>
      <c r="AP348" s="352"/>
    </row>
    <row r="349" spans="5:42" s="265" customFormat="1">
      <c r="E349" s="317"/>
      <c r="AM349" s="351"/>
      <c r="AN349" s="352"/>
      <c r="AO349" s="352"/>
      <c r="AP349" s="352"/>
    </row>
    <row r="350" spans="5:42" s="265" customFormat="1">
      <c r="E350" s="317"/>
      <c r="AM350" s="351"/>
      <c r="AN350" s="352"/>
      <c r="AO350" s="352"/>
      <c r="AP350" s="352"/>
    </row>
    <row r="351" spans="5:42" s="265" customFormat="1">
      <c r="E351" s="317"/>
      <c r="AM351" s="351"/>
      <c r="AN351" s="352"/>
      <c r="AO351" s="352"/>
      <c r="AP351" s="352"/>
    </row>
    <row r="352" spans="5:42" s="265" customFormat="1">
      <c r="E352" s="317"/>
      <c r="AM352" s="351"/>
      <c r="AN352" s="352"/>
      <c r="AO352" s="352"/>
      <c r="AP352" s="352"/>
    </row>
    <row r="353" spans="5:42" s="265" customFormat="1">
      <c r="E353" s="317"/>
      <c r="AM353" s="351"/>
      <c r="AN353" s="352"/>
      <c r="AO353" s="352"/>
      <c r="AP353" s="352"/>
    </row>
    <row r="354" spans="5:42" s="265" customFormat="1">
      <c r="E354" s="317"/>
      <c r="AM354" s="351"/>
      <c r="AN354" s="352"/>
      <c r="AO354" s="352"/>
      <c r="AP354" s="352"/>
    </row>
    <row r="355" spans="5:42" s="265" customFormat="1">
      <c r="E355" s="317"/>
      <c r="AM355" s="351"/>
      <c r="AN355" s="352"/>
      <c r="AO355" s="352"/>
      <c r="AP355" s="352"/>
    </row>
    <row r="356" spans="5:42" s="265" customFormat="1">
      <c r="E356" s="317"/>
      <c r="AM356" s="351"/>
      <c r="AN356" s="352"/>
      <c r="AO356" s="352"/>
      <c r="AP356" s="352"/>
    </row>
    <row r="357" spans="5:42" s="265" customFormat="1">
      <c r="E357" s="317"/>
      <c r="AM357" s="351"/>
      <c r="AN357" s="352"/>
      <c r="AO357" s="352"/>
      <c r="AP357" s="352"/>
    </row>
    <row r="358" spans="5:42" s="265" customFormat="1">
      <c r="E358" s="317"/>
      <c r="AM358" s="351"/>
      <c r="AN358" s="352"/>
      <c r="AO358" s="352"/>
      <c r="AP358" s="352"/>
    </row>
    <row r="359" spans="5:42" s="265" customFormat="1">
      <c r="E359" s="317"/>
      <c r="AM359" s="351"/>
      <c r="AN359" s="352"/>
      <c r="AO359" s="352"/>
      <c r="AP359" s="352"/>
    </row>
    <row r="360" spans="5:42" s="265" customFormat="1">
      <c r="E360" s="317"/>
      <c r="AM360" s="351"/>
      <c r="AN360" s="352"/>
      <c r="AO360" s="352"/>
      <c r="AP360" s="352"/>
    </row>
    <row r="361" spans="5:42" s="265" customFormat="1">
      <c r="E361" s="317"/>
      <c r="AM361" s="351"/>
      <c r="AN361" s="352"/>
      <c r="AO361" s="352"/>
      <c r="AP361" s="352"/>
    </row>
    <row r="362" spans="5:42" s="265" customFormat="1">
      <c r="E362" s="317"/>
      <c r="AM362" s="351"/>
      <c r="AN362" s="352"/>
      <c r="AO362" s="352"/>
      <c r="AP362" s="352"/>
    </row>
    <row r="363" spans="5:42" s="265" customFormat="1">
      <c r="E363" s="317"/>
      <c r="AM363" s="351"/>
      <c r="AN363" s="352"/>
      <c r="AO363" s="352"/>
      <c r="AP363" s="352"/>
    </row>
    <row r="364" spans="5:42" s="265" customFormat="1">
      <c r="E364" s="317"/>
      <c r="AM364" s="351"/>
      <c r="AN364" s="352"/>
      <c r="AO364" s="352"/>
      <c r="AP364" s="352"/>
    </row>
    <row r="365" spans="5:42" s="265" customFormat="1">
      <c r="E365" s="317"/>
      <c r="AM365" s="351"/>
      <c r="AN365" s="352"/>
      <c r="AO365" s="352"/>
      <c r="AP365" s="352"/>
    </row>
    <row r="366" spans="5:42" s="265" customFormat="1">
      <c r="E366" s="317"/>
      <c r="AM366" s="351"/>
      <c r="AN366" s="352"/>
      <c r="AO366" s="352"/>
      <c r="AP366" s="352"/>
    </row>
    <row r="367" spans="5:42" s="265" customFormat="1">
      <c r="E367" s="317"/>
      <c r="AM367" s="351"/>
      <c r="AN367" s="352"/>
      <c r="AO367" s="352"/>
      <c r="AP367" s="352"/>
    </row>
    <row r="368" spans="5:42" s="265" customFormat="1">
      <c r="E368" s="317"/>
      <c r="AM368" s="351"/>
      <c r="AN368" s="352"/>
      <c r="AO368" s="352"/>
      <c r="AP368" s="352"/>
    </row>
    <row r="369" spans="5:42" s="265" customFormat="1">
      <c r="E369" s="317"/>
      <c r="AM369" s="351"/>
      <c r="AN369" s="352"/>
      <c r="AO369" s="352"/>
      <c r="AP369" s="352"/>
    </row>
    <row r="370" spans="5:42" s="265" customFormat="1">
      <c r="E370" s="317"/>
      <c r="AM370" s="351"/>
      <c r="AN370" s="352"/>
      <c r="AO370" s="352"/>
      <c r="AP370" s="352"/>
    </row>
    <row r="371" spans="5:42" s="265" customFormat="1">
      <c r="E371" s="317"/>
      <c r="AM371" s="351"/>
      <c r="AN371" s="352"/>
      <c r="AO371" s="352"/>
      <c r="AP371" s="352"/>
    </row>
    <row r="372" spans="5:42" s="265" customFormat="1">
      <c r="E372" s="317"/>
      <c r="AM372" s="351"/>
      <c r="AN372" s="352"/>
      <c r="AO372" s="352"/>
      <c r="AP372" s="352"/>
    </row>
    <row r="373" spans="5:42" s="265" customFormat="1">
      <c r="E373" s="317"/>
      <c r="AM373" s="351"/>
      <c r="AN373" s="352"/>
      <c r="AO373" s="352"/>
      <c r="AP373" s="352"/>
    </row>
    <row r="374" spans="5:42" s="265" customFormat="1">
      <c r="E374" s="317"/>
      <c r="AM374" s="351"/>
      <c r="AN374" s="352"/>
      <c r="AO374" s="352"/>
      <c r="AP374" s="352"/>
    </row>
    <row r="375" spans="5:42" s="265" customFormat="1">
      <c r="E375" s="317"/>
      <c r="AM375" s="351"/>
      <c r="AN375" s="352"/>
      <c r="AO375" s="352"/>
      <c r="AP375" s="352"/>
    </row>
    <row r="376" spans="5:42" s="265" customFormat="1">
      <c r="E376" s="317"/>
      <c r="AM376" s="351"/>
      <c r="AN376" s="352"/>
      <c r="AO376" s="352"/>
      <c r="AP376" s="352"/>
    </row>
    <row r="377" spans="5:42" s="265" customFormat="1">
      <c r="E377" s="317"/>
      <c r="AM377" s="351"/>
      <c r="AN377" s="352"/>
      <c r="AO377" s="352"/>
      <c r="AP377" s="352"/>
    </row>
    <row r="378" spans="5:42" s="265" customFormat="1">
      <c r="E378" s="317"/>
      <c r="AM378" s="351"/>
      <c r="AN378" s="352"/>
      <c r="AO378" s="352"/>
      <c r="AP378" s="352"/>
    </row>
    <row r="379" spans="5:42" s="265" customFormat="1">
      <c r="E379" s="317"/>
      <c r="AM379" s="351"/>
      <c r="AN379" s="352"/>
      <c r="AO379" s="352"/>
      <c r="AP379" s="352"/>
    </row>
    <row r="380" spans="5:42" s="265" customFormat="1">
      <c r="E380" s="317"/>
      <c r="AM380" s="351"/>
      <c r="AN380" s="352"/>
      <c r="AO380" s="352"/>
      <c r="AP380" s="352"/>
    </row>
    <row r="381" spans="5:42" s="265" customFormat="1">
      <c r="E381" s="317"/>
      <c r="AM381" s="351"/>
      <c r="AN381" s="352"/>
      <c r="AO381" s="352"/>
      <c r="AP381" s="352"/>
    </row>
    <row r="382" spans="5:42" s="265" customFormat="1">
      <c r="E382" s="317"/>
      <c r="AM382" s="351"/>
      <c r="AN382" s="352"/>
      <c r="AO382" s="352"/>
      <c r="AP382" s="352"/>
    </row>
    <row r="383" spans="5:42" s="265" customFormat="1">
      <c r="E383" s="317"/>
      <c r="AM383" s="351"/>
      <c r="AN383" s="352"/>
      <c r="AO383" s="352"/>
      <c r="AP383" s="352"/>
    </row>
    <row r="384" spans="5:42" s="265" customFormat="1">
      <c r="E384" s="317"/>
      <c r="AM384" s="351"/>
      <c r="AN384" s="352"/>
      <c r="AO384" s="352"/>
      <c r="AP384" s="352"/>
    </row>
    <row r="385" spans="5:42" s="265" customFormat="1">
      <c r="E385" s="317"/>
      <c r="AM385" s="351"/>
      <c r="AN385" s="352"/>
      <c r="AO385" s="352"/>
      <c r="AP385" s="352"/>
    </row>
    <row r="386" spans="5:42" s="265" customFormat="1">
      <c r="E386" s="317"/>
      <c r="AM386" s="351"/>
      <c r="AN386" s="352"/>
      <c r="AO386" s="352"/>
      <c r="AP386" s="352"/>
    </row>
    <row r="387" spans="5:42" s="265" customFormat="1">
      <c r="E387" s="317"/>
      <c r="AM387" s="351"/>
      <c r="AN387" s="352"/>
      <c r="AO387" s="352"/>
      <c r="AP387" s="352"/>
    </row>
    <row r="388" spans="5:42" s="265" customFormat="1">
      <c r="E388" s="317"/>
      <c r="AM388" s="351"/>
      <c r="AN388" s="352"/>
      <c r="AO388" s="352"/>
      <c r="AP388" s="352"/>
    </row>
    <row r="389" spans="5:42" s="265" customFormat="1">
      <c r="E389" s="317"/>
      <c r="AM389" s="351"/>
      <c r="AN389" s="352"/>
      <c r="AO389" s="352"/>
      <c r="AP389" s="352"/>
    </row>
    <row r="390" spans="5:42" s="265" customFormat="1">
      <c r="E390" s="317"/>
      <c r="AM390" s="351"/>
      <c r="AN390" s="352"/>
      <c r="AO390" s="352"/>
      <c r="AP390" s="352"/>
    </row>
    <row r="391" spans="5:42" s="265" customFormat="1">
      <c r="E391" s="317"/>
      <c r="AM391" s="351"/>
      <c r="AN391" s="352"/>
      <c r="AO391" s="352"/>
      <c r="AP391" s="352"/>
    </row>
    <row r="392" spans="5:42" s="265" customFormat="1">
      <c r="E392" s="317"/>
      <c r="AM392" s="351"/>
      <c r="AN392" s="352"/>
      <c r="AO392" s="352"/>
      <c r="AP392" s="352"/>
    </row>
    <row r="393" spans="5:42" s="265" customFormat="1">
      <c r="E393" s="317"/>
      <c r="AM393" s="351"/>
      <c r="AN393" s="352"/>
      <c r="AO393" s="352"/>
      <c r="AP393" s="352"/>
    </row>
    <row r="394" spans="5:42" s="265" customFormat="1">
      <c r="E394" s="317"/>
      <c r="AM394" s="351"/>
      <c r="AN394" s="352"/>
      <c r="AO394" s="352"/>
      <c r="AP394" s="352"/>
    </row>
    <row r="395" spans="5:42" s="265" customFormat="1">
      <c r="E395" s="317"/>
      <c r="AM395" s="351"/>
      <c r="AN395" s="352"/>
      <c r="AO395" s="352"/>
      <c r="AP395" s="352"/>
    </row>
    <row r="396" spans="5:42" s="265" customFormat="1">
      <c r="E396" s="317"/>
      <c r="AM396" s="351"/>
      <c r="AN396" s="352"/>
      <c r="AO396" s="352"/>
      <c r="AP396" s="352"/>
    </row>
    <row r="397" spans="5:42" s="265" customFormat="1">
      <c r="E397" s="317"/>
      <c r="AM397" s="351"/>
      <c r="AN397" s="352"/>
      <c r="AO397" s="352"/>
      <c r="AP397" s="352"/>
    </row>
    <row r="398" spans="5:42" s="265" customFormat="1">
      <c r="E398" s="317"/>
      <c r="AM398" s="351"/>
      <c r="AN398" s="352"/>
      <c r="AO398" s="352"/>
      <c r="AP398" s="352"/>
    </row>
    <row r="399" spans="5:42" s="265" customFormat="1">
      <c r="E399" s="317"/>
      <c r="AM399" s="351"/>
      <c r="AN399" s="352"/>
      <c r="AO399" s="352"/>
      <c r="AP399" s="352"/>
    </row>
    <row r="400" spans="5:42" s="265" customFormat="1">
      <c r="E400" s="317"/>
      <c r="AM400" s="351"/>
      <c r="AN400" s="352"/>
      <c r="AO400" s="352"/>
      <c r="AP400" s="352"/>
    </row>
    <row r="401" spans="5:42" s="265" customFormat="1">
      <c r="E401" s="317"/>
      <c r="AM401" s="351"/>
      <c r="AN401" s="352"/>
      <c r="AO401" s="352"/>
      <c r="AP401" s="352"/>
    </row>
    <row r="402" spans="5:42" s="265" customFormat="1">
      <c r="E402" s="317"/>
      <c r="AM402" s="351"/>
      <c r="AN402" s="352"/>
      <c r="AO402" s="352"/>
      <c r="AP402" s="352"/>
    </row>
    <row r="403" spans="5:42" s="265" customFormat="1">
      <c r="E403" s="317"/>
      <c r="AM403" s="351"/>
      <c r="AN403" s="352"/>
      <c r="AO403" s="352"/>
      <c r="AP403" s="352"/>
    </row>
    <row r="404" spans="5:42" s="265" customFormat="1">
      <c r="E404" s="317"/>
      <c r="AM404" s="351"/>
      <c r="AN404" s="352"/>
      <c r="AO404" s="352"/>
      <c r="AP404" s="352"/>
    </row>
    <row r="405" spans="5:42" s="265" customFormat="1">
      <c r="E405" s="317"/>
      <c r="AM405" s="351"/>
      <c r="AN405" s="352"/>
      <c r="AO405" s="352"/>
      <c r="AP405" s="352"/>
    </row>
    <row r="406" spans="5:42" s="265" customFormat="1">
      <c r="E406" s="317"/>
      <c r="AM406" s="351"/>
      <c r="AN406" s="352"/>
      <c r="AO406" s="352"/>
      <c r="AP406" s="352"/>
    </row>
    <row r="407" spans="5:42" s="265" customFormat="1">
      <c r="E407" s="317"/>
      <c r="AM407" s="351"/>
      <c r="AN407" s="352"/>
      <c r="AO407" s="352"/>
      <c r="AP407" s="352"/>
    </row>
    <row r="408" spans="5:42" s="265" customFormat="1">
      <c r="E408" s="317"/>
      <c r="AM408" s="351"/>
      <c r="AN408" s="352"/>
      <c r="AO408" s="352"/>
      <c r="AP408" s="352"/>
    </row>
    <row r="409" spans="5:42" s="265" customFormat="1">
      <c r="E409" s="317"/>
      <c r="AM409" s="351"/>
      <c r="AN409" s="352"/>
      <c r="AO409" s="352"/>
      <c r="AP409" s="352"/>
    </row>
    <row r="410" spans="5:42" s="265" customFormat="1">
      <c r="E410" s="317"/>
      <c r="AM410" s="351"/>
      <c r="AN410" s="352"/>
      <c r="AO410" s="352"/>
      <c r="AP410" s="352"/>
    </row>
    <row r="411" spans="5:42" s="265" customFormat="1">
      <c r="E411" s="317"/>
      <c r="AM411" s="351"/>
      <c r="AN411" s="352"/>
      <c r="AO411" s="352"/>
      <c r="AP411" s="352"/>
    </row>
  </sheetData>
  <mergeCells count="42">
    <mergeCell ref="Y6:Z6"/>
    <mergeCell ref="A2:AF2"/>
    <mergeCell ref="A4:AF4"/>
    <mergeCell ref="A5:C5"/>
    <mergeCell ref="D5:H5"/>
    <mergeCell ref="I5:I6"/>
    <mergeCell ref="J5:J6"/>
    <mergeCell ref="K5:Z5"/>
    <mergeCell ref="AA5:AF5"/>
    <mergeCell ref="K6:L6"/>
    <mergeCell ref="M6:N6"/>
    <mergeCell ref="O6:P6"/>
    <mergeCell ref="Q6:R6"/>
    <mergeCell ref="S6:T6"/>
    <mergeCell ref="U6:V6"/>
    <mergeCell ref="W6:X6"/>
    <mergeCell ref="A8:C8"/>
    <mergeCell ref="F8:AF8"/>
    <mergeCell ref="A10:Z10"/>
    <mergeCell ref="A11:C11"/>
    <mergeCell ref="D11:H11"/>
    <mergeCell ref="I11:I12"/>
    <mergeCell ref="J11:J12"/>
    <mergeCell ref="K11:T11"/>
    <mergeCell ref="U11:Z11"/>
    <mergeCell ref="K12:L12"/>
    <mergeCell ref="M12:N12"/>
    <mergeCell ref="O12:P12"/>
    <mergeCell ref="Q12:R12"/>
    <mergeCell ref="S12:T12"/>
    <mergeCell ref="A14:C14"/>
    <mergeCell ref="F14:Z14"/>
    <mergeCell ref="A16:V16"/>
    <mergeCell ref="A17:C17"/>
    <mergeCell ref="D17:H17"/>
    <mergeCell ref="I17:I18"/>
    <mergeCell ref="J17:J18"/>
    <mergeCell ref="K17:P17"/>
    <mergeCell ref="Q17:V17"/>
    <mergeCell ref="K18:L18"/>
    <mergeCell ref="M18:N18"/>
    <mergeCell ref="O18:P18"/>
  </mergeCells>
  <dataValidations count="5">
    <dataValidation type="list" allowBlank="1" showInputMessage="1" showErrorMessage="1" sqref="Q20:Q40 AA9 U15" xr:uid="{00000000-0002-0000-2300-000000000000}">
      <formula1>$AP$2</formula1>
    </dataValidation>
    <dataValidation type="list" allowBlank="1" showInputMessage="1" showErrorMessage="1" sqref="AB9" xr:uid="{00000000-0002-0000-2300-000001000000}">
      <formula1>$AO$2:$AO$4</formula1>
    </dataValidation>
    <dataValidation type="list" allowBlank="1" showInputMessage="1" showErrorMessage="1" sqref="S20:S40 AC9 W15" xr:uid="{00000000-0002-0000-2300-000002000000}">
      <formula1>$AN$2:$AN$3</formula1>
    </dataValidation>
    <dataValidation type="list" allowBlank="1" showInputMessage="1" showErrorMessage="1" sqref="V15" xr:uid="{00000000-0002-0000-2300-000003000000}">
      <formula1>$AO$7:$AO$8</formula1>
    </dataValidation>
    <dataValidation type="list" allowBlank="1" showInputMessage="1" showErrorMessage="1" sqref="R20:R40" xr:uid="{00000000-0002-0000-2300-000004000000}">
      <formula1>$AO$5:$AO$6</formula1>
    </dataValidation>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DH18"/>
  <sheetViews>
    <sheetView showGridLines="0" zoomScale="70" zoomScaleNormal="70" workbookViewId="0">
      <selection activeCell="A7" sqref="A7:AF15"/>
    </sheetView>
  </sheetViews>
  <sheetFormatPr baseColWidth="10" defaultColWidth="11.5" defaultRowHeight="15"/>
  <cols>
    <col min="1" max="1" width="11.5" style="246"/>
    <col min="2" max="2" width="49.5" style="246" customWidth="1"/>
    <col min="3" max="3" width="25.5" style="246" customWidth="1"/>
    <col min="4" max="4" width="16.5" style="246" customWidth="1"/>
    <col min="5" max="6" width="11.5" style="246" customWidth="1"/>
    <col min="7" max="7" width="13.5" style="246" customWidth="1"/>
    <col min="8" max="9" width="15.5" style="246" customWidth="1"/>
    <col min="10" max="10" width="13.5" style="246" customWidth="1"/>
    <col min="11" max="11" width="14.5" style="246" bestFit="1" customWidth="1"/>
    <col min="12" max="12" width="11.1640625" style="246" bestFit="1" customWidth="1"/>
    <col min="13" max="13" width="14.5" style="246" bestFit="1" customWidth="1"/>
    <col min="14" max="14" width="11.1640625" style="246" bestFit="1" customWidth="1"/>
    <col min="15" max="15" width="18" style="246" bestFit="1" customWidth="1"/>
    <col min="16" max="16" width="20.83203125" style="246" bestFit="1" customWidth="1"/>
    <col min="17" max="17" width="16.83203125" style="246" bestFit="1" customWidth="1"/>
    <col min="18" max="24" width="11.5" style="246"/>
    <col min="25" max="25" width="18.1640625" style="246" customWidth="1"/>
    <col min="26" max="16384" width="11.5" style="246"/>
  </cols>
  <sheetData>
    <row r="1" spans="1:112" s="291" customFormat="1" ht="34">
      <c r="A1" s="4243" t="s">
        <v>2793</v>
      </c>
      <c r="B1" s="4243"/>
      <c r="C1" s="4243"/>
      <c r="D1" s="4243"/>
      <c r="E1" s="4243"/>
      <c r="F1" s="4243"/>
      <c r="G1" s="4243"/>
      <c r="H1" s="4243"/>
      <c r="I1" s="4243"/>
      <c r="J1" s="4243"/>
      <c r="K1" s="4243"/>
      <c r="L1" s="4243"/>
      <c r="M1" s="4243"/>
      <c r="N1" s="4243"/>
      <c r="O1" s="4243"/>
      <c r="P1" s="4243"/>
      <c r="Q1" s="4243"/>
      <c r="R1" s="4243"/>
      <c r="S1" s="4243"/>
      <c r="T1" s="4243"/>
      <c r="U1" s="288"/>
      <c r="V1" s="288"/>
      <c r="W1" s="288"/>
      <c r="X1" s="288"/>
      <c r="Y1" s="289" t="s">
        <v>2263</v>
      </c>
      <c r="Z1" s="289" t="s">
        <v>2262</v>
      </c>
      <c r="AA1" s="306"/>
      <c r="AB1" s="289"/>
      <c r="AC1" s="289"/>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row>
    <row r="2" spans="1:112" customFormat="1" ht="29" customHeight="1">
      <c r="C2" s="249"/>
      <c r="Y2" s="247" t="s">
        <v>2266</v>
      </c>
      <c r="Z2" s="247"/>
      <c r="AA2" s="248"/>
      <c r="AB2" s="247"/>
      <c r="AC2" s="247"/>
    </row>
    <row r="3" spans="1:112" customFormat="1" ht="31">
      <c r="A3" s="4270" t="s">
        <v>2894</v>
      </c>
      <c r="B3" s="4270"/>
      <c r="C3" s="4270"/>
      <c r="D3" s="4270"/>
      <c r="E3" s="4270"/>
      <c r="F3" s="4270"/>
      <c r="G3" s="4270"/>
      <c r="H3" s="4270"/>
      <c r="I3" s="4270"/>
      <c r="J3" s="4270"/>
      <c r="K3" s="4270"/>
      <c r="L3" s="4270"/>
      <c r="M3" s="4270"/>
      <c r="N3" s="4270"/>
      <c r="O3" s="4270"/>
      <c r="P3" s="4270"/>
      <c r="Q3" s="4270"/>
      <c r="R3" s="4270"/>
      <c r="S3" s="4270"/>
      <c r="T3" s="4270"/>
      <c r="Y3" s="247" t="s">
        <v>2268</v>
      </c>
      <c r="Z3" s="247"/>
      <c r="AA3" s="248"/>
      <c r="AB3" s="247"/>
      <c r="AC3" s="247"/>
    </row>
    <row r="4" spans="1:112" customFormat="1" ht="24">
      <c r="A4" s="4271" t="s">
        <v>2798</v>
      </c>
      <c r="B4" s="4271"/>
      <c r="C4" s="4271"/>
      <c r="D4" s="4271" t="s">
        <v>2799</v>
      </c>
      <c r="E4" s="4271"/>
      <c r="F4" s="4271"/>
      <c r="G4" s="4271"/>
      <c r="H4" s="4271"/>
      <c r="I4" s="4272" t="s">
        <v>2800</v>
      </c>
      <c r="J4" s="4272" t="s">
        <v>2801</v>
      </c>
      <c r="K4" s="4271" t="s">
        <v>2802</v>
      </c>
      <c r="L4" s="4271"/>
      <c r="M4" s="4271"/>
      <c r="N4" s="4271"/>
      <c r="O4" s="4271" t="s">
        <v>2803</v>
      </c>
      <c r="P4" s="4271"/>
      <c r="Q4" s="4271"/>
      <c r="R4" s="4271"/>
      <c r="S4" s="4271"/>
      <c r="T4" s="4271"/>
      <c r="Y4" s="247" t="s">
        <v>2718</v>
      </c>
      <c r="Z4" s="247"/>
      <c r="AA4" s="248"/>
      <c r="AB4" s="247"/>
      <c r="AC4" s="247"/>
    </row>
    <row r="5" spans="1:112" customFormat="1" ht="51">
      <c r="A5" s="417" t="s">
        <v>2666</v>
      </c>
      <c r="B5" s="277" t="s">
        <v>2804</v>
      </c>
      <c r="C5" s="277" t="s">
        <v>2805</v>
      </c>
      <c r="D5" s="277" t="s">
        <v>2806</v>
      </c>
      <c r="E5" s="277" t="s">
        <v>2807</v>
      </c>
      <c r="F5" s="277" t="s">
        <v>2808</v>
      </c>
      <c r="G5" s="277" t="s">
        <v>2809</v>
      </c>
      <c r="H5" s="277" t="s">
        <v>2810</v>
      </c>
      <c r="I5" s="4273"/>
      <c r="J5" s="4273"/>
      <c r="K5" s="4274" t="s">
        <v>2895</v>
      </c>
      <c r="L5" s="4274"/>
      <c r="M5" s="4274" t="s">
        <v>2896</v>
      </c>
      <c r="N5" s="4274"/>
      <c r="O5" s="277" t="s">
        <v>2816</v>
      </c>
      <c r="P5" s="277" t="s">
        <v>2817</v>
      </c>
      <c r="Q5" s="277" t="s">
        <v>2818</v>
      </c>
      <c r="R5" s="277" t="s">
        <v>2696</v>
      </c>
      <c r="S5" s="277" t="s">
        <v>2819</v>
      </c>
      <c r="T5" s="277" t="s">
        <v>2820</v>
      </c>
      <c r="Y5" s="247" t="s">
        <v>2725</v>
      </c>
      <c r="Z5" s="247"/>
      <c r="AA5" s="248"/>
      <c r="AB5" s="247"/>
      <c r="AC5" s="247"/>
    </row>
    <row r="15" spans="1:112">
      <c r="B15" s="307"/>
    </row>
    <row r="18" spans="4:4">
      <c r="D18" s="308"/>
    </row>
  </sheetData>
  <mergeCells count="10">
    <mergeCell ref="A1:T1"/>
    <mergeCell ref="A3:T3"/>
    <mergeCell ref="A4:C4"/>
    <mergeCell ref="D4:H4"/>
    <mergeCell ref="I4:I5"/>
    <mergeCell ref="J4:J5"/>
    <mergeCell ref="K4:N4"/>
    <mergeCell ref="O4:T4"/>
    <mergeCell ref="K5:L5"/>
    <mergeCell ref="M5:N5"/>
  </mergeCells>
  <dataValidations count="3">
    <dataValidation type="list" allowBlank="1" showInputMessage="1" showErrorMessage="1" sqref="O15:O73" xr:uid="{00000000-0002-0000-2400-000000000000}">
      <formula1>$Y$1:$Y$5</formula1>
    </dataValidation>
    <dataValidation type="list" allowBlank="1" showInputMessage="1" showErrorMessage="1" sqref="Q15:Q73" xr:uid="{00000000-0002-0000-2400-000001000000}">
      <formula1>$Z$1</formula1>
    </dataValidation>
    <dataValidation allowBlank="1" showDropDown="1" showInputMessage="1" showErrorMessage="1" sqref="P15:P74" xr:uid="{00000000-0002-0000-2400-000002000000}"/>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D135"/>
  <sheetViews>
    <sheetView showGridLines="0" zoomScale="85" zoomScaleNormal="85" workbookViewId="0">
      <selection activeCell="B2" sqref="B2:L2"/>
    </sheetView>
  </sheetViews>
  <sheetFormatPr baseColWidth="10" defaultColWidth="9.1640625" defaultRowHeight="15" outlineLevelRow="1"/>
  <cols>
    <col min="1" max="1" width="15.5" style="252" customWidth="1"/>
    <col min="2" max="2" width="48.1640625" style="252" customWidth="1"/>
    <col min="3" max="3" width="13.5" style="252" customWidth="1"/>
    <col min="4" max="6" width="9.1640625" style="252"/>
    <col min="7" max="7" width="14.5" style="252" customWidth="1"/>
    <col min="8" max="16384" width="9.1640625" style="252"/>
  </cols>
  <sheetData>
    <row r="1" spans="1:30" ht="17">
      <c r="A1" s="250" t="s">
        <v>2249</v>
      </c>
      <c r="B1" s="251" t="s">
        <v>2250</v>
      </c>
    </row>
    <row r="2" spans="1:30" ht="34">
      <c r="A2" s="250" t="s">
        <v>2251</v>
      </c>
      <c r="B2" s="251" t="s">
        <v>3</v>
      </c>
    </row>
    <row r="3" spans="1:30" ht="34">
      <c r="A3" s="250" t="s">
        <v>2252</v>
      </c>
      <c r="B3" s="251"/>
    </row>
    <row r="4" spans="1:30" ht="34">
      <c r="A4" s="250" t="s">
        <v>2253</v>
      </c>
      <c r="B4" s="251" t="s">
        <v>4</v>
      </c>
    </row>
    <row r="5" spans="1:30" ht="34">
      <c r="A5" s="250" t="s">
        <v>2254</v>
      </c>
      <c r="B5" s="251"/>
      <c r="E5" s="4158" t="s">
        <v>1112</v>
      </c>
      <c r="F5" s="4158"/>
      <c r="G5" s="267" t="e">
        <f>'10_Resumen del PA - CGR'!B6+'10_Resumen del PA - CGR'!B7+'10_Resumen del PA - CGR'!B8+'10_Resumen del PA - CGR'!B9+'10_Resumen del PA - CGR'!B10</f>
        <v>#REF!</v>
      </c>
      <c r="AC5" s="253"/>
      <c r="AD5" s="253"/>
    </row>
    <row r="6" spans="1:30" ht="17">
      <c r="A6" s="250" t="s">
        <v>2255</v>
      </c>
      <c r="B6" s="254"/>
      <c r="C6" s="255"/>
      <c r="E6" s="4158" t="s">
        <v>2256</v>
      </c>
      <c r="F6" s="4158"/>
      <c r="G6" s="267" t="e">
        <f>SUM(C16:C50)</f>
        <v>#REF!</v>
      </c>
      <c r="AC6" s="253"/>
      <c r="AD6" s="253"/>
    </row>
    <row r="7" spans="1:30" ht="34">
      <c r="A7" s="250" t="s">
        <v>2257</v>
      </c>
      <c r="B7" s="254">
        <f>+'10.1_PA_OB&amp;S - CGR'!D8+'10.1_PA_OB&amp;S - CGR'!D21</f>
        <v>300000</v>
      </c>
      <c r="C7" s="256"/>
      <c r="E7" s="4158" t="s">
        <v>2258</v>
      </c>
      <c r="F7" s="4158"/>
      <c r="G7" s="269" t="e">
        <f>G5+G6</f>
        <v>#REF!</v>
      </c>
      <c r="AC7" s="253"/>
      <c r="AD7" s="253"/>
    </row>
    <row r="8" spans="1:30" ht="34">
      <c r="A8" s="250" t="s">
        <v>2259</v>
      </c>
      <c r="B8" s="254" t="e">
        <f>+'10.2_PA_SC - CGR'!D11+'10.2_PA_SC - CGR'!D27+'10.2_PA_SC - CGR'!D36+'10.2_PA_SC - CGR'!D65</f>
        <v>#REF!</v>
      </c>
      <c r="AC8" s="253"/>
      <c r="AD8" s="253"/>
    </row>
    <row r="9" spans="1:30" ht="17">
      <c r="A9" s="250" t="s">
        <v>2260</v>
      </c>
      <c r="B9" s="254">
        <f>+'10.3_PA_Aud. - CGR'!D8</f>
        <v>0</v>
      </c>
      <c r="D9" s="257"/>
      <c r="AC9" s="253"/>
      <c r="AD9" s="253"/>
    </row>
    <row r="10" spans="1:30" ht="34">
      <c r="A10" s="258" t="s">
        <v>2261</v>
      </c>
      <c r="B10" s="254"/>
      <c r="G10" s="257"/>
      <c r="AC10" s="253" t="s">
        <v>2262</v>
      </c>
      <c r="AD10" s="253" t="s">
        <v>2263</v>
      </c>
    </row>
    <row r="11" spans="1:30" ht="17">
      <c r="A11" s="250" t="s">
        <v>2264</v>
      </c>
      <c r="B11" s="259"/>
      <c r="AC11" s="253" t="s">
        <v>2265</v>
      </c>
      <c r="AD11" s="253" t="s">
        <v>2266</v>
      </c>
    </row>
    <row r="12" spans="1:30">
      <c r="B12" s="260"/>
      <c r="AC12" s="253" t="s">
        <v>2267</v>
      </c>
      <c r="AD12" s="253" t="s">
        <v>2268</v>
      </c>
    </row>
    <row r="15" spans="1:30" s="264" customFormat="1" ht="16" thickBot="1">
      <c r="A15" s="261" t="s">
        <v>484</v>
      </c>
      <c r="B15" s="262" t="s">
        <v>2269</v>
      </c>
      <c r="C15" s="263" t="s">
        <v>610</v>
      </c>
    </row>
    <row r="16" spans="1:30" s="265" customFormat="1" outlineLevel="1">
      <c r="A16" s="271">
        <f>'8_MP'!$D$224</f>
        <v>0</v>
      </c>
      <c r="B16" s="268">
        <f>'8_MP'!$H$224</f>
        <v>0</v>
      </c>
      <c r="C16" s="266">
        <f>'8_MP'!$AN$224</f>
        <v>0</v>
      </c>
      <c r="D16" s="1985"/>
      <c r="E16" s="1985"/>
    </row>
    <row r="17" spans="1:5" s="265" customFormat="1" outlineLevel="1">
      <c r="A17" s="275">
        <f>'8_MP'!$D$229</f>
        <v>0</v>
      </c>
      <c r="B17" s="276">
        <f>'8_MP'!$H$229</f>
        <v>0</v>
      </c>
      <c r="C17" s="274">
        <f>'8_MP'!$AH$229*48</f>
        <v>0</v>
      </c>
      <c r="D17" s="1985"/>
    </row>
    <row r="18" spans="1:5" s="265" customFormat="1" outlineLevel="1">
      <c r="A18" s="271">
        <f>'8_MP'!$D$249</f>
        <v>0</v>
      </c>
      <c r="B18" s="268">
        <f>'8_MP'!$H$249</f>
        <v>0</v>
      </c>
      <c r="C18" s="1987">
        <f>'8_MP'!$AN$249</f>
        <v>0</v>
      </c>
      <c r="D18" s="1987"/>
      <c r="E18" s="1987"/>
    </row>
    <row r="19" spans="1:5" s="265" customFormat="1" outlineLevel="1">
      <c r="A19" s="271">
        <f>'8_MP'!$D$263</f>
        <v>0</v>
      </c>
      <c r="B19" s="268">
        <f>'8_MP'!$H$263</f>
        <v>0</v>
      </c>
      <c r="C19" s="1987">
        <f>'8_MP'!$AN$263</f>
        <v>0</v>
      </c>
      <c r="D19" s="1987"/>
      <c r="E19" s="1987"/>
    </row>
    <row r="20" spans="1:5" s="265" customFormat="1" outlineLevel="1">
      <c r="A20" s="271">
        <f>'8_MP'!$D$233</f>
        <v>0</v>
      </c>
      <c r="B20" s="268">
        <f>'8_MP'!$H$233</f>
        <v>0</v>
      </c>
      <c r="C20" s="266">
        <f>'8_MP'!$AN$233</f>
        <v>0</v>
      </c>
      <c r="E20" s="1985"/>
    </row>
    <row r="21" spans="1:5" s="265" customFormat="1" outlineLevel="1">
      <c r="A21" s="271">
        <f>'8_MP'!D242</f>
        <v>0</v>
      </c>
      <c r="B21" s="268">
        <f>'8_MP'!H242</f>
        <v>0</v>
      </c>
      <c r="C21" s="266">
        <f>'8_MP'!AN242</f>
        <v>0</v>
      </c>
    </row>
    <row r="22" spans="1:5" s="265" customFormat="1" outlineLevel="1">
      <c r="A22" s="271">
        <f>'8_MP'!D243</f>
        <v>0</v>
      </c>
      <c r="B22" s="268">
        <f>'8_MP'!H243</f>
        <v>0</v>
      </c>
      <c r="C22" s="266">
        <f>'8_MP'!AN243</f>
        <v>0</v>
      </c>
    </row>
    <row r="23" spans="1:5" s="265" customFormat="1" outlineLevel="1">
      <c r="A23" s="271">
        <f>'8_MP'!$D$275</f>
        <v>0</v>
      </c>
      <c r="B23" s="268">
        <f>'8_MP'!$H$275</f>
        <v>0</v>
      </c>
      <c r="C23" s="266">
        <f>'8_MP'!$AN$275</f>
        <v>0</v>
      </c>
    </row>
    <row r="24" spans="1:5" s="265" customFormat="1" outlineLevel="1">
      <c r="A24" s="271">
        <f>'8_MP'!$D$278</f>
        <v>0</v>
      </c>
      <c r="B24" s="268">
        <f>'8_MP'!$H$278</f>
        <v>0</v>
      </c>
      <c r="C24" s="266">
        <f>'8_MP'!$AN$278</f>
        <v>0</v>
      </c>
      <c r="D24" s="1985"/>
    </row>
    <row r="25" spans="1:5" s="265" customFormat="1" outlineLevel="1">
      <c r="A25" s="275">
        <f>'8_MP'!$D$293</f>
        <v>0</v>
      </c>
      <c r="B25" s="276">
        <f>'8_MP'!$H$293</f>
        <v>0</v>
      </c>
      <c r="C25" s="274">
        <f>'8_MP'!$AN$293/2</f>
        <v>0</v>
      </c>
    </row>
    <row r="26" spans="1:5" s="265" customFormat="1" outlineLevel="1">
      <c r="A26" s="275">
        <f>'8_MP'!$D$294</f>
        <v>0</v>
      </c>
      <c r="B26" s="276">
        <f>'8_MP'!$H$294</f>
        <v>0</v>
      </c>
      <c r="C26" s="274">
        <f>'8_MP'!$AN$294/2</f>
        <v>0</v>
      </c>
    </row>
    <row r="27" spans="1:5" s="265" customFormat="1" outlineLevel="1">
      <c r="A27" s="275">
        <f>'8_MP'!$D$296</f>
        <v>0</v>
      </c>
      <c r="B27" s="276">
        <f>'8_MP'!$H$296</f>
        <v>0</v>
      </c>
      <c r="C27" s="274">
        <f>'8_MP'!$AN$296/2</f>
        <v>0</v>
      </c>
    </row>
    <row r="28" spans="1:5" s="265" customFormat="1" outlineLevel="1">
      <c r="A28" s="275">
        <f>'8_MP'!$D$297</f>
        <v>0</v>
      </c>
      <c r="B28" s="276">
        <f>'8_MP'!$H$297</f>
        <v>0</v>
      </c>
      <c r="C28" s="274">
        <f>'8_MP'!$AN$297/2</f>
        <v>0</v>
      </c>
    </row>
    <row r="29" spans="1:5" s="265" customFormat="1" outlineLevel="1">
      <c r="A29" s="271">
        <f>'8_MP'!$D$298</f>
        <v>0</v>
      </c>
      <c r="B29" s="268">
        <f>'8_MP'!$H$298</f>
        <v>0</v>
      </c>
      <c r="C29" s="266">
        <f>'8_MP'!$AN$298</f>
        <v>0</v>
      </c>
    </row>
    <row r="30" spans="1:5" s="265" customFormat="1" outlineLevel="1">
      <c r="A30" s="271">
        <f>'8_MP'!$D$299</f>
        <v>0</v>
      </c>
      <c r="B30" s="268">
        <f>'8_MP'!$H$299</f>
        <v>0</v>
      </c>
      <c r="C30" s="266">
        <f>'8_MP'!$AN$299</f>
        <v>0</v>
      </c>
    </row>
    <row r="31" spans="1:5" s="265" customFormat="1" outlineLevel="1">
      <c r="A31" s="271">
        <f>'8_MP'!$D$303</f>
        <v>0</v>
      </c>
      <c r="B31" s="268">
        <f>'8_MP'!$H$303</f>
        <v>0</v>
      </c>
      <c r="C31" s="266">
        <f>'8_MP'!$AN$303</f>
        <v>0</v>
      </c>
    </row>
    <row r="32" spans="1:5" s="265" customFormat="1" outlineLevel="1">
      <c r="A32" s="271">
        <f>'8_MP'!$D$307</f>
        <v>0</v>
      </c>
      <c r="B32" s="268">
        <f>'8_MP'!$H$307</f>
        <v>0</v>
      </c>
      <c r="C32" s="266">
        <f>'8_MP'!$AN$307</f>
        <v>0</v>
      </c>
    </row>
    <row r="33" spans="1:4" s="265" customFormat="1" outlineLevel="1">
      <c r="A33" s="271">
        <f>'8_MP'!D313</f>
        <v>0</v>
      </c>
      <c r="B33" s="268">
        <f>'8_MP'!H313</f>
        <v>0</v>
      </c>
      <c r="C33" s="266">
        <f>'8_MP'!AN313</f>
        <v>0</v>
      </c>
    </row>
    <row r="34" spans="1:4" s="265" customFormat="1" outlineLevel="1">
      <c r="A34" s="271">
        <f>'8_MP'!D314</f>
        <v>0</v>
      </c>
      <c r="B34" s="268">
        <f>'8_MP'!H314</f>
        <v>0</v>
      </c>
      <c r="C34" s="266">
        <f>'8_MP'!AN314</f>
        <v>0</v>
      </c>
    </row>
    <row r="35" spans="1:4" s="265" customFormat="1" ht="94.25" customHeight="1" outlineLevel="1">
      <c r="A35" s="271">
        <f>'8_MP'!D315</f>
        <v>0</v>
      </c>
      <c r="B35" s="268">
        <f>'8_MP'!H315</f>
        <v>0</v>
      </c>
      <c r="C35" s="266">
        <f>'8_MP'!AN315</f>
        <v>0</v>
      </c>
    </row>
    <row r="36" spans="1:4" s="265" customFormat="1" outlineLevel="1">
      <c r="A36" s="271">
        <f>'8_MP'!$D$316</f>
        <v>0</v>
      </c>
      <c r="B36" s="268">
        <f>'8_MP'!$H$316</f>
        <v>0</v>
      </c>
      <c r="C36" s="266">
        <f>'8_MP'!$AN$316</f>
        <v>0</v>
      </c>
    </row>
    <row r="37" spans="1:4" s="265" customFormat="1" ht="48" outlineLevel="1">
      <c r="A37" s="275" t="str">
        <f>'8_MP'!$D$339</f>
        <v>2.3.1.1.4</v>
      </c>
      <c r="B37" s="276" t="str">
        <f>'8_MP'!$H$339</f>
        <v>Contratación de personal en Mision para fortalecer de capacidades de TI, contrapartes a las firmas de consultoría y transferir conocimiento a la Entidad - Fase 2</v>
      </c>
      <c r="C37" s="274">
        <f>'8_MP'!$AN$339</f>
        <v>500000</v>
      </c>
    </row>
    <row r="38" spans="1:4" s="265" customFormat="1" ht="64" outlineLevel="1">
      <c r="A38" s="275" t="str">
        <f>'8_MP'!$D$349</f>
        <v>2.3.1.1.6</v>
      </c>
      <c r="B38" s="276" t="str">
        <f>'8_MP'!$H$349</f>
        <v>Tableros y herramientas de analítica implementados, incluyendo modelos de analítica descriptiva y predictiva, orientados a la toma de decisiones estratégicas y al apoyo operativo de la misionalidad de la CGR</v>
      </c>
      <c r="C38" s="274">
        <f>'8_MP'!$AN$349</f>
        <v>800000</v>
      </c>
    </row>
    <row r="39" spans="1:4" s="265" customFormat="1" ht="16" outlineLevel="1">
      <c r="A39" s="275" t="str">
        <f>'8_MP'!$D$359</f>
        <v>2.3.1.2.1</v>
      </c>
      <c r="B39" s="276" t="str">
        <f>'8_MP'!$H$359</f>
        <v>Infraestructura y Servicios de TI</v>
      </c>
      <c r="C39" s="274">
        <f>'8_MP'!$AN$359</f>
        <v>1020500</v>
      </c>
    </row>
    <row r="40" spans="1:4" s="265" customFormat="1" ht="16" outlineLevel="1">
      <c r="A40" s="275" t="str">
        <f>'8_MP'!D361</f>
        <v>2.3.1.2.3</v>
      </c>
      <c r="B40" s="276" t="str">
        <f>'8_MP'!H361</f>
        <v>Capacitación especializada en ciberseguridad</v>
      </c>
      <c r="C40" s="274">
        <f>'8_MP'!AN361</f>
        <v>60000</v>
      </c>
    </row>
    <row r="41" spans="1:4" s="265" customFormat="1" ht="16" outlineLevel="1">
      <c r="A41" s="275" t="str">
        <f>'8_MP'!D362</f>
        <v>2.3.1.2.4</v>
      </c>
      <c r="B41" s="276" t="str">
        <f>'8_MP'!H362</f>
        <v>Concientización y sensibilización en general</v>
      </c>
      <c r="C41" s="274">
        <f>'8_MP'!AN362</f>
        <v>90000</v>
      </c>
    </row>
    <row r="42" spans="1:4" s="265" customFormat="1" ht="32" outlineLevel="1">
      <c r="A42" s="275" t="str">
        <f>'8_MP'!D363</f>
        <v>2.3.1.2.5</v>
      </c>
      <c r="B42" s="276" t="str">
        <f>'8_MP'!H363</f>
        <v>Plan de Continuidad de Negocios (BCP-Bussines Continuity Plan), diseñado e implementado</v>
      </c>
      <c r="C42" s="274">
        <f>'8_MP'!AN363</f>
        <v>100000</v>
      </c>
    </row>
    <row r="43" spans="1:4" s="265" customFormat="1" outlineLevel="1">
      <c r="A43" s="275" t="e">
        <f>'8_MP'!#REF!</f>
        <v>#REF!</v>
      </c>
      <c r="B43" s="276" t="e">
        <f>'8_MP'!#REF!</f>
        <v>#REF!</v>
      </c>
      <c r="C43" s="267" t="e">
        <f>'8_MP'!#REF!</f>
        <v>#REF!</v>
      </c>
      <c r="D43" s="1987"/>
    </row>
    <row r="44" spans="1:4" s="265" customFormat="1" outlineLevel="1">
      <c r="A44" s="275" t="e">
        <f>'8_MP'!#REF!</f>
        <v>#REF!</v>
      </c>
      <c r="B44" s="276" t="e">
        <f>'8_MP'!#REF!</f>
        <v>#REF!</v>
      </c>
      <c r="C44" s="267" t="e">
        <f>'8_MP'!#REF!*48</f>
        <v>#REF!</v>
      </c>
      <c r="D44" s="1987"/>
    </row>
    <row r="45" spans="1:4" s="265" customFormat="1" outlineLevel="1">
      <c r="A45" s="275" t="e">
        <f>'8_MP'!#REF!</f>
        <v>#REF!</v>
      </c>
      <c r="B45" s="276" t="e">
        <f>'8_MP'!#REF!</f>
        <v>#REF!</v>
      </c>
      <c r="C45" s="267" t="e">
        <f>'8_MP'!#REF!</f>
        <v>#REF!</v>
      </c>
      <c r="D45" s="1987"/>
    </row>
    <row r="46" spans="1:4" s="265" customFormat="1" outlineLevel="1">
      <c r="A46" s="275" t="e">
        <f>'8_MP'!#REF!</f>
        <v>#REF!</v>
      </c>
      <c r="B46" s="276" t="e">
        <f>'8_MP'!#REF!</f>
        <v>#REF!</v>
      </c>
      <c r="C46" s="267" t="e">
        <f>'8_MP'!#REF!</f>
        <v>#REF!</v>
      </c>
      <c r="D46" s="1987"/>
    </row>
    <row r="47" spans="1:4" s="265" customFormat="1" outlineLevel="1">
      <c r="A47" s="275" t="e">
        <f>'8_MP'!#REF!</f>
        <v>#REF!</v>
      </c>
      <c r="B47" s="276" t="e">
        <f>'8_MP'!#REF!</f>
        <v>#REF!</v>
      </c>
      <c r="C47" s="267" t="e">
        <f>'8_MP'!#REF!*48</f>
        <v>#REF!</v>
      </c>
      <c r="D47" s="1987"/>
    </row>
    <row r="48" spans="1:4" s="265" customFormat="1" outlineLevel="1">
      <c r="A48" s="275" t="e">
        <f>'8_MP'!#REF!</f>
        <v>#REF!</v>
      </c>
      <c r="B48" s="276" t="e">
        <f>'8_MP'!#REF!</f>
        <v>#REF!</v>
      </c>
      <c r="C48" s="267" t="e">
        <f>'8_MP'!#REF!*36</f>
        <v>#REF!</v>
      </c>
      <c r="D48" s="1987"/>
    </row>
    <row r="49" spans="1:4" s="265" customFormat="1" outlineLevel="1">
      <c r="A49" s="275" t="e">
        <f>'8_MP'!#REF!</f>
        <v>#REF!</v>
      </c>
      <c r="B49" s="276" t="e">
        <f>'8_MP'!#REF!</f>
        <v>#REF!</v>
      </c>
      <c r="C49" s="267" t="e">
        <f>'8_MP'!#REF!*48</f>
        <v>#REF!</v>
      </c>
      <c r="D49" s="1987"/>
    </row>
    <row r="50" spans="1:4" s="265" customFormat="1" outlineLevel="1">
      <c r="A50" s="275" t="e">
        <f>'8_MP'!#REF!</f>
        <v>#REF!</v>
      </c>
      <c r="B50" s="276" t="e">
        <f>'8_MP'!#REF!</f>
        <v>#REF!</v>
      </c>
      <c r="C50" s="267" t="e">
        <f>'8_MP'!#REF!</f>
        <v>#REF!</v>
      </c>
      <c r="D50" s="1987"/>
    </row>
    <row r="51" spans="1:4" s="265" customFormat="1" ht="16">
      <c r="A51" s="2117"/>
      <c r="B51" s="2118" t="s">
        <v>487</v>
      </c>
      <c r="C51" s="2119" t="e">
        <f>SUM(C16:C50)</f>
        <v>#REF!</v>
      </c>
      <c r="D51" s="1987"/>
    </row>
    <row r="52" spans="1:4" s="265" customFormat="1">
      <c r="A52" s="275"/>
      <c r="B52" s="273"/>
      <c r="C52" s="274"/>
    </row>
    <row r="53" spans="1:4" s="265" customFormat="1">
      <c r="A53" s="275"/>
      <c r="B53" s="273"/>
      <c r="C53" s="274"/>
    </row>
    <row r="54" spans="1:4" s="265" customFormat="1">
      <c r="A54" s="275"/>
      <c r="B54" s="273"/>
      <c r="C54" s="274"/>
    </row>
    <row r="55" spans="1:4" s="265" customFormat="1">
      <c r="A55" s="275"/>
      <c r="B55" s="273"/>
      <c r="C55" s="274"/>
    </row>
    <row r="56" spans="1:4" s="265" customFormat="1">
      <c r="A56" s="275"/>
      <c r="B56" s="273"/>
      <c r="C56" s="274"/>
    </row>
    <row r="57" spans="1:4" s="265" customFormat="1">
      <c r="A57" s="275"/>
      <c r="B57" s="273"/>
      <c r="C57" s="274"/>
    </row>
    <row r="58" spans="1:4" s="265" customFormat="1">
      <c r="A58" s="275"/>
      <c r="B58" s="273"/>
      <c r="C58" s="274"/>
    </row>
    <row r="59" spans="1:4" s="265" customFormat="1">
      <c r="A59" s="275"/>
      <c r="B59" s="273"/>
      <c r="C59" s="274"/>
    </row>
    <row r="60" spans="1:4" s="265" customFormat="1">
      <c r="A60" s="275"/>
      <c r="B60" s="273"/>
      <c r="C60" s="274"/>
    </row>
    <row r="61" spans="1:4" s="265" customFormat="1">
      <c r="A61" s="275"/>
      <c r="B61" s="273"/>
      <c r="C61" s="274"/>
    </row>
    <row r="62" spans="1:4" s="265" customFormat="1">
      <c r="A62" s="275"/>
      <c r="B62" s="273"/>
      <c r="C62" s="274"/>
    </row>
    <row r="63" spans="1:4" s="265" customFormat="1">
      <c r="A63" s="275"/>
      <c r="B63" s="273"/>
      <c r="C63" s="274"/>
    </row>
    <row r="64" spans="1:4" s="265" customFormat="1">
      <c r="A64" s="275"/>
      <c r="B64" s="273"/>
      <c r="C64" s="274"/>
    </row>
    <row r="65" spans="1:3" s="265" customFormat="1">
      <c r="A65" s="275"/>
      <c r="B65" s="273"/>
      <c r="C65" s="274"/>
    </row>
    <row r="66" spans="1:3" s="265" customFormat="1">
      <c r="A66" s="275"/>
      <c r="B66" s="273"/>
      <c r="C66" s="274"/>
    </row>
    <row r="67" spans="1:3" s="265" customFormat="1">
      <c r="A67" s="275"/>
      <c r="B67" s="273"/>
      <c r="C67" s="274"/>
    </row>
    <row r="68" spans="1:3" s="265" customFormat="1">
      <c r="A68" s="275"/>
      <c r="B68" s="273"/>
      <c r="C68" s="274"/>
    </row>
    <row r="69" spans="1:3" s="265" customFormat="1">
      <c r="A69" s="275"/>
      <c r="B69" s="273"/>
      <c r="C69" s="274"/>
    </row>
    <row r="70" spans="1:3" s="265" customFormat="1">
      <c r="A70" s="275"/>
      <c r="B70" s="273"/>
      <c r="C70" s="274"/>
    </row>
    <row r="71" spans="1:3" s="265" customFormat="1">
      <c r="A71" s="275"/>
      <c r="B71" s="273"/>
      <c r="C71" s="274"/>
    </row>
    <row r="72" spans="1:3" s="265" customFormat="1">
      <c r="A72" s="275"/>
      <c r="B72" s="273"/>
      <c r="C72" s="274"/>
    </row>
    <row r="73" spans="1:3" s="265" customFormat="1">
      <c r="A73" s="275"/>
      <c r="B73" s="273"/>
      <c r="C73" s="274"/>
    </row>
    <row r="74" spans="1:3" s="265" customFormat="1">
      <c r="A74" s="275"/>
      <c r="B74" s="273"/>
      <c r="C74" s="274"/>
    </row>
    <row r="75" spans="1:3" s="265" customFormat="1">
      <c r="A75" s="275"/>
      <c r="B75" s="273"/>
      <c r="C75" s="274"/>
    </row>
    <row r="76" spans="1:3" s="265" customFormat="1">
      <c r="A76" s="275"/>
      <c r="B76" s="273"/>
      <c r="C76" s="274"/>
    </row>
    <row r="77" spans="1:3" s="265" customFormat="1">
      <c r="A77" s="275"/>
      <c r="B77" s="273"/>
      <c r="C77" s="274"/>
    </row>
    <row r="78" spans="1:3" s="265" customFormat="1">
      <c r="A78" s="275"/>
      <c r="B78" s="273"/>
      <c r="C78" s="274"/>
    </row>
    <row r="79" spans="1:3" s="265" customFormat="1">
      <c r="A79" s="275"/>
      <c r="B79" s="273"/>
      <c r="C79" s="274"/>
    </row>
    <row r="80" spans="1:3" s="265" customFormat="1">
      <c r="A80" s="275"/>
      <c r="B80" s="273"/>
      <c r="C80" s="274"/>
    </row>
    <row r="81" spans="1:3" s="265" customFormat="1">
      <c r="A81" s="275"/>
      <c r="B81" s="273"/>
      <c r="C81" s="274"/>
    </row>
    <row r="82" spans="1:3" s="265" customFormat="1">
      <c r="A82" s="275"/>
      <c r="B82" s="273"/>
      <c r="C82" s="274"/>
    </row>
    <row r="83" spans="1:3" s="265" customFormat="1">
      <c r="A83" s="275"/>
      <c r="B83" s="273"/>
      <c r="C83" s="274"/>
    </row>
    <row r="84" spans="1:3" s="265" customFormat="1">
      <c r="A84" s="275"/>
      <c r="B84" s="273"/>
      <c r="C84" s="274"/>
    </row>
    <row r="85" spans="1:3" s="265" customFormat="1">
      <c r="A85" s="275"/>
      <c r="B85" s="273"/>
      <c r="C85" s="274"/>
    </row>
    <row r="86" spans="1:3" s="265" customFormat="1">
      <c r="A86" s="275"/>
      <c r="B86" s="273"/>
      <c r="C86" s="274"/>
    </row>
    <row r="87" spans="1:3" s="265" customFormat="1">
      <c r="A87" s="275"/>
      <c r="B87" s="273"/>
      <c r="C87" s="274"/>
    </row>
    <row r="88" spans="1:3" s="265" customFormat="1">
      <c r="A88" s="275"/>
      <c r="B88" s="273"/>
      <c r="C88" s="274"/>
    </row>
    <row r="89" spans="1:3" s="265" customFormat="1">
      <c r="A89" s="275"/>
      <c r="B89" s="273"/>
      <c r="C89" s="274"/>
    </row>
    <row r="90" spans="1:3" s="265" customFormat="1">
      <c r="A90" s="275"/>
      <c r="B90" s="273"/>
      <c r="C90" s="274"/>
    </row>
    <row r="91" spans="1:3" s="265" customFormat="1">
      <c r="A91" s="275"/>
      <c r="B91" s="273"/>
      <c r="C91" s="274"/>
    </row>
    <row r="92" spans="1:3" s="265" customFormat="1">
      <c r="A92" s="275"/>
      <c r="B92" s="273"/>
      <c r="C92" s="274"/>
    </row>
    <row r="93" spans="1:3" s="265" customFormat="1">
      <c r="A93" s="275"/>
      <c r="B93" s="273"/>
      <c r="C93" s="274"/>
    </row>
    <row r="94" spans="1:3" s="265" customFormat="1">
      <c r="A94" s="275"/>
      <c r="B94" s="273"/>
      <c r="C94" s="274"/>
    </row>
    <row r="95" spans="1:3" s="265" customFormat="1">
      <c r="A95" s="275"/>
      <c r="B95" s="273"/>
      <c r="C95" s="274"/>
    </row>
    <row r="96" spans="1:3" s="265" customFormat="1">
      <c r="A96" s="275"/>
      <c r="B96" s="273"/>
      <c r="C96" s="274"/>
    </row>
    <row r="97" spans="1:3" s="265" customFormat="1">
      <c r="A97" s="275"/>
      <c r="B97" s="273"/>
      <c r="C97" s="274"/>
    </row>
    <row r="98" spans="1:3" s="265" customFormat="1">
      <c r="A98" s="275"/>
      <c r="B98" s="273"/>
      <c r="C98" s="274"/>
    </row>
    <row r="99" spans="1:3" s="265" customFormat="1">
      <c r="A99" s="275"/>
      <c r="B99" s="273"/>
      <c r="C99" s="274"/>
    </row>
    <row r="100" spans="1:3" s="265" customFormat="1">
      <c r="A100" s="275"/>
      <c r="B100" s="273"/>
      <c r="C100" s="274"/>
    </row>
    <row r="101" spans="1:3" s="265" customFormat="1">
      <c r="A101" s="275"/>
      <c r="B101" s="273"/>
      <c r="C101" s="274"/>
    </row>
    <row r="102" spans="1:3" s="265" customFormat="1">
      <c r="A102" s="275"/>
      <c r="B102" s="273"/>
      <c r="C102" s="274"/>
    </row>
    <row r="103" spans="1:3" s="265" customFormat="1">
      <c r="A103" s="275"/>
      <c r="B103" s="273"/>
      <c r="C103" s="274"/>
    </row>
    <row r="104" spans="1:3" s="265" customFormat="1">
      <c r="A104" s="275"/>
      <c r="B104" s="273"/>
      <c r="C104" s="274"/>
    </row>
    <row r="105" spans="1:3" s="265" customFormat="1">
      <c r="A105" s="275"/>
      <c r="B105" s="273"/>
      <c r="C105" s="274"/>
    </row>
    <row r="106" spans="1:3" s="265" customFormat="1">
      <c r="A106" s="275"/>
      <c r="B106" s="273"/>
      <c r="C106" s="274"/>
    </row>
    <row r="107" spans="1:3" s="265" customFormat="1">
      <c r="A107" s="275"/>
      <c r="B107" s="273"/>
      <c r="C107" s="274"/>
    </row>
    <row r="108" spans="1:3" s="265" customFormat="1">
      <c r="A108" s="275"/>
      <c r="B108" s="273"/>
      <c r="C108" s="274"/>
    </row>
    <row r="109" spans="1:3" s="265" customFormat="1">
      <c r="A109" s="275"/>
      <c r="B109" s="273"/>
      <c r="C109" s="274"/>
    </row>
    <row r="110" spans="1:3" s="265" customFormat="1">
      <c r="A110" s="275"/>
      <c r="B110" s="273"/>
      <c r="C110" s="274"/>
    </row>
    <row r="111" spans="1:3" s="265" customFormat="1">
      <c r="A111" s="275"/>
      <c r="B111" s="273"/>
      <c r="C111" s="274"/>
    </row>
    <row r="112" spans="1:3" s="265" customFormat="1">
      <c r="A112" s="275"/>
      <c r="B112" s="273"/>
      <c r="C112" s="274"/>
    </row>
    <row r="113" spans="1:3" s="265" customFormat="1">
      <c r="A113" s="275"/>
      <c r="B113" s="273"/>
      <c r="C113" s="274"/>
    </row>
    <row r="114" spans="1:3" s="265" customFormat="1">
      <c r="A114" s="275"/>
      <c r="B114" s="273"/>
      <c r="C114" s="274"/>
    </row>
    <row r="115" spans="1:3" s="265" customFormat="1">
      <c r="A115" s="275"/>
      <c r="B115" s="273"/>
      <c r="C115" s="274"/>
    </row>
    <row r="116" spans="1:3" s="265" customFormat="1">
      <c r="A116" s="275"/>
      <c r="B116" s="273"/>
      <c r="C116" s="274"/>
    </row>
    <row r="117" spans="1:3" s="265" customFormat="1">
      <c r="A117" s="275"/>
      <c r="B117" s="273"/>
      <c r="C117" s="274"/>
    </row>
    <row r="118" spans="1:3" s="265" customFormat="1">
      <c r="A118" s="275"/>
      <c r="B118" s="273"/>
      <c r="C118" s="274"/>
    </row>
    <row r="119" spans="1:3" s="265" customFormat="1">
      <c r="A119" s="275"/>
      <c r="B119" s="273"/>
      <c r="C119" s="274"/>
    </row>
    <row r="120" spans="1:3" s="265" customFormat="1">
      <c r="A120" s="275"/>
      <c r="B120" s="273"/>
      <c r="C120" s="274"/>
    </row>
    <row r="121" spans="1:3" s="265" customFormat="1">
      <c r="A121" s="275"/>
      <c r="B121" s="273"/>
      <c r="C121" s="274"/>
    </row>
    <row r="122" spans="1:3" s="265" customFormat="1">
      <c r="A122" s="275"/>
      <c r="B122" s="276"/>
      <c r="C122" s="274"/>
    </row>
    <row r="123" spans="1:3" s="273" customFormat="1">
      <c r="A123" s="275"/>
      <c r="C123" s="274"/>
    </row>
    <row r="124" spans="1:3" s="265" customFormat="1">
      <c r="A124" s="272"/>
      <c r="B124" s="273"/>
      <c r="C124" s="274"/>
    </row>
    <row r="125" spans="1:3" s="265" customFormat="1">
      <c r="A125" s="275"/>
      <c r="B125" s="273"/>
      <c r="C125" s="274"/>
    </row>
    <row r="126" spans="1:3" s="265" customFormat="1">
      <c r="A126" s="275"/>
      <c r="B126" s="273"/>
      <c r="C126" s="274"/>
    </row>
    <row r="127" spans="1:3" s="265" customFormat="1">
      <c r="A127" s="275"/>
      <c r="B127" s="273"/>
      <c r="C127" s="274"/>
    </row>
    <row r="128" spans="1:3" s="265" customFormat="1">
      <c r="A128" s="275"/>
      <c r="B128" s="273"/>
      <c r="C128" s="274"/>
    </row>
    <row r="129" spans="1:3" s="273" customFormat="1">
      <c r="A129" s="272"/>
      <c r="C129" s="274"/>
    </row>
    <row r="130" spans="1:3" s="265" customFormat="1">
      <c r="A130" s="275"/>
      <c r="B130" s="273"/>
      <c r="C130" s="274"/>
    </row>
    <row r="131" spans="1:3" s="265" customFormat="1">
      <c r="A131" s="272"/>
      <c r="B131" s="273"/>
      <c r="C131" s="274"/>
    </row>
    <row r="132" spans="1:3" s="273" customFormat="1">
      <c r="A132" s="272"/>
      <c r="C132" s="274"/>
    </row>
    <row r="133" spans="1:3" s="265" customFormat="1">
      <c r="A133" s="272"/>
      <c r="B133" s="273"/>
      <c r="C133" s="274"/>
    </row>
    <row r="134" spans="1:3" s="273" customFormat="1">
      <c r="A134" s="272"/>
      <c r="C134" s="274"/>
    </row>
    <row r="135" spans="1:3" s="273" customFormat="1">
      <c r="A135" s="272"/>
      <c r="C135" s="274"/>
    </row>
  </sheetData>
  <mergeCells count="3">
    <mergeCell ref="E5:F5"/>
    <mergeCell ref="E6:F6"/>
    <mergeCell ref="E7:F7"/>
  </mergeCells>
  <dataValidations count="2">
    <dataValidation type="list" allowBlank="1" showInputMessage="1" showErrorMessage="1" sqref="M15" xr:uid="{00000000-0002-0000-2500-000000000000}">
      <formula1>$AD$10:$AD$12</formula1>
    </dataValidation>
    <dataValidation type="list" allowBlank="1" showInputMessage="1" showErrorMessage="1" sqref="O15" xr:uid="{00000000-0002-0000-2500-000001000000}">
      <formula1>$AC$11:$AC$12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2000000}">
          <x14:formula1>
            <xm:f>'10.1_PA_OB&amp;S - CGR'!#REF!</xm:f>
          </x14:formula1>
          <xm:sqref>N15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2:IG254"/>
  <sheetViews>
    <sheetView showGridLines="0" zoomScale="80" zoomScaleNormal="80" workbookViewId="0">
      <selection activeCell="A10" sqref="A10:Z10"/>
    </sheetView>
  </sheetViews>
  <sheetFormatPr baseColWidth="10" defaultColWidth="11.5" defaultRowHeight="15" outlineLevelRow="1"/>
  <cols>
    <col min="1" max="1" width="7.5" style="273" bestFit="1" customWidth="1"/>
    <col min="2" max="2" width="44.1640625" style="273" customWidth="1"/>
    <col min="3" max="3" width="12.5" style="273" customWidth="1"/>
    <col min="4" max="4" width="19.5" style="273" customWidth="1"/>
    <col min="5" max="5" width="15.5" style="273" customWidth="1"/>
    <col min="6" max="6" width="12.5" style="273" customWidth="1"/>
    <col min="7" max="7" width="15" style="273" customWidth="1"/>
    <col min="8" max="8" width="12.5" style="273" customWidth="1"/>
    <col min="9" max="10" width="13.5" style="273" customWidth="1"/>
    <col min="11" max="11" width="15.5" style="273" customWidth="1"/>
    <col min="12" max="12" width="13.83203125" style="273" customWidth="1"/>
    <col min="13" max="14" width="14.5" style="273" customWidth="1"/>
    <col min="15" max="15" width="16.5" style="273" customWidth="1"/>
    <col min="16" max="16" width="18.5" style="273" customWidth="1"/>
    <col min="17" max="17" width="15.5" style="273" customWidth="1"/>
    <col min="18" max="18" width="13.5" style="273" customWidth="1"/>
    <col min="19" max="20" width="20.5" style="273" customWidth="1"/>
    <col min="21" max="21" width="21" style="273" customWidth="1"/>
    <col min="22" max="22" width="21.1640625" style="273" customWidth="1"/>
    <col min="23" max="23" width="14.5" style="273" customWidth="1"/>
    <col min="24" max="24" width="11.5" style="273"/>
    <col min="25" max="25" width="16.1640625" style="273" customWidth="1"/>
    <col min="26" max="26" width="15.1640625" style="273" customWidth="1"/>
    <col min="27" max="27" width="18.5" style="273" customWidth="1"/>
    <col min="28" max="28" width="26.1640625" style="273" customWidth="1"/>
    <col min="29" max="30" width="19.5" style="273" customWidth="1"/>
    <col min="31" max="16384" width="11.5" style="273"/>
  </cols>
  <sheetData>
    <row r="2" spans="1:241" s="315" customFormat="1" ht="34">
      <c r="A2" s="4184" t="s">
        <v>2660</v>
      </c>
      <c r="B2" s="4184"/>
      <c r="C2" s="4184"/>
      <c r="D2" s="4184"/>
      <c r="E2" s="4184"/>
      <c r="F2" s="4184"/>
      <c r="G2" s="4184"/>
      <c r="H2" s="4184"/>
      <c r="I2" s="4184"/>
      <c r="J2" s="4184"/>
      <c r="K2" s="4184"/>
      <c r="L2" s="4184"/>
      <c r="M2" s="4184"/>
      <c r="N2" s="4184"/>
      <c r="O2" s="4184"/>
      <c r="P2" s="4184"/>
      <c r="Q2" s="4184"/>
      <c r="R2" s="4184"/>
      <c r="S2" s="4184"/>
      <c r="T2" s="4184"/>
      <c r="U2" s="4184"/>
      <c r="V2" s="4184"/>
      <c r="W2" s="4184"/>
      <c r="X2" s="4184"/>
      <c r="Y2" s="4184"/>
      <c r="Z2" s="4184"/>
      <c r="AA2" s="4184"/>
      <c r="AB2" s="4184"/>
      <c r="AC2" s="314"/>
      <c r="AD2" s="314" t="s">
        <v>2725</v>
      </c>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73"/>
      <c r="CB2" s="273"/>
      <c r="CC2" s="273"/>
      <c r="CD2" s="273"/>
      <c r="CE2" s="273"/>
      <c r="CF2" s="273"/>
      <c r="CG2" s="273"/>
      <c r="CH2" s="273"/>
      <c r="CI2" s="273"/>
      <c r="CJ2" s="273"/>
      <c r="CK2" s="273"/>
      <c r="CL2" s="273"/>
      <c r="CM2" s="273"/>
      <c r="CN2" s="273"/>
      <c r="CO2" s="273"/>
      <c r="CP2" s="273"/>
      <c r="CQ2" s="273"/>
      <c r="CR2" s="273"/>
      <c r="CS2" s="273"/>
      <c r="CT2" s="273"/>
      <c r="CU2" s="273"/>
      <c r="CV2" s="273"/>
      <c r="CW2" s="273"/>
      <c r="CX2" s="273"/>
      <c r="CY2" s="273"/>
      <c r="CZ2" s="273"/>
      <c r="DA2" s="273"/>
      <c r="DB2" s="273"/>
      <c r="DC2" s="273"/>
      <c r="DD2" s="273"/>
      <c r="DE2" s="273"/>
      <c r="DF2" s="273"/>
      <c r="DG2" s="273"/>
      <c r="DH2" s="273"/>
      <c r="DI2" s="273"/>
      <c r="DJ2" s="273"/>
      <c r="DK2" s="273"/>
      <c r="DL2" s="273"/>
      <c r="DM2" s="273"/>
      <c r="DN2" s="273"/>
      <c r="DO2" s="273"/>
      <c r="DP2" s="273"/>
      <c r="DQ2" s="273"/>
      <c r="DR2" s="273"/>
      <c r="DS2" s="273"/>
      <c r="DT2" s="273"/>
      <c r="DU2" s="273"/>
      <c r="DV2" s="273"/>
      <c r="DW2" s="273"/>
      <c r="DX2" s="273"/>
      <c r="DY2" s="273"/>
      <c r="DZ2" s="273"/>
      <c r="EA2" s="273"/>
      <c r="EB2" s="273"/>
      <c r="EC2" s="273"/>
      <c r="ED2" s="273"/>
      <c r="EE2" s="273"/>
      <c r="EF2" s="273"/>
      <c r="EG2" s="273"/>
      <c r="EH2" s="273"/>
      <c r="EI2" s="273"/>
      <c r="EJ2" s="273"/>
      <c r="EK2" s="273"/>
      <c r="EL2" s="273"/>
      <c r="EM2" s="273"/>
      <c r="EN2" s="273"/>
      <c r="EO2" s="273"/>
      <c r="EP2" s="273"/>
      <c r="EQ2" s="273"/>
      <c r="ER2" s="273"/>
      <c r="ES2" s="273"/>
      <c r="ET2" s="273"/>
      <c r="EU2" s="273"/>
      <c r="EV2" s="273"/>
      <c r="EW2" s="273"/>
      <c r="EX2" s="273"/>
      <c r="EY2" s="273"/>
      <c r="EZ2" s="273"/>
      <c r="FA2" s="273"/>
      <c r="FB2" s="273"/>
      <c r="FC2" s="273"/>
      <c r="FD2" s="273"/>
      <c r="FE2" s="273"/>
      <c r="FF2" s="273"/>
      <c r="FG2" s="273"/>
      <c r="FH2" s="273"/>
      <c r="FI2" s="273"/>
      <c r="FJ2" s="273"/>
      <c r="FK2" s="273"/>
      <c r="FL2" s="273"/>
      <c r="FM2" s="273"/>
      <c r="FN2" s="273"/>
      <c r="FO2" s="273"/>
      <c r="FP2" s="273"/>
      <c r="FQ2" s="273"/>
      <c r="FR2" s="273"/>
      <c r="FS2" s="273"/>
      <c r="FT2" s="273"/>
      <c r="FU2" s="273"/>
      <c r="FV2" s="273"/>
      <c r="FW2" s="273"/>
      <c r="FX2" s="273"/>
      <c r="FY2" s="273"/>
      <c r="FZ2" s="273"/>
      <c r="GA2" s="273"/>
      <c r="GB2" s="273"/>
      <c r="GC2" s="273"/>
      <c r="GD2" s="273"/>
      <c r="GE2" s="273"/>
      <c r="GF2" s="273"/>
      <c r="GG2" s="273"/>
      <c r="GH2" s="273"/>
      <c r="GI2" s="273"/>
      <c r="GJ2" s="273"/>
      <c r="GK2" s="273"/>
      <c r="GL2" s="273"/>
      <c r="GM2" s="273"/>
      <c r="GN2" s="273"/>
      <c r="GO2" s="273"/>
      <c r="GP2" s="273"/>
      <c r="GQ2" s="273"/>
      <c r="GR2" s="273"/>
      <c r="GS2" s="273"/>
      <c r="GT2" s="273"/>
      <c r="GU2" s="273"/>
      <c r="GV2" s="273"/>
      <c r="GW2" s="273"/>
      <c r="GX2" s="273"/>
      <c r="GY2" s="273"/>
      <c r="GZ2" s="273"/>
      <c r="HA2" s="273"/>
      <c r="HB2" s="273"/>
      <c r="HC2" s="273"/>
      <c r="HD2" s="273"/>
      <c r="HE2" s="273"/>
      <c r="HF2" s="273"/>
      <c r="HG2" s="273"/>
      <c r="HH2" s="273"/>
      <c r="HI2" s="273"/>
      <c r="HJ2" s="273"/>
      <c r="HK2" s="273"/>
      <c r="HL2" s="273"/>
      <c r="HM2" s="273"/>
      <c r="HN2" s="273"/>
      <c r="HO2" s="273"/>
      <c r="HP2" s="273"/>
      <c r="HQ2" s="273"/>
      <c r="HR2" s="273"/>
      <c r="HS2" s="273"/>
      <c r="HT2" s="273"/>
      <c r="HU2" s="273"/>
      <c r="HV2" s="273"/>
      <c r="HW2" s="273"/>
      <c r="HX2" s="273"/>
      <c r="HY2" s="273"/>
      <c r="HZ2" s="273"/>
      <c r="IA2" s="273"/>
      <c r="IB2" s="273"/>
      <c r="IC2" s="273"/>
      <c r="ID2" s="273"/>
      <c r="IE2" s="273"/>
      <c r="IF2" s="273"/>
      <c r="IG2" s="273"/>
    </row>
    <row r="3" spans="1:241" s="265" customFormat="1">
      <c r="AC3" s="316"/>
      <c r="AD3" s="316"/>
    </row>
    <row r="4" spans="1:241" ht="31.25" customHeight="1">
      <c r="A4" s="4185" t="s">
        <v>2661</v>
      </c>
      <c r="B4" s="4185"/>
      <c r="C4" s="4185"/>
      <c r="D4" s="4185"/>
      <c r="E4" s="4185"/>
      <c r="F4" s="4185"/>
      <c r="G4" s="4185"/>
      <c r="H4" s="4185"/>
      <c r="I4" s="4185"/>
      <c r="J4" s="4185"/>
      <c r="K4" s="4185"/>
      <c r="L4" s="4185"/>
      <c r="M4" s="4185"/>
      <c r="N4" s="4185"/>
      <c r="O4" s="4185"/>
      <c r="P4" s="4185"/>
      <c r="Q4" s="4185"/>
      <c r="R4" s="4185"/>
      <c r="S4" s="4185"/>
      <c r="T4" s="4185"/>
      <c r="U4" s="4185"/>
      <c r="V4" s="4185"/>
      <c r="W4" s="4185"/>
      <c r="X4" s="4185"/>
      <c r="Y4" s="4185"/>
      <c r="Z4" s="4185"/>
      <c r="AA4" s="4185"/>
      <c r="AB4" s="4185"/>
      <c r="AC4" s="314"/>
      <c r="AD4" s="314"/>
    </row>
    <row r="5" spans="1:241" ht="23.5" customHeight="1">
      <c r="A5" s="4186" t="s">
        <v>2662</v>
      </c>
      <c r="B5" s="4186"/>
      <c r="C5" s="4186"/>
      <c r="D5" s="4186" t="s">
        <v>2663</v>
      </c>
      <c r="E5" s="4186"/>
      <c r="F5" s="4186"/>
      <c r="G5" s="4186"/>
      <c r="H5" s="4186"/>
      <c r="I5" s="4187" t="s">
        <v>1686</v>
      </c>
      <c r="J5" s="4187" t="s">
        <v>610</v>
      </c>
      <c r="K5" s="4186" t="s">
        <v>2664</v>
      </c>
      <c r="L5" s="4186"/>
      <c r="M5" s="4186"/>
      <c r="N5" s="4186"/>
      <c r="O5" s="4186"/>
      <c r="P5" s="4186"/>
      <c r="Q5" s="4186"/>
      <c r="R5" s="4186"/>
      <c r="S5" s="4186"/>
      <c r="T5" s="4186"/>
      <c r="U5" s="4186" t="s">
        <v>2665</v>
      </c>
      <c r="V5" s="4186"/>
      <c r="W5" s="4186"/>
      <c r="X5" s="4186"/>
      <c r="Y5" s="4186"/>
      <c r="Z5" s="4186"/>
      <c r="AA5" s="4186"/>
      <c r="AB5" s="4186"/>
      <c r="AC5" s="314"/>
      <c r="AD5" s="314"/>
    </row>
    <row r="6" spans="1:241" ht="31.25" customHeight="1">
      <c r="A6" s="410" t="s">
        <v>2666</v>
      </c>
      <c r="B6" s="309" t="s">
        <v>2667</v>
      </c>
      <c r="C6" s="309" t="s">
        <v>2668</v>
      </c>
      <c r="D6" s="309" t="s">
        <v>2669</v>
      </c>
      <c r="E6" s="309" t="s">
        <v>2670</v>
      </c>
      <c r="F6" s="309" t="s">
        <v>2671</v>
      </c>
      <c r="G6" s="309" t="s">
        <v>2672</v>
      </c>
      <c r="H6" s="309" t="s">
        <v>2673</v>
      </c>
      <c r="I6" s="4187"/>
      <c r="J6" s="4187"/>
      <c r="K6" s="4183" t="s">
        <v>2674</v>
      </c>
      <c r="L6" s="4183"/>
      <c r="M6" s="4183" t="s">
        <v>2675</v>
      </c>
      <c r="N6" s="4183"/>
      <c r="O6" s="4183" t="s">
        <v>2676</v>
      </c>
      <c r="P6" s="4183"/>
      <c r="Q6" s="4183" t="s">
        <v>2677</v>
      </c>
      <c r="R6" s="4183"/>
      <c r="S6" s="4183" t="s">
        <v>2678</v>
      </c>
      <c r="T6" s="4183"/>
      <c r="U6" s="309" t="s">
        <v>2679</v>
      </c>
      <c r="V6" s="309" t="s">
        <v>2680</v>
      </c>
      <c r="W6" s="309" t="s">
        <v>2695</v>
      </c>
      <c r="X6" s="309" t="s">
        <v>2696</v>
      </c>
      <c r="Y6" s="309" t="s">
        <v>2697</v>
      </c>
      <c r="Z6" s="309" t="s">
        <v>2698</v>
      </c>
      <c r="AA6" s="309" t="s">
        <v>2699</v>
      </c>
      <c r="AB6" s="309" t="s">
        <v>2700</v>
      </c>
      <c r="AC6" s="314"/>
      <c r="AD6" s="314"/>
    </row>
    <row r="7" spans="1:241" ht="48">
      <c r="A7" s="287">
        <v>1</v>
      </c>
      <c r="B7" s="284" t="s">
        <v>2822</v>
      </c>
      <c r="C7" s="310" t="s">
        <v>2823</v>
      </c>
      <c r="D7" s="298">
        <f>+J7</f>
        <v>300000</v>
      </c>
      <c r="E7" s="298"/>
      <c r="F7" s="312">
        <v>1</v>
      </c>
      <c r="G7" s="312">
        <v>0</v>
      </c>
      <c r="H7" s="312">
        <v>0</v>
      </c>
      <c r="I7" s="310" t="str">
        <f>'8_MP'!$D$364</f>
        <v>2.3.1.2.6</v>
      </c>
      <c r="J7" s="281">
        <f>'8_MP'!$AN$364</f>
        <v>300000</v>
      </c>
      <c r="K7" s="2127">
        <v>45397</v>
      </c>
      <c r="L7" s="286" t="s">
        <v>2682</v>
      </c>
      <c r="M7" s="2127">
        <v>45439</v>
      </c>
      <c r="N7" s="286" t="s">
        <v>2682</v>
      </c>
      <c r="O7" s="2127">
        <v>45513</v>
      </c>
      <c r="P7" s="286" t="s">
        <v>2682</v>
      </c>
      <c r="Q7" s="2127">
        <v>45537</v>
      </c>
      <c r="R7" s="286" t="s">
        <v>2682</v>
      </c>
      <c r="S7" s="2127">
        <v>45552</v>
      </c>
      <c r="T7" s="286" t="s">
        <v>2682</v>
      </c>
      <c r="U7" s="287" t="s">
        <v>1340</v>
      </c>
      <c r="V7" s="287" t="s">
        <v>774</v>
      </c>
      <c r="W7" s="287" t="s">
        <v>2265</v>
      </c>
      <c r="X7" s="301"/>
      <c r="Y7" s="301"/>
      <c r="Z7" s="287"/>
      <c r="AA7" s="301"/>
      <c r="AB7" s="301"/>
      <c r="AC7" s="314"/>
      <c r="AD7" s="314"/>
    </row>
    <row r="8" spans="1:241">
      <c r="A8" s="4188" t="s">
        <v>2683</v>
      </c>
      <c r="B8" s="4188"/>
      <c r="C8" s="4188"/>
      <c r="D8" s="412">
        <f>SUM(D7:D7)</f>
        <v>300000</v>
      </c>
      <c r="E8" s="412">
        <f>SUM(E7:E7)</f>
        <v>0</v>
      </c>
      <c r="F8" s="4189"/>
      <c r="G8" s="4189"/>
      <c r="H8" s="4189"/>
      <c r="I8" s="4189"/>
      <c r="J8" s="4189"/>
      <c r="K8" s="4189"/>
      <c r="L8" s="4189"/>
      <c r="M8" s="4189"/>
      <c r="N8" s="4189"/>
      <c r="O8" s="4189"/>
      <c r="P8" s="4189"/>
      <c r="Q8" s="4189"/>
      <c r="R8" s="4189"/>
      <c r="S8" s="4189"/>
      <c r="T8" s="4189"/>
      <c r="U8" s="4189"/>
      <c r="V8" s="4189"/>
      <c r="W8" s="4189"/>
      <c r="X8" s="4189"/>
      <c r="Y8" s="4189"/>
      <c r="Z8" s="4189"/>
      <c r="AA8" s="4189"/>
      <c r="AB8" s="4189"/>
      <c r="AC8" s="314"/>
      <c r="AD8" s="314"/>
    </row>
    <row r="9" spans="1:241" s="265" customFormat="1">
      <c r="AC9" s="316"/>
      <c r="AD9" s="316"/>
    </row>
    <row r="10" spans="1:241" ht="31.25" customHeight="1">
      <c r="A10" s="4185" t="s">
        <v>2684</v>
      </c>
      <c r="B10" s="4185"/>
      <c r="C10" s="4185"/>
      <c r="D10" s="4185"/>
      <c r="E10" s="4185"/>
      <c r="F10" s="4185"/>
      <c r="G10" s="4185"/>
      <c r="H10" s="4185"/>
      <c r="I10" s="4185"/>
      <c r="J10" s="4185"/>
      <c r="K10" s="4185"/>
      <c r="L10" s="4185"/>
      <c r="M10" s="4185"/>
      <c r="N10" s="4185"/>
      <c r="O10" s="4185"/>
      <c r="P10" s="4185"/>
      <c r="Q10" s="4185"/>
      <c r="R10" s="4185"/>
      <c r="S10" s="4185"/>
      <c r="T10" s="4185"/>
      <c r="U10" s="4185"/>
      <c r="V10" s="4185"/>
      <c r="W10" s="4185"/>
      <c r="X10" s="4185"/>
      <c r="Y10" s="4185"/>
      <c r="Z10" s="4185"/>
      <c r="AA10" s="4185"/>
      <c r="AB10" s="4185"/>
      <c r="AC10" s="4185"/>
      <c r="AD10" s="4185"/>
      <c r="AE10" s="4185"/>
      <c r="AF10" s="4185"/>
      <c r="AG10" s="4185"/>
      <c r="AH10" s="4185"/>
    </row>
    <row r="11" spans="1:241" ht="23.5" hidden="1" customHeight="1" outlineLevel="1">
      <c r="A11" s="4186" t="s">
        <v>2662</v>
      </c>
      <c r="B11" s="4186"/>
      <c r="C11" s="4186"/>
      <c r="D11" s="4186" t="s">
        <v>2663</v>
      </c>
      <c r="E11" s="4186"/>
      <c r="F11" s="4186"/>
      <c r="G11" s="4186"/>
      <c r="H11" s="4186"/>
      <c r="I11" s="4187" t="s">
        <v>1686</v>
      </c>
      <c r="J11" s="4187" t="s">
        <v>610</v>
      </c>
      <c r="K11" s="4186" t="s">
        <v>2664</v>
      </c>
      <c r="L11" s="4186"/>
      <c r="M11" s="4186"/>
      <c r="N11" s="4186"/>
      <c r="O11" s="4186"/>
      <c r="P11" s="4186"/>
      <c r="Q11" s="4186"/>
      <c r="R11" s="4186"/>
      <c r="S11" s="4186"/>
      <c r="T11" s="4186"/>
      <c r="U11" s="4186"/>
      <c r="V11" s="4186"/>
      <c r="W11" s="4186"/>
      <c r="X11" s="4186"/>
      <c r="Y11" s="4186"/>
      <c r="Z11" s="4186"/>
      <c r="AA11" s="4186" t="s">
        <v>2665</v>
      </c>
      <c r="AB11" s="4186"/>
      <c r="AC11" s="4186"/>
      <c r="AD11" s="4186"/>
      <c r="AE11" s="4186"/>
      <c r="AF11" s="4186"/>
      <c r="AG11" s="4186"/>
      <c r="AH11" s="4186"/>
    </row>
    <row r="12" spans="1:241" ht="102" hidden="1" outlineLevel="1">
      <c r="A12" s="410" t="s">
        <v>2666</v>
      </c>
      <c r="B12" s="309" t="s">
        <v>2667</v>
      </c>
      <c r="C12" s="309" t="s">
        <v>2668</v>
      </c>
      <c r="D12" s="309" t="s">
        <v>2669</v>
      </c>
      <c r="E12" s="309" t="s">
        <v>2670</v>
      </c>
      <c r="F12" s="309" t="s">
        <v>2671</v>
      </c>
      <c r="G12" s="309" t="s">
        <v>2672</v>
      </c>
      <c r="H12" s="309" t="s">
        <v>2673</v>
      </c>
      <c r="I12" s="4187"/>
      <c r="J12" s="4187"/>
      <c r="K12" s="411" t="s">
        <v>2685</v>
      </c>
      <c r="L12" s="411" t="s">
        <v>2685</v>
      </c>
      <c r="M12" s="411" t="s">
        <v>2686</v>
      </c>
      <c r="N12" s="411" t="s">
        <v>2687</v>
      </c>
      <c r="O12" s="411" t="s">
        <v>2688</v>
      </c>
      <c r="P12" s="411" t="s">
        <v>2688</v>
      </c>
      <c r="Q12" s="411" t="s">
        <v>2689</v>
      </c>
      <c r="R12" s="411" t="s">
        <v>2689</v>
      </c>
      <c r="S12" s="411" t="s">
        <v>2690</v>
      </c>
      <c r="T12" s="411" t="s">
        <v>2690</v>
      </c>
      <c r="U12" s="411" t="s">
        <v>2676</v>
      </c>
      <c r="V12" s="411" t="s">
        <v>2676</v>
      </c>
      <c r="W12" s="411" t="s">
        <v>2677</v>
      </c>
      <c r="X12" s="411" t="s">
        <v>2677</v>
      </c>
      <c r="Y12" s="411" t="s">
        <v>2678</v>
      </c>
      <c r="Z12" s="411" t="s">
        <v>2678</v>
      </c>
      <c r="AA12" s="309" t="s">
        <v>2679</v>
      </c>
      <c r="AB12" s="309" t="s">
        <v>2680</v>
      </c>
      <c r="AC12" s="309" t="s">
        <v>2695</v>
      </c>
      <c r="AD12" s="309" t="s">
        <v>2696</v>
      </c>
      <c r="AE12" s="309" t="s">
        <v>2697</v>
      </c>
      <c r="AF12" s="309" t="s">
        <v>2698</v>
      </c>
      <c r="AG12" s="309" t="s">
        <v>2699</v>
      </c>
      <c r="AH12" s="309" t="s">
        <v>2700</v>
      </c>
    </row>
    <row r="13" spans="1:241" ht="16" hidden="1" outlineLevel="1">
      <c r="A13" s="301"/>
      <c r="B13" s="301"/>
      <c r="C13" s="301"/>
      <c r="D13" s="301"/>
      <c r="E13" s="301"/>
      <c r="F13" s="301"/>
      <c r="G13" s="301"/>
      <c r="H13" s="301"/>
      <c r="I13" s="301"/>
      <c r="J13" s="301"/>
      <c r="K13" s="286" t="s">
        <v>2691</v>
      </c>
      <c r="L13" s="286" t="s">
        <v>2682</v>
      </c>
      <c r="M13" s="286" t="s">
        <v>2691</v>
      </c>
      <c r="N13" s="286" t="s">
        <v>2682</v>
      </c>
      <c r="O13" s="286" t="s">
        <v>2691</v>
      </c>
      <c r="P13" s="286" t="s">
        <v>2682</v>
      </c>
      <c r="Q13" s="286" t="s">
        <v>2691</v>
      </c>
      <c r="R13" s="286" t="s">
        <v>2682</v>
      </c>
      <c r="S13" s="286" t="s">
        <v>2691</v>
      </c>
      <c r="T13" s="286" t="s">
        <v>2682</v>
      </c>
      <c r="U13" s="286" t="s">
        <v>2691</v>
      </c>
      <c r="V13" s="286" t="s">
        <v>2682</v>
      </c>
      <c r="W13" s="286" t="s">
        <v>2691</v>
      </c>
      <c r="X13" s="286" t="s">
        <v>2682</v>
      </c>
      <c r="Y13" s="286" t="s">
        <v>2691</v>
      </c>
      <c r="Z13" s="286" t="s">
        <v>2682</v>
      </c>
      <c r="AA13" s="301"/>
      <c r="AB13" s="301"/>
      <c r="AC13" s="301"/>
      <c r="AD13" s="301"/>
      <c r="AE13" s="301"/>
      <c r="AF13" s="301"/>
      <c r="AG13" s="301"/>
      <c r="AH13" s="301"/>
    </row>
    <row r="14" spans="1:241" s="265" customFormat="1" collapsed="1"/>
    <row r="15" spans="1:241" ht="31.25" customHeight="1">
      <c r="A15" s="4185" t="s">
        <v>2692</v>
      </c>
      <c r="B15" s="4185"/>
      <c r="C15" s="4185"/>
      <c r="D15" s="4185"/>
      <c r="E15" s="4185"/>
      <c r="F15" s="4185"/>
      <c r="G15" s="4185"/>
      <c r="H15" s="4185"/>
      <c r="I15" s="4185"/>
      <c r="J15" s="4185"/>
      <c r="K15" s="4185"/>
      <c r="L15" s="4185"/>
      <c r="M15" s="4185"/>
      <c r="N15" s="4185"/>
      <c r="O15" s="4185"/>
      <c r="P15" s="4185"/>
      <c r="Q15" s="4185"/>
      <c r="R15" s="4185"/>
      <c r="S15" s="4185"/>
      <c r="T15" s="4185"/>
      <c r="U15" s="4185"/>
      <c r="V15" s="4185"/>
    </row>
    <row r="16" spans="1:241" ht="23.5" hidden="1" customHeight="1" outlineLevel="1">
      <c r="A16" s="4186" t="s">
        <v>2662</v>
      </c>
      <c r="B16" s="4186"/>
      <c r="C16" s="4186"/>
      <c r="D16" s="4186" t="s">
        <v>2663</v>
      </c>
      <c r="E16" s="4186"/>
      <c r="F16" s="4186"/>
      <c r="G16" s="4186"/>
      <c r="H16" s="4186"/>
      <c r="I16" s="4187" t="s">
        <v>1686</v>
      </c>
      <c r="J16" s="4187" t="s">
        <v>610</v>
      </c>
      <c r="K16" s="4186" t="s">
        <v>2664</v>
      </c>
      <c r="L16" s="4186"/>
      <c r="M16" s="4186"/>
      <c r="N16" s="4186"/>
      <c r="O16" s="4186" t="s">
        <v>2665</v>
      </c>
      <c r="P16" s="4186"/>
      <c r="Q16" s="4186"/>
      <c r="R16" s="4186"/>
      <c r="S16" s="4186"/>
      <c r="T16" s="4186"/>
      <c r="U16" s="4186"/>
      <c r="V16" s="4186"/>
    </row>
    <row r="17" spans="1:38" ht="47" hidden="1" customHeight="1" outlineLevel="1">
      <c r="A17" s="410" t="s">
        <v>2666</v>
      </c>
      <c r="B17" s="309" t="s">
        <v>2667</v>
      </c>
      <c r="C17" s="309" t="s">
        <v>2668</v>
      </c>
      <c r="D17" s="309" t="s">
        <v>2669</v>
      </c>
      <c r="E17" s="309" t="s">
        <v>2670</v>
      </c>
      <c r="F17" s="309" t="s">
        <v>2671</v>
      </c>
      <c r="G17" s="309" t="s">
        <v>2672</v>
      </c>
      <c r="H17" s="309" t="s">
        <v>2673</v>
      </c>
      <c r="I17" s="4187"/>
      <c r="J17" s="4187"/>
      <c r="K17" s="4183" t="s">
        <v>2693</v>
      </c>
      <c r="L17" s="4183"/>
      <c r="M17" s="4183" t="s">
        <v>2694</v>
      </c>
      <c r="N17" s="4183"/>
      <c r="O17" s="309" t="s">
        <v>2679</v>
      </c>
      <c r="P17" s="309" t="s">
        <v>2680</v>
      </c>
      <c r="Q17" s="309" t="s">
        <v>2695</v>
      </c>
      <c r="R17" s="309" t="s">
        <v>2696</v>
      </c>
      <c r="S17" s="309" t="s">
        <v>2697</v>
      </c>
      <c r="T17" s="309" t="s">
        <v>2698</v>
      </c>
      <c r="U17" s="309" t="s">
        <v>2699</v>
      </c>
      <c r="V17" s="309" t="s">
        <v>2700</v>
      </c>
    </row>
    <row r="18" spans="1:38" ht="16" hidden="1" outlineLevel="1">
      <c r="A18" s="287"/>
      <c r="B18" s="284"/>
      <c r="C18" s="310"/>
      <c r="D18" s="311"/>
      <c r="E18" s="287"/>
      <c r="F18" s="312"/>
      <c r="G18" s="312"/>
      <c r="H18" s="312"/>
      <c r="I18" s="310"/>
      <c r="J18" s="313"/>
      <c r="K18" s="286" t="s">
        <v>2691</v>
      </c>
      <c r="L18" s="286" t="s">
        <v>2682</v>
      </c>
      <c r="M18" s="286" t="s">
        <v>2691</v>
      </c>
      <c r="N18" s="286" t="s">
        <v>2682</v>
      </c>
      <c r="O18" s="287"/>
      <c r="P18" s="287"/>
      <c r="Q18" s="287"/>
      <c r="R18" s="287"/>
      <c r="S18" s="287"/>
      <c r="T18" s="287"/>
      <c r="U18" s="287"/>
      <c r="V18" s="287"/>
      <c r="W18" s="314"/>
      <c r="X18" s="314"/>
    </row>
    <row r="19" spans="1:38" ht="16" hidden="1" outlineLevel="1">
      <c r="A19" s="287"/>
      <c r="B19" s="284"/>
      <c r="C19" s="310"/>
      <c r="D19" s="305"/>
      <c r="E19" s="287"/>
      <c r="F19" s="312"/>
      <c r="G19" s="312"/>
      <c r="H19" s="312"/>
      <c r="I19" s="310"/>
      <c r="J19" s="281"/>
      <c r="K19" s="286" t="s">
        <v>2691</v>
      </c>
      <c r="L19" s="286" t="s">
        <v>2682</v>
      </c>
      <c r="M19" s="286" t="s">
        <v>2691</v>
      </c>
      <c r="N19" s="286" t="s">
        <v>2682</v>
      </c>
      <c r="O19" s="287"/>
      <c r="P19" s="318"/>
      <c r="Q19" s="287"/>
      <c r="R19" s="287"/>
      <c r="S19" s="287"/>
      <c r="T19" s="287"/>
      <c r="U19" s="287"/>
      <c r="V19" s="287"/>
    </row>
    <row r="20" spans="1:38" ht="16" hidden="1" outlineLevel="1">
      <c r="A20" s="318"/>
      <c r="B20" s="284"/>
      <c r="C20" s="287"/>
      <c r="D20" s="319"/>
      <c r="E20" s="287"/>
      <c r="F20" s="312"/>
      <c r="G20" s="312"/>
      <c r="H20" s="312"/>
      <c r="I20" s="310"/>
      <c r="J20" s="281"/>
      <c r="K20" s="286" t="s">
        <v>2691</v>
      </c>
      <c r="L20" s="286" t="s">
        <v>2682</v>
      </c>
      <c r="M20" s="286" t="s">
        <v>2691</v>
      </c>
      <c r="N20" s="286" t="s">
        <v>2682</v>
      </c>
      <c r="O20" s="287"/>
      <c r="P20" s="287"/>
      <c r="Q20" s="287"/>
      <c r="R20" s="287"/>
      <c r="S20" s="287"/>
      <c r="T20" s="287"/>
      <c r="U20" s="287"/>
      <c r="V20" s="287"/>
    </row>
    <row r="21" spans="1:38" hidden="1" outlineLevel="1">
      <c r="A21" s="4188" t="s">
        <v>2702</v>
      </c>
      <c r="B21" s="4188"/>
      <c r="C21" s="4188"/>
      <c r="D21" s="412">
        <f>SUM(D18:D20)</f>
        <v>0</v>
      </c>
      <c r="E21" s="412">
        <f>SUM(E18:E20)</f>
        <v>0</v>
      </c>
      <c r="F21" s="4190"/>
      <c r="G21" s="4190"/>
      <c r="H21" s="4190"/>
      <c r="I21" s="4190"/>
      <c r="J21" s="4190"/>
      <c r="K21" s="4190"/>
      <c r="L21" s="4190"/>
      <c r="M21" s="4190"/>
      <c r="N21" s="4190"/>
      <c r="O21" s="4190"/>
      <c r="P21" s="4190"/>
      <c r="Q21" s="4190"/>
      <c r="R21" s="4190"/>
      <c r="S21" s="4190"/>
      <c r="T21" s="4190"/>
      <c r="U21" s="4190"/>
      <c r="V21" s="4190"/>
    </row>
    <row r="22" spans="1:38" s="265" customFormat="1" hidden="1" outlineLevel="1"/>
    <row r="23" spans="1:38" s="265" customFormat="1" collapsed="1"/>
    <row r="24" spans="1:38" ht="31">
      <c r="A24" s="4185" t="s">
        <v>2703</v>
      </c>
      <c r="B24" s="4185"/>
      <c r="C24" s="4185"/>
      <c r="D24" s="4185"/>
      <c r="E24" s="4185"/>
      <c r="F24" s="4185"/>
      <c r="G24" s="4185"/>
      <c r="H24" s="4185"/>
      <c r="I24" s="4185"/>
      <c r="J24" s="4185"/>
      <c r="K24" s="4185"/>
      <c r="L24" s="4185"/>
      <c r="M24" s="4185"/>
      <c r="N24" s="4185"/>
      <c r="O24" s="4185"/>
      <c r="P24" s="4185"/>
      <c r="Q24" s="4185"/>
      <c r="R24" s="4185"/>
      <c r="S24" s="4185"/>
      <c r="T24" s="4185"/>
      <c r="U24" s="4185"/>
      <c r="V24" s="4185"/>
      <c r="W24" s="4185"/>
      <c r="X24" s="4185"/>
      <c r="Y24" s="4185"/>
      <c r="Z24" s="4185"/>
      <c r="AA24" s="4185"/>
      <c r="AB24" s="4185"/>
    </row>
    <row r="25" spans="1:38" ht="24" hidden="1" outlineLevel="1">
      <c r="A25" s="4186" t="s">
        <v>2662</v>
      </c>
      <c r="B25" s="4186"/>
      <c r="C25" s="4186"/>
      <c r="D25" s="4186" t="s">
        <v>2663</v>
      </c>
      <c r="E25" s="4186"/>
      <c r="F25" s="4186"/>
      <c r="G25" s="4186"/>
      <c r="H25" s="4186"/>
      <c r="I25" s="4187" t="s">
        <v>1686</v>
      </c>
      <c r="J25" s="4187" t="s">
        <v>610</v>
      </c>
      <c r="K25" s="4186" t="s">
        <v>2664</v>
      </c>
      <c r="L25" s="4186"/>
      <c r="M25" s="4186"/>
      <c r="N25" s="4186"/>
      <c r="O25" s="4186"/>
      <c r="P25" s="4186"/>
      <c r="Q25" s="4186"/>
      <c r="R25" s="4186"/>
      <c r="S25" s="4186"/>
      <c r="T25" s="4186"/>
      <c r="U25" s="4186" t="s">
        <v>2665</v>
      </c>
      <c r="V25" s="4186"/>
      <c r="W25" s="4186"/>
      <c r="X25" s="4186"/>
      <c r="Y25" s="4186"/>
      <c r="Z25" s="4186"/>
      <c r="AA25" s="4186"/>
      <c r="AB25" s="4186"/>
    </row>
    <row r="26" spans="1:38" ht="68" hidden="1" outlineLevel="1">
      <c r="A26" s="410" t="s">
        <v>2666</v>
      </c>
      <c r="B26" s="309" t="s">
        <v>2667</v>
      </c>
      <c r="C26" s="309" t="s">
        <v>2668</v>
      </c>
      <c r="D26" s="309" t="s">
        <v>2669</v>
      </c>
      <c r="E26" s="309" t="s">
        <v>2670</v>
      </c>
      <c r="F26" s="309" t="s">
        <v>2671</v>
      </c>
      <c r="G26" s="309" t="s">
        <v>2672</v>
      </c>
      <c r="H26" s="309" t="s">
        <v>2673</v>
      </c>
      <c r="I26" s="4187"/>
      <c r="J26" s="4187"/>
      <c r="K26" s="4183" t="s">
        <v>2689</v>
      </c>
      <c r="L26" s="4183"/>
      <c r="M26" s="4183" t="s">
        <v>2690</v>
      </c>
      <c r="N26" s="4183"/>
      <c r="O26" s="4183" t="s">
        <v>2676</v>
      </c>
      <c r="P26" s="4183"/>
      <c r="Q26" s="4183" t="s">
        <v>2677</v>
      </c>
      <c r="R26" s="4183"/>
      <c r="S26" s="4183" t="s">
        <v>2678</v>
      </c>
      <c r="T26" s="4183"/>
      <c r="U26" s="309" t="s">
        <v>2679</v>
      </c>
      <c r="V26" s="309" t="s">
        <v>2680</v>
      </c>
      <c r="W26" s="309" t="s">
        <v>2695</v>
      </c>
      <c r="X26" s="309" t="s">
        <v>2696</v>
      </c>
      <c r="Y26" s="309" t="s">
        <v>2697</v>
      </c>
      <c r="Z26" s="309" t="s">
        <v>2698</v>
      </c>
      <c r="AA26" s="309" t="s">
        <v>2699</v>
      </c>
      <c r="AB26" s="309" t="s">
        <v>2700</v>
      </c>
    </row>
    <row r="27" spans="1:38" ht="16" hidden="1" outlineLevel="1">
      <c r="A27" s="301"/>
      <c r="B27" s="301"/>
      <c r="C27" s="301"/>
      <c r="D27" s="301"/>
      <c r="E27" s="301"/>
      <c r="F27" s="301"/>
      <c r="G27" s="301"/>
      <c r="H27" s="301"/>
      <c r="I27" s="301"/>
      <c r="J27" s="301"/>
      <c r="K27" s="286" t="s">
        <v>2691</v>
      </c>
      <c r="L27" s="286" t="s">
        <v>2682</v>
      </c>
      <c r="M27" s="286" t="s">
        <v>2691</v>
      </c>
      <c r="N27" s="286" t="s">
        <v>2682</v>
      </c>
      <c r="O27" s="286" t="s">
        <v>2691</v>
      </c>
      <c r="P27" s="286" t="s">
        <v>2682</v>
      </c>
      <c r="Q27" s="286" t="s">
        <v>2691</v>
      </c>
      <c r="R27" s="286" t="s">
        <v>2682</v>
      </c>
      <c r="S27" s="286" t="s">
        <v>2691</v>
      </c>
      <c r="T27" s="286" t="s">
        <v>2682</v>
      </c>
      <c r="U27" s="301"/>
      <c r="V27" s="301"/>
      <c r="W27" s="301"/>
      <c r="X27" s="301"/>
      <c r="Y27" s="301"/>
      <c r="Z27" s="301"/>
      <c r="AA27" s="301"/>
      <c r="AB27" s="301"/>
    </row>
    <row r="28" spans="1:38" s="265" customFormat="1" collapsed="1"/>
    <row r="29" spans="1:38" ht="31.25" customHeight="1">
      <c r="A29" s="4185" t="s">
        <v>2704</v>
      </c>
      <c r="B29" s="4185"/>
      <c r="C29" s="4185"/>
      <c r="D29" s="4185"/>
      <c r="E29" s="4185"/>
      <c r="F29" s="4185"/>
      <c r="G29" s="4185"/>
      <c r="H29" s="4185"/>
      <c r="I29" s="4185"/>
      <c r="J29" s="4185"/>
      <c r="K29" s="4185"/>
      <c r="L29" s="4185"/>
      <c r="M29" s="4185"/>
      <c r="N29" s="4185"/>
      <c r="O29" s="4185"/>
      <c r="P29" s="4185"/>
      <c r="Q29" s="4185"/>
      <c r="R29" s="4185"/>
      <c r="S29" s="4185"/>
      <c r="T29" s="4185"/>
      <c r="U29" s="4185"/>
      <c r="V29" s="4185"/>
      <c r="W29" s="4185"/>
      <c r="X29" s="4185"/>
      <c r="Y29" s="4185"/>
      <c r="Z29" s="4185"/>
      <c r="AA29" s="4185"/>
      <c r="AB29" s="4185"/>
      <c r="AC29" s="4185"/>
      <c r="AD29" s="4185"/>
      <c r="AE29" s="4185"/>
      <c r="AF29" s="4185"/>
      <c r="AG29" s="4185"/>
      <c r="AH29" s="4185"/>
      <c r="AI29" s="4185"/>
      <c r="AJ29" s="4185"/>
      <c r="AK29" s="4185"/>
      <c r="AL29" s="4185"/>
    </row>
    <row r="30" spans="1:38" ht="23.5" hidden="1" customHeight="1" outlineLevel="1">
      <c r="A30" s="4186" t="s">
        <v>2662</v>
      </c>
      <c r="B30" s="4186"/>
      <c r="C30" s="4186"/>
      <c r="D30" s="4186" t="s">
        <v>2663</v>
      </c>
      <c r="E30" s="4186"/>
      <c r="F30" s="4186"/>
      <c r="G30" s="4186"/>
      <c r="H30" s="4186"/>
      <c r="I30" s="4187" t="s">
        <v>1686</v>
      </c>
      <c r="J30" s="4187" t="s">
        <v>610</v>
      </c>
      <c r="K30" s="4186" t="s">
        <v>2664</v>
      </c>
      <c r="L30" s="4186"/>
      <c r="M30" s="4186"/>
      <c r="N30" s="4186"/>
      <c r="O30" s="4186"/>
      <c r="P30" s="4186"/>
      <c r="Q30" s="4186"/>
      <c r="R30" s="4186"/>
      <c r="S30" s="4186"/>
      <c r="T30" s="4186"/>
      <c r="U30" s="4186"/>
      <c r="V30" s="4186"/>
      <c r="W30" s="4186"/>
      <c r="X30" s="4186"/>
      <c r="Y30" s="4186"/>
      <c r="Z30" s="4186"/>
      <c r="AA30" s="4186"/>
      <c r="AB30" s="4186"/>
      <c r="AC30" s="4186"/>
      <c r="AD30" s="4186"/>
      <c r="AE30" s="4186" t="s">
        <v>2665</v>
      </c>
      <c r="AF30" s="4186"/>
      <c r="AG30" s="4186"/>
      <c r="AH30" s="4186"/>
      <c r="AI30" s="4186"/>
      <c r="AJ30" s="4186"/>
      <c r="AK30" s="4186"/>
      <c r="AL30" s="4186"/>
    </row>
    <row r="31" spans="1:38" ht="47" hidden="1" customHeight="1" outlineLevel="1">
      <c r="A31" s="410" t="s">
        <v>2666</v>
      </c>
      <c r="B31" s="309" t="s">
        <v>2667</v>
      </c>
      <c r="C31" s="309" t="s">
        <v>2668</v>
      </c>
      <c r="D31" s="309" t="s">
        <v>2669</v>
      </c>
      <c r="E31" s="309" t="s">
        <v>2670</v>
      </c>
      <c r="F31" s="309" t="s">
        <v>2671</v>
      </c>
      <c r="G31" s="309" t="s">
        <v>2672</v>
      </c>
      <c r="H31" s="309" t="s">
        <v>2673</v>
      </c>
      <c r="I31" s="4187"/>
      <c r="J31" s="4187"/>
      <c r="K31" s="4183" t="s">
        <v>2685</v>
      </c>
      <c r="L31" s="4183"/>
      <c r="M31" s="4183" t="s">
        <v>2687</v>
      </c>
      <c r="N31" s="4183"/>
      <c r="O31" s="4183" t="s">
        <v>2705</v>
      </c>
      <c r="P31" s="4183"/>
      <c r="Q31" s="4183" t="s">
        <v>2689</v>
      </c>
      <c r="R31" s="4183"/>
      <c r="S31" s="4183" t="s">
        <v>2675</v>
      </c>
      <c r="T31" s="4183"/>
      <c r="U31" s="4183" t="s">
        <v>2676</v>
      </c>
      <c r="V31" s="4183"/>
      <c r="W31" s="4183" t="s">
        <v>2897</v>
      </c>
      <c r="X31" s="4183"/>
      <c r="Y31" s="4183" t="s">
        <v>2707</v>
      </c>
      <c r="Z31" s="4183"/>
      <c r="AA31" s="4183" t="s">
        <v>2677</v>
      </c>
      <c r="AB31" s="4183"/>
      <c r="AC31" s="4183" t="s">
        <v>2678</v>
      </c>
      <c r="AD31" s="4183"/>
      <c r="AE31" s="309" t="s">
        <v>2816</v>
      </c>
      <c r="AF31" s="309" t="s">
        <v>2817</v>
      </c>
      <c r="AG31" s="309" t="s">
        <v>2818</v>
      </c>
      <c r="AH31" s="309" t="s">
        <v>2696</v>
      </c>
      <c r="AI31" s="309" t="s">
        <v>2819</v>
      </c>
      <c r="AJ31" s="309" t="s">
        <v>2820</v>
      </c>
      <c r="AK31" s="309" t="s">
        <v>2699</v>
      </c>
      <c r="AL31" s="309" t="s">
        <v>2821</v>
      </c>
    </row>
    <row r="32" spans="1:38" ht="16" hidden="1" outlineLevel="1">
      <c r="A32" s="301"/>
      <c r="B32" s="301"/>
      <c r="C32" s="301"/>
      <c r="D32" s="301"/>
      <c r="E32" s="301"/>
      <c r="F32" s="301"/>
      <c r="G32" s="301"/>
      <c r="H32" s="301"/>
      <c r="I32" s="301"/>
      <c r="J32" s="301"/>
      <c r="K32" s="286" t="s">
        <v>2691</v>
      </c>
      <c r="L32" s="286" t="s">
        <v>2682</v>
      </c>
      <c r="M32" s="286" t="s">
        <v>2691</v>
      </c>
      <c r="N32" s="286" t="s">
        <v>2682</v>
      </c>
      <c r="O32" s="286" t="s">
        <v>2691</v>
      </c>
      <c r="P32" s="286" t="s">
        <v>2682</v>
      </c>
      <c r="Q32" s="286" t="s">
        <v>2691</v>
      </c>
      <c r="R32" s="286" t="s">
        <v>2682</v>
      </c>
      <c r="S32" s="286" t="s">
        <v>2691</v>
      </c>
      <c r="T32" s="286" t="s">
        <v>2682</v>
      </c>
      <c r="U32" s="286" t="s">
        <v>2691</v>
      </c>
      <c r="V32" s="286" t="s">
        <v>2682</v>
      </c>
      <c r="W32" s="286" t="s">
        <v>2691</v>
      </c>
      <c r="X32" s="286" t="s">
        <v>2682</v>
      </c>
      <c r="Y32" s="286" t="s">
        <v>2691</v>
      </c>
      <c r="Z32" s="286" t="s">
        <v>2682</v>
      </c>
      <c r="AA32" s="286" t="s">
        <v>2691</v>
      </c>
      <c r="AB32" s="286" t="s">
        <v>2682</v>
      </c>
      <c r="AC32" s="286" t="s">
        <v>2691</v>
      </c>
      <c r="AD32" s="286" t="s">
        <v>2682</v>
      </c>
      <c r="AE32" s="301"/>
      <c r="AF32" s="301"/>
      <c r="AG32" s="301"/>
      <c r="AH32" s="301"/>
      <c r="AI32" s="301"/>
      <c r="AJ32" s="301"/>
      <c r="AK32" s="301"/>
      <c r="AL32" s="301"/>
    </row>
    <row r="33" spans="1:32" s="265" customFormat="1" collapsed="1"/>
    <row r="34" spans="1:32" ht="31.25" customHeight="1">
      <c r="A34" s="4185" t="s">
        <v>2706</v>
      </c>
      <c r="B34" s="4185"/>
      <c r="C34" s="4185"/>
      <c r="D34" s="4185"/>
      <c r="E34" s="4185"/>
      <c r="F34" s="4185"/>
      <c r="G34" s="4185"/>
      <c r="H34" s="4185"/>
      <c r="I34" s="4185"/>
      <c r="J34" s="4185"/>
      <c r="K34" s="4185"/>
      <c r="L34" s="4185"/>
      <c r="M34" s="4185"/>
      <c r="N34" s="4185"/>
      <c r="O34" s="4185"/>
      <c r="P34" s="4185"/>
      <c r="Q34" s="4185"/>
      <c r="R34" s="4185"/>
      <c r="S34" s="4185"/>
      <c r="T34" s="4185"/>
      <c r="U34" s="4185"/>
      <c r="V34" s="4185"/>
      <c r="W34" s="4185"/>
      <c r="X34" s="4185"/>
      <c r="Y34" s="4185"/>
      <c r="Z34" s="4185"/>
      <c r="AA34" s="4185"/>
      <c r="AB34" s="4185"/>
      <c r="AC34" s="4185"/>
      <c r="AD34" s="4185"/>
      <c r="AE34" s="4185"/>
      <c r="AF34" s="4185"/>
    </row>
    <row r="35" spans="1:32" ht="23.5" hidden="1" customHeight="1" outlineLevel="1">
      <c r="A35" s="4186" t="s">
        <v>2662</v>
      </c>
      <c r="B35" s="4186"/>
      <c r="C35" s="4186"/>
      <c r="D35" s="4186" t="s">
        <v>2663</v>
      </c>
      <c r="E35" s="4186"/>
      <c r="F35" s="4186"/>
      <c r="G35" s="4186"/>
      <c r="H35" s="4186"/>
      <c r="I35" s="4187" t="s">
        <v>1686</v>
      </c>
      <c r="J35" s="4187" t="s">
        <v>610</v>
      </c>
      <c r="K35" s="4186" t="s">
        <v>2664</v>
      </c>
      <c r="L35" s="4186"/>
      <c r="M35" s="4186"/>
      <c r="N35" s="4186"/>
      <c r="O35" s="4186"/>
      <c r="P35" s="4186"/>
      <c r="Q35" s="4186"/>
      <c r="R35" s="4186"/>
      <c r="S35" s="4186"/>
      <c r="T35" s="4186"/>
      <c r="U35" s="4186"/>
      <c r="V35" s="4186"/>
      <c r="W35" s="4186"/>
      <c r="X35" s="4186"/>
      <c r="Y35" s="4186" t="s">
        <v>2665</v>
      </c>
      <c r="Z35" s="4186"/>
      <c r="AA35" s="4186"/>
      <c r="AB35" s="4186"/>
      <c r="AC35" s="4186"/>
      <c r="AD35" s="4186"/>
      <c r="AE35" s="4186"/>
      <c r="AF35" s="4186"/>
    </row>
    <row r="36" spans="1:32" ht="31.25" hidden="1" customHeight="1" outlineLevel="1">
      <c r="A36" s="410" t="s">
        <v>2666</v>
      </c>
      <c r="B36" s="309" t="s">
        <v>2667</v>
      </c>
      <c r="C36" s="309" t="s">
        <v>2668</v>
      </c>
      <c r="D36" s="309" t="s">
        <v>2669</v>
      </c>
      <c r="E36" s="309" t="s">
        <v>2670</v>
      </c>
      <c r="F36" s="309" t="s">
        <v>2671</v>
      </c>
      <c r="G36" s="309" t="s">
        <v>2672</v>
      </c>
      <c r="H36" s="309" t="s">
        <v>2673</v>
      </c>
      <c r="I36" s="4187"/>
      <c r="J36" s="4187"/>
      <c r="K36" s="4183" t="s">
        <v>2674</v>
      </c>
      <c r="L36" s="4183"/>
      <c r="M36" s="4183" t="s">
        <v>2690</v>
      </c>
      <c r="N36" s="4183"/>
      <c r="O36" s="4183" t="s">
        <v>2676</v>
      </c>
      <c r="P36" s="4183"/>
      <c r="Q36" s="4183" t="s">
        <v>2690</v>
      </c>
      <c r="R36" s="4183"/>
      <c r="S36" s="4183" t="s">
        <v>2707</v>
      </c>
      <c r="T36" s="4183"/>
      <c r="U36" s="4183" t="s">
        <v>2677</v>
      </c>
      <c r="V36" s="4183"/>
      <c r="W36" s="4183" t="s">
        <v>2678</v>
      </c>
      <c r="X36" s="4183"/>
      <c r="Y36" s="309" t="s">
        <v>2679</v>
      </c>
      <c r="Z36" s="309" t="s">
        <v>2680</v>
      </c>
      <c r="AA36" s="309" t="s">
        <v>2695</v>
      </c>
      <c r="AB36" s="309" t="s">
        <v>2696</v>
      </c>
      <c r="AC36" s="309" t="s">
        <v>2697</v>
      </c>
      <c r="AD36" s="309" t="s">
        <v>2698</v>
      </c>
      <c r="AE36" s="309" t="s">
        <v>2699</v>
      </c>
      <c r="AF36" s="309" t="s">
        <v>2700</v>
      </c>
    </row>
    <row r="37" spans="1:32" ht="16" hidden="1" outlineLevel="1">
      <c r="A37" s="301"/>
      <c r="B37" s="301"/>
      <c r="C37" s="301"/>
      <c r="D37" s="301"/>
      <c r="E37" s="301"/>
      <c r="F37" s="301"/>
      <c r="G37" s="301"/>
      <c r="H37" s="301"/>
      <c r="I37" s="301"/>
      <c r="J37" s="301"/>
      <c r="K37" s="286" t="s">
        <v>2691</v>
      </c>
      <c r="L37" s="286" t="s">
        <v>2682</v>
      </c>
      <c r="M37" s="286" t="s">
        <v>2691</v>
      </c>
      <c r="N37" s="286" t="s">
        <v>2682</v>
      </c>
      <c r="O37" s="286" t="s">
        <v>2691</v>
      </c>
      <c r="P37" s="286" t="s">
        <v>2682</v>
      </c>
      <c r="Q37" s="286" t="s">
        <v>2691</v>
      </c>
      <c r="R37" s="286" t="s">
        <v>2682</v>
      </c>
      <c r="S37" s="286" t="s">
        <v>2691</v>
      </c>
      <c r="T37" s="286" t="s">
        <v>2682</v>
      </c>
      <c r="U37" s="286" t="s">
        <v>2691</v>
      </c>
      <c r="V37" s="286" t="s">
        <v>2682</v>
      </c>
      <c r="W37" s="286" t="s">
        <v>2691</v>
      </c>
      <c r="X37" s="286" t="s">
        <v>2682</v>
      </c>
      <c r="Y37" s="301"/>
      <c r="Z37" s="301"/>
      <c r="AA37" s="301"/>
      <c r="AB37" s="301"/>
      <c r="AC37" s="301"/>
      <c r="AD37" s="301"/>
      <c r="AE37" s="301"/>
      <c r="AF37" s="301"/>
    </row>
    <row r="38" spans="1:32" s="265" customFormat="1" collapsed="1">
      <c r="K38" s="317"/>
      <c r="L38" s="317"/>
      <c r="M38" s="317"/>
      <c r="N38" s="317"/>
      <c r="O38" s="317"/>
      <c r="P38" s="317"/>
      <c r="Q38" s="317"/>
      <c r="R38" s="317"/>
      <c r="S38" s="317"/>
      <c r="T38" s="317"/>
      <c r="U38" s="317"/>
      <c r="V38" s="317"/>
      <c r="W38" s="317"/>
      <c r="X38" s="317"/>
    </row>
    <row r="39" spans="1:32" ht="31.25" customHeight="1">
      <c r="A39" s="4185" t="s">
        <v>2708</v>
      </c>
      <c r="B39" s="4185"/>
      <c r="C39" s="4185"/>
      <c r="D39" s="4185"/>
      <c r="E39" s="4185"/>
      <c r="F39" s="4185"/>
      <c r="G39" s="4185"/>
      <c r="H39" s="4185"/>
      <c r="I39" s="4185"/>
      <c r="J39" s="4185"/>
      <c r="K39" s="4185"/>
      <c r="L39" s="4185"/>
      <c r="M39" s="4185"/>
      <c r="N39" s="4185"/>
      <c r="O39" s="4185"/>
      <c r="P39" s="4185"/>
      <c r="Q39" s="4185"/>
      <c r="R39" s="4185"/>
      <c r="S39" s="4185"/>
      <c r="T39" s="4185"/>
      <c r="U39" s="4185"/>
      <c r="V39" s="4185"/>
      <c r="W39" s="4185"/>
      <c r="X39" s="4185"/>
    </row>
    <row r="40" spans="1:32" ht="23.5" hidden="1" customHeight="1" outlineLevel="1">
      <c r="A40" s="4186" t="s">
        <v>2662</v>
      </c>
      <c r="B40" s="4186"/>
      <c r="C40" s="4186"/>
      <c r="D40" s="4186" t="s">
        <v>2663</v>
      </c>
      <c r="E40" s="4186"/>
      <c r="F40" s="4186"/>
      <c r="G40" s="4186"/>
      <c r="H40" s="4186"/>
      <c r="I40" s="4187" t="s">
        <v>1686</v>
      </c>
      <c r="J40" s="4187" t="s">
        <v>610</v>
      </c>
      <c r="K40" s="4186" t="s">
        <v>2664</v>
      </c>
      <c r="L40" s="4186"/>
      <c r="M40" s="4186"/>
      <c r="N40" s="4186"/>
      <c r="O40" s="4186"/>
      <c r="P40" s="4186"/>
      <c r="Q40" s="4186" t="s">
        <v>2665</v>
      </c>
      <c r="R40" s="4186"/>
      <c r="S40" s="4186"/>
      <c r="T40" s="4186"/>
      <c r="U40" s="4186"/>
      <c r="V40" s="4186"/>
      <c r="W40" s="4186"/>
      <c r="X40" s="4186"/>
    </row>
    <row r="41" spans="1:32" ht="102" hidden="1" outlineLevel="1">
      <c r="A41" s="410" t="s">
        <v>2666</v>
      </c>
      <c r="B41" s="309" t="s">
        <v>2667</v>
      </c>
      <c r="C41" s="309" t="s">
        <v>2668</v>
      </c>
      <c r="D41" s="309" t="s">
        <v>2669</v>
      </c>
      <c r="E41" s="309" t="s">
        <v>2670</v>
      </c>
      <c r="F41" s="309" t="s">
        <v>2671</v>
      </c>
      <c r="G41" s="309" t="s">
        <v>2672</v>
      </c>
      <c r="H41" s="309" t="s">
        <v>2673</v>
      </c>
      <c r="I41" s="4187"/>
      <c r="J41" s="4187"/>
      <c r="K41" s="4183" t="s">
        <v>2709</v>
      </c>
      <c r="L41" s="4183"/>
      <c r="M41" s="4183" t="s">
        <v>2710</v>
      </c>
      <c r="N41" s="4183"/>
      <c r="O41" s="4183" t="s">
        <v>2678</v>
      </c>
      <c r="P41" s="4183"/>
      <c r="Q41" s="309" t="s">
        <v>2679</v>
      </c>
      <c r="R41" s="309" t="s">
        <v>2680</v>
      </c>
      <c r="S41" s="309" t="s">
        <v>2695</v>
      </c>
      <c r="T41" s="309" t="s">
        <v>2696</v>
      </c>
      <c r="U41" s="309" t="s">
        <v>2697</v>
      </c>
      <c r="V41" s="309" t="s">
        <v>2698</v>
      </c>
      <c r="W41" s="309" t="s">
        <v>2699</v>
      </c>
      <c r="X41" s="309" t="s">
        <v>2700</v>
      </c>
    </row>
    <row r="42" spans="1:32" ht="16" hidden="1" outlineLevel="1">
      <c r="A42" s="301"/>
      <c r="B42" s="301"/>
      <c r="C42" s="301"/>
      <c r="D42" s="301"/>
      <c r="E42" s="301"/>
      <c r="F42" s="301"/>
      <c r="G42" s="301"/>
      <c r="H42" s="301"/>
      <c r="I42" s="301"/>
      <c r="J42" s="301"/>
      <c r="K42" s="286" t="s">
        <v>2691</v>
      </c>
      <c r="L42" s="286" t="s">
        <v>2682</v>
      </c>
      <c r="M42" s="286" t="s">
        <v>2691</v>
      </c>
      <c r="N42" s="286" t="s">
        <v>2682</v>
      </c>
      <c r="O42" s="286" t="s">
        <v>2691</v>
      </c>
      <c r="P42" s="286" t="s">
        <v>2682</v>
      </c>
      <c r="Q42" s="301"/>
      <c r="R42" s="301"/>
      <c r="S42" s="301"/>
      <c r="T42" s="301"/>
      <c r="U42" s="301"/>
      <c r="V42" s="301"/>
      <c r="W42" s="301"/>
      <c r="X42" s="301"/>
    </row>
    <row r="43" spans="1:32" s="265" customFormat="1" hidden="1" outlineLevel="1"/>
    <row r="44" spans="1:32" s="265" customFormat="1" collapsed="1"/>
    <row r="45" spans="1:32" ht="31.25" customHeight="1">
      <c r="A45" s="4185" t="s">
        <v>2711</v>
      </c>
      <c r="B45" s="4185"/>
      <c r="C45" s="4185"/>
      <c r="D45" s="4185"/>
      <c r="E45" s="4185"/>
      <c r="F45" s="4185"/>
      <c r="G45" s="4185"/>
      <c r="H45" s="4185"/>
      <c r="I45" s="4185"/>
      <c r="J45" s="4185"/>
      <c r="K45" s="4185"/>
      <c r="L45" s="4185"/>
      <c r="M45" s="4185"/>
      <c r="N45" s="4185"/>
      <c r="O45" s="4185"/>
      <c r="P45" s="4185"/>
      <c r="Q45" s="4185"/>
      <c r="R45" s="4185"/>
      <c r="S45" s="4185"/>
      <c r="T45" s="4185"/>
    </row>
    <row r="46" spans="1:32" ht="23.5" hidden="1" customHeight="1" outlineLevel="1">
      <c r="A46" s="4186" t="s">
        <v>2662</v>
      </c>
      <c r="B46" s="4186"/>
      <c r="C46" s="4186"/>
      <c r="D46" s="4186" t="s">
        <v>2663</v>
      </c>
      <c r="E46" s="4186"/>
      <c r="F46" s="4186"/>
      <c r="G46" s="4186"/>
      <c r="H46" s="4186"/>
      <c r="I46" s="4187" t="s">
        <v>1686</v>
      </c>
      <c r="J46" s="4187" t="s">
        <v>610</v>
      </c>
      <c r="K46" s="4186" t="s">
        <v>2664</v>
      </c>
      <c r="L46" s="4186"/>
      <c r="M46" s="4186" t="s">
        <v>2665</v>
      </c>
      <c r="N46" s="4186"/>
      <c r="O46" s="4186"/>
      <c r="P46" s="4186"/>
      <c r="Q46" s="4186"/>
      <c r="R46" s="4186"/>
      <c r="S46" s="4186"/>
      <c r="T46" s="4186"/>
    </row>
    <row r="47" spans="1:32" ht="68" hidden="1" outlineLevel="1">
      <c r="A47" s="410" t="s">
        <v>2666</v>
      </c>
      <c r="B47" s="309" t="s">
        <v>2667</v>
      </c>
      <c r="C47" s="309" t="s">
        <v>2668</v>
      </c>
      <c r="D47" s="309" t="s">
        <v>2669</v>
      </c>
      <c r="E47" s="309" t="s">
        <v>2670</v>
      </c>
      <c r="F47" s="309" t="s">
        <v>2671</v>
      </c>
      <c r="G47" s="309" t="s">
        <v>2672</v>
      </c>
      <c r="H47" s="309" t="s">
        <v>2673</v>
      </c>
      <c r="I47" s="4187"/>
      <c r="J47" s="4187"/>
      <c r="K47" s="4183" t="s">
        <v>2712</v>
      </c>
      <c r="L47" s="4183"/>
      <c r="M47" s="309" t="s">
        <v>2679</v>
      </c>
      <c r="N47" s="309" t="s">
        <v>2680</v>
      </c>
      <c r="O47" s="309" t="s">
        <v>2695</v>
      </c>
      <c r="P47" s="309" t="s">
        <v>2696</v>
      </c>
      <c r="Q47" s="309" t="s">
        <v>2697</v>
      </c>
      <c r="R47" s="309" t="s">
        <v>2698</v>
      </c>
      <c r="S47" s="309" t="s">
        <v>2699</v>
      </c>
      <c r="T47" s="309" t="s">
        <v>2700</v>
      </c>
    </row>
    <row r="48" spans="1:32" ht="16" hidden="1" outlineLevel="1">
      <c r="A48" s="301"/>
      <c r="B48" s="301"/>
      <c r="C48" s="301"/>
      <c r="D48" s="301"/>
      <c r="E48" s="301"/>
      <c r="F48" s="301"/>
      <c r="G48" s="301"/>
      <c r="H48" s="301"/>
      <c r="I48" s="301"/>
      <c r="J48" s="301"/>
      <c r="K48" s="286" t="s">
        <v>2691</v>
      </c>
      <c r="L48" s="286" t="s">
        <v>2682</v>
      </c>
      <c r="M48" s="301"/>
      <c r="N48" s="301"/>
      <c r="O48" s="301"/>
      <c r="P48" s="301"/>
      <c r="Q48" s="301"/>
      <c r="R48" s="301"/>
      <c r="S48" s="301"/>
      <c r="T48" s="301"/>
    </row>
    <row r="49" s="265" customFormat="1" collapsed="1"/>
    <row r="50" s="265" customFormat="1"/>
    <row r="51" s="265" customFormat="1"/>
    <row r="52" s="265" customFormat="1"/>
    <row r="53" s="265" customFormat="1"/>
    <row r="231" s="265" customFormat="1"/>
    <row r="232" s="265" customFormat="1"/>
    <row r="233" s="265" customFormat="1"/>
    <row r="234" s="265" customFormat="1"/>
    <row r="235" s="265" customFormat="1"/>
    <row r="236" s="265" customFormat="1"/>
    <row r="237" s="265" customFormat="1"/>
    <row r="238" s="265" customFormat="1"/>
    <row r="239" s="265" customFormat="1"/>
    <row r="240" s="265" customFormat="1"/>
    <row r="241" spans="5:7" s="265" customFormat="1"/>
    <row r="242" spans="5:7" s="265" customFormat="1"/>
    <row r="243" spans="5:7" s="265" customFormat="1"/>
    <row r="244" spans="5:7" s="265" customFormat="1"/>
    <row r="245" spans="5:7" s="265" customFormat="1"/>
    <row r="246" spans="5:7" s="265" customFormat="1">
      <c r="E246" s="273"/>
      <c r="F246" s="273"/>
      <c r="G246" s="273"/>
    </row>
    <row r="247" spans="5:7" s="265" customFormat="1">
      <c r="E247" s="273"/>
      <c r="F247" s="273"/>
      <c r="G247" s="273"/>
    </row>
    <row r="248" spans="5:7" s="265" customFormat="1">
      <c r="E248" s="273"/>
      <c r="F248" s="273"/>
      <c r="G248" s="273"/>
    </row>
    <row r="249" spans="5:7" s="265" customFormat="1">
      <c r="E249" s="273"/>
      <c r="F249" s="273"/>
      <c r="G249" s="273"/>
    </row>
    <row r="250" spans="5:7" s="265" customFormat="1">
      <c r="E250" s="273"/>
      <c r="F250" s="273"/>
      <c r="G250" s="273"/>
    </row>
    <row r="251" spans="5:7" s="265" customFormat="1">
      <c r="E251" s="273"/>
      <c r="F251" s="273"/>
      <c r="G251" s="273"/>
    </row>
    <row r="252" spans="5:7" s="265" customFormat="1">
      <c r="E252" s="273"/>
      <c r="F252" s="273"/>
      <c r="G252" s="273"/>
    </row>
    <row r="253" spans="5:7" s="265" customFormat="1">
      <c r="E253" s="273"/>
      <c r="F253" s="273"/>
      <c r="G253" s="273"/>
    </row>
    <row r="254" spans="5:7" s="265" customFormat="1">
      <c r="E254" s="273"/>
      <c r="F254" s="273"/>
      <c r="G254" s="273"/>
    </row>
  </sheetData>
  <mergeCells count="94">
    <mergeCell ref="AE30:AL30"/>
    <mergeCell ref="AC31:AD31"/>
    <mergeCell ref="A34:AF34"/>
    <mergeCell ref="Y35:AF35"/>
    <mergeCell ref="A2:AB2"/>
    <mergeCell ref="A4:AB4"/>
    <mergeCell ref="A5:C5"/>
    <mergeCell ref="D5:H5"/>
    <mergeCell ref="I5:I6"/>
    <mergeCell ref="J5:J6"/>
    <mergeCell ref="K5:T5"/>
    <mergeCell ref="U5:AB5"/>
    <mergeCell ref="K6:L6"/>
    <mergeCell ref="M6:N6"/>
    <mergeCell ref="O6:P6"/>
    <mergeCell ref="Q6:R6"/>
    <mergeCell ref="S6:T6"/>
    <mergeCell ref="A8:C8"/>
    <mergeCell ref="F8:AB8"/>
    <mergeCell ref="A10:AH10"/>
    <mergeCell ref="AA11:AH11"/>
    <mergeCell ref="A11:C11"/>
    <mergeCell ref="D11:H11"/>
    <mergeCell ref="I11:I12"/>
    <mergeCell ref="J11:J12"/>
    <mergeCell ref="K11:Z11"/>
    <mergeCell ref="A15:V15"/>
    <mergeCell ref="A16:C16"/>
    <mergeCell ref="D16:H16"/>
    <mergeCell ref="I16:I17"/>
    <mergeCell ref="J16:J17"/>
    <mergeCell ref="K16:N16"/>
    <mergeCell ref="O16:V16"/>
    <mergeCell ref="K17:L17"/>
    <mergeCell ref="M17:N17"/>
    <mergeCell ref="A21:C21"/>
    <mergeCell ref="F21:V21"/>
    <mergeCell ref="A24:AB24"/>
    <mergeCell ref="A25:C25"/>
    <mergeCell ref="D25:H25"/>
    <mergeCell ref="I25:I26"/>
    <mergeCell ref="J25:J26"/>
    <mergeCell ref="K25:T25"/>
    <mergeCell ref="U25:AB25"/>
    <mergeCell ref="K26:L26"/>
    <mergeCell ref="M26:N26"/>
    <mergeCell ref="O26:P26"/>
    <mergeCell ref="Q26:R26"/>
    <mergeCell ref="S26:T26"/>
    <mergeCell ref="U31:V31"/>
    <mergeCell ref="W36:X36"/>
    <mergeCell ref="A30:C30"/>
    <mergeCell ref="D30:H30"/>
    <mergeCell ref="I30:I31"/>
    <mergeCell ref="J30:J31"/>
    <mergeCell ref="K30:AD30"/>
    <mergeCell ref="U36:V36"/>
    <mergeCell ref="K36:L36"/>
    <mergeCell ref="M36:N36"/>
    <mergeCell ref="O36:P36"/>
    <mergeCell ref="Q36:R36"/>
    <mergeCell ref="S36:T36"/>
    <mergeCell ref="K41:L41"/>
    <mergeCell ref="M41:N41"/>
    <mergeCell ref="A29:AL29"/>
    <mergeCell ref="W31:X31"/>
    <mergeCell ref="Y31:Z31"/>
    <mergeCell ref="AA31:AB31"/>
    <mergeCell ref="A35:C35"/>
    <mergeCell ref="D35:H35"/>
    <mergeCell ref="I35:I36"/>
    <mergeCell ref="J35:J36"/>
    <mergeCell ref="K35:X35"/>
    <mergeCell ref="K31:L31"/>
    <mergeCell ref="M31:N31"/>
    <mergeCell ref="O31:P31"/>
    <mergeCell ref="Q31:R31"/>
    <mergeCell ref="S31:T31"/>
    <mergeCell ref="A39:X39"/>
    <mergeCell ref="A45:T45"/>
    <mergeCell ref="A46:C46"/>
    <mergeCell ref="D46:H46"/>
    <mergeCell ref="I46:I47"/>
    <mergeCell ref="J46:J47"/>
    <mergeCell ref="K46:L46"/>
    <mergeCell ref="M46:T46"/>
    <mergeCell ref="K47:L47"/>
    <mergeCell ref="A40:C40"/>
    <mergeCell ref="D40:H40"/>
    <mergeCell ref="I40:I41"/>
    <mergeCell ref="J40:J41"/>
    <mergeCell ref="K40:P40"/>
    <mergeCell ref="O41:P41"/>
    <mergeCell ref="Q40:X40"/>
  </mergeCells>
  <dataValidations count="1">
    <dataValidation type="list" allowBlank="1" showInputMessage="1" showErrorMessage="1" sqref="P22:P23 AB14 N49:N53 V9 Z38 V28 R43:R44" xr:uid="{00000000-0002-0000-2600-000000000000}">
      <formula1>#REF!</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600-000001000000}">
          <x14:formula1>
            <xm:f>'10_Resumen del PA - CGR'!$AC$11:$AC$12</xm:f>
          </x14:formula1>
          <xm:sqref>Q22:Q23 W7 O49:O53</xm:sqref>
        </x14:dataValidation>
        <x14:dataValidation type="list" allowBlank="1" showInputMessage="1" showErrorMessage="1" xr:uid="{00000000-0002-0000-2600-000002000000}">
          <x14:formula1>
            <xm:f>'10_Resumen del PA - CGR'!$AD$10:$AD$12</xm:f>
          </x14:formula1>
          <xm:sqref>AA14 O22:O23 M49:M53 U9</xm:sqref>
        </x14:dataValidation>
        <x14:dataValidation type="list" allowBlank="1" showInputMessage="1" showErrorMessage="1" xr:uid="{00000000-0002-0000-2600-000003000000}">
          <x14:formula1>
            <xm:f>'9_Resumen del PA - MH'!$AC$11:$AC$12</xm:f>
          </x14:formula1>
          <xm:sqref>W28 AA38 S43:S44</xm:sqref>
        </x14:dataValidation>
        <x14:dataValidation type="list" allowBlank="1" showInputMessage="1" showErrorMessage="1" xr:uid="{00000000-0002-0000-2600-000004000000}">
          <x14:formula1>
            <xm:f>'9_Resumen del PA - MH'!$AD$10:$AD$12</xm:f>
          </x14:formula1>
          <xm:sqref>U28 Y38 Q43:Q44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EG129"/>
  <sheetViews>
    <sheetView showGridLines="0" topLeftCell="A32" zoomScale="85" zoomScaleNormal="85" workbookViewId="0">
      <selection activeCell="A10" sqref="A10:Z10"/>
    </sheetView>
  </sheetViews>
  <sheetFormatPr baseColWidth="10" defaultColWidth="11.5" defaultRowHeight="15" outlineLevelRow="1"/>
  <cols>
    <col min="1" max="1" width="7.5" style="252" bestFit="1" customWidth="1"/>
    <col min="2" max="2" width="58.5" style="252" customWidth="1"/>
    <col min="3" max="3" width="11.5" style="252" bestFit="1" customWidth="1"/>
    <col min="4" max="4" width="15.5" style="252" customWidth="1"/>
    <col min="5" max="5" width="8.5" style="252" bestFit="1" customWidth="1"/>
    <col min="6" max="6" width="10.83203125" style="252" bestFit="1" customWidth="1"/>
    <col min="7" max="7" width="12.5" style="252" bestFit="1" customWidth="1"/>
    <col min="8" max="8" width="9.5" style="252" bestFit="1" customWidth="1"/>
    <col min="9" max="9" width="12" style="252" bestFit="1" customWidth="1"/>
    <col min="10" max="10" width="11.1640625" style="252" customWidth="1"/>
    <col min="11" max="11" width="14.5" style="252" bestFit="1" customWidth="1"/>
    <col min="12" max="12" width="11.5" style="252" bestFit="1" customWidth="1"/>
    <col min="13" max="13" width="14.5" style="252" bestFit="1" customWidth="1"/>
    <col min="14" max="14" width="11.5" style="252" bestFit="1" customWidth="1"/>
    <col min="15" max="15" width="18.1640625" style="252" bestFit="1" customWidth="1"/>
    <col min="16" max="16" width="13" style="252" bestFit="1" customWidth="1"/>
    <col min="17" max="17" width="18.1640625" style="252" bestFit="1" customWidth="1"/>
    <col min="18" max="18" width="13" style="252" bestFit="1" customWidth="1"/>
    <col min="19" max="19" width="16.83203125" style="252" bestFit="1" customWidth="1"/>
    <col min="20" max="20" width="11.5" style="252" bestFit="1" customWidth="1"/>
    <col min="21" max="21" width="18.1640625" style="252" bestFit="1" customWidth="1"/>
    <col min="22" max="22" width="21.5" style="252" bestFit="1" customWidth="1"/>
    <col min="23" max="23" width="16.83203125" style="252" bestFit="1" customWidth="1"/>
    <col min="24" max="24" width="11.5" style="252" bestFit="1" customWidth="1"/>
    <col min="25" max="25" width="18.1640625" style="252" bestFit="1" customWidth="1"/>
    <col min="26" max="26" width="13" style="252" bestFit="1" customWidth="1"/>
    <col min="27" max="27" width="15.5" style="252" bestFit="1" customWidth="1"/>
    <col min="28" max="28" width="20" style="252" bestFit="1" customWidth="1"/>
    <col min="29" max="29" width="14.5" style="252" customWidth="1"/>
    <col min="30" max="30" width="9.5" style="252" customWidth="1"/>
    <col min="31" max="32" width="8.5" style="252" customWidth="1"/>
    <col min="33" max="37" width="11.5" style="252"/>
    <col min="38" max="38" width="41.5" style="252" bestFit="1" customWidth="1"/>
    <col min="39" max="42" width="11.5" style="252"/>
    <col min="43" max="43" width="21.5" style="252" bestFit="1" customWidth="1"/>
    <col min="44" max="44" width="66.5" style="252" bestFit="1" customWidth="1"/>
    <col min="45" max="45" width="34" style="252" bestFit="1" customWidth="1"/>
    <col min="46" max="16384" width="11.5" style="252"/>
  </cols>
  <sheetData>
    <row r="1" spans="1:137">
      <c r="AQ1" s="253"/>
      <c r="AR1" s="253"/>
      <c r="AS1" s="253"/>
      <c r="AT1" s="1939"/>
    </row>
    <row r="2" spans="1:137" s="1943" customFormat="1" ht="34">
      <c r="A2" s="4223" t="s">
        <v>2713</v>
      </c>
      <c r="B2" s="4223"/>
      <c r="C2" s="4223"/>
      <c r="D2" s="4223"/>
      <c r="E2" s="4223"/>
      <c r="F2" s="4223"/>
      <c r="G2" s="4223"/>
      <c r="H2" s="4223"/>
      <c r="I2" s="4223"/>
      <c r="J2" s="4223"/>
      <c r="K2" s="4223"/>
      <c r="L2" s="4223"/>
      <c r="M2" s="4223"/>
      <c r="N2" s="4223"/>
      <c r="O2" s="4223"/>
      <c r="P2" s="4223"/>
      <c r="Q2" s="4223"/>
      <c r="R2" s="4223"/>
      <c r="S2" s="4223"/>
      <c r="T2" s="4223"/>
      <c r="U2" s="4223"/>
      <c r="V2" s="4223"/>
      <c r="W2" s="4223"/>
      <c r="X2" s="4223"/>
      <c r="Y2" s="4223"/>
      <c r="Z2" s="4223"/>
      <c r="AA2" s="4223"/>
      <c r="AB2" s="4223"/>
      <c r="AC2" s="4223"/>
      <c r="AD2" s="4223"/>
      <c r="AE2" s="4223"/>
      <c r="AF2" s="4223"/>
      <c r="AG2" s="1940"/>
      <c r="AH2" s="1940"/>
      <c r="AI2" s="1940"/>
      <c r="AJ2" s="1940"/>
      <c r="AK2" s="1940"/>
      <c r="AL2" s="1940"/>
      <c r="AM2" s="1940"/>
      <c r="AN2" s="1940"/>
      <c r="AO2" s="1940"/>
      <c r="AP2" s="1940"/>
      <c r="AQ2" s="1941" t="s">
        <v>2263</v>
      </c>
      <c r="AR2" s="1941" t="s">
        <v>2714</v>
      </c>
      <c r="AS2" s="1941" t="s">
        <v>2262</v>
      </c>
      <c r="AT2" s="1942"/>
      <c r="AU2" s="1940"/>
      <c r="AV2" s="1940"/>
      <c r="AW2" s="1940"/>
      <c r="AX2" s="1940"/>
      <c r="AY2" s="1940"/>
      <c r="AZ2" s="1940"/>
      <c r="BA2" s="1940"/>
      <c r="BB2" s="1940"/>
      <c r="BC2" s="1940"/>
      <c r="BD2" s="1940"/>
      <c r="BE2" s="1940"/>
      <c r="BF2" s="1940"/>
      <c r="BG2" s="1940"/>
      <c r="BH2" s="1940"/>
      <c r="BI2" s="1940"/>
      <c r="BJ2" s="1940"/>
      <c r="BK2" s="1940"/>
      <c r="BL2" s="1940"/>
      <c r="BM2" s="1940"/>
      <c r="BN2" s="1940"/>
      <c r="BO2" s="1940"/>
      <c r="BP2" s="1940"/>
      <c r="BQ2" s="1940"/>
      <c r="BR2" s="1940"/>
      <c r="BS2" s="1940"/>
      <c r="BT2" s="1940"/>
      <c r="BU2" s="1940"/>
      <c r="BV2" s="1940"/>
      <c r="BW2" s="1940"/>
      <c r="BX2" s="1940"/>
      <c r="BY2" s="1940"/>
      <c r="BZ2" s="1940"/>
      <c r="CA2" s="1940"/>
      <c r="CB2" s="1940"/>
      <c r="CC2" s="1940"/>
      <c r="CD2" s="1940"/>
      <c r="CE2" s="1940"/>
      <c r="CF2" s="1940"/>
      <c r="CG2" s="1940"/>
      <c r="CH2" s="1940"/>
      <c r="CI2" s="1940"/>
      <c r="CJ2" s="1940"/>
      <c r="CK2" s="1940"/>
      <c r="CL2" s="1940"/>
      <c r="CM2" s="1940"/>
      <c r="CN2" s="1940"/>
      <c r="CO2" s="1940"/>
      <c r="CP2" s="1940"/>
      <c r="CQ2" s="1940"/>
      <c r="CR2" s="1940"/>
      <c r="CS2" s="1940"/>
      <c r="CT2" s="1940"/>
      <c r="CU2" s="1940"/>
      <c r="CV2" s="1940"/>
      <c r="CW2" s="1940"/>
      <c r="CX2" s="1940"/>
      <c r="CY2" s="1940"/>
      <c r="CZ2" s="1940"/>
      <c r="DA2" s="1940"/>
      <c r="DB2" s="1940"/>
      <c r="DC2" s="1940"/>
      <c r="DD2" s="1940"/>
      <c r="DE2" s="1940"/>
      <c r="DF2" s="1940"/>
      <c r="DG2" s="1940"/>
      <c r="DH2" s="1940"/>
      <c r="DI2" s="1940"/>
      <c r="DJ2" s="1940"/>
      <c r="DK2" s="1940"/>
      <c r="DL2" s="1940"/>
      <c r="DM2" s="1940"/>
      <c r="DN2" s="1940"/>
      <c r="DO2" s="1940"/>
      <c r="DP2" s="1940"/>
      <c r="DQ2" s="1940"/>
      <c r="DR2" s="1940"/>
      <c r="DS2" s="1940"/>
      <c r="DT2" s="1940"/>
      <c r="DU2" s="1940"/>
      <c r="DV2" s="1940"/>
      <c r="DW2" s="1940"/>
      <c r="DX2" s="1940"/>
      <c r="DY2" s="1940"/>
      <c r="DZ2" s="1940"/>
      <c r="EA2" s="1940"/>
      <c r="EB2" s="1940"/>
      <c r="EC2" s="1940"/>
      <c r="ED2" s="1940"/>
      <c r="EE2" s="1940"/>
      <c r="EF2" s="1940"/>
      <c r="EG2" s="1940"/>
    </row>
    <row r="3" spans="1:137">
      <c r="AQ3" s="253" t="s">
        <v>2266</v>
      </c>
      <c r="AR3" s="253" t="s">
        <v>2715</v>
      </c>
      <c r="AS3" s="253" t="s">
        <v>2265</v>
      </c>
      <c r="AT3" s="1939"/>
    </row>
    <row r="4" spans="1:137" ht="31">
      <c r="A4" s="4218" t="s">
        <v>2716</v>
      </c>
      <c r="B4" s="4219"/>
      <c r="C4" s="4219"/>
      <c r="D4" s="4219"/>
      <c r="E4" s="4219"/>
      <c r="F4" s="4219"/>
      <c r="G4" s="4219"/>
      <c r="H4" s="4219"/>
      <c r="I4" s="4219"/>
      <c r="J4" s="4219"/>
      <c r="K4" s="4219"/>
      <c r="L4" s="4219"/>
      <c r="M4" s="4219"/>
      <c r="N4" s="4219"/>
      <c r="O4" s="4219"/>
      <c r="P4" s="4219"/>
      <c r="Q4" s="4219"/>
      <c r="R4" s="4219"/>
      <c r="S4" s="4219"/>
      <c r="T4" s="4219"/>
      <c r="U4" s="4219"/>
      <c r="V4" s="4219"/>
      <c r="W4" s="4219"/>
      <c r="X4" s="4219"/>
      <c r="Y4" s="4219"/>
      <c r="Z4" s="4219"/>
      <c r="AA4" s="4219"/>
      <c r="AB4" s="4219"/>
      <c r="AC4" s="4219"/>
      <c r="AD4" s="4219"/>
      <c r="AE4" s="4219"/>
      <c r="AF4" s="4220"/>
      <c r="AQ4" s="253" t="s">
        <v>2268</v>
      </c>
      <c r="AR4" s="253" t="s">
        <v>2717</v>
      </c>
      <c r="AS4" s="253" t="s">
        <v>2267</v>
      </c>
      <c r="AT4" s="1939"/>
    </row>
    <row r="5" spans="1:137" ht="23.5" customHeight="1">
      <c r="A5" s="4186" t="s">
        <v>2662</v>
      </c>
      <c r="B5" s="4186"/>
      <c r="C5" s="4186"/>
      <c r="D5" s="4186" t="s">
        <v>2663</v>
      </c>
      <c r="E5" s="4186"/>
      <c r="F5" s="4186"/>
      <c r="G5" s="4186"/>
      <c r="H5" s="4186"/>
      <c r="I5" s="4187" t="s">
        <v>1686</v>
      </c>
      <c r="J5" s="4187" t="s">
        <v>610</v>
      </c>
      <c r="K5" s="4186" t="s">
        <v>2664</v>
      </c>
      <c r="L5" s="4186"/>
      <c r="M5" s="4186"/>
      <c r="N5" s="4186"/>
      <c r="O5" s="4186"/>
      <c r="P5" s="4186"/>
      <c r="Q5" s="4186"/>
      <c r="R5" s="4186"/>
      <c r="S5" s="4186"/>
      <c r="T5" s="4186"/>
      <c r="U5" s="4186"/>
      <c r="V5" s="4186"/>
      <c r="W5" s="4186"/>
      <c r="X5" s="4186"/>
      <c r="Y5" s="4186"/>
      <c r="Z5" s="4186"/>
      <c r="AA5" s="4186" t="s">
        <v>2665</v>
      </c>
      <c r="AB5" s="4186"/>
      <c r="AC5" s="4186"/>
      <c r="AD5" s="4186"/>
      <c r="AE5" s="4186"/>
      <c r="AF5" s="4186"/>
      <c r="AQ5" s="253" t="s">
        <v>2718</v>
      </c>
      <c r="AR5" s="253" t="s">
        <v>2719</v>
      </c>
      <c r="AS5" s="253"/>
      <c r="AT5" s="1939"/>
    </row>
    <row r="6" spans="1:137" ht="51">
      <c r="A6" s="410" t="s">
        <v>2666</v>
      </c>
      <c r="B6" s="309" t="s">
        <v>2667</v>
      </c>
      <c r="C6" s="309" t="s">
        <v>2668</v>
      </c>
      <c r="D6" s="309" t="s">
        <v>2669</v>
      </c>
      <c r="E6" s="309" t="s">
        <v>2670</v>
      </c>
      <c r="F6" s="309" t="s">
        <v>2671</v>
      </c>
      <c r="G6" s="309" t="s">
        <v>2672</v>
      </c>
      <c r="H6" s="309" t="s">
        <v>2673</v>
      </c>
      <c r="I6" s="4187"/>
      <c r="J6" s="4187"/>
      <c r="K6" s="4183" t="s">
        <v>2720</v>
      </c>
      <c r="L6" s="4183"/>
      <c r="M6" s="4183" t="s">
        <v>2721</v>
      </c>
      <c r="N6" s="4183"/>
      <c r="O6" s="4183" t="s">
        <v>2722</v>
      </c>
      <c r="P6" s="4183"/>
      <c r="Q6" s="4183" t="s">
        <v>2676</v>
      </c>
      <c r="R6" s="4183"/>
      <c r="S6" s="4183" t="s">
        <v>2722</v>
      </c>
      <c r="T6" s="4183"/>
      <c r="U6" s="4183" t="s">
        <v>2707</v>
      </c>
      <c r="V6" s="4183"/>
      <c r="W6" s="4183" t="s">
        <v>2710</v>
      </c>
      <c r="X6" s="4183"/>
      <c r="Y6" s="4183" t="s">
        <v>2678</v>
      </c>
      <c r="Z6" s="4183"/>
      <c r="AA6" s="309" t="s">
        <v>2723</v>
      </c>
      <c r="AB6" s="309" t="s">
        <v>2724</v>
      </c>
      <c r="AC6" s="309" t="s">
        <v>2695</v>
      </c>
      <c r="AD6" s="309" t="s">
        <v>2696</v>
      </c>
      <c r="AE6" s="309" t="s">
        <v>2697</v>
      </c>
      <c r="AF6" s="309" t="s">
        <v>2698</v>
      </c>
      <c r="AQ6" s="253" t="s">
        <v>2725</v>
      </c>
      <c r="AR6" s="253" t="s">
        <v>2726</v>
      </c>
      <c r="AS6" s="253"/>
      <c r="AT6" s="1939"/>
    </row>
    <row r="7" spans="1:137" s="1944" customFormat="1" ht="32">
      <c r="A7" s="294">
        <f>+'10.1_PA_OB&amp;S - CGR'!A7+1</f>
        <v>2</v>
      </c>
      <c r="B7" s="295" t="s">
        <v>2846</v>
      </c>
      <c r="C7" s="294" t="s">
        <v>2168</v>
      </c>
      <c r="D7" s="296">
        <f>++J7</f>
        <v>0</v>
      </c>
      <c r="E7" s="298">
        <v>0</v>
      </c>
      <c r="F7" s="297">
        <v>1</v>
      </c>
      <c r="G7" s="297">
        <v>0</v>
      </c>
      <c r="H7" s="297">
        <v>0</v>
      </c>
      <c r="I7" s="1966">
        <f>'8_MP'!$D$267</f>
        <v>0</v>
      </c>
      <c r="J7" s="298">
        <f>'8_MP'!$AN$267</f>
        <v>0</v>
      </c>
      <c r="K7" s="2127">
        <v>45433</v>
      </c>
      <c r="L7" s="1936" t="s">
        <v>2682</v>
      </c>
      <c r="M7" s="2127">
        <v>45477</v>
      </c>
      <c r="N7" s="1936" t="s">
        <v>2682</v>
      </c>
      <c r="O7" s="2127">
        <v>45512</v>
      </c>
      <c r="P7" s="1936" t="s">
        <v>2682</v>
      </c>
      <c r="Q7" s="2127">
        <v>45561</v>
      </c>
      <c r="R7" s="1936" t="s">
        <v>2682</v>
      </c>
      <c r="S7" s="2127">
        <v>45562</v>
      </c>
      <c r="T7" s="1936" t="s">
        <v>2682</v>
      </c>
      <c r="U7" s="2127">
        <v>45610</v>
      </c>
      <c r="V7" s="1936" t="s">
        <v>2682</v>
      </c>
      <c r="W7" s="2127">
        <v>45630</v>
      </c>
      <c r="X7" s="1936" t="s">
        <v>2682</v>
      </c>
      <c r="Y7" s="2127">
        <v>45646</v>
      </c>
      <c r="Z7" s="1936" t="s">
        <v>2682</v>
      </c>
      <c r="AA7" s="1958" t="s">
        <v>1195</v>
      </c>
      <c r="AB7" s="1958" t="s">
        <v>853</v>
      </c>
      <c r="AC7" s="1961" t="s">
        <v>2727</v>
      </c>
      <c r="AD7" s="1958"/>
      <c r="AE7" s="1958"/>
      <c r="AF7" s="1958"/>
      <c r="AQ7" s="1945"/>
      <c r="AR7" s="1945"/>
      <c r="AS7" s="1945"/>
      <c r="AT7" s="1946"/>
    </row>
    <row r="8" spans="1:137" s="1944" customFormat="1" ht="48">
      <c r="A8" s="294">
        <f>+A7+1</f>
        <v>3</v>
      </c>
      <c r="B8" s="295" t="s">
        <v>2847</v>
      </c>
      <c r="C8" s="294" t="s">
        <v>2848</v>
      </c>
      <c r="D8" s="296">
        <f>+J8</f>
        <v>500000</v>
      </c>
      <c r="E8" s="298">
        <v>0</v>
      </c>
      <c r="F8" s="297">
        <v>1</v>
      </c>
      <c r="G8" s="297">
        <v>0</v>
      </c>
      <c r="H8" s="297">
        <v>0</v>
      </c>
      <c r="I8" s="1966" t="str">
        <f>'8_MP'!$D$328</f>
        <v>2.3.1.1.3</v>
      </c>
      <c r="J8" s="298">
        <f>'8_MP'!$AN$328</f>
        <v>500000</v>
      </c>
      <c r="K8" s="2127">
        <v>45191</v>
      </c>
      <c r="L8" s="1936" t="s">
        <v>2682</v>
      </c>
      <c r="M8" s="2127">
        <v>45237</v>
      </c>
      <c r="N8" s="1936" t="s">
        <v>2682</v>
      </c>
      <c r="O8" s="2127">
        <v>45272</v>
      </c>
      <c r="P8" s="1936" t="s">
        <v>2682</v>
      </c>
      <c r="Q8" s="2127">
        <v>45321</v>
      </c>
      <c r="R8" s="1936" t="s">
        <v>2682</v>
      </c>
      <c r="S8" s="2127">
        <v>45322</v>
      </c>
      <c r="T8" s="1936" t="s">
        <v>2682</v>
      </c>
      <c r="U8" s="2127">
        <v>45370</v>
      </c>
      <c r="V8" s="1936" t="s">
        <v>2682</v>
      </c>
      <c r="W8" s="2127">
        <v>45390</v>
      </c>
      <c r="X8" s="1936" t="s">
        <v>2682</v>
      </c>
      <c r="Y8" s="2127">
        <v>45406</v>
      </c>
      <c r="Z8" s="1936" t="s">
        <v>2682</v>
      </c>
      <c r="AA8" s="1958" t="s">
        <v>1195</v>
      </c>
      <c r="AB8" s="1958" t="s">
        <v>2296</v>
      </c>
      <c r="AC8" s="1961" t="s">
        <v>2727</v>
      </c>
      <c r="AD8" s="1958"/>
      <c r="AE8" s="1958"/>
      <c r="AF8" s="1958"/>
      <c r="AQ8" s="1945"/>
      <c r="AR8" s="1945"/>
      <c r="AS8" s="1945"/>
      <c r="AT8" s="1946"/>
    </row>
    <row r="9" spans="1:137" s="1944" customFormat="1" ht="64">
      <c r="A9" s="294">
        <f>+A8+1</f>
        <v>4</v>
      </c>
      <c r="B9" s="295" t="s">
        <v>2849</v>
      </c>
      <c r="C9" s="294" t="s">
        <v>2850</v>
      </c>
      <c r="D9" s="296">
        <f>+J9</f>
        <v>1202000</v>
      </c>
      <c r="E9" s="298">
        <v>0</v>
      </c>
      <c r="F9" s="297">
        <v>1</v>
      </c>
      <c r="G9" s="297">
        <v>0</v>
      </c>
      <c r="H9" s="297">
        <v>0</v>
      </c>
      <c r="I9" s="1966" t="str">
        <f>'8_MP'!$D$342</f>
        <v>2.3.1.1.5.2</v>
      </c>
      <c r="J9" s="298">
        <f>'8_MP'!$AN$342</f>
        <v>1202000</v>
      </c>
      <c r="K9" s="2127">
        <v>45448</v>
      </c>
      <c r="L9" s="1936" t="s">
        <v>2682</v>
      </c>
      <c r="M9" s="2127">
        <v>45492</v>
      </c>
      <c r="N9" s="1936" t="s">
        <v>2682</v>
      </c>
      <c r="O9" s="2127">
        <v>45527</v>
      </c>
      <c r="P9" s="1936" t="s">
        <v>2682</v>
      </c>
      <c r="Q9" s="2127">
        <v>45576</v>
      </c>
      <c r="R9" s="1936" t="s">
        <v>2682</v>
      </c>
      <c r="S9" s="2127">
        <v>45579</v>
      </c>
      <c r="T9" s="1936" t="s">
        <v>2682</v>
      </c>
      <c r="U9" s="2127">
        <v>45625</v>
      </c>
      <c r="V9" s="1936" t="s">
        <v>2682</v>
      </c>
      <c r="W9" s="2127">
        <v>45645</v>
      </c>
      <c r="X9" s="1936" t="s">
        <v>2682</v>
      </c>
      <c r="Y9" s="2127">
        <v>45663</v>
      </c>
      <c r="Z9" s="1936" t="s">
        <v>2682</v>
      </c>
      <c r="AA9" s="1958" t="s">
        <v>1195</v>
      </c>
      <c r="AB9" s="1958" t="s">
        <v>853</v>
      </c>
      <c r="AC9" s="1961" t="s">
        <v>2727</v>
      </c>
      <c r="AD9" s="1958"/>
      <c r="AE9" s="1958"/>
      <c r="AF9" s="1958"/>
      <c r="AQ9" s="1945"/>
      <c r="AR9" s="1945"/>
      <c r="AS9" s="1945"/>
      <c r="AT9" s="1946"/>
    </row>
    <row r="10" spans="1:137" s="1944" customFormat="1" ht="32">
      <c r="A10" s="294">
        <f>+A9+1</f>
        <v>5</v>
      </c>
      <c r="B10" s="295" t="s">
        <v>2851</v>
      </c>
      <c r="C10" s="294" t="s">
        <v>2852</v>
      </c>
      <c r="D10" s="296">
        <f>+J10</f>
        <v>223000</v>
      </c>
      <c r="E10" s="298">
        <v>0</v>
      </c>
      <c r="F10" s="297">
        <v>1</v>
      </c>
      <c r="G10" s="297">
        <v>0</v>
      </c>
      <c r="H10" s="297">
        <v>0</v>
      </c>
      <c r="I10" s="1966" t="str">
        <f>'8_MP'!$D$360</f>
        <v>2.3.1.2.2</v>
      </c>
      <c r="J10" s="298">
        <f>'8_MP'!$AN$360</f>
        <v>223000</v>
      </c>
      <c r="K10" s="2127">
        <v>45190</v>
      </c>
      <c r="L10" s="1936" t="s">
        <v>2682</v>
      </c>
      <c r="M10" s="2127">
        <v>45236</v>
      </c>
      <c r="N10" s="1936" t="s">
        <v>2682</v>
      </c>
      <c r="O10" s="2127">
        <v>45271</v>
      </c>
      <c r="P10" s="1936" t="s">
        <v>2682</v>
      </c>
      <c r="Q10" s="2127">
        <v>45320</v>
      </c>
      <c r="R10" s="1936" t="s">
        <v>2682</v>
      </c>
      <c r="S10" s="2127">
        <v>45321</v>
      </c>
      <c r="T10" s="1936" t="s">
        <v>2682</v>
      </c>
      <c r="U10" s="2127">
        <v>45369</v>
      </c>
      <c r="V10" s="1936" t="s">
        <v>2682</v>
      </c>
      <c r="W10" s="2127">
        <v>45387</v>
      </c>
      <c r="X10" s="1936" t="s">
        <v>2682</v>
      </c>
      <c r="Y10" s="2127">
        <v>45405</v>
      </c>
      <c r="Z10" s="1936" t="s">
        <v>2682</v>
      </c>
      <c r="AA10" s="1958" t="s">
        <v>1195</v>
      </c>
      <c r="AB10" s="1958" t="s">
        <v>853</v>
      </c>
      <c r="AC10" s="1961" t="s">
        <v>2727</v>
      </c>
      <c r="AD10" s="1958"/>
      <c r="AE10" s="1958"/>
      <c r="AF10" s="1958"/>
      <c r="AQ10" s="1945"/>
      <c r="AR10" s="1945"/>
      <c r="AS10" s="1945"/>
      <c r="AT10" s="1946"/>
    </row>
    <row r="11" spans="1:137" s="1949" customFormat="1">
      <c r="A11" s="4221" t="s">
        <v>2740</v>
      </c>
      <c r="B11" s="4221"/>
      <c r="C11" s="4221"/>
      <c r="D11" s="1948">
        <f>SUM(D7:D10)</f>
        <v>1925000</v>
      </c>
      <c r="E11" s="1948">
        <f>SUM(E7:E10)</f>
        <v>0</v>
      </c>
      <c r="F11" s="4221"/>
      <c r="G11" s="4221"/>
      <c r="H11" s="4221"/>
      <c r="I11" s="4221"/>
      <c r="J11" s="4221"/>
      <c r="K11" s="4221"/>
      <c r="L11" s="4221"/>
      <c r="M11" s="4221"/>
      <c r="N11" s="4221"/>
      <c r="O11" s="4221"/>
      <c r="P11" s="4221"/>
      <c r="Q11" s="4221"/>
      <c r="R11" s="4221"/>
      <c r="S11" s="4221"/>
      <c r="T11" s="4221"/>
      <c r="U11" s="4221"/>
      <c r="V11" s="4221"/>
      <c r="W11" s="4221"/>
      <c r="X11" s="4221"/>
      <c r="Y11" s="4221"/>
      <c r="Z11" s="4221"/>
      <c r="AA11" s="4221"/>
      <c r="AB11" s="4221"/>
      <c r="AC11" s="4221"/>
      <c r="AD11" s="4221"/>
      <c r="AE11" s="4221"/>
      <c r="AF11" s="4221"/>
      <c r="AQ11" s="1950"/>
      <c r="AR11" s="1945"/>
      <c r="AS11" s="1950"/>
      <c r="AT11" s="1951"/>
    </row>
    <row r="12" spans="1:137" s="264" customFormat="1">
      <c r="AQ12" s="1952"/>
      <c r="AR12" s="253"/>
      <c r="AS12" s="1952"/>
      <c r="AT12" s="1953"/>
    </row>
    <row r="13" spans="1:137" ht="31">
      <c r="A13" s="4218" t="s">
        <v>2741</v>
      </c>
      <c r="B13" s="4219"/>
      <c r="C13" s="4219"/>
      <c r="D13" s="4219"/>
      <c r="E13" s="4219"/>
      <c r="F13" s="4219"/>
      <c r="G13" s="4219"/>
      <c r="H13" s="4219"/>
      <c r="I13" s="4219"/>
      <c r="J13" s="4219"/>
      <c r="K13" s="4219"/>
      <c r="L13" s="4219"/>
      <c r="M13" s="4219"/>
      <c r="N13" s="4219"/>
      <c r="O13" s="4219"/>
      <c r="P13" s="4219"/>
      <c r="Q13" s="4219"/>
      <c r="R13" s="4219"/>
      <c r="S13" s="4219"/>
      <c r="T13" s="4219"/>
      <c r="U13" s="4219"/>
      <c r="V13" s="4219"/>
      <c r="W13" s="4219"/>
      <c r="X13" s="4219"/>
      <c r="Y13" s="4219"/>
      <c r="Z13" s="4219"/>
      <c r="AA13" s="4219"/>
      <c r="AB13" s="4219"/>
      <c r="AC13" s="4219"/>
      <c r="AD13" s="4220"/>
      <c r="AQ13" s="253"/>
      <c r="AR13" s="253" t="s">
        <v>2742</v>
      </c>
      <c r="AS13" s="253"/>
      <c r="AT13" s="1939"/>
    </row>
    <row r="14" spans="1:137" ht="23.5" hidden="1" customHeight="1" outlineLevel="1">
      <c r="A14" s="4186" t="s">
        <v>2662</v>
      </c>
      <c r="B14" s="4186"/>
      <c r="C14" s="4186"/>
      <c r="D14" s="4186" t="s">
        <v>2663</v>
      </c>
      <c r="E14" s="4186"/>
      <c r="F14" s="4186"/>
      <c r="G14" s="4186"/>
      <c r="H14" s="4186"/>
      <c r="I14" s="4187" t="s">
        <v>1686</v>
      </c>
      <c r="J14" s="4187" t="s">
        <v>610</v>
      </c>
      <c r="K14" s="4186" t="s">
        <v>2664</v>
      </c>
      <c r="L14" s="4186"/>
      <c r="M14" s="4186"/>
      <c r="N14" s="4186"/>
      <c r="O14" s="4186"/>
      <c r="P14" s="4186"/>
      <c r="Q14" s="4186"/>
      <c r="R14" s="4186"/>
      <c r="S14" s="4186"/>
      <c r="T14" s="4186"/>
      <c r="U14" s="4186"/>
      <c r="V14" s="4186"/>
      <c r="W14" s="4186"/>
      <c r="X14" s="4186"/>
      <c r="Y14" s="4186" t="s">
        <v>2665</v>
      </c>
      <c r="Z14" s="4186"/>
      <c r="AA14" s="4186"/>
      <c r="AB14" s="4186"/>
      <c r="AC14" s="4186"/>
      <c r="AD14" s="4186"/>
      <c r="AQ14" s="253"/>
      <c r="AR14" s="253" t="s">
        <v>2719</v>
      </c>
      <c r="AS14" s="253"/>
      <c r="AT14" s="1939"/>
    </row>
    <row r="15" spans="1:137" ht="47" hidden="1" customHeight="1" outlineLevel="1">
      <c r="A15" s="410" t="s">
        <v>2666</v>
      </c>
      <c r="B15" s="309" t="s">
        <v>2667</v>
      </c>
      <c r="C15" s="309" t="s">
        <v>2668</v>
      </c>
      <c r="D15" s="309" t="s">
        <v>2669</v>
      </c>
      <c r="E15" s="309" t="s">
        <v>2670</v>
      </c>
      <c r="F15" s="309" t="s">
        <v>2671</v>
      </c>
      <c r="G15" s="309" t="s">
        <v>2672</v>
      </c>
      <c r="H15" s="309" t="s">
        <v>2673</v>
      </c>
      <c r="I15" s="4187"/>
      <c r="J15" s="4187"/>
      <c r="K15" s="4183" t="s">
        <v>2720</v>
      </c>
      <c r="L15" s="4183"/>
      <c r="M15" s="4183" t="s">
        <v>2721</v>
      </c>
      <c r="N15" s="4183"/>
      <c r="O15" s="4183" t="s">
        <v>2722</v>
      </c>
      <c r="P15" s="4183"/>
      <c r="Q15" s="4183" t="s">
        <v>2676</v>
      </c>
      <c r="R15" s="4183"/>
      <c r="S15" s="4183" t="s">
        <v>2743</v>
      </c>
      <c r="T15" s="4183"/>
      <c r="U15" s="4183" t="s">
        <v>2710</v>
      </c>
      <c r="V15" s="4183"/>
      <c r="W15" s="4183" t="s">
        <v>2678</v>
      </c>
      <c r="X15" s="4183"/>
      <c r="Y15" s="309" t="s">
        <v>2723</v>
      </c>
      <c r="Z15" s="309" t="s">
        <v>2724</v>
      </c>
      <c r="AA15" s="309" t="s">
        <v>2695</v>
      </c>
      <c r="AB15" s="309" t="s">
        <v>2696</v>
      </c>
      <c r="AC15" s="309" t="s">
        <v>2697</v>
      </c>
      <c r="AD15" s="309" t="s">
        <v>2698</v>
      </c>
      <c r="AQ15" s="253"/>
      <c r="AR15" s="253" t="s">
        <v>2744</v>
      </c>
      <c r="AS15" s="253"/>
      <c r="AT15" s="1939"/>
    </row>
    <row r="16" spans="1:137" ht="16" hidden="1" outlineLevel="1">
      <c r="A16" s="1954"/>
      <c r="B16" s="1954"/>
      <c r="C16" s="1954"/>
      <c r="D16" s="1954"/>
      <c r="E16" s="1954"/>
      <c r="F16" s="1954"/>
      <c r="G16" s="1954"/>
      <c r="H16" s="1954"/>
      <c r="I16" s="1954"/>
      <c r="J16" s="1954"/>
      <c r="K16" s="286" t="s">
        <v>2691</v>
      </c>
      <c r="L16" s="1947" t="s">
        <v>2682</v>
      </c>
      <c r="M16" s="286" t="s">
        <v>2691</v>
      </c>
      <c r="N16" s="1947" t="s">
        <v>2682</v>
      </c>
      <c r="O16" s="286" t="s">
        <v>2691</v>
      </c>
      <c r="P16" s="1947" t="s">
        <v>2682</v>
      </c>
      <c r="Q16" s="286" t="s">
        <v>2691</v>
      </c>
      <c r="R16" s="1947" t="s">
        <v>2682</v>
      </c>
      <c r="S16" s="286" t="s">
        <v>2691</v>
      </c>
      <c r="T16" s="1947" t="s">
        <v>2682</v>
      </c>
      <c r="U16" s="286" t="s">
        <v>2691</v>
      </c>
      <c r="V16" s="1947" t="s">
        <v>2682</v>
      </c>
      <c r="W16" s="286" t="s">
        <v>2691</v>
      </c>
      <c r="X16" s="1947" t="s">
        <v>2682</v>
      </c>
      <c r="Y16" s="1954"/>
      <c r="Z16" s="1954"/>
      <c r="AA16" s="1954"/>
      <c r="AB16" s="1954"/>
      <c r="AC16" s="1954"/>
      <c r="AD16" s="1954"/>
      <c r="AQ16" s="253"/>
      <c r="AR16" s="253" t="s">
        <v>2719</v>
      </c>
      <c r="AS16" s="253"/>
      <c r="AT16" s="1939"/>
    </row>
    <row r="17" spans="1:46" s="1949" customFormat="1" hidden="1" outlineLevel="1">
      <c r="A17" s="4221" t="s">
        <v>2745</v>
      </c>
      <c r="B17" s="4221"/>
      <c r="C17" s="4221"/>
      <c r="D17" s="1948">
        <f>SUM(D14:D16)</f>
        <v>0</v>
      </c>
      <c r="E17" s="1948">
        <f>SUM(E14:E16)</f>
        <v>0</v>
      </c>
      <c r="F17" s="4224"/>
      <c r="G17" s="4225"/>
      <c r="H17" s="4225"/>
      <c r="I17" s="4225"/>
      <c r="J17" s="4225"/>
      <c r="K17" s="4225"/>
      <c r="L17" s="4225"/>
      <c r="M17" s="4225"/>
      <c r="N17" s="4225"/>
      <c r="O17" s="4225"/>
      <c r="P17" s="4225"/>
      <c r="Q17" s="4225"/>
      <c r="R17" s="4225"/>
      <c r="S17" s="4225"/>
      <c r="T17" s="4225"/>
      <c r="U17" s="4225"/>
      <c r="V17" s="4225"/>
      <c r="W17" s="4225"/>
      <c r="X17" s="4225"/>
      <c r="Y17" s="4225"/>
      <c r="Z17" s="4225"/>
      <c r="AA17" s="4225"/>
      <c r="AB17" s="4225"/>
      <c r="AC17" s="4225"/>
      <c r="AD17" s="4226"/>
      <c r="AO17" s="1950"/>
      <c r="AP17" s="1945"/>
      <c r="AQ17" s="1950"/>
      <c r="AR17" s="1951"/>
    </row>
    <row r="18" spans="1:46" s="264" customFormat="1" collapsed="1">
      <c r="AQ18" s="1952"/>
      <c r="AR18" s="253" t="s">
        <v>2719</v>
      </c>
      <c r="AS18" s="1952"/>
      <c r="AT18" s="1953"/>
    </row>
    <row r="19" spans="1:46" ht="31">
      <c r="A19" s="4218" t="s">
        <v>2746</v>
      </c>
      <c r="B19" s="4219"/>
      <c r="C19" s="4219"/>
      <c r="D19" s="4219"/>
      <c r="E19" s="4219"/>
      <c r="F19" s="4219"/>
      <c r="G19" s="4219"/>
      <c r="H19" s="4219"/>
      <c r="I19" s="4219"/>
      <c r="J19" s="4219"/>
      <c r="K19" s="4219"/>
      <c r="L19" s="4219"/>
      <c r="M19" s="4219"/>
      <c r="N19" s="4219"/>
      <c r="O19" s="4219"/>
      <c r="P19" s="4219"/>
      <c r="Q19" s="4219"/>
      <c r="R19" s="4219"/>
      <c r="S19" s="4219"/>
      <c r="T19" s="4219"/>
      <c r="U19" s="4219"/>
      <c r="V19" s="4219"/>
      <c r="W19" s="4219"/>
      <c r="X19" s="4219"/>
      <c r="Y19" s="4219"/>
      <c r="Z19" s="4220"/>
    </row>
    <row r="20" spans="1:46" ht="23.5" customHeight="1">
      <c r="A20" s="4186" t="s">
        <v>2662</v>
      </c>
      <c r="B20" s="4186"/>
      <c r="C20" s="4186"/>
      <c r="D20" s="4186" t="s">
        <v>2663</v>
      </c>
      <c r="E20" s="4186"/>
      <c r="F20" s="4186"/>
      <c r="G20" s="4186"/>
      <c r="H20" s="4186"/>
      <c r="I20" s="4187" t="s">
        <v>1686</v>
      </c>
      <c r="J20" s="4187" t="s">
        <v>610</v>
      </c>
      <c r="K20" s="4186" t="s">
        <v>2664</v>
      </c>
      <c r="L20" s="4186"/>
      <c r="M20" s="4186"/>
      <c r="N20" s="4186"/>
      <c r="O20" s="4186"/>
      <c r="P20" s="4186"/>
      <c r="Q20" s="4186"/>
      <c r="R20" s="4186"/>
      <c r="S20" s="4186"/>
      <c r="T20" s="4186"/>
      <c r="U20" s="4186" t="s">
        <v>2665</v>
      </c>
      <c r="V20" s="4186"/>
      <c r="W20" s="4186"/>
      <c r="X20" s="4186"/>
      <c r="Y20" s="4186"/>
      <c r="Z20" s="4186"/>
    </row>
    <row r="21" spans="1:46" ht="51">
      <c r="A21" s="410" t="s">
        <v>2666</v>
      </c>
      <c r="B21" s="309" t="s">
        <v>2667</v>
      </c>
      <c r="C21" s="309" t="s">
        <v>2668</v>
      </c>
      <c r="D21" s="309" t="s">
        <v>2669</v>
      </c>
      <c r="E21" s="309" t="s">
        <v>2670</v>
      </c>
      <c r="F21" s="309" t="s">
        <v>2671</v>
      </c>
      <c r="G21" s="309" t="s">
        <v>2672</v>
      </c>
      <c r="H21" s="309" t="s">
        <v>2673</v>
      </c>
      <c r="I21" s="4187"/>
      <c r="J21" s="4187"/>
      <c r="K21" s="4183" t="s">
        <v>2720</v>
      </c>
      <c r="L21" s="4183"/>
      <c r="M21" s="4183" t="s">
        <v>2721</v>
      </c>
      <c r="N21" s="4183"/>
      <c r="O21" s="4183" t="s">
        <v>2743</v>
      </c>
      <c r="P21" s="4183"/>
      <c r="Q21" s="4183" t="s">
        <v>2710</v>
      </c>
      <c r="R21" s="4183"/>
      <c r="S21" s="4183" t="s">
        <v>2678</v>
      </c>
      <c r="T21" s="4183"/>
      <c r="U21" s="309" t="s">
        <v>2723</v>
      </c>
      <c r="V21" s="309" t="s">
        <v>2724</v>
      </c>
      <c r="W21" s="309" t="s">
        <v>2695</v>
      </c>
      <c r="X21" s="309" t="s">
        <v>2696</v>
      </c>
      <c r="Y21" s="309" t="s">
        <v>2697</v>
      </c>
      <c r="Z21" s="309" t="s">
        <v>2698</v>
      </c>
    </row>
    <row r="22" spans="1:46" s="1944" customFormat="1" ht="27.5" customHeight="1">
      <c r="A22" s="4205">
        <f>+A10+1</f>
        <v>6</v>
      </c>
      <c r="B22" s="4207" t="s">
        <v>2855</v>
      </c>
      <c r="C22" s="4205" t="s">
        <v>2186</v>
      </c>
      <c r="D22" s="4203">
        <f>+J22</f>
        <v>0</v>
      </c>
      <c r="E22" s="4203"/>
      <c r="F22" s="4209">
        <v>1</v>
      </c>
      <c r="G22" s="4209">
        <v>0</v>
      </c>
      <c r="H22" s="4209">
        <v>0</v>
      </c>
      <c r="I22" s="1966">
        <f>'8_MP'!D256</f>
        <v>0</v>
      </c>
      <c r="J22" s="4203">
        <f>'8_MP'!AN256</f>
        <v>0</v>
      </c>
      <c r="K22" s="4191">
        <v>45191</v>
      </c>
      <c r="L22" s="4194" t="s">
        <v>2682</v>
      </c>
      <c r="M22" s="4191">
        <v>45230</v>
      </c>
      <c r="N22" s="4194" t="s">
        <v>2682</v>
      </c>
      <c r="O22" s="4191">
        <v>45334</v>
      </c>
      <c r="P22" s="4194" t="s">
        <v>2682</v>
      </c>
      <c r="Q22" s="4191">
        <v>45338</v>
      </c>
      <c r="R22" s="4194" t="s">
        <v>2682</v>
      </c>
      <c r="S22" s="4191">
        <v>45356</v>
      </c>
      <c r="T22" s="4194" t="s">
        <v>2682</v>
      </c>
      <c r="U22" s="4197" t="s">
        <v>1198</v>
      </c>
      <c r="V22" s="4197" t="s">
        <v>838</v>
      </c>
      <c r="W22" s="4200" t="s">
        <v>2267</v>
      </c>
      <c r="X22" s="4197"/>
      <c r="Y22" s="4197"/>
      <c r="Z22" s="4197"/>
      <c r="AJ22" s="1945"/>
      <c r="AK22" s="1945"/>
      <c r="AL22" s="1945"/>
      <c r="AM22" s="1946"/>
    </row>
    <row r="23" spans="1:46" s="1944" customFormat="1" ht="27.5" customHeight="1">
      <c r="A23" s="4206"/>
      <c r="B23" s="4208"/>
      <c r="C23" s="4206"/>
      <c r="D23" s="4204"/>
      <c r="E23" s="4204"/>
      <c r="F23" s="4210"/>
      <c r="G23" s="4210"/>
      <c r="H23" s="4210"/>
      <c r="I23" s="1966">
        <f>'8_MP'!D257</f>
        <v>0</v>
      </c>
      <c r="J23" s="4204"/>
      <c r="K23" s="4275"/>
      <c r="L23" s="4196"/>
      <c r="M23" s="4275"/>
      <c r="N23" s="4196"/>
      <c r="O23" s="4275"/>
      <c r="P23" s="4196"/>
      <c r="Q23" s="4275"/>
      <c r="R23" s="4196"/>
      <c r="S23" s="4275"/>
      <c r="T23" s="4196"/>
      <c r="U23" s="4199"/>
      <c r="V23" s="4199"/>
      <c r="W23" s="4202"/>
      <c r="X23" s="4199"/>
      <c r="Y23" s="4199"/>
      <c r="Z23" s="4199"/>
      <c r="AJ23" s="1945"/>
      <c r="AK23" s="1945"/>
      <c r="AL23" s="1945"/>
      <c r="AM23" s="1946"/>
    </row>
    <row r="24" spans="1:46" s="1944" customFormat="1" ht="32">
      <c r="A24" s="294">
        <f>+A22+1</f>
        <v>7</v>
      </c>
      <c r="B24" s="295" t="s">
        <v>2856</v>
      </c>
      <c r="C24" s="294" t="s">
        <v>2174</v>
      </c>
      <c r="D24" s="296">
        <f>+J24</f>
        <v>0</v>
      </c>
      <c r="E24" s="321"/>
      <c r="F24" s="297">
        <v>1</v>
      </c>
      <c r="G24" s="297">
        <v>0</v>
      </c>
      <c r="H24" s="297">
        <v>0</v>
      </c>
      <c r="I24" s="294">
        <f>'8_MP'!$D$293</f>
        <v>0</v>
      </c>
      <c r="J24" s="298">
        <f>'8_MP'!$AN$293/2</f>
        <v>0</v>
      </c>
      <c r="K24" s="2127">
        <v>45191</v>
      </c>
      <c r="L24" s="1947" t="s">
        <v>2682</v>
      </c>
      <c r="M24" s="2127">
        <v>45230</v>
      </c>
      <c r="N24" s="1947" t="s">
        <v>2682</v>
      </c>
      <c r="O24" s="2127">
        <v>45334</v>
      </c>
      <c r="P24" s="1947" t="s">
        <v>2682</v>
      </c>
      <c r="Q24" s="2127">
        <v>45338</v>
      </c>
      <c r="R24" s="1947" t="s">
        <v>2682</v>
      </c>
      <c r="S24" s="2127">
        <v>45356</v>
      </c>
      <c r="T24" s="1947" t="s">
        <v>2682</v>
      </c>
      <c r="U24" s="299" t="s">
        <v>1198</v>
      </c>
      <c r="V24" s="299" t="s">
        <v>838</v>
      </c>
      <c r="W24" s="1978" t="s">
        <v>2267</v>
      </c>
      <c r="X24" s="294"/>
      <c r="Y24" s="294"/>
      <c r="Z24" s="294"/>
      <c r="AK24" s="1945"/>
      <c r="AL24" s="1945" t="s">
        <v>2749</v>
      </c>
      <c r="AM24" s="1945"/>
      <c r="AN24" s="1946"/>
    </row>
    <row r="25" spans="1:46" s="1944" customFormat="1" ht="32">
      <c r="A25" s="294">
        <f>+A24+1</f>
        <v>8</v>
      </c>
      <c r="B25" s="295" t="s">
        <v>2857</v>
      </c>
      <c r="C25" s="294" t="s">
        <v>2174</v>
      </c>
      <c r="D25" s="296">
        <f>+J25</f>
        <v>0</v>
      </c>
      <c r="E25" s="321"/>
      <c r="F25" s="297">
        <v>1</v>
      </c>
      <c r="G25" s="297">
        <v>0</v>
      </c>
      <c r="H25" s="297">
        <v>0</v>
      </c>
      <c r="I25" s="294">
        <f>'8_MP'!$D$296</f>
        <v>0</v>
      </c>
      <c r="J25" s="298">
        <f>'8_MP'!$AN$296/2</f>
        <v>0</v>
      </c>
      <c r="K25" s="2127">
        <v>45191</v>
      </c>
      <c r="L25" s="1947" t="s">
        <v>2682</v>
      </c>
      <c r="M25" s="2127">
        <v>45230</v>
      </c>
      <c r="N25" s="1947" t="s">
        <v>2682</v>
      </c>
      <c r="O25" s="2127">
        <v>45334</v>
      </c>
      <c r="P25" s="1947" t="s">
        <v>2682</v>
      </c>
      <c r="Q25" s="2127">
        <v>45338</v>
      </c>
      <c r="R25" s="1947" t="s">
        <v>2682</v>
      </c>
      <c r="S25" s="2127">
        <v>45356</v>
      </c>
      <c r="T25" s="1947" t="s">
        <v>2682</v>
      </c>
      <c r="U25" s="299" t="s">
        <v>1198</v>
      </c>
      <c r="V25" s="299" t="s">
        <v>838</v>
      </c>
      <c r="W25" s="1978" t="s">
        <v>2267</v>
      </c>
      <c r="X25" s="294"/>
      <c r="Y25" s="294"/>
      <c r="Z25" s="294"/>
      <c r="AK25" s="1945"/>
      <c r="AL25" s="1945"/>
      <c r="AM25" s="1945"/>
      <c r="AN25" s="1946"/>
    </row>
    <row r="26" spans="1:46" s="1944" customFormat="1" ht="32">
      <c r="A26" s="294">
        <f>+A25+1</f>
        <v>9</v>
      </c>
      <c r="B26" s="295" t="s">
        <v>2858</v>
      </c>
      <c r="C26" s="294" t="s">
        <v>2174</v>
      </c>
      <c r="D26" s="296">
        <f>+J26</f>
        <v>0</v>
      </c>
      <c r="E26" s="321"/>
      <c r="F26" s="297">
        <v>1</v>
      </c>
      <c r="G26" s="297">
        <v>0</v>
      </c>
      <c r="H26" s="297">
        <v>0</v>
      </c>
      <c r="I26" s="294">
        <f>'8_MP'!$D$305</f>
        <v>0</v>
      </c>
      <c r="J26" s="298">
        <f>'8_MP'!$AN$305</f>
        <v>0</v>
      </c>
      <c r="K26" s="2127">
        <v>45191</v>
      </c>
      <c r="L26" s="1947" t="s">
        <v>2682</v>
      </c>
      <c r="M26" s="2127">
        <v>45230</v>
      </c>
      <c r="N26" s="1947" t="s">
        <v>2682</v>
      </c>
      <c r="O26" s="2127">
        <v>45334</v>
      </c>
      <c r="P26" s="1947" t="s">
        <v>2682</v>
      </c>
      <c r="Q26" s="2127">
        <v>45338</v>
      </c>
      <c r="R26" s="1947" t="s">
        <v>2682</v>
      </c>
      <c r="S26" s="2127">
        <v>45356</v>
      </c>
      <c r="T26" s="1947" t="s">
        <v>2682</v>
      </c>
      <c r="U26" s="299" t="s">
        <v>1198</v>
      </c>
      <c r="V26" s="299" t="s">
        <v>838</v>
      </c>
      <c r="W26" s="1978" t="s">
        <v>2267</v>
      </c>
      <c r="X26" s="294"/>
      <c r="Y26" s="294"/>
      <c r="Z26" s="294"/>
      <c r="AK26" s="1945"/>
      <c r="AL26" s="1945" t="s">
        <v>2749</v>
      </c>
      <c r="AM26" s="1945"/>
      <c r="AN26" s="1946"/>
    </row>
    <row r="27" spans="1:46" s="264" customFormat="1">
      <c r="A27" s="4229" t="s">
        <v>2750</v>
      </c>
      <c r="B27" s="4229"/>
      <c r="C27" s="4229"/>
      <c r="D27" s="414">
        <f>SUM(D22:D26)</f>
        <v>0</v>
      </c>
      <c r="E27" s="414">
        <f>SUM(E22:E26)</f>
        <v>0</v>
      </c>
      <c r="F27" s="4230"/>
      <c r="G27" s="4230"/>
      <c r="H27" s="4230"/>
      <c r="I27" s="4230"/>
      <c r="J27" s="4230"/>
      <c r="K27" s="4230"/>
      <c r="L27" s="4230"/>
      <c r="M27" s="4230"/>
      <c r="N27" s="4230"/>
      <c r="O27" s="4230"/>
      <c r="P27" s="4230"/>
      <c r="Q27" s="4230"/>
      <c r="R27" s="4230"/>
      <c r="S27" s="4230"/>
      <c r="T27" s="4230"/>
      <c r="U27" s="4230"/>
      <c r="V27" s="4230"/>
      <c r="W27" s="4230"/>
      <c r="X27" s="4230"/>
      <c r="Y27" s="4230"/>
      <c r="Z27" s="4230"/>
    </row>
    <row r="28" spans="1:46" s="264" customFormat="1"/>
    <row r="29" spans="1:46" ht="31">
      <c r="A29" s="4218" t="s">
        <v>2751</v>
      </c>
      <c r="B29" s="4219"/>
      <c r="C29" s="4219"/>
      <c r="D29" s="4219"/>
      <c r="E29" s="4219"/>
      <c r="F29" s="4219"/>
      <c r="G29" s="4219"/>
      <c r="H29" s="4219"/>
      <c r="I29" s="4219"/>
      <c r="J29" s="4219"/>
      <c r="K29" s="4219"/>
      <c r="L29" s="4219"/>
      <c r="M29" s="4219"/>
      <c r="N29" s="4219"/>
      <c r="O29" s="4219"/>
      <c r="P29" s="4219"/>
      <c r="Q29" s="4219"/>
      <c r="R29" s="4219"/>
      <c r="S29" s="4219"/>
      <c r="T29" s="4219"/>
      <c r="U29" s="4219"/>
      <c r="V29" s="4220"/>
    </row>
    <row r="30" spans="1:46" ht="23.5" customHeight="1">
      <c r="A30" s="4186" t="s">
        <v>2662</v>
      </c>
      <c r="B30" s="4186"/>
      <c r="C30" s="4186"/>
      <c r="D30" s="4186" t="s">
        <v>2663</v>
      </c>
      <c r="E30" s="4186"/>
      <c r="F30" s="4186"/>
      <c r="G30" s="4186"/>
      <c r="H30" s="4186"/>
      <c r="I30" s="4187" t="s">
        <v>1686</v>
      </c>
      <c r="J30" s="4187" t="s">
        <v>610</v>
      </c>
      <c r="K30" s="4186" t="s">
        <v>2664</v>
      </c>
      <c r="L30" s="4186"/>
      <c r="M30" s="4186"/>
      <c r="N30" s="4186"/>
      <c r="O30" s="4186"/>
      <c r="P30" s="4186"/>
      <c r="Q30" s="4186" t="s">
        <v>2665</v>
      </c>
      <c r="R30" s="4186"/>
      <c r="S30" s="4186"/>
      <c r="T30" s="4186"/>
      <c r="U30" s="4186"/>
      <c r="V30" s="4186"/>
    </row>
    <row r="31" spans="1:46" ht="51">
      <c r="A31" s="410" t="s">
        <v>2666</v>
      </c>
      <c r="B31" s="309" t="s">
        <v>2667</v>
      </c>
      <c r="C31" s="309" t="s">
        <v>2668</v>
      </c>
      <c r="D31" s="309" t="s">
        <v>2669</v>
      </c>
      <c r="E31" s="309" t="s">
        <v>2670</v>
      </c>
      <c r="F31" s="309" t="s">
        <v>2671</v>
      </c>
      <c r="G31" s="309" t="s">
        <v>2672</v>
      </c>
      <c r="H31" s="309" t="s">
        <v>2673</v>
      </c>
      <c r="I31" s="4187"/>
      <c r="J31" s="4187"/>
      <c r="K31" s="4183" t="s">
        <v>2752</v>
      </c>
      <c r="L31" s="4183"/>
      <c r="M31" s="4183" t="s">
        <v>2710</v>
      </c>
      <c r="N31" s="4183"/>
      <c r="O31" s="4183" t="s">
        <v>2678</v>
      </c>
      <c r="P31" s="4183"/>
      <c r="Q31" s="309" t="s">
        <v>2723</v>
      </c>
      <c r="R31" s="309" t="s">
        <v>2724</v>
      </c>
      <c r="S31" s="309" t="s">
        <v>2695</v>
      </c>
      <c r="T31" s="309" t="s">
        <v>2696</v>
      </c>
      <c r="U31" s="309" t="s">
        <v>2697</v>
      </c>
      <c r="V31" s="309" t="s">
        <v>2698</v>
      </c>
    </row>
    <row r="32" spans="1:46" ht="16">
      <c r="A32" s="294">
        <f>+A26+1</f>
        <v>10</v>
      </c>
      <c r="B32" s="284" t="s">
        <v>2862</v>
      </c>
      <c r="C32" s="283" t="s">
        <v>2174</v>
      </c>
      <c r="D32" s="323">
        <f>+J32</f>
        <v>0</v>
      </c>
      <c r="E32" s="324"/>
      <c r="F32" s="297">
        <v>1</v>
      </c>
      <c r="G32" s="297">
        <v>0</v>
      </c>
      <c r="H32" s="297">
        <v>0</v>
      </c>
      <c r="I32" s="1968">
        <f>'8_MP'!$D$294</f>
        <v>0</v>
      </c>
      <c r="J32" s="1968">
        <f>'8_MP'!$AN$294/2</f>
        <v>0</v>
      </c>
      <c r="K32" s="2127">
        <v>45526</v>
      </c>
      <c r="L32" s="1947" t="s">
        <v>2682</v>
      </c>
      <c r="M32" s="2127">
        <v>45558</v>
      </c>
      <c r="N32" s="1947" t="s">
        <v>2682</v>
      </c>
      <c r="O32" s="2127">
        <v>45568</v>
      </c>
      <c r="P32" s="1947" t="s">
        <v>2682</v>
      </c>
      <c r="Q32" s="283"/>
      <c r="R32" s="283" t="s">
        <v>1202</v>
      </c>
      <c r="S32" s="283" t="s">
        <v>2727</v>
      </c>
      <c r="T32" s="1954"/>
      <c r="U32" s="1954"/>
      <c r="V32" s="1954"/>
    </row>
    <row r="33" spans="1:31" ht="16">
      <c r="A33" s="294">
        <f>+A32+1</f>
        <v>11</v>
      </c>
      <c r="B33" s="284" t="s">
        <v>2863</v>
      </c>
      <c r="C33" s="283" t="s">
        <v>2174</v>
      </c>
      <c r="D33" s="323">
        <f>+J33</f>
        <v>0</v>
      </c>
      <c r="E33" s="326"/>
      <c r="F33" s="297">
        <v>1</v>
      </c>
      <c r="G33" s="297">
        <v>0</v>
      </c>
      <c r="H33" s="297">
        <v>0</v>
      </c>
      <c r="I33" s="1979">
        <f>'8_MP'!$D$297</f>
        <v>0</v>
      </c>
      <c r="J33" s="1980">
        <f>'8_MP'!$AN$297/2</f>
        <v>0</v>
      </c>
      <c r="K33" s="2127">
        <v>45526</v>
      </c>
      <c r="L33" s="1947" t="s">
        <v>2682</v>
      </c>
      <c r="M33" s="2127">
        <v>45558</v>
      </c>
      <c r="N33" s="1947" t="s">
        <v>2682</v>
      </c>
      <c r="O33" s="2127">
        <v>45568</v>
      </c>
      <c r="P33" s="1947" t="s">
        <v>2682</v>
      </c>
      <c r="Q33" s="283"/>
      <c r="R33" s="283" t="s">
        <v>1202</v>
      </c>
      <c r="S33" s="283" t="s">
        <v>2727</v>
      </c>
      <c r="T33" s="283"/>
      <c r="U33" s="283"/>
      <c r="V33" s="283"/>
      <c r="W33" s="511"/>
      <c r="AA33" s="1939"/>
      <c r="AB33" s="1939"/>
      <c r="AC33" s="1953"/>
      <c r="AD33" s="1939"/>
      <c r="AE33" s="1939"/>
    </row>
    <row r="34" spans="1:31" ht="16">
      <c r="A34" s="294">
        <f>+A33+1</f>
        <v>12</v>
      </c>
      <c r="B34" s="284" t="s">
        <v>2864</v>
      </c>
      <c r="C34" s="283" t="s">
        <v>2174</v>
      </c>
      <c r="D34" s="323">
        <f>+J34</f>
        <v>0</v>
      </c>
      <c r="E34" s="329"/>
      <c r="F34" s="297">
        <v>1</v>
      </c>
      <c r="G34" s="297">
        <v>0</v>
      </c>
      <c r="H34" s="297">
        <v>0</v>
      </c>
      <c r="I34" s="1968">
        <f>'8_MP'!$D$306</f>
        <v>0</v>
      </c>
      <c r="J34" s="1968">
        <f>'8_MP'!$AN$306</f>
        <v>0</v>
      </c>
      <c r="K34" s="2127">
        <v>45526</v>
      </c>
      <c r="L34" s="1947" t="s">
        <v>2682</v>
      </c>
      <c r="M34" s="2127">
        <v>45558</v>
      </c>
      <c r="N34" s="1947" t="s">
        <v>2682</v>
      </c>
      <c r="O34" s="2127">
        <v>45568</v>
      </c>
      <c r="P34" s="1947" t="s">
        <v>2682</v>
      </c>
      <c r="Q34" s="283"/>
      <c r="R34" s="283" t="s">
        <v>1202</v>
      </c>
      <c r="S34" s="283" t="s">
        <v>2727</v>
      </c>
      <c r="T34" s="283"/>
      <c r="U34" s="283"/>
      <c r="V34" s="283"/>
    </row>
    <row r="35" spans="1:31" ht="32">
      <c r="A35" s="294">
        <f>+A34+1</f>
        <v>13</v>
      </c>
      <c r="B35" s="284" t="s">
        <v>2865</v>
      </c>
      <c r="C35" s="278" t="s">
        <v>2850</v>
      </c>
      <c r="D35" s="325">
        <f>+J35</f>
        <v>1803000</v>
      </c>
      <c r="E35" s="326"/>
      <c r="F35" s="297">
        <v>1</v>
      </c>
      <c r="G35" s="297">
        <v>0</v>
      </c>
      <c r="H35" s="297">
        <v>0</v>
      </c>
      <c r="I35" s="1982" t="str">
        <f>'8_MP'!$D$348</f>
        <v>2.3.1.1.5.3</v>
      </c>
      <c r="J35" s="305">
        <f>'8_MP'!$AN$348</f>
        <v>1803000</v>
      </c>
      <c r="K35" s="2127">
        <v>46133</v>
      </c>
      <c r="L35" s="1947" t="s">
        <v>2682</v>
      </c>
      <c r="M35" s="2127">
        <v>46163</v>
      </c>
      <c r="N35" s="1947" t="s">
        <v>2682</v>
      </c>
      <c r="O35" s="2127">
        <v>46175</v>
      </c>
      <c r="P35" s="1947" t="s">
        <v>2682</v>
      </c>
      <c r="Q35" s="283" t="s">
        <v>1526</v>
      </c>
      <c r="R35" s="283" t="s">
        <v>1202</v>
      </c>
      <c r="S35" s="283" t="s">
        <v>2727</v>
      </c>
      <c r="T35" s="283"/>
      <c r="U35" s="283"/>
      <c r="V35" s="283"/>
      <c r="W35" s="511"/>
      <c r="AA35" s="1939"/>
      <c r="AB35" s="1939"/>
      <c r="AC35" s="1953"/>
      <c r="AD35" s="1939"/>
      <c r="AE35" s="1939"/>
    </row>
    <row r="36" spans="1:31">
      <c r="A36" s="4227" t="s">
        <v>2754</v>
      </c>
      <c r="B36" s="4227"/>
      <c r="C36" s="4227"/>
      <c r="D36" s="330">
        <f>SUM(D32:D35)</f>
        <v>1803000</v>
      </c>
      <c r="E36" s="330">
        <f>SUM(E32:E35)</f>
        <v>0</v>
      </c>
      <c r="F36" s="4228"/>
      <c r="G36" s="4228"/>
      <c r="H36" s="4228"/>
      <c r="I36" s="4228"/>
      <c r="J36" s="4228"/>
      <c r="K36" s="4228"/>
      <c r="L36" s="4228"/>
      <c r="M36" s="4228"/>
      <c r="N36" s="4228"/>
      <c r="O36" s="4228"/>
      <c r="P36" s="4228"/>
      <c r="Q36" s="4228"/>
      <c r="R36" s="4228"/>
      <c r="S36" s="4228"/>
      <c r="T36" s="4228"/>
      <c r="U36" s="4228"/>
      <c r="V36" s="4228"/>
    </row>
    <row r="37" spans="1:31" s="264" customFormat="1"/>
    <row r="38" spans="1:31" ht="31">
      <c r="A38" s="4218" t="s">
        <v>2755</v>
      </c>
      <c r="B38" s="4219"/>
      <c r="C38" s="4219"/>
      <c r="D38" s="4219"/>
      <c r="E38" s="4219"/>
      <c r="F38" s="4219"/>
      <c r="G38" s="4219"/>
      <c r="H38" s="4219"/>
      <c r="I38" s="4219"/>
      <c r="J38" s="4219"/>
      <c r="K38" s="4219"/>
      <c r="L38" s="4219"/>
      <c r="M38" s="4219"/>
      <c r="N38" s="4219"/>
      <c r="O38" s="4219"/>
      <c r="P38" s="4219"/>
      <c r="Q38" s="4219"/>
      <c r="R38" s="4219"/>
      <c r="S38" s="4219"/>
      <c r="T38" s="4220"/>
    </row>
    <row r="39" spans="1:31" ht="23.5" customHeight="1">
      <c r="A39" s="4186" t="s">
        <v>2662</v>
      </c>
      <c r="B39" s="4186"/>
      <c r="C39" s="4186"/>
      <c r="D39" s="4186" t="s">
        <v>2663</v>
      </c>
      <c r="E39" s="4186"/>
      <c r="F39" s="4186"/>
      <c r="G39" s="4186"/>
      <c r="H39" s="4186"/>
      <c r="I39" s="4187" t="s">
        <v>1686</v>
      </c>
      <c r="J39" s="4187" t="s">
        <v>610</v>
      </c>
      <c r="K39" s="4186" t="s">
        <v>2664</v>
      </c>
      <c r="L39" s="4186"/>
      <c r="M39" s="4186"/>
      <c r="N39" s="4186"/>
      <c r="O39" s="4186" t="s">
        <v>2665</v>
      </c>
      <c r="P39" s="4186"/>
      <c r="Q39" s="4186"/>
      <c r="R39" s="4186"/>
      <c r="S39" s="4186"/>
      <c r="T39" s="4186"/>
    </row>
    <row r="40" spans="1:31" ht="47" customHeight="1">
      <c r="A40" s="410" t="s">
        <v>2666</v>
      </c>
      <c r="B40" s="309" t="s">
        <v>2667</v>
      </c>
      <c r="C40" s="309" t="s">
        <v>2668</v>
      </c>
      <c r="D40" s="309" t="s">
        <v>2669</v>
      </c>
      <c r="E40" s="309" t="s">
        <v>2670</v>
      </c>
      <c r="F40" s="309" t="s">
        <v>2671</v>
      </c>
      <c r="G40" s="309" t="s">
        <v>2672</v>
      </c>
      <c r="H40" s="309" t="s">
        <v>2673</v>
      </c>
      <c r="I40" s="4187"/>
      <c r="J40" s="4187"/>
      <c r="K40" s="4183" t="s">
        <v>2743</v>
      </c>
      <c r="L40" s="4183"/>
      <c r="M40" s="4183" t="s">
        <v>2678</v>
      </c>
      <c r="N40" s="4183"/>
      <c r="O40" s="309" t="s">
        <v>2723</v>
      </c>
      <c r="P40" s="309" t="s">
        <v>2724</v>
      </c>
      <c r="Q40" s="309" t="s">
        <v>2695</v>
      </c>
      <c r="R40" s="309" t="s">
        <v>2696</v>
      </c>
      <c r="S40" s="309" t="s">
        <v>2697</v>
      </c>
      <c r="T40" s="309" t="s">
        <v>2698</v>
      </c>
    </row>
    <row r="41" spans="1:31" ht="48">
      <c r="A41" s="294">
        <f>+A35+1</f>
        <v>14</v>
      </c>
      <c r="B41" s="284" t="s">
        <v>2869</v>
      </c>
      <c r="C41" s="278" t="s">
        <v>2157</v>
      </c>
      <c r="D41" s="298">
        <f t="shared" ref="D41:D60" si="0">+J41</f>
        <v>0</v>
      </c>
      <c r="E41" s="298">
        <v>0</v>
      </c>
      <c r="F41" s="300">
        <v>1</v>
      </c>
      <c r="G41" s="300">
        <v>0</v>
      </c>
      <c r="H41" s="300">
        <v>0</v>
      </c>
      <c r="I41" s="1964">
        <f>'8_MP'!D220</f>
        <v>0</v>
      </c>
      <c r="J41" s="298">
        <f>'8_MP'!AN220</f>
        <v>0</v>
      </c>
      <c r="K41" s="2127">
        <v>45252</v>
      </c>
      <c r="L41" s="1947" t="s">
        <v>2682</v>
      </c>
      <c r="M41" s="2127">
        <v>45274</v>
      </c>
      <c r="N41" s="1947" t="s">
        <v>2682</v>
      </c>
      <c r="O41" s="287" t="s">
        <v>1413</v>
      </c>
      <c r="P41" s="283" t="s">
        <v>763</v>
      </c>
      <c r="Q41" s="1981" t="s">
        <v>2757</v>
      </c>
      <c r="R41" s="1954"/>
      <c r="S41" s="1954"/>
      <c r="T41" s="1954"/>
    </row>
    <row r="42" spans="1:31" ht="48">
      <c r="A42" s="294">
        <f t="shared" ref="A42:A63" si="1">+A41+1</f>
        <v>15</v>
      </c>
      <c r="B42" s="284" t="s">
        <v>2870</v>
      </c>
      <c r="C42" s="278" t="s">
        <v>2157</v>
      </c>
      <c r="D42" s="298">
        <f t="shared" si="0"/>
        <v>0</v>
      </c>
      <c r="E42" s="298">
        <v>0</v>
      </c>
      <c r="F42" s="300">
        <v>1</v>
      </c>
      <c r="G42" s="300">
        <v>0</v>
      </c>
      <c r="H42" s="300">
        <v>0</v>
      </c>
      <c r="I42" s="1964">
        <f>'8_MP'!D221</f>
        <v>0</v>
      </c>
      <c r="J42" s="298">
        <f>'8_MP'!AN221</f>
        <v>0</v>
      </c>
      <c r="K42" s="2127">
        <v>45252</v>
      </c>
      <c r="L42" s="1947" t="s">
        <v>2682</v>
      </c>
      <c r="M42" s="2127">
        <v>45274</v>
      </c>
      <c r="N42" s="1947" t="s">
        <v>2682</v>
      </c>
      <c r="O42" s="287" t="s">
        <v>1413</v>
      </c>
      <c r="P42" s="283" t="s">
        <v>763</v>
      </c>
      <c r="Q42" s="1981" t="s">
        <v>2757</v>
      </c>
      <c r="R42" s="1954"/>
      <c r="S42" s="1954"/>
      <c r="T42" s="1954"/>
    </row>
    <row r="43" spans="1:31" ht="48">
      <c r="A43" s="294">
        <f t="shared" si="1"/>
        <v>16</v>
      </c>
      <c r="B43" s="284" t="s">
        <v>2871</v>
      </c>
      <c r="C43" s="278" t="s">
        <v>2157</v>
      </c>
      <c r="D43" s="298">
        <f t="shared" si="0"/>
        <v>0</v>
      </c>
      <c r="E43" s="298">
        <v>0</v>
      </c>
      <c r="F43" s="300">
        <v>1</v>
      </c>
      <c r="G43" s="300">
        <v>0</v>
      </c>
      <c r="H43" s="300">
        <v>0</v>
      </c>
      <c r="I43" s="1964">
        <f>'8_MP'!D222</f>
        <v>0</v>
      </c>
      <c r="J43" s="298">
        <f>'8_MP'!AN222</f>
        <v>0</v>
      </c>
      <c r="K43" s="2127">
        <v>45252</v>
      </c>
      <c r="L43" s="1947" t="s">
        <v>2682</v>
      </c>
      <c r="M43" s="2127">
        <v>45274</v>
      </c>
      <c r="N43" s="1947" t="s">
        <v>2682</v>
      </c>
      <c r="O43" s="287" t="s">
        <v>1413</v>
      </c>
      <c r="P43" s="283" t="s">
        <v>763</v>
      </c>
      <c r="Q43" s="1981" t="s">
        <v>2757</v>
      </c>
      <c r="R43" s="1954"/>
      <c r="S43" s="1954"/>
      <c r="T43" s="1954"/>
    </row>
    <row r="44" spans="1:31" ht="49.25" customHeight="1">
      <c r="A44" s="294">
        <f t="shared" si="1"/>
        <v>17</v>
      </c>
      <c r="B44" s="284" t="s">
        <v>2426</v>
      </c>
      <c r="C44" s="278" t="s">
        <v>2157</v>
      </c>
      <c r="D44" s="298">
        <f t="shared" si="0"/>
        <v>0</v>
      </c>
      <c r="E44" s="298">
        <v>0</v>
      </c>
      <c r="F44" s="300">
        <v>1</v>
      </c>
      <c r="G44" s="300">
        <v>0</v>
      </c>
      <c r="H44" s="300">
        <v>0</v>
      </c>
      <c r="I44" s="1964">
        <f>'8_MP'!D223</f>
        <v>0</v>
      </c>
      <c r="J44" s="298">
        <f>'8_MP'!AN223</f>
        <v>0</v>
      </c>
      <c r="K44" s="2127">
        <v>45252</v>
      </c>
      <c r="L44" s="1947" t="s">
        <v>2682</v>
      </c>
      <c r="M44" s="2127">
        <v>45274</v>
      </c>
      <c r="N44" s="1947" t="s">
        <v>2682</v>
      </c>
      <c r="O44" s="287" t="s">
        <v>1413</v>
      </c>
      <c r="P44" s="283" t="s">
        <v>763</v>
      </c>
      <c r="Q44" s="1981" t="s">
        <v>2757</v>
      </c>
      <c r="R44" s="1954"/>
      <c r="S44" s="1954"/>
      <c r="T44" s="1954"/>
    </row>
    <row r="45" spans="1:31" ht="32">
      <c r="A45" s="294">
        <f t="shared" si="1"/>
        <v>18</v>
      </c>
      <c r="B45" s="284" t="s">
        <v>2872</v>
      </c>
      <c r="C45" s="278" t="s">
        <v>2157</v>
      </c>
      <c r="D45" s="298">
        <f t="shared" si="0"/>
        <v>0</v>
      </c>
      <c r="E45" s="298">
        <v>0</v>
      </c>
      <c r="F45" s="300">
        <v>1</v>
      </c>
      <c r="G45" s="300">
        <v>0</v>
      </c>
      <c r="H45" s="300">
        <v>0</v>
      </c>
      <c r="I45" s="1964">
        <f>'8_MP'!$D$227</f>
        <v>0</v>
      </c>
      <c r="J45" s="298">
        <f>'8_MP'!$AN$227</f>
        <v>0</v>
      </c>
      <c r="K45" s="2127">
        <v>45428</v>
      </c>
      <c r="L45" s="1947" t="s">
        <v>2682</v>
      </c>
      <c r="M45" s="2127">
        <v>45450</v>
      </c>
      <c r="N45" s="1947" t="s">
        <v>2682</v>
      </c>
      <c r="O45" s="287" t="s">
        <v>1413</v>
      </c>
      <c r="P45" s="283" t="s">
        <v>763</v>
      </c>
      <c r="Q45" s="1981" t="s">
        <v>2757</v>
      </c>
      <c r="R45" s="1954"/>
      <c r="S45" s="1954"/>
      <c r="T45" s="1954"/>
    </row>
    <row r="46" spans="1:31" ht="32">
      <c r="A46" s="294">
        <f t="shared" si="1"/>
        <v>19</v>
      </c>
      <c r="B46" s="284" t="s">
        <v>2873</v>
      </c>
      <c r="C46" s="278" t="s">
        <v>2157</v>
      </c>
      <c r="D46" s="298">
        <f t="shared" si="0"/>
        <v>0</v>
      </c>
      <c r="E46" s="298">
        <v>0</v>
      </c>
      <c r="F46" s="300">
        <v>1</v>
      </c>
      <c r="G46" s="300">
        <v>0</v>
      </c>
      <c r="H46" s="300">
        <v>0</v>
      </c>
      <c r="I46" s="1964">
        <f>'8_MP'!$D$228</f>
        <v>0</v>
      </c>
      <c r="J46" s="298">
        <f>'8_MP'!$AN$228</f>
        <v>0</v>
      </c>
      <c r="K46" s="2127">
        <v>45615</v>
      </c>
      <c r="L46" s="1947" t="s">
        <v>2682</v>
      </c>
      <c r="M46" s="2127">
        <v>45637</v>
      </c>
      <c r="N46" s="1947" t="s">
        <v>2682</v>
      </c>
      <c r="O46" s="287" t="s">
        <v>1413</v>
      </c>
      <c r="P46" s="283" t="s">
        <v>763</v>
      </c>
      <c r="Q46" s="1981" t="s">
        <v>2757</v>
      </c>
      <c r="R46" s="1954"/>
      <c r="S46" s="1954"/>
      <c r="T46" s="1954"/>
    </row>
    <row r="47" spans="1:31" ht="36" customHeight="1">
      <c r="A47" s="294">
        <f t="shared" si="1"/>
        <v>20</v>
      </c>
      <c r="B47" s="284" t="s">
        <v>2874</v>
      </c>
      <c r="C47" s="278" t="s">
        <v>2157</v>
      </c>
      <c r="D47" s="298">
        <f t="shared" si="0"/>
        <v>0</v>
      </c>
      <c r="E47" s="298">
        <v>0</v>
      </c>
      <c r="F47" s="300">
        <v>1</v>
      </c>
      <c r="G47" s="300">
        <v>0</v>
      </c>
      <c r="H47" s="300">
        <v>0</v>
      </c>
      <c r="I47" s="1964">
        <f>'8_MP'!$D$229</f>
        <v>0</v>
      </c>
      <c r="J47" s="298">
        <f>+'8_MP'!$AH$229*12</f>
        <v>0</v>
      </c>
      <c r="K47" s="2127">
        <v>45252</v>
      </c>
      <c r="L47" s="1947" t="s">
        <v>2682</v>
      </c>
      <c r="M47" s="2127">
        <v>45274</v>
      </c>
      <c r="N47" s="1947" t="s">
        <v>2682</v>
      </c>
      <c r="O47" s="287" t="s">
        <v>1413</v>
      </c>
      <c r="P47" s="283" t="s">
        <v>763</v>
      </c>
      <c r="Q47" s="1981" t="s">
        <v>2757</v>
      </c>
      <c r="R47" s="1954"/>
      <c r="S47" s="1954"/>
      <c r="T47" s="1954"/>
    </row>
    <row r="48" spans="1:31" ht="64">
      <c r="A48" s="294">
        <f t="shared" si="1"/>
        <v>21</v>
      </c>
      <c r="B48" s="1972" t="s">
        <v>2875</v>
      </c>
      <c r="C48" s="278" t="s">
        <v>2186</v>
      </c>
      <c r="D48" s="298">
        <f t="shared" si="0"/>
        <v>0</v>
      </c>
      <c r="E48" s="298">
        <v>0</v>
      </c>
      <c r="F48" s="300">
        <v>1</v>
      </c>
      <c r="G48" s="300">
        <v>0</v>
      </c>
      <c r="H48" s="300">
        <v>0</v>
      </c>
      <c r="I48" s="1964">
        <f>'8_MP'!$D$248</f>
        <v>0</v>
      </c>
      <c r="J48" s="298">
        <f>'8_MP'!$AN$248</f>
        <v>0</v>
      </c>
      <c r="K48" s="2127">
        <v>45492</v>
      </c>
      <c r="L48" s="1947" t="s">
        <v>2682</v>
      </c>
      <c r="M48" s="2127">
        <v>45516</v>
      </c>
      <c r="N48" s="1947" t="s">
        <v>2682</v>
      </c>
      <c r="O48" s="287" t="s">
        <v>1413</v>
      </c>
      <c r="P48" s="283" t="s">
        <v>763</v>
      </c>
      <c r="Q48" s="1981" t="s">
        <v>2757</v>
      </c>
      <c r="R48" s="1954"/>
      <c r="S48" s="1954"/>
      <c r="T48" s="1954"/>
    </row>
    <row r="49" spans="1:20" ht="32">
      <c r="A49" s="294">
        <f t="shared" si="1"/>
        <v>22</v>
      </c>
      <c r="B49" s="1972" t="s">
        <v>2876</v>
      </c>
      <c r="C49" s="1971" t="s">
        <v>2186</v>
      </c>
      <c r="D49" s="298">
        <f t="shared" si="0"/>
        <v>0</v>
      </c>
      <c r="E49" s="298">
        <v>0</v>
      </c>
      <c r="F49" s="300">
        <v>1</v>
      </c>
      <c r="G49" s="300">
        <v>0</v>
      </c>
      <c r="H49" s="300">
        <v>0</v>
      </c>
      <c r="I49" s="1966">
        <f>'8_MP'!$D$259</f>
        <v>0</v>
      </c>
      <c r="J49" s="298">
        <f>'8_MP'!$AN$259/2</f>
        <v>0</v>
      </c>
      <c r="K49" s="2127">
        <v>45338</v>
      </c>
      <c r="L49" s="1947" t="s">
        <v>2682</v>
      </c>
      <c r="M49" s="2127">
        <v>45362</v>
      </c>
      <c r="N49" s="1947" t="s">
        <v>2682</v>
      </c>
      <c r="O49" s="287" t="s">
        <v>1413</v>
      </c>
      <c r="P49" s="283" t="s">
        <v>763</v>
      </c>
      <c r="Q49" s="1981" t="s">
        <v>2757</v>
      </c>
      <c r="R49" s="1954"/>
      <c r="S49" s="1954"/>
      <c r="T49" s="1954"/>
    </row>
    <row r="50" spans="1:20" ht="32">
      <c r="A50" s="294">
        <f t="shared" si="1"/>
        <v>23</v>
      </c>
      <c r="B50" s="284" t="s">
        <v>2876</v>
      </c>
      <c r="C50" s="1971" t="s">
        <v>2186</v>
      </c>
      <c r="D50" s="298">
        <f t="shared" si="0"/>
        <v>0</v>
      </c>
      <c r="E50" s="298">
        <v>0</v>
      </c>
      <c r="F50" s="300">
        <v>1</v>
      </c>
      <c r="G50" s="300">
        <v>0</v>
      </c>
      <c r="H50" s="300">
        <v>0</v>
      </c>
      <c r="I50" s="1966">
        <f>'8_MP'!$D$259</f>
        <v>0</v>
      </c>
      <c r="J50" s="298">
        <f>'8_MP'!$AN$259/2</f>
        <v>0</v>
      </c>
      <c r="K50" s="2127">
        <v>45338</v>
      </c>
      <c r="L50" s="1947" t="s">
        <v>2682</v>
      </c>
      <c r="M50" s="2127">
        <v>45362</v>
      </c>
      <c r="N50" s="1947" t="s">
        <v>2682</v>
      </c>
      <c r="O50" s="287" t="s">
        <v>1413</v>
      </c>
      <c r="P50" s="283" t="s">
        <v>763</v>
      </c>
      <c r="Q50" s="1981" t="s">
        <v>2757</v>
      </c>
      <c r="R50" s="1954"/>
      <c r="S50" s="1954"/>
      <c r="T50" s="1954"/>
    </row>
    <row r="51" spans="1:20" ht="32">
      <c r="A51" s="294">
        <f t="shared" si="1"/>
        <v>24</v>
      </c>
      <c r="B51" s="1977" t="s">
        <v>2877</v>
      </c>
      <c r="C51" s="278" t="s">
        <v>2186</v>
      </c>
      <c r="D51" s="298">
        <f t="shared" si="0"/>
        <v>0</v>
      </c>
      <c r="E51" s="298">
        <v>0</v>
      </c>
      <c r="F51" s="300">
        <v>1</v>
      </c>
      <c r="G51" s="300">
        <v>0</v>
      </c>
      <c r="H51" s="300">
        <v>0</v>
      </c>
      <c r="I51" s="1966">
        <f>'8_MP'!D260</f>
        <v>0</v>
      </c>
      <c r="J51" s="298">
        <f>'8_MP'!AN260</f>
        <v>0</v>
      </c>
      <c r="K51" s="2127">
        <v>45338</v>
      </c>
      <c r="L51" s="1947" t="s">
        <v>2682</v>
      </c>
      <c r="M51" s="2127">
        <v>45362</v>
      </c>
      <c r="N51" s="1947" t="s">
        <v>2682</v>
      </c>
      <c r="O51" s="287" t="s">
        <v>1413</v>
      </c>
      <c r="P51" s="283" t="s">
        <v>763</v>
      </c>
      <c r="Q51" s="1981" t="s">
        <v>2757</v>
      </c>
      <c r="R51" s="1954"/>
      <c r="S51" s="1954"/>
      <c r="T51" s="1954"/>
    </row>
    <row r="52" spans="1:20" ht="32">
      <c r="A52" s="294">
        <f t="shared" si="1"/>
        <v>25</v>
      </c>
      <c r="B52" s="1972" t="s">
        <v>2878</v>
      </c>
      <c r="C52" s="1971" t="s">
        <v>2186</v>
      </c>
      <c r="D52" s="298">
        <f t="shared" si="0"/>
        <v>0</v>
      </c>
      <c r="E52" s="298">
        <v>0</v>
      </c>
      <c r="F52" s="300">
        <v>1</v>
      </c>
      <c r="G52" s="300">
        <v>0</v>
      </c>
      <c r="H52" s="300">
        <v>0</v>
      </c>
      <c r="I52" s="1966">
        <f>'8_MP'!$D$261</f>
        <v>0</v>
      </c>
      <c r="J52" s="298">
        <f>'8_MP'!$AN$261/2</f>
        <v>0</v>
      </c>
      <c r="K52" s="2127">
        <v>45338</v>
      </c>
      <c r="L52" s="1947" t="s">
        <v>2682</v>
      </c>
      <c r="M52" s="2127">
        <v>45362</v>
      </c>
      <c r="N52" s="1947" t="s">
        <v>2682</v>
      </c>
      <c r="O52" s="287" t="s">
        <v>1413</v>
      </c>
      <c r="P52" s="283" t="s">
        <v>763</v>
      </c>
      <c r="Q52" s="1981" t="s">
        <v>2757</v>
      </c>
      <c r="R52" s="1954"/>
      <c r="S52" s="1954"/>
      <c r="T52" s="1954"/>
    </row>
    <row r="53" spans="1:20" ht="32">
      <c r="A53" s="294">
        <f t="shared" si="1"/>
        <v>26</v>
      </c>
      <c r="B53" s="1972" t="s">
        <v>2878</v>
      </c>
      <c r="C53" s="1971" t="s">
        <v>2186</v>
      </c>
      <c r="D53" s="298">
        <f t="shared" si="0"/>
        <v>0</v>
      </c>
      <c r="E53" s="298">
        <v>0</v>
      </c>
      <c r="F53" s="300">
        <v>1</v>
      </c>
      <c r="G53" s="300">
        <v>0</v>
      </c>
      <c r="H53" s="300">
        <v>0</v>
      </c>
      <c r="I53" s="1966">
        <f>'8_MP'!$D$261</f>
        <v>0</v>
      </c>
      <c r="J53" s="298">
        <f>'8_MP'!$AN$261/2</f>
        <v>0</v>
      </c>
      <c r="K53" s="2127">
        <v>45338</v>
      </c>
      <c r="L53" s="1947" t="s">
        <v>2682</v>
      </c>
      <c r="M53" s="2127">
        <v>45362</v>
      </c>
      <c r="N53" s="1947" t="s">
        <v>2682</v>
      </c>
      <c r="O53" s="287" t="s">
        <v>1413</v>
      </c>
      <c r="P53" s="283" t="s">
        <v>763</v>
      </c>
      <c r="Q53" s="1981" t="s">
        <v>2757</v>
      </c>
      <c r="R53" s="1954"/>
      <c r="S53" s="1954"/>
      <c r="T53" s="1954"/>
    </row>
    <row r="54" spans="1:20" ht="32">
      <c r="A54" s="294">
        <f t="shared" si="1"/>
        <v>27</v>
      </c>
      <c r="B54" s="284" t="s">
        <v>2879</v>
      </c>
      <c r="C54" s="278" t="s">
        <v>2186</v>
      </c>
      <c r="D54" s="298">
        <f t="shared" si="0"/>
        <v>0</v>
      </c>
      <c r="E54" s="298">
        <v>0</v>
      </c>
      <c r="F54" s="300">
        <v>1</v>
      </c>
      <c r="G54" s="300">
        <v>0</v>
      </c>
      <c r="H54" s="300">
        <v>0</v>
      </c>
      <c r="I54" s="1966">
        <f>'8_MP'!D262</f>
        <v>0</v>
      </c>
      <c r="J54" s="298">
        <f>'8_MP'!AN262</f>
        <v>0</v>
      </c>
      <c r="K54" s="2127">
        <v>45338</v>
      </c>
      <c r="L54" s="1947" t="s">
        <v>2682</v>
      </c>
      <c r="M54" s="2127">
        <v>45362</v>
      </c>
      <c r="N54" s="1947" t="s">
        <v>2682</v>
      </c>
      <c r="O54" s="287" t="s">
        <v>1413</v>
      </c>
      <c r="P54" s="283" t="s">
        <v>763</v>
      </c>
      <c r="Q54" s="1981" t="s">
        <v>2757</v>
      </c>
      <c r="R54" s="1954"/>
      <c r="S54" s="1954"/>
      <c r="T54" s="1954"/>
    </row>
    <row r="55" spans="1:20" ht="32">
      <c r="A55" s="294">
        <f t="shared" si="1"/>
        <v>28</v>
      </c>
      <c r="B55" s="284" t="s">
        <v>2880</v>
      </c>
      <c r="C55" s="278" t="s">
        <v>2162</v>
      </c>
      <c r="D55" s="298">
        <f t="shared" si="0"/>
        <v>0</v>
      </c>
      <c r="E55" s="298">
        <v>0</v>
      </c>
      <c r="F55" s="300">
        <v>1</v>
      </c>
      <c r="G55" s="300">
        <v>0</v>
      </c>
      <c r="H55" s="300">
        <v>0</v>
      </c>
      <c r="I55" s="1964">
        <f>'8_MP'!$D$231</f>
        <v>0</v>
      </c>
      <c r="J55" s="298">
        <f>'8_MP'!$AN$231</f>
        <v>0</v>
      </c>
      <c r="K55" s="2127">
        <v>45280</v>
      </c>
      <c r="L55" s="1947" t="s">
        <v>2682</v>
      </c>
      <c r="M55" s="2127">
        <v>45302</v>
      </c>
      <c r="N55" s="1947" t="s">
        <v>2682</v>
      </c>
      <c r="O55" s="287" t="s">
        <v>1413</v>
      </c>
      <c r="P55" s="283" t="s">
        <v>763</v>
      </c>
      <c r="Q55" s="1981" t="s">
        <v>2757</v>
      </c>
      <c r="R55" s="1954"/>
      <c r="S55" s="1954"/>
      <c r="T55" s="1954"/>
    </row>
    <row r="56" spans="1:20" ht="48">
      <c r="A56" s="294">
        <f t="shared" si="1"/>
        <v>29</v>
      </c>
      <c r="B56" s="284" t="s">
        <v>2881</v>
      </c>
      <c r="C56" s="278" t="s">
        <v>2168</v>
      </c>
      <c r="D56" s="298">
        <f t="shared" si="0"/>
        <v>0</v>
      </c>
      <c r="E56" s="298">
        <v>0</v>
      </c>
      <c r="F56" s="300">
        <v>1</v>
      </c>
      <c r="G56" s="300">
        <v>0</v>
      </c>
      <c r="H56" s="300">
        <v>0</v>
      </c>
      <c r="I56" s="1964">
        <f>'8_MP'!$D$266</f>
        <v>0</v>
      </c>
      <c r="J56" s="298">
        <f>'8_MP'!$AN$266</f>
        <v>0</v>
      </c>
      <c r="K56" s="2127">
        <v>45252</v>
      </c>
      <c r="L56" s="1947" t="s">
        <v>2682</v>
      </c>
      <c r="M56" s="2127">
        <v>45274</v>
      </c>
      <c r="N56" s="1947" t="s">
        <v>2682</v>
      </c>
      <c r="O56" s="287" t="s">
        <v>1413</v>
      </c>
      <c r="P56" s="283" t="s">
        <v>763</v>
      </c>
      <c r="Q56" s="1981" t="s">
        <v>2757</v>
      </c>
      <c r="R56" s="1954"/>
      <c r="S56" s="1954"/>
      <c r="T56" s="1954"/>
    </row>
    <row r="57" spans="1:20" ht="64">
      <c r="A57" s="294">
        <f>+A56+1</f>
        <v>30</v>
      </c>
      <c r="B57" s="284" t="s">
        <v>2882</v>
      </c>
      <c r="C57" s="278" t="s">
        <v>2883</v>
      </c>
      <c r="D57" s="298">
        <f t="shared" si="0"/>
        <v>0</v>
      </c>
      <c r="E57" s="298">
        <v>0</v>
      </c>
      <c r="F57" s="300">
        <v>1</v>
      </c>
      <c r="G57" s="300">
        <v>0</v>
      </c>
      <c r="H57" s="300">
        <v>0</v>
      </c>
      <c r="I57" s="1964">
        <f>'8_MP'!$D$310</f>
        <v>0</v>
      </c>
      <c r="J57" s="298">
        <f>'8_MP'!$AN$310</f>
        <v>0</v>
      </c>
      <c r="K57" s="2127">
        <v>45428</v>
      </c>
      <c r="L57" s="1947" t="s">
        <v>2682</v>
      </c>
      <c r="M57" s="2127">
        <v>45450</v>
      </c>
      <c r="N57" s="1947" t="s">
        <v>2682</v>
      </c>
      <c r="O57" s="287" t="s">
        <v>1413</v>
      </c>
      <c r="P57" s="283" t="s">
        <v>763</v>
      </c>
      <c r="Q57" s="1981" t="s">
        <v>2757</v>
      </c>
      <c r="R57" s="1954"/>
      <c r="S57" s="1954"/>
      <c r="T57" s="1954"/>
    </row>
    <row r="58" spans="1:20" ht="48">
      <c r="A58" s="294">
        <f t="shared" si="1"/>
        <v>31</v>
      </c>
      <c r="B58" s="284" t="s">
        <v>2884</v>
      </c>
      <c r="C58" s="278" t="s">
        <v>2883</v>
      </c>
      <c r="D58" s="298">
        <f t="shared" si="0"/>
        <v>0</v>
      </c>
      <c r="E58" s="298">
        <v>0</v>
      </c>
      <c r="F58" s="300">
        <v>1</v>
      </c>
      <c r="G58" s="300">
        <v>0</v>
      </c>
      <c r="H58" s="300">
        <v>0</v>
      </c>
      <c r="I58" s="1964">
        <f>'8_MP'!$D$312</f>
        <v>0</v>
      </c>
      <c r="J58" s="298">
        <f>'8_MP'!$AN$312</f>
        <v>0</v>
      </c>
      <c r="K58" s="2127">
        <v>45310</v>
      </c>
      <c r="L58" s="1947" t="s">
        <v>2682</v>
      </c>
      <c r="M58" s="2127">
        <v>45334</v>
      </c>
      <c r="N58" s="1947" t="s">
        <v>2682</v>
      </c>
      <c r="O58" s="287" t="s">
        <v>1413</v>
      </c>
      <c r="P58" s="283" t="s">
        <v>763</v>
      </c>
      <c r="Q58" s="1981" t="s">
        <v>2757</v>
      </c>
      <c r="R58" s="1954"/>
      <c r="S58" s="1954"/>
      <c r="T58" s="1954"/>
    </row>
    <row r="59" spans="1:20" ht="32">
      <c r="A59" s="294">
        <f t="shared" si="1"/>
        <v>32</v>
      </c>
      <c r="B59" s="284" t="s">
        <v>2885</v>
      </c>
      <c r="C59" s="278" t="s">
        <v>2848</v>
      </c>
      <c r="D59" s="298">
        <f t="shared" si="0"/>
        <v>30000</v>
      </c>
      <c r="E59" s="298">
        <v>0</v>
      </c>
      <c r="F59" s="300">
        <v>1</v>
      </c>
      <c r="G59" s="300">
        <v>0</v>
      </c>
      <c r="H59" s="300">
        <v>0</v>
      </c>
      <c r="I59" s="1964" t="str">
        <f>'8_MP'!$D$326</f>
        <v>2.3.1.1.1</v>
      </c>
      <c r="J59" s="298">
        <f>'8_MP'!$AN$326</f>
        <v>30000</v>
      </c>
      <c r="K59" s="2127">
        <v>45371</v>
      </c>
      <c r="L59" s="1947" t="s">
        <v>2682</v>
      </c>
      <c r="M59" s="2127">
        <v>45393</v>
      </c>
      <c r="N59" s="1947" t="s">
        <v>2682</v>
      </c>
      <c r="O59" s="287" t="s">
        <v>1413</v>
      </c>
      <c r="P59" s="283" t="s">
        <v>763</v>
      </c>
      <c r="Q59" s="1981" t="s">
        <v>2757</v>
      </c>
      <c r="R59" s="1954"/>
      <c r="S59" s="1954"/>
      <c r="T59" s="1954"/>
    </row>
    <row r="60" spans="1:20" ht="48">
      <c r="A60" s="294">
        <f t="shared" si="1"/>
        <v>33</v>
      </c>
      <c r="B60" s="284" t="s">
        <v>2886</v>
      </c>
      <c r="C60" s="278" t="s">
        <v>2850</v>
      </c>
      <c r="D60" s="298">
        <f t="shared" si="0"/>
        <v>48000</v>
      </c>
      <c r="E60" s="298">
        <v>0</v>
      </c>
      <c r="F60" s="300">
        <v>1</v>
      </c>
      <c r="G60" s="300">
        <v>0</v>
      </c>
      <c r="H60" s="300">
        <v>0</v>
      </c>
      <c r="I60" s="1964" t="str">
        <f>'8_MP'!$D$341</f>
        <v>2.3.1.1.5.1</v>
      </c>
      <c r="J60" s="298">
        <f>'8_MP'!$AN$341</f>
        <v>48000</v>
      </c>
      <c r="K60" s="2127">
        <v>45280</v>
      </c>
      <c r="L60" s="1947" t="s">
        <v>2682</v>
      </c>
      <c r="M60" s="2127">
        <v>45302</v>
      </c>
      <c r="N60" s="1947" t="s">
        <v>2682</v>
      </c>
      <c r="O60" s="287" t="s">
        <v>1413</v>
      </c>
      <c r="P60" s="283" t="s">
        <v>763</v>
      </c>
      <c r="Q60" s="1981" t="s">
        <v>2757</v>
      </c>
      <c r="R60" s="1954"/>
      <c r="S60" s="1954"/>
      <c r="T60" s="1954"/>
    </row>
    <row r="61" spans="1:20" ht="16">
      <c r="A61" s="294">
        <f>+A60+1</f>
        <v>34</v>
      </c>
      <c r="B61" s="1972" t="s">
        <v>2888</v>
      </c>
      <c r="C61" s="278" t="s">
        <v>2889</v>
      </c>
      <c r="D61" s="298" t="e">
        <f>+J61</f>
        <v>#REF!</v>
      </c>
      <c r="E61" s="298">
        <v>0</v>
      </c>
      <c r="F61" s="300">
        <v>1</v>
      </c>
      <c r="G61" s="300">
        <v>0</v>
      </c>
      <c r="H61" s="300">
        <v>0</v>
      </c>
      <c r="I61" s="1965" t="e">
        <f>'8_MP'!#REF!</f>
        <v>#REF!</v>
      </c>
      <c r="J61" s="298" t="e">
        <f>'8_MP'!#REF!*12</f>
        <v>#REF!</v>
      </c>
      <c r="K61" s="2127">
        <v>45233</v>
      </c>
      <c r="L61" s="1947" t="s">
        <v>2682</v>
      </c>
      <c r="M61" s="2127">
        <v>45257</v>
      </c>
      <c r="N61" s="1947" t="s">
        <v>2682</v>
      </c>
      <c r="O61" s="287" t="s">
        <v>1413</v>
      </c>
      <c r="P61" s="283" t="s">
        <v>763</v>
      </c>
      <c r="Q61" s="1981" t="s">
        <v>2727</v>
      </c>
      <c r="R61" s="1954"/>
      <c r="S61" s="1954"/>
      <c r="T61" s="1954"/>
    </row>
    <row r="62" spans="1:20" ht="16">
      <c r="A62" s="294">
        <f t="shared" si="1"/>
        <v>35</v>
      </c>
      <c r="B62" s="1972" t="s">
        <v>2890</v>
      </c>
      <c r="C62" s="278" t="s">
        <v>2889</v>
      </c>
      <c r="D62" s="298" t="e">
        <f>+J62</f>
        <v>#REF!</v>
      </c>
      <c r="E62" s="298">
        <v>0</v>
      </c>
      <c r="F62" s="300">
        <v>1</v>
      </c>
      <c r="G62" s="300">
        <v>0</v>
      </c>
      <c r="H62" s="300">
        <v>0</v>
      </c>
      <c r="I62" s="1965" t="e">
        <f>'8_MP'!#REF!</f>
        <v>#REF!</v>
      </c>
      <c r="J62" s="298" t="e">
        <f>'8_MP'!#REF!*12</f>
        <v>#REF!</v>
      </c>
      <c r="K62" s="2127">
        <v>45233</v>
      </c>
      <c r="L62" s="1947" t="s">
        <v>2682</v>
      </c>
      <c r="M62" s="2127">
        <v>45257</v>
      </c>
      <c r="N62" s="1947" t="s">
        <v>2682</v>
      </c>
      <c r="O62" s="287" t="s">
        <v>1413</v>
      </c>
      <c r="P62" s="283" t="s">
        <v>763</v>
      </c>
      <c r="Q62" s="1981" t="s">
        <v>2727</v>
      </c>
      <c r="R62" s="1954"/>
      <c r="S62" s="1954"/>
      <c r="T62" s="1954"/>
    </row>
    <row r="63" spans="1:20" ht="16">
      <c r="A63" s="1970">
        <f t="shared" si="1"/>
        <v>36</v>
      </c>
      <c r="B63" s="284" t="s">
        <v>2891</v>
      </c>
      <c r="C63" s="1971" t="s">
        <v>2889</v>
      </c>
      <c r="D63" s="298" t="e">
        <f>+J63</f>
        <v>#REF!</v>
      </c>
      <c r="E63" s="298">
        <v>0</v>
      </c>
      <c r="F63" s="300">
        <v>1</v>
      </c>
      <c r="G63" s="300">
        <v>0</v>
      </c>
      <c r="H63" s="300">
        <v>0</v>
      </c>
      <c r="I63" s="1965" t="e">
        <f>'8_MP'!#REF!</f>
        <v>#REF!</v>
      </c>
      <c r="J63" s="298" t="e">
        <f>'8_MP'!#REF!*12</f>
        <v>#REF!</v>
      </c>
      <c r="K63" s="2127">
        <v>45233</v>
      </c>
      <c r="L63" s="1947" t="s">
        <v>2682</v>
      </c>
      <c r="M63" s="2127">
        <v>45257</v>
      </c>
      <c r="N63" s="1947" t="s">
        <v>2682</v>
      </c>
      <c r="O63" s="287" t="s">
        <v>1413</v>
      </c>
      <c r="P63" s="283" t="s">
        <v>763</v>
      </c>
      <c r="Q63" s="1981" t="s">
        <v>2727</v>
      </c>
      <c r="R63" s="1954"/>
      <c r="S63" s="1954"/>
      <c r="T63" s="1954"/>
    </row>
    <row r="64" spans="1:20" ht="16">
      <c r="A64" s="294">
        <f>+A63+1</f>
        <v>37</v>
      </c>
      <c r="B64" s="1973" t="s">
        <v>2892</v>
      </c>
      <c r="C64" s="278" t="s">
        <v>2889</v>
      </c>
      <c r="D64" s="298" t="e">
        <f>+J64</f>
        <v>#REF!</v>
      </c>
      <c r="E64" s="298">
        <v>0</v>
      </c>
      <c r="F64" s="300">
        <v>1</v>
      </c>
      <c r="G64" s="300">
        <v>0</v>
      </c>
      <c r="H64" s="300">
        <v>0</v>
      </c>
      <c r="I64" s="1965" t="e">
        <f>'8_MP'!#REF!</f>
        <v>#REF!</v>
      </c>
      <c r="J64" s="298" t="e">
        <f>'8_MP'!#REF!*12</f>
        <v>#REF!</v>
      </c>
      <c r="K64" s="2127">
        <v>45233</v>
      </c>
      <c r="L64" s="1947" t="s">
        <v>2682</v>
      </c>
      <c r="M64" s="2127">
        <v>45257</v>
      </c>
      <c r="N64" s="1947" t="s">
        <v>2682</v>
      </c>
      <c r="O64" s="287" t="s">
        <v>1413</v>
      </c>
      <c r="P64" s="283" t="s">
        <v>763</v>
      </c>
      <c r="Q64" s="1981" t="s">
        <v>2727</v>
      </c>
      <c r="R64" s="1954"/>
      <c r="S64" s="1954"/>
      <c r="T64" s="1954"/>
    </row>
    <row r="65" spans="1:20">
      <c r="A65" s="4222" t="s">
        <v>2788</v>
      </c>
      <c r="B65" s="4222"/>
      <c r="C65" s="4222"/>
      <c r="D65" s="1955" t="e">
        <f>SUM(D41:D64)</f>
        <v>#REF!</v>
      </c>
      <c r="E65" s="1955">
        <f>SUM(E41:E64)</f>
        <v>0</v>
      </c>
      <c r="F65" s="4222"/>
      <c r="G65" s="4222"/>
      <c r="H65" s="4222"/>
      <c r="I65" s="4222"/>
      <c r="J65" s="4222"/>
      <c r="K65" s="4222"/>
      <c r="L65" s="4222"/>
      <c r="M65" s="4222"/>
      <c r="N65" s="4222"/>
      <c r="O65" s="4222"/>
      <c r="P65" s="4222"/>
      <c r="Q65" s="4222"/>
      <c r="R65" s="4222"/>
      <c r="S65" s="4222"/>
      <c r="T65" s="4222"/>
    </row>
    <row r="66" spans="1:20">
      <c r="O66" s="264"/>
      <c r="P66" s="264"/>
      <c r="Q66" s="264"/>
    </row>
    <row r="67" spans="1:20">
      <c r="O67" s="264"/>
      <c r="P67" s="264"/>
      <c r="Q67" s="264"/>
    </row>
    <row r="68" spans="1:20">
      <c r="O68" s="264"/>
      <c r="P68" s="264"/>
      <c r="Q68" s="264"/>
    </row>
    <row r="69" spans="1:20">
      <c r="O69" s="264"/>
      <c r="P69" s="264"/>
      <c r="Q69" s="264"/>
    </row>
    <row r="70" spans="1:20">
      <c r="D70" s="257"/>
      <c r="O70" s="264"/>
      <c r="P70" s="264"/>
      <c r="Q70" s="264"/>
    </row>
    <row r="71" spans="1:20">
      <c r="O71" s="264"/>
      <c r="P71" s="264"/>
      <c r="Q71" s="264"/>
    </row>
    <row r="72" spans="1:20">
      <c r="O72" s="264"/>
      <c r="P72" s="264"/>
      <c r="Q72" s="264"/>
    </row>
    <row r="73" spans="1:20">
      <c r="O73" s="264"/>
      <c r="P73" s="264"/>
      <c r="Q73" s="264"/>
    </row>
    <row r="74" spans="1:20">
      <c r="O74" s="264"/>
      <c r="P74" s="264"/>
      <c r="Q74" s="264"/>
    </row>
    <row r="75" spans="1:20">
      <c r="O75" s="264"/>
      <c r="P75" s="264"/>
      <c r="Q75" s="264"/>
    </row>
    <row r="76" spans="1:20">
      <c r="O76" s="264"/>
      <c r="P76" s="264"/>
      <c r="Q76" s="264"/>
    </row>
    <row r="77" spans="1:20">
      <c r="O77" s="264"/>
      <c r="P77" s="264"/>
      <c r="Q77" s="264"/>
    </row>
    <row r="78" spans="1:20">
      <c r="O78" s="264"/>
      <c r="P78" s="264"/>
      <c r="Q78" s="264"/>
    </row>
    <row r="79" spans="1:20">
      <c r="O79" s="264"/>
      <c r="P79" s="264"/>
      <c r="Q79" s="264"/>
    </row>
    <row r="80" spans="1:20">
      <c r="O80" s="264"/>
      <c r="P80" s="264"/>
      <c r="Q80" s="264"/>
    </row>
    <row r="81" spans="15:17">
      <c r="O81" s="264"/>
      <c r="P81" s="264"/>
      <c r="Q81" s="264"/>
    </row>
    <row r="82" spans="15:17">
      <c r="O82" s="264"/>
      <c r="P82" s="264"/>
      <c r="Q82" s="264"/>
    </row>
    <row r="83" spans="15:17">
      <c r="O83" s="264"/>
      <c r="P83" s="264"/>
      <c r="Q83" s="264"/>
    </row>
    <row r="84" spans="15:17">
      <c r="O84" s="264"/>
      <c r="P84" s="264"/>
      <c r="Q84" s="264"/>
    </row>
    <row r="85" spans="15:17">
      <c r="O85" s="264"/>
      <c r="P85" s="264"/>
      <c r="Q85" s="264"/>
    </row>
    <row r="86" spans="15:17">
      <c r="O86" s="264"/>
      <c r="P86" s="264"/>
      <c r="Q86" s="264"/>
    </row>
    <row r="87" spans="15:17">
      <c r="O87" s="264"/>
      <c r="P87" s="264"/>
      <c r="Q87" s="264"/>
    </row>
    <row r="88" spans="15:17">
      <c r="O88" s="264"/>
      <c r="P88" s="264"/>
      <c r="Q88" s="264"/>
    </row>
    <row r="89" spans="15:17">
      <c r="O89" s="264"/>
      <c r="P89" s="264"/>
      <c r="Q89" s="264"/>
    </row>
    <row r="90" spans="15:17">
      <c r="O90" s="264"/>
      <c r="P90" s="264"/>
      <c r="Q90" s="264"/>
    </row>
    <row r="91" spans="15:17">
      <c r="O91" s="264"/>
      <c r="P91" s="264"/>
      <c r="Q91" s="264"/>
    </row>
    <row r="92" spans="15:17">
      <c r="O92" s="264"/>
      <c r="P92" s="264"/>
      <c r="Q92" s="264"/>
    </row>
    <row r="93" spans="15:17">
      <c r="O93" s="264"/>
      <c r="P93" s="264"/>
      <c r="Q93" s="264"/>
    </row>
    <row r="94" spans="15:17">
      <c r="O94" s="264"/>
      <c r="P94" s="264"/>
      <c r="Q94" s="264"/>
    </row>
    <row r="95" spans="15:17">
      <c r="O95" s="264"/>
      <c r="P95" s="264"/>
      <c r="Q95" s="264"/>
    </row>
    <row r="96" spans="15:17">
      <c r="O96" s="264"/>
      <c r="P96" s="264"/>
      <c r="Q96" s="264"/>
    </row>
    <row r="97" spans="15:17">
      <c r="O97" s="264"/>
      <c r="P97" s="264"/>
      <c r="Q97" s="264"/>
    </row>
    <row r="98" spans="15:17">
      <c r="O98" s="264"/>
      <c r="P98" s="264"/>
      <c r="Q98" s="264"/>
    </row>
    <row r="99" spans="15:17">
      <c r="O99" s="264"/>
      <c r="P99" s="264"/>
      <c r="Q99" s="264"/>
    </row>
    <row r="100" spans="15:17">
      <c r="O100" s="264"/>
      <c r="P100" s="264"/>
      <c r="Q100" s="264"/>
    </row>
    <row r="101" spans="15:17">
      <c r="O101" s="264"/>
      <c r="P101" s="264"/>
      <c r="Q101" s="264"/>
    </row>
    <row r="102" spans="15:17">
      <c r="O102" s="264"/>
      <c r="P102" s="264"/>
      <c r="Q102" s="264"/>
    </row>
    <row r="103" spans="15:17">
      <c r="O103" s="264"/>
      <c r="P103" s="264"/>
      <c r="Q103" s="264"/>
    </row>
    <row r="104" spans="15:17">
      <c r="O104" s="264"/>
      <c r="P104" s="264"/>
      <c r="Q104" s="264"/>
    </row>
    <row r="105" spans="15:17">
      <c r="O105" s="264"/>
      <c r="P105" s="264"/>
      <c r="Q105" s="264"/>
    </row>
    <row r="106" spans="15:17">
      <c r="O106" s="264"/>
      <c r="P106" s="264"/>
      <c r="Q106" s="264"/>
    </row>
    <row r="107" spans="15:17">
      <c r="O107" s="264"/>
      <c r="P107" s="264"/>
      <c r="Q107" s="264"/>
    </row>
    <row r="108" spans="15:17">
      <c r="O108" s="264"/>
      <c r="P108" s="264"/>
      <c r="Q108" s="264"/>
    </row>
    <row r="109" spans="15:17">
      <c r="O109" s="264"/>
      <c r="P109" s="264"/>
      <c r="Q109" s="264"/>
    </row>
    <row r="110" spans="15:17">
      <c r="O110" s="264"/>
      <c r="P110" s="264"/>
      <c r="Q110" s="264"/>
    </row>
    <row r="111" spans="15:17">
      <c r="O111" s="264"/>
      <c r="P111" s="264"/>
      <c r="Q111" s="264"/>
    </row>
    <row r="112" spans="15:17">
      <c r="O112" s="264"/>
      <c r="P112" s="264"/>
      <c r="Q112" s="264"/>
    </row>
    <row r="113" spans="15:17">
      <c r="O113" s="264"/>
      <c r="P113" s="264"/>
      <c r="Q113" s="264"/>
    </row>
    <row r="114" spans="15:17">
      <c r="O114" s="264"/>
      <c r="P114" s="264"/>
      <c r="Q114" s="264"/>
    </row>
    <row r="115" spans="15:17">
      <c r="O115" s="264"/>
      <c r="P115" s="264"/>
      <c r="Q115" s="264"/>
    </row>
    <row r="116" spans="15:17">
      <c r="O116" s="264"/>
      <c r="P116" s="264"/>
      <c r="Q116" s="264"/>
    </row>
    <row r="117" spans="15:17">
      <c r="O117" s="264"/>
      <c r="P117" s="264"/>
      <c r="Q117" s="264"/>
    </row>
    <row r="118" spans="15:17">
      <c r="O118" s="264"/>
      <c r="P118" s="264"/>
      <c r="Q118" s="264"/>
    </row>
    <row r="119" spans="15:17">
      <c r="O119" s="264"/>
      <c r="P119" s="264"/>
      <c r="Q119" s="264"/>
    </row>
    <row r="120" spans="15:17">
      <c r="O120" s="264"/>
      <c r="P120" s="264"/>
      <c r="Q120" s="264"/>
    </row>
    <row r="121" spans="15:17">
      <c r="O121" s="264"/>
      <c r="P121" s="264"/>
      <c r="Q121" s="264"/>
    </row>
    <row r="122" spans="15:17">
      <c r="O122" s="264"/>
      <c r="P122" s="264"/>
      <c r="Q122" s="264"/>
    </row>
    <row r="123" spans="15:17">
      <c r="O123" s="264"/>
      <c r="P123" s="264"/>
      <c r="Q123" s="264"/>
    </row>
    <row r="124" spans="15:17">
      <c r="O124" s="264"/>
      <c r="P124" s="264"/>
      <c r="Q124" s="264"/>
    </row>
    <row r="125" spans="15:17">
      <c r="O125" s="264"/>
      <c r="P125" s="264"/>
      <c r="Q125" s="264"/>
    </row>
    <row r="126" spans="15:17">
      <c r="O126" s="264"/>
      <c r="P126" s="264"/>
      <c r="Q126" s="264"/>
    </row>
    <row r="127" spans="15:17">
      <c r="O127" s="264"/>
      <c r="P127" s="264"/>
      <c r="Q127" s="264"/>
    </row>
    <row r="128" spans="15:17">
      <c r="O128" s="264"/>
      <c r="P128" s="264"/>
      <c r="Q128" s="264"/>
    </row>
    <row r="129" spans="15:17">
      <c r="O129" s="264"/>
      <c r="P129" s="264"/>
      <c r="Q129" s="264"/>
    </row>
  </sheetData>
  <mergeCells count="96">
    <mergeCell ref="Y6:Z6"/>
    <mergeCell ref="A2:AF2"/>
    <mergeCell ref="A4:AF4"/>
    <mergeCell ref="A5:C5"/>
    <mergeCell ref="D5:H5"/>
    <mergeCell ref="I5:I6"/>
    <mergeCell ref="J5:J6"/>
    <mergeCell ref="K5:Z5"/>
    <mergeCell ref="AA5:AF5"/>
    <mergeCell ref="K6:L6"/>
    <mergeCell ref="M6:N6"/>
    <mergeCell ref="O6:P6"/>
    <mergeCell ref="Q6:R6"/>
    <mergeCell ref="S6:T6"/>
    <mergeCell ref="U6:V6"/>
    <mergeCell ref="W6:X6"/>
    <mergeCell ref="A11:C11"/>
    <mergeCell ref="F11:AF11"/>
    <mergeCell ref="A13:AD13"/>
    <mergeCell ref="A14:C14"/>
    <mergeCell ref="D14:H14"/>
    <mergeCell ref="I14:I15"/>
    <mergeCell ref="J14:J15"/>
    <mergeCell ref="K14:X14"/>
    <mergeCell ref="Y14:AD14"/>
    <mergeCell ref="K15:L15"/>
    <mergeCell ref="M15:N15"/>
    <mergeCell ref="O15:P15"/>
    <mergeCell ref="Q15:R15"/>
    <mergeCell ref="S15:T15"/>
    <mergeCell ref="U15:V15"/>
    <mergeCell ref="W15:X15"/>
    <mergeCell ref="F22:F23"/>
    <mergeCell ref="A17:C17"/>
    <mergeCell ref="F17:AD17"/>
    <mergeCell ref="A19:Z19"/>
    <mergeCell ref="A20:C20"/>
    <mergeCell ref="D20:H20"/>
    <mergeCell ref="I20:I21"/>
    <mergeCell ref="J20:J21"/>
    <mergeCell ref="K20:T20"/>
    <mergeCell ref="U20:Z20"/>
    <mergeCell ref="K21:L21"/>
    <mergeCell ref="A22:A23"/>
    <mergeCell ref="B22:B23"/>
    <mergeCell ref="C22:C23"/>
    <mergeCell ref="D22:D23"/>
    <mergeCell ref="E22:E23"/>
    <mergeCell ref="M22:M23"/>
    <mergeCell ref="M21:N21"/>
    <mergeCell ref="O21:P21"/>
    <mergeCell ref="Q21:R21"/>
    <mergeCell ref="S21:T21"/>
    <mergeCell ref="G22:G23"/>
    <mergeCell ref="H22:H23"/>
    <mergeCell ref="J22:J23"/>
    <mergeCell ref="K22:K23"/>
    <mergeCell ref="L22:L23"/>
    <mergeCell ref="Y22:Y23"/>
    <mergeCell ref="N22:N23"/>
    <mergeCell ref="O22:O23"/>
    <mergeCell ref="P22:P23"/>
    <mergeCell ref="Q22:Q23"/>
    <mergeCell ref="R22:R23"/>
    <mergeCell ref="S22:S23"/>
    <mergeCell ref="A38:T38"/>
    <mergeCell ref="Z22:Z23"/>
    <mergeCell ref="A27:C27"/>
    <mergeCell ref="F27:Z27"/>
    <mergeCell ref="A29:V29"/>
    <mergeCell ref="A30:C30"/>
    <mergeCell ref="D30:H30"/>
    <mergeCell ref="I30:I31"/>
    <mergeCell ref="J30:J31"/>
    <mergeCell ref="K30:P30"/>
    <mergeCell ref="Q30:V30"/>
    <mergeCell ref="T22:T23"/>
    <mergeCell ref="U22:U23"/>
    <mergeCell ref="V22:V23"/>
    <mergeCell ref="W22:W23"/>
    <mergeCell ref="X22:X23"/>
    <mergeCell ref="K31:L31"/>
    <mergeCell ref="M31:N31"/>
    <mergeCell ref="O31:P31"/>
    <mergeCell ref="A36:C36"/>
    <mergeCell ref="F36:V36"/>
    <mergeCell ref="A65:C65"/>
    <mergeCell ref="F65:T65"/>
    <mergeCell ref="A39:C39"/>
    <mergeCell ref="D39:H39"/>
    <mergeCell ref="I39:I40"/>
    <mergeCell ref="J39:J40"/>
    <mergeCell ref="K39:N39"/>
    <mergeCell ref="O39:T39"/>
    <mergeCell ref="K40:L40"/>
    <mergeCell ref="M40:N40"/>
  </mergeCells>
  <dataValidations count="7">
    <dataValidation type="list" allowBlank="1" showInputMessage="1" showErrorMessage="1" sqref="Z18" xr:uid="{00000000-0002-0000-2700-000000000000}">
      <formula1>$AR$17:$AR$18</formula1>
    </dataValidation>
    <dataValidation type="list" allowBlank="1" showInputMessage="1" showErrorMessage="1" sqref="O66:O129 U28 Q37 AA12 Y18" xr:uid="{00000000-0002-0000-2700-000001000000}">
      <formula1>$AQ$5</formula1>
    </dataValidation>
    <dataValidation type="list" allowBlank="1" showInputMessage="1" showErrorMessage="1" sqref="AB12" xr:uid="{00000000-0002-0000-2700-000002000000}">
      <formula1>$AR$2:$AR$5</formula1>
    </dataValidation>
    <dataValidation type="list" allowBlank="1" showInputMessage="1" showErrorMessage="1" sqref="W28 Q66:Q129 S37 AC12 AA18" xr:uid="{00000000-0002-0000-2700-000003000000}">
      <formula1>$AS$3:$AS$4</formula1>
    </dataValidation>
    <dataValidation type="list" allowBlank="1" showInputMessage="1" showErrorMessage="1" sqref="R37" xr:uid="{00000000-0002-0000-2700-000004000000}">
      <formula1>$AR$6:$AR$6</formula1>
    </dataValidation>
    <dataValidation type="list" allowBlank="1" showInputMessage="1" showErrorMessage="1" sqref="P66:P129" xr:uid="{00000000-0002-0000-2700-000005000000}">
      <formula1>$AR$11:$AR$14</formula1>
    </dataValidation>
    <dataValidation type="list" allowBlank="1" showInputMessage="1" showErrorMessage="1" sqref="V28" xr:uid="{00000000-0002-0000-2700-000006000000}">
      <formula1>$AR$15:$AR$16</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1"/>
  <sheetViews>
    <sheetView showGridLines="0" topLeftCell="B1" zoomScale="130" zoomScaleNormal="130" workbookViewId="0">
      <pane ySplit="2" topLeftCell="A3" activePane="bottomLeft" state="frozen"/>
      <selection pane="bottomLeft" activeCell="F3" sqref="F3"/>
    </sheetView>
  </sheetViews>
  <sheetFormatPr baseColWidth="10" defaultColWidth="11.5" defaultRowHeight="15"/>
  <cols>
    <col min="1" max="1" width="8.5" style="333" customWidth="1"/>
    <col min="2" max="2" width="32.5" style="273" customWidth="1"/>
    <col min="3" max="3" width="21.5" style="273" customWidth="1"/>
    <col min="4" max="4" width="19.1640625" style="273" bestFit="1" customWidth="1"/>
    <col min="5" max="5" width="35.83203125" style="273" customWidth="1"/>
    <col min="6" max="6" width="13.5" style="273" customWidth="1"/>
    <col min="7" max="7" width="23.5" style="273" customWidth="1"/>
    <col min="8" max="16384" width="11.5" style="273"/>
  </cols>
  <sheetData>
    <row r="1" spans="1:7" ht="33.5" customHeight="1">
      <c r="A1" s="3616" t="s">
        <v>318</v>
      </c>
      <c r="B1" s="3616"/>
      <c r="C1" s="3616"/>
      <c r="D1" s="3616"/>
      <c r="E1" s="3616"/>
      <c r="F1" s="3616"/>
      <c r="G1" s="3616"/>
    </row>
    <row r="2" spans="1:7" s="333" customFormat="1" ht="32">
      <c r="A2" s="1803" t="s">
        <v>319</v>
      </c>
      <c r="B2" s="1801" t="s">
        <v>320</v>
      </c>
      <c r="C2" s="1818" t="s">
        <v>321</v>
      </c>
      <c r="D2" s="1818" t="s">
        <v>322</v>
      </c>
      <c r="E2" s="1801" t="s">
        <v>323</v>
      </c>
      <c r="F2" s="1801" t="s">
        <v>324</v>
      </c>
      <c r="G2" s="1819" t="s">
        <v>325</v>
      </c>
    </row>
    <row r="3" spans="1:7" ht="80">
      <c r="A3" s="1765">
        <v>1</v>
      </c>
      <c r="B3" s="1793" t="s">
        <v>136</v>
      </c>
      <c r="C3" s="1793" t="s">
        <v>326</v>
      </c>
      <c r="D3" s="2099">
        <v>45145</v>
      </c>
      <c r="E3" s="1793" t="s">
        <v>327</v>
      </c>
      <c r="F3" s="1802">
        <v>45150</v>
      </c>
      <c r="G3" s="1804">
        <v>5</v>
      </c>
    </row>
    <row r="4" spans="1:7" ht="96">
      <c r="A4" s="1765">
        <v>2</v>
      </c>
      <c r="B4" s="1793" t="s">
        <v>328</v>
      </c>
      <c r="C4" s="1793" t="s">
        <v>329</v>
      </c>
      <c r="D4" s="2099">
        <v>45146</v>
      </c>
      <c r="E4" s="1793"/>
      <c r="F4" s="1793"/>
      <c r="G4" s="1833" t="s">
        <v>330</v>
      </c>
    </row>
    <row r="5" spans="1:7" ht="48">
      <c r="A5" s="1765">
        <v>3</v>
      </c>
      <c r="B5" s="1793" t="s">
        <v>331</v>
      </c>
      <c r="C5" s="1793"/>
      <c r="D5" s="1793"/>
      <c r="E5" s="1793" t="s">
        <v>332</v>
      </c>
      <c r="F5" s="1793"/>
      <c r="G5" s="1804" t="s">
        <v>333</v>
      </c>
    </row>
    <row r="6" spans="1:7" ht="16">
      <c r="A6" s="1765">
        <v>4</v>
      </c>
      <c r="B6" s="1793" t="s">
        <v>334</v>
      </c>
      <c r="C6" s="1793"/>
      <c r="D6" s="1793"/>
      <c r="E6" s="1793"/>
      <c r="F6" s="1793"/>
      <c r="G6" s="2098">
        <v>45161</v>
      </c>
    </row>
    <row r="7" spans="1:7" ht="32">
      <c r="A7" s="1765">
        <v>5</v>
      </c>
      <c r="B7" s="1793" t="s">
        <v>335</v>
      </c>
      <c r="C7" s="1793"/>
      <c r="D7" s="1793"/>
      <c r="E7" s="1793" t="s">
        <v>336</v>
      </c>
      <c r="F7" s="1793"/>
      <c r="G7" s="2098">
        <v>45161</v>
      </c>
    </row>
    <row r="8" spans="1:7" ht="16">
      <c r="A8" s="1765">
        <v>6</v>
      </c>
      <c r="B8" s="1793" t="s">
        <v>337</v>
      </c>
      <c r="C8" s="1793"/>
      <c r="D8" s="1793"/>
      <c r="E8" s="1793"/>
      <c r="F8" s="1793"/>
      <c r="G8" s="2098">
        <v>45161</v>
      </c>
    </row>
    <row r="9" spans="1:7" ht="16">
      <c r="A9" s="1765">
        <v>7</v>
      </c>
      <c r="B9" s="1793" t="s">
        <v>338</v>
      </c>
      <c r="C9" s="1793"/>
      <c r="D9" s="1793"/>
      <c r="E9" s="1793"/>
      <c r="F9" s="1793"/>
      <c r="G9" s="2098">
        <v>45161</v>
      </c>
    </row>
    <row r="10" spans="1:7" ht="16">
      <c r="A10" s="1765">
        <v>8</v>
      </c>
      <c r="B10" s="1793" t="s">
        <v>339</v>
      </c>
      <c r="C10" s="1793"/>
      <c r="D10" s="1793"/>
      <c r="E10" s="1793" t="s">
        <v>340</v>
      </c>
      <c r="F10" s="1793"/>
      <c r="G10" s="2098">
        <v>45162</v>
      </c>
    </row>
    <row r="11" spans="1:7" ht="8" customHeight="1"/>
    <row r="12" spans="1:7" ht="32">
      <c r="A12" s="1800" t="s">
        <v>341</v>
      </c>
      <c r="B12" s="1800" t="s">
        <v>342</v>
      </c>
      <c r="C12" s="1800" t="s">
        <v>343</v>
      </c>
    </row>
    <row r="13" spans="1:7" ht="48">
      <c r="A13" s="1834" t="s">
        <v>344</v>
      </c>
      <c r="B13" s="1793" t="s">
        <v>345</v>
      </c>
      <c r="C13" s="1836" t="s">
        <v>346</v>
      </c>
      <c r="D13" s="273" t="s">
        <v>347</v>
      </c>
    </row>
    <row r="14" spans="1:7" ht="32">
      <c r="A14" s="1834" t="s">
        <v>344</v>
      </c>
      <c r="B14" s="1793" t="s">
        <v>348</v>
      </c>
      <c r="C14" s="1836" t="s">
        <v>346</v>
      </c>
    </row>
    <row r="15" spans="1:7" ht="32">
      <c r="A15" s="1834" t="s">
        <v>344</v>
      </c>
      <c r="B15" s="1793" t="s">
        <v>349</v>
      </c>
      <c r="C15" s="1836" t="s">
        <v>350</v>
      </c>
    </row>
    <row r="16" spans="1:7" ht="46.25" customHeight="1">
      <c r="A16" s="1834" t="s">
        <v>344</v>
      </c>
      <c r="B16" s="1793" t="s">
        <v>351</v>
      </c>
      <c r="C16" s="1802">
        <v>45147</v>
      </c>
    </row>
    <row r="17" spans="1:3" ht="32">
      <c r="A17" s="1834" t="s">
        <v>344</v>
      </c>
      <c r="B17" s="1793" t="s">
        <v>352</v>
      </c>
      <c r="C17" s="1802">
        <v>45147</v>
      </c>
    </row>
    <row r="18" spans="1:3" ht="16">
      <c r="A18" s="1834" t="s">
        <v>344</v>
      </c>
      <c r="B18" s="1793" t="s">
        <v>353</v>
      </c>
      <c r="C18" s="1802">
        <v>45147</v>
      </c>
    </row>
    <row r="19" spans="1:3" ht="16">
      <c r="A19" s="1834" t="s">
        <v>344</v>
      </c>
      <c r="B19" s="1793" t="s">
        <v>354</v>
      </c>
      <c r="C19" s="1802">
        <v>45147</v>
      </c>
    </row>
    <row r="20" spans="1:3" ht="16">
      <c r="A20" s="1793"/>
      <c r="B20" s="1793" t="s">
        <v>355</v>
      </c>
      <c r="C20" s="1802">
        <v>45147</v>
      </c>
    </row>
    <row r="21" spans="1:3" ht="32">
      <c r="B21" s="735" t="s">
        <v>356</v>
      </c>
      <c r="C21" s="333" t="s">
        <v>357</v>
      </c>
    </row>
  </sheetData>
  <mergeCells count="1">
    <mergeCell ref="A1:G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T411"/>
  <sheetViews>
    <sheetView showGridLines="0" zoomScale="55" zoomScaleNormal="55" workbookViewId="0">
      <selection activeCell="A10" sqref="A10:Z10"/>
    </sheetView>
  </sheetViews>
  <sheetFormatPr baseColWidth="10" defaultColWidth="11.5" defaultRowHeight="15" outlineLevelRow="1"/>
  <cols>
    <col min="1" max="1" width="11.5" style="273"/>
    <col min="2" max="2" width="52.5" style="273" customWidth="1"/>
    <col min="3" max="3" width="25.5" style="273" customWidth="1"/>
    <col min="4" max="4" width="23.5" style="273" customWidth="1"/>
    <col min="5" max="5" width="21.1640625" style="333" customWidth="1"/>
    <col min="6" max="6" width="11.5" style="273"/>
    <col min="7" max="7" width="15.83203125" style="273" customWidth="1"/>
    <col min="8" max="8" width="14.5" style="273" customWidth="1"/>
    <col min="9" max="9" width="15.5" style="273" customWidth="1"/>
    <col min="10" max="10" width="16.5" style="273" customWidth="1"/>
    <col min="11" max="11" width="14.5" style="273" bestFit="1" customWidth="1"/>
    <col min="12" max="12" width="10.83203125" style="273" bestFit="1" customWidth="1"/>
    <col min="13" max="13" width="14.5" style="273" bestFit="1" customWidth="1"/>
    <col min="14" max="14" width="10.83203125" style="273" bestFit="1" customWidth="1"/>
    <col min="15" max="15" width="14.5" style="273" bestFit="1" customWidth="1"/>
    <col min="16" max="16" width="10.83203125" style="273" bestFit="1" customWidth="1"/>
    <col min="17" max="17" width="18.1640625" style="273" bestFit="1" customWidth="1"/>
    <col min="18" max="18" width="21.5" style="273" bestFit="1" customWidth="1"/>
    <col min="19" max="19" width="16.83203125" style="273" customWidth="1"/>
    <col min="20" max="20" width="10.83203125" style="273" bestFit="1" customWidth="1"/>
    <col min="21" max="21" width="20.1640625" style="273" bestFit="1" customWidth="1"/>
    <col min="22" max="22" width="23.5" style="273" bestFit="1" customWidth="1"/>
    <col min="23" max="23" width="16.83203125" style="273" bestFit="1" customWidth="1"/>
    <col min="24" max="24" width="10.83203125" style="273" bestFit="1" customWidth="1"/>
    <col min="25" max="25" width="14.5" style="273" bestFit="1" customWidth="1"/>
    <col min="26" max="26" width="10.83203125" style="273" bestFit="1" customWidth="1"/>
    <col min="27" max="27" width="21.5" style="273" customWidth="1"/>
    <col min="28" max="28" width="27.5" style="273" customWidth="1"/>
    <col min="29" max="29" width="23.5" style="273" customWidth="1"/>
    <col min="30" max="38" width="11.5" style="273"/>
    <col min="39" max="39" width="11.5" style="345"/>
    <col min="40" max="40" width="11.5" style="347"/>
    <col min="41" max="41" width="44.5" style="347" bestFit="1" customWidth="1"/>
    <col min="42" max="42" width="13.5" style="347" bestFit="1" customWidth="1"/>
    <col min="43" max="16384" width="11.5" style="273"/>
  </cols>
  <sheetData>
    <row r="1" spans="1:46">
      <c r="AN1" s="346"/>
      <c r="AO1" s="346"/>
      <c r="AP1" s="346"/>
    </row>
    <row r="2" spans="1:46" s="338" customFormat="1" ht="34">
      <c r="A2" s="4184" t="s">
        <v>2789</v>
      </c>
      <c r="B2" s="4184"/>
      <c r="C2" s="4184"/>
      <c r="D2" s="4184"/>
      <c r="E2" s="4184"/>
      <c r="F2" s="4184"/>
      <c r="G2" s="4184"/>
      <c r="H2" s="4184"/>
      <c r="I2" s="4184"/>
      <c r="J2" s="4184"/>
      <c r="K2" s="4184"/>
      <c r="L2" s="4184"/>
      <c r="M2" s="4184"/>
      <c r="N2" s="4184"/>
      <c r="O2" s="4184"/>
      <c r="P2" s="4184"/>
      <c r="Q2" s="4184"/>
      <c r="R2" s="4184"/>
      <c r="S2" s="4184"/>
      <c r="T2" s="4184"/>
      <c r="U2" s="4184"/>
      <c r="V2" s="4184"/>
      <c r="W2" s="4184"/>
      <c r="X2" s="4184"/>
      <c r="Y2" s="4184"/>
      <c r="Z2" s="4184"/>
      <c r="AA2" s="4184"/>
      <c r="AB2" s="4184"/>
      <c r="AC2" s="4184"/>
      <c r="AD2" s="4184"/>
      <c r="AE2" s="4184"/>
      <c r="AF2" s="4184"/>
      <c r="AM2" s="345"/>
      <c r="AN2" s="347" t="s">
        <v>2265</v>
      </c>
      <c r="AO2" s="347" t="s">
        <v>2714</v>
      </c>
      <c r="AP2" s="347" t="s">
        <v>2656</v>
      </c>
    </row>
    <row r="3" spans="1:46">
      <c r="AN3" s="347" t="s">
        <v>2267</v>
      </c>
      <c r="AO3" s="347" t="s">
        <v>2715</v>
      </c>
    </row>
    <row r="4" spans="1:46" ht="31.25" customHeight="1">
      <c r="A4" s="4185" t="s">
        <v>2790</v>
      </c>
      <c r="B4" s="4185"/>
      <c r="C4" s="4185"/>
      <c r="D4" s="4185"/>
      <c r="E4" s="4185"/>
      <c r="F4" s="4185"/>
      <c r="G4" s="4185"/>
      <c r="H4" s="4185"/>
      <c r="I4" s="4185"/>
      <c r="J4" s="4185"/>
      <c r="K4" s="4185"/>
      <c r="L4" s="4185"/>
      <c r="M4" s="4185"/>
      <c r="N4" s="4185"/>
      <c r="O4" s="4185"/>
      <c r="P4" s="4185"/>
      <c r="Q4" s="4185"/>
      <c r="R4" s="4185"/>
      <c r="S4" s="4185"/>
      <c r="T4" s="4185"/>
      <c r="U4" s="4185"/>
      <c r="V4" s="4185"/>
      <c r="W4" s="4185"/>
      <c r="X4" s="4185"/>
      <c r="Y4" s="4185"/>
      <c r="Z4" s="4185"/>
      <c r="AA4" s="4185"/>
      <c r="AB4" s="4185"/>
      <c r="AC4" s="4185"/>
      <c r="AD4" s="4185"/>
      <c r="AE4" s="4185"/>
      <c r="AF4" s="4185"/>
      <c r="AO4" s="347" t="s">
        <v>2719</v>
      </c>
    </row>
    <row r="5" spans="1:46" ht="23.5" hidden="1" customHeight="1" outlineLevel="1">
      <c r="A5" s="4186" t="s">
        <v>2662</v>
      </c>
      <c r="B5" s="4186"/>
      <c r="C5" s="4186"/>
      <c r="D5" s="4186" t="s">
        <v>2663</v>
      </c>
      <c r="E5" s="4186"/>
      <c r="F5" s="4186"/>
      <c r="G5" s="4186"/>
      <c r="H5" s="4186"/>
      <c r="I5" s="4187" t="s">
        <v>1686</v>
      </c>
      <c r="J5" s="4187" t="s">
        <v>610</v>
      </c>
      <c r="K5" s="4186" t="s">
        <v>2664</v>
      </c>
      <c r="L5" s="4186"/>
      <c r="M5" s="4186"/>
      <c r="N5" s="4186"/>
      <c r="O5" s="4186"/>
      <c r="P5" s="4186"/>
      <c r="Q5" s="4186"/>
      <c r="R5" s="4186"/>
      <c r="S5" s="4186"/>
      <c r="T5" s="4186"/>
      <c r="U5" s="4186"/>
      <c r="V5" s="4186"/>
      <c r="W5" s="4186"/>
      <c r="X5" s="4186"/>
      <c r="Y5" s="4186"/>
      <c r="Z5" s="4186"/>
      <c r="AA5" s="4186" t="s">
        <v>2665</v>
      </c>
      <c r="AB5" s="4186"/>
      <c r="AC5" s="4186"/>
      <c r="AD5" s="4186"/>
      <c r="AE5" s="4186"/>
      <c r="AF5" s="4186"/>
      <c r="AO5" s="347" t="s">
        <v>2726</v>
      </c>
    </row>
    <row r="6" spans="1:46" ht="31.25" hidden="1" customHeight="1" outlineLevel="1">
      <c r="A6" s="410" t="s">
        <v>2666</v>
      </c>
      <c r="B6" s="309" t="s">
        <v>2667</v>
      </c>
      <c r="C6" s="309" t="s">
        <v>2668</v>
      </c>
      <c r="D6" s="309" t="s">
        <v>2669</v>
      </c>
      <c r="E6" s="309" t="s">
        <v>2670</v>
      </c>
      <c r="F6" s="309" t="s">
        <v>2671</v>
      </c>
      <c r="G6" s="309" t="s">
        <v>2672</v>
      </c>
      <c r="H6" s="309" t="s">
        <v>2673</v>
      </c>
      <c r="I6" s="4187"/>
      <c r="J6" s="4187"/>
      <c r="K6" s="4183" t="s">
        <v>2720</v>
      </c>
      <c r="L6" s="4183"/>
      <c r="M6" s="4183" t="s">
        <v>2721</v>
      </c>
      <c r="N6" s="4183"/>
      <c r="O6" s="4183" t="s">
        <v>2722</v>
      </c>
      <c r="P6" s="4183"/>
      <c r="Q6" s="4183" t="s">
        <v>2676</v>
      </c>
      <c r="R6" s="4183"/>
      <c r="S6" s="4183" t="s">
        <v>2722</v>
      </c>
      <c r="T6" s="4183"/>
      <c r="U6" s="4183" t="s">
        <v>2707</v>
      </c>
      <c r="V6" s="4183"/>
      <c r="W6" s="4183" t="s">
        <v>2710</v>
      </c>
      <c r="X6" s="4183"/>
      <c r="Y6" s="4183" t="s">
        <v>2678</v>
      </c>
      <c r="Z6" s="4183"/>
      <c r="AA6" s="309" t="s">
        <v>2723</v>
      </c>
      <c r="AB6" s="309" t="s">
        <v>2724</v>
      </c>
      <c r="AC6" s="309" t="s">
        <v>2695</v>
      </c>
      <c r="AD6" s="309" t="s">
        <v>2696</v>
      </c>
      <c r="AE6" s="309" t="s">
        <v>2697</v>
      </c>
      <c r="AF6" s="309" t="s">
        <v>2698</v>
      </c>
      <c r="AO6" s="347" t="s">
        <v>2719</v>
      </c>
    </row>
    <row r="7" spans="1:46" s="333" customFormat="1" hidden="1" outlineLevel="1">
      <c r="A7" s="320"/>
      <c r="B7" s="295"/>
      <c r="C7" s="280"/>
      <c r="D7" s="331"/>
      <c r="E7" s="298"/>
      <c r="F7" s="332"/>
      <c r="G7" s="332"/>
      <c r="H7" s="332"/>
      <c r="I7" s="280"/>
      <c r="J7" s="331"/>
      <c r="K7" s="279"/>
      <c r="L7" s="279"/>
      <c r="M7" s="279"/>
      <c r="N7" s="279"/>
      <c r="O7" s="279"/>
      <c r="P7" s="279"/>
      <c r="Q7" s="279"/>
      <c r="R7" s="279"/>
      <c r="S7" s="279"/>
      <c r="T7" s="279"/>
      <c r="U7" s="279"/>
      <c r="V7" s="279"/>
      <c r="W7" s="279"/>
      <c r="X7" s="279"/>
      <c r="Y7" s="279"/>
      <c r="Z7" s="279"/>
      <c r="AA7" s="293"/>
      <c r="AB7" s="293"/>
      <c r="AC7" s="293"/>
      <c r="AD7" s="282"/>
      <c r="AE7" s="282"/>
      <c r="AF7" s="282"/>
      <c r="AM7" s="348"/>
      <c r="AN7" s="349"/>
      <c r="AO7" s="349"/>
      <c r="AP7" s="349"/>
    </row>
    <row r="8" spans="1:46" s="340" customFormat="1" hidden="1" outlineLevel="1">
      <c r="A8" s="4240" t="s">
        <v>2740</v>
      </c>
      <c r="B8" s="4240"/>
      <c r="C8" s="4240"/>
      <c r="D8" s="339">
        <f>SUM(D7)</f>
        <v>0</v>
      </c>
      <c r="E8" s="334">
        <f>SUM(E7)</f>
        <v>0</v>
      </c>
      <c r="F8" s="4240"/>
      <c r="G8" s="4240"/>
      <c r="H8" s="4240"/>
      <c r="I8" s="4240"/>
      <c r="J8" s="4240"/>
      <c r="K8" s="4240"/>
      <c r="L8" s="4240"/>
      <c r="M8" s="4240"/>
      <c r="N8" s="4240"/>
      <c r="O8" s="4240"/>
      <c r="P8" s="4240"/>
      <c r="Q8" s="4240"/>
      <c r="R8" s="4240"/>
      <c r="S8" s="4240"/>
      <c r="T8" s="4240"/>
      <c r="U8" s="4240"/>
      <c r="V8" s="4240"/>
      <c r="W8" s="4240"/>
      <c r="X8" s="4240"/>
      <c r="Y8" s="4240"/>
      <c r="Z8" s="4240"/>
      <c r="AA8" s="4240"/>
      <c r="AB8" s="4240"/>
      <c r="AC8" s="4240"/>
      <c r="AD8" s="4240"/>
      <c r="AE8" s="4240"/>
      <c r="AF8" s="4240"/>
      <c r="AM8" s="350"/>
      <c r="AN8" s="350"/>
      <c r="AO8" s="350"/>
      <c r="AP8" s="350"/>
      <c r="AQ8" s="341"/>
      <c r="AR8" s="342"/>
      <c r="AS8" s="341"/>
      <c r="AT8" s="343"/>
    </row>
    <row r="9" spans="1:46" s="265" customFormat="1" collapsed="1">
      <c r="E9" s="317"/>
      <c r="AM9" s="351"/>
      <c r="AN9" s="352"/>
      <c r="AO9" s="352"/>
      <c r="AP9" s="352"/>
    </row>
    <row r="10" spans="1:46" ht="31.25" customHeight="1">
      <c r="A10" s="4218" t="s">
        <v>2746</v>
      </c>
      <c r="B10" s="4219"/>
      <c r="C10" s="4219"/>
      <c r="D10" s="4219"/>
      <c r="E10" s="4219"/>
      <c r="F10" s="4219"/>
      <c r="G10" s="4219"/>
      <c r="H10" s="4219"/>
      <c r="I10" s="4219"/>
      <c r="J10" s="4219"/>
      <c r="K10" s="4219"/>
      <c r="L10" s="4219"/>
      <c r="M10" s="4219"/>
      <c r="N10" s="4219"/>
      <c r="O10" s="4219"/>
      <c r="P10" s="4219"/>
      <c r="Q10" s="4219"/>
      <c r="R10" s="4219"/>
      <c r="S10" s="4219"/>
      <c r="T10" s="4219"/>
      <c r="U10" s="4219"/>
      <c r="V10" s="4219"/>
      <c r="W10" s="4219"/>
      <c r="X10" s="4219"/>
      <c r="Y10" s="4219"/>
      <c r="Z10" s="4220"/>
    </row>
    <row r="11" spans="1:46" ht="23.5" hidden="1" customHeight="1" outlineLevel="1">
      <c r="A11" s="4186" t="s">
        <v>2662</v>
      </c>
      <c r="B11" s="4186"/>
      <c r="C11" s="4186"/>
      <c r="D11" s="4186" t="s">
        <v>2663</v>
      </c>
      <c r="E11" s="4186"/>
      <c r="F11" s="4186"/>
      <c r="G11" s="4186"/>
      <c r="H11" s="4186"/>
      <c r="I11" s="4187" t="s">
        <v>1686</v>
      </c>
      <c r="J11" s="4187" t="s">
        <v>610</v>
      </c>
      <c r="K11" s="4186" t="s">
        <v>2664</v>
      </c>
      <c r="L11" s="4186"/>
      <c r="M11" s="4186"/>
      <c r="N11" s="4186"/>
      <c r="O11" s="4186"/>
      <c r="P11" s="4186"/>
      <c r="Q11" s="4186"/>
      <c r="R11" s="4186"/>
      <c r="S11" s="4186"/>
      <c r="T11" s="4186"/>
      <c r="U11" s="4186" t="s">
        <v>2665</v>
      </c>
      <c r="V11" s="4186"/>
      <c r="W11" s="4186"/>
      <c r="X11" s="4186"/>
      <c r="Y11" s="4186"/>
      <c r="Z11" s="4186"/>
    </row>
    <row r="12" spans="1:46" ht="31.25" hidden="1" customHeight="1" outlineLevel="1">
      <c r="A12" s="410" t="s">
        <v>2666</v>
      </c>
      <c r="B12" s="309" t="s">
        <v>2667</v>
      </c>
      <c r="C12" s="309" t="s">
        <v>2668</v>
      </c>
      <c r="D12" s="309" t="s">
        <v>2669</v>
      </c>
      <c r="E12" s="309" t="s">
        <v>2670</v>
      </c>
      <c r="F12" s="309" t="s">
        <v>2671</v>
      </c>
      <c r="G12" s="309" t="s">
        <v>2672</v>
      </c>
      <c r="H12" s="309" t="s">
        <v>2673</v>
      </c>
      <c r="I12" s="4187"/>
      <c r="J12" s="4187"/>
      <c r="K12" s="4183" t="s">
        <v>2720</v>
      </c>
      <c r="L12" s="4183"/>
      <c r="M12" s="4183" t="s">
        <v>2721</v>
      </c>
      <c r="N12" s="4183"/>
      <c r="O12" s="4183" t="s">
        <v>2743</v>
      </c>
      <c r="P12" s="4183"/>
      <c r="Q12" s="4183" t="s">
        <v>2710</v>
      </c>
      <c r="R12" s="4183"/>
      <c r="S12" s="4183" t="s">
        <v>2678</v>
      </c>
      <c r="T12" s="4183"/>
      <c r="U12" s="309" t="s">
        <v>2723</v>
      </c>
      <c r="V12" s="309" t="s">
        <v>2724</v>
      </c>
      <c r="W12" s="309" t="s">
        <v>2695</v>
      </c>
      <c r="X12" s="309" t="s">
        <v>2696</v>
      </c>
      <c r="Y12" s="309" t="s">
        <v>2697</v>
      </c>
      <c r="Z12" s="309" t="s">
        <v>2698</v>
      </c>
    </row>
    <row r="13" spans="1:46" s="333" customFormat="1" ht="16" hidden="1" outlineLevel="1">
      <c r="A13" s="299"/>
      <c r="B13" s="284"/>
      <c r="C13" s="310"/>
      <c r="D13" s="335"/>
      <c r="E13" s="305"/>
      <c r="F13" s="336"/>
      <c r="G13" s="336"/>
      <c r="H13" s="336"/>
      <c r="I13" s="310"/>
      <c r="J13" s="335"/>
      <c r="K13" s="279" t="s">
        <v>2691</v>
      </c>
      <c r="L13" s="279" t="s">
        <v>2682</v>
      </c>
      <c r="M13" s="279" t="s">
        <v>2691</v>
      </c>
      <c r="N13" s="279" t="s">
        <v>2682</v>
      </c>
      <c r="O13" s="279" t="s">
        <v>2691</v>
      </c>
      <c r="P13" s="279" t="s">
        <v>2682</v>
      </c>
      <c r="Q13" s="279" t="s">
        <v>2691</v>
      </c>
      <c r="R13" s="279" t="s">
        <v>2682</v>
      </c>
      <c r="S13" s="279" t="s">
        <v>2691</v>
      </c>
      <c r="T13" s="279" t="s">
        <v>2682</v>
      </c>
      <c r="U13" s="299"/>
      <c r="V13" s="299"/>
      <c r="W13" s="299"/>
      <c r="X13" s="287"/>
      <c r="Y13" s="337"/>
      <c r="Z13" s="282"/>
      <c r="AM13" s="348"/>
      <c r="AN13" s="349"/>
      <c r="AO13" s="349"/>
      <c r="AP13" s="349"/>
    </row>
    <row r="14" spans="1:46" s="265" customFormat="1" hidden="1" outlineLevel="1">
      <c r="A14" s="4241" t="s">
        <v>2750</v>
      </c>
      <c r="B14" s="4241"/>
      <c r="C14" s="4241"/>
      <c r="D14" s="415">
        <f>SUM(D13)</f>
        <v>0</v>
      </c>
      <c r="E14" s="415">
        <f>SUM(E13)</f>
        <v>0</v>
      </c>
      <c r="F14" s="4242"/>
      <c r="G14" s="4242"/>
      <c r="H14" s="4242"/>
      <c r="I14" s="4242"/>
      <c r="J14" s="4242"/>
      <c r="K14" s="4242"/>
      <c r="L14" s="4242"/>
      <c r="M14" s="4242"/>
      <c r="N14" s="4242"/>
      <c r="O14" s="4242"/>
      <c r="P14" s="4242"/>
      <c r="Q14" s="4242"/>
      <c r="R14" s="4242"/>
      <c r="S14" s="4242"/>
      <c r="T14" s="4242"/>
      <c r="U14" s="4242"/>
      <c r="V14" s="4242"/>
      <c r="W14" s="4242"/>
      <c r="X14" s="4242"/>
      <c r="Y14" s="4242"/>
      <c r="Z14" s="4242"/>
      <c r="AM14" s="351"/>
      <c r="AN14" s="351"/>
      <c r="AO14" s="351"/>
      <c r="AP14" s="351"/>
    </row>
    <row r="15" spans="1:46" s="265" customFormat="1" collapsed="1">
      <c r="E15" s="317"/>
      <c r="AM15" s="351"/>
      <c r="AN15" s="352"/>
      <c r="AO15" s="352"/>
      <c r="AP15" s="352"/>
    </row>
    <row r="16" spans="1:46" ht="31.25" customHeight="1">
      <c r="A16" s="4218" t="s">
        <v>2791</v>
      </c>
      <c r="B16" s="4219"/>
      <c r="C16" s="4219"/>
      <c r="D16" s="4219"/>
      <c r="E16" s="4219"/>
      <c r="F16" s="4219"/>
      <c r="G16" s="4219"/>
      <c r="H16" s="4219"/>
      <c r="I16" s="4219"/>
      <c r="J16" s="4219"/>
      <c r="K16" s="4219"/>
      <c r="L16" s="4219"/>
      <c r="M16" s="4219"/>
      <c r="N16" s="4219"/>
      <c r="O16" s="4219"/>
      <c r="P16" s="4219"/>
      <c r="Q16" s="4219"/>
      <c r="R16" s="4219"/>
      <c r="S16" s="4219"/>
      <c r="T16" s="4219"/>
      <c r="U16" s="4219"/>
      <c r="V16" s="4220"/>
    </row>
    <row r="17" spans="1:42" ht="23.5" hidden="1" customHeight="1" outlineLevel="1">
      <c r="A17" s="4186" t="s">
        <v>2662</v>
      </c>
      <c r="B17" s="4186"/>
      <c r="C17" s="4186"/>
      <c r="D17" s="4186" t="s">
        <v>2663</v>
      </c>
      <c r="E17" s="4186"/>
      <c r="F17" s="4186"/>
      <c r="G17" s="4186"/>
      <c r="H17" s="4186"/>
      <c r="I17" s="4187" t="s">
        <v>1686</v>
      </c>
      <c r="J17" s="4187" t="s">
        <v>610</v>
      </c>
      <c r="K17" s="4186" t="s">
        <v>2664</v>
      </c>
      <c r="L17" s="4186"/>
      <c r="M17" s="4186"/>
      <c r="N17" s="4186"/>
      <c r="O17" s="4186"/>
      <c r="P17" s="4186"/>
      <c r="Q17" s="4186" t="s">
        <v>2665</v>
      </c>
      <c r="R17" s="4186"/>
      <c r="S17" s="4186"/>
      <c r="T17" s="4186"/>
      <c r="U17" s="4186"/>
      <c r="V17" s="4186"/>
    </row>
    <row r="18" spans="1:42" ht="31.25" hidden="1" customHeight="1" outlineLevel="1">
      <c r="A18" s="410" t="s">
        <v>2666</v>
      </c>
      <c r="B18" s="309" t="s">
        <v>2667</v>
      </c>
      <c r="C18" s="309" t="s">
        <v>2668</v>
      </c>
      <c r="D18" s="309" t="s">
        <v>2669</v>
      </c>
      <c r="E18" s="309" t="s">
        <v>2670</v>
      </c>
      <c r="F18" s="309" t="s">
        <v>2671</v>
      </c>
      <c r="G18" s="309" t="s">
        <v>2672</v>
      </c>
      <c r="H18" s="309" t="s">
        <v>2673</v>
      </c>
      <c r="I18" s="4187"/>
      <c r="J18" s="4187"/>
      <c r="K18" s="4183" t="s">
        <v>2792</v>
      </c>
      <c r="L18" s="4183"/>
      <c r="M18" s="4183" t="s">
        <v>2710</v>
      </c>
      <c r="N18" s="4183"/>
      <c r="O18" s="4183" t="s">
        <v>2678</v>
      </c>
      <c r="P18" s="4183"/>
      <c r="Q18" s="309" t="s">
        <v>2723</v>
      </c>
      <c r="R18" s="309" t="s">
        <v>2724</v>
      </c>
      <c r="S18" s="309" t="s">
        <v>2695</v>
      </c>
      <c r="T18" s="309" t="s">
        <v>2696</v>
      </c>
      <c r="U18" s="309" t="s">
        <v>2697</v>
      </c>
      <c r="V18" s="309" t="s">
        <v>2698</v>
      </c>
    </row>
    <row r="19" spans="1:42" ht="16" hidden="1" outlineLevel="1">
      <c r="A19" s="344"/>
      <c r="B19" s="344"/>
      <c r="C19" s="344"/>
      <c r="D19" s="344"/>
      <c r="E19" s="282"/>
      <c r="F19" s="344"/>
      <c r="G19" s="344"/>
      <c r="H19" s="344"/>
      <c r="I19" s="344"/>
      <c r="J19" s="344"/>
      <c r="K19" s="279" t="s">
        <v>2691</v>
      </c>
      <c r="L19" s="279" t="s">
        <v>2682</v>
      </c>
      <c r="M19" s="279" t="s">
        <v>2691</v>
      </c>
      <c r="N19" s="279" t="s">
        <v>2682</v>
      </c>
      <c r="O19" s="279" t="s">
        <v>2691</v>
      </c>
      <c r="P19" s="279" t="s">
        <v>2682</v>
      </c>
      <c r="Q19" s="344"/>
      <c r="R19" s="344"/>
      <c r="S19" s="344"/>
      <c r="T19" s="344"/>
      <c r="U19" s="344"/>
      <c r="V19" s="344"/>
    </row>
    <row r="20" spans="1:42" s="265" customFormat="1" collapsed="1">
      <c r="E20" s="317"/>
      <c r="AM20" s="351"/>
      <c r="AN20" s="352"/>
      <c r="AO20" s="352"/>
      <c r="AP20" s="352"/>
    </row>
    <row r="21" spans="1:42" s="265" customFormat="1">
      <c r="E21" s="317"/>
      <c r="AM21" s="351"/>
      <c r="AN21" s="352"/>
      <c r="AO21" s="352"/>
      <c r="AP21" s="352"/>
    </row>
    <row r="22" spans="1:42" s="265" customFormat="1">
      <c r="E22" s="317"/>
      <c r="AM22" s="351"/>
      <c r="AN22" s="352"/>
      <c r="AO22" s="352"/>
      <c r="AP22" s="352"/>
    </row>
    <row r="23" spans="1:42" s="265" customFormat="1">
      <c r="E23" s="317"/>
      <c r="AM23" s="351"/>
      <c r="AN23" s="352"/>
      <c r="AO23" s="352"/>
      <c r="AP23" s="352"/>
    </row>
    <row r="24" spans="1:42" s="265" customFormat="1">
      <c r="E24" s="317"/>
      <c r="AM24" s="351"/>
      <c r="AN24" s="352"/>
      <c r="AO24" s="352"/>
      <c r="AP24" s="352"/>
    </row>
    <row r="25" spans="1:42" s="265" customFormat="1">
      <c r="E25" s="317"/>
      <c r="AM25" s="351"/>
      <c r="AN25" s="352"/>
      <c r="AO25" s="352"/>
      <c r="AP25" s="352"/>
    </row>
    <row r="26" spans="1:42" s="265" customFormat="1">
      <c r="E26" s="317"/>
      <c r="AM26" s="351"/>
      <c r="AN26" s="352"/>
      <c r="AO26" s="352"/>
      <c r="AP26" s="352"/>
    </row>
    <row r="27" spans="1:42" s="265" customFormat="1">
      <c r="E27" s="317"/>
      <c r="AM27" s="351"/>
      <c r="AN27" s="352"/>
      <c r="AO27" s="352"/>
      <c r="AP27" s="352"/>
    </row>
    <row r="28" spans="1:42" s="265" customFormat="1">
      <c r="E28" s="317"/>
      <c r="AM28" s="351"/>
      <c r="AN28" s="352"/>
      <c r="AO28" s="352"/>
      <c r="AP28" s="352"/>
    </row>
    <row r="29" spans="1:42" s="265" customFormat="1">
      <c r="E29" s="317"/>
      <c r="AM29" s="351"/>
      <c r="AN29" s="352"/>
      <c r="AO29" s="352"/>
      <c r="AP29" s="352"/>
    </row>
    <row r="30" spans="1:42" s="265" customFormat="1">
      <c r="E30" s="317"/>
      <c r="AM30" s="351"/>
      <c r="AN30" s="352"/>
      <c r="AO30" s="352"/>
      <c r="AP30" s="352"/>
    </row>
    <row r="31" spans="1:42" s="265" customFormat="1">
      <c r="E31" s="317"/>
      <c r="AM31" s="351"/>
      <c r="AN31" s="352"/>
      <c r="AO31" s="352"/>
      <c r="AP31" s="352"/>
    </row>
    <row r="32" spans="1:42" s="265" customFormat="1">
      <c r="E32" s="317"/>
      <c r="AM32" s="351"/>
      <c r="AN32" s="352"/>
      <c r="AO32" s="352"/>
      <c r="AP32" s="352"/>
    </row>
    <row r="33" spans="5:42" s="265" customFormat="1">
      <c r="E33" s="317"/>
      <c r="AM33" s="351"/>
      <c r="AN33" s="352"/>
      <c r="AO33" s="352"/>
      <c r="AP33" s="352"/>
    </row>
    <row r="34" spans="5:42" s="265" customFormat="1">
      <c r="E34" s="317"/>
      <c r="AM34" s="351"/>
      <c r="AN34" s="352"/>
      <c r="AO34" s="352"/>
      <c r="AP34" s="352"/>
    </row>
    <row r="35" spans="5:42" s="265" customFormat="1">
      <c r="E35" s="317"/>
      <c r="AM35" s="351"/>
      <c r="AN35" s="352"/>
      <c r="AO35" s="352"/>
      <c r="AP35" s="352"/>
    </row>
    <row r="36" spans="5:42" s="265" customFormat="1">
      <c r="E36" s="317"/>
      <c r="AM36" s="351"/>
      <c r="AN36" s="352"/>
      <c r="AO36" s="352"/>
      <c r="AP36" s="352"/>
    </row>
    <row r="37" spans="5:42" s="265" customFormat="1">
      <c r="E37" s="317"/>
      <c r="AM37" s="351"/>
      <c r="AN37" s="352"/>
      <c r="AO37" s="352"/>
      <c r="AP37" s="352"/>
    </row>
    <row r="38" spans="5:42" s="265" customFormat="1">
      <c r="E38" s="317"/>
      <c r="AM38" s="351"/>
      <c r="AN38" s="352"/>
      <c r="AO38" s="352"/>
      <c r="AP38" s="352"/>
    </row>
    <row r="39" spans="5:42" s="265" customFormat="1">
      <c r="E39" s="317"/>
      <c r="AM39" s="351"/>
      <c r="AN39" s="352"/>
      <c r="AO39" s="352"/>
      <c r="AP39" s="352"/>
    </row>
    <row r="40" spans="5:42" s="265" customFormat="1">
      <c r="E40" s="317"/>
      <c r="AM40" s="351"/>
      <c r="AN40" s="352"/>
      <c r="AO40" s="352"/>
      <c r="AP40" s="352"/>
    </row>
    <row r="41" spans="5:42" s="265" customFormat="1">
      <c r="E41" s="317"/>
      <c r="AM41" s="351"/>
      <c r="AN41" s="352"/>
      <c r="AO41" s="352"/>
      <c r="AP41" s="352"/>
    </row>
    <row r="42" spans="5:42" s="265" customFormat="1">
      <c r="E42" s="317"/>
      <c r="AM42" s="351"/>
      <c r="AN42" s="352"/>
      <c r="AO42" s="352"/>
      <c r="AP42" s="352"/>
    </row>
    <row r="43" spans="5:42" s="265" customFormat="1">
      <c r="E43" s="317"/>
      <c r="AM43" s="351"/>
      <c r="AN43" s="352"/>
      <c r="AO43" s="352"/>
      <c r="AP43" s="352"/>
    </row>
    <row r="44" spans="5:42" s="265" customFormat="1">
      <c r="E44" s="317"/>
      <c r="AM44" s="351"/>
      <c r="AN44" s="352"/>
      <c r="AO44" s="352"/>
      <c r="AP44" s="352"/>
    </row>
    <row r="45" spans="5:42" s="265" customFormat="1">
      <c r="E45" s="317"/>
      <c r="AM45" s="351"/>
      <c r="AN45" s="352"/>
      <c r="AO45" s="352"/>
      <c r="AP45" s="352"/>
    </row>
    <row r="46" spans="5:42" s="265" customFormat="1">
      <c r="E46" s="317"/>
      <c r="AM46" s="351"/>
      <c r="AN46" s="352"/>
      <c r="AO46" s="352"/>
      <c r="AP46" s="352"/>
    </row>
    <row r="47" spans="5:42" s="265" customFormat="1">
      <c r="E47" s="317"/>
      <c r="AM47" s="351"/>
      <c r="AN47" s="352"/>
      <c r="AO47" s="352"/>
      <c r="AP47" s="352"/>
    </row>
    <row r="48" spans="5:42" s="265" customFormat="1">
      <c r="E48" s="317"/>
      <c r="AM48" s="351"/>
      <c r="AN48" s="352"/>
      <c r="AO48" s="352"/>
      <c r="AP48" s="352"/>
    </row>
    <row r="49" spans="5:42" s="265" customFormat="1">
      <c r="E49" s="317"/>
      <c r="AM49" s="351"/>
      <c r="AN49" s="352"/>
      <c r="AO49" s="352"/>
      <c r="AP49" s="352"/>
    </row>
    <row r="50" spans="5:42" s="265" customFormat="1">
      <c r="E50" s="317"/>
      <c r="AM50" s="351"/>
      <c r="AN50" s="352"/>
      <c r="AO50" s="352"/>
      <c r="AP50" s="352"/>
    </row>
    <row r="51" spans="5:42" s="265" customFormat="1">
      <c r="E51" s="317"/>
      <c r="AM51" s="351"/>
      <c r="AN51" s="352"/>
      <c r="AO51" s="352"/>
      <c r="AP51" s="352"/>
    </row>
    <row r="52" spans="5:42" s="265" customFormat="1">
      <c r="E52" s="317"/>
      <c r="AM52" s="351"/>
      <c r="AN52" s="352"/>
      <c r="AO52" s="352"/>
      <c r="AP52" s="352"/>
    </row>
    <row r="53" spans="5:42" s="265" customFormat="1">
      <c r="E53" s="317"/>
      <c r="AM53" s="351"/>
      <c r="AN53" s="352"/>
      <c r="AO53" s="352"/>
      <c r="AP53" s="352"/>
    </row>
    <row r="54" spans="5:42" s="265" customFormat="1">
      <c r="E54" s="317"/>
      <c r="AM54" s="351"/>
      <c r="AN54" s="352"/>
      <c r="AO54" s="352"/>
      <c r="AP54" s="352"/>
    </row>
    <row r="55" spans="5:42" s="265" customFormat="1">
      <c r="E55" s="317"/>
      <c r="AM55" s="351"/>
      <c r="AN55" s="352"/>
      <c r="AO55" s="352"/>
      <c r="AP55" s="352"/>
    </row>
    <row r="56" spans="5:42" s="265" customFormat="1">
      <c r="E56" s="317"/>
      <c r="AM56" s="351"/>
      <c r="AN56" s="352"/>
      <c r="AO56" s="352"/>
      <c r="AP56" s="352"/>
    </row>
    <row r="57" spans="5:42" s="265" customFormat="1">
      <c r="E57" s="317"/>
      <c r="AM57" s="351"/>
      <c r="AN57" s="352"/>
      <c r="AO57" s="352"/>
      <c r="AP57" s="352"/>
    </row>
    <row r="58" spans="5:42" s="265" customFormat="1">
      <c r="E58" s="317"/>
      <c r="AM58" s="351"/>
      <c r="AN58" s="352"/>
      <c r="AO58" s="352"/>
      <c r="AP58" s="352"/>
    </row>
    <row r="59" spans="5:42" s="265" customFormat="1">
      <c r="E59" s="317"/>
      <c r="AM59" s="351"/>
      <c r="AN59" s="352"/>
      <c r="AO59" s="352"/>
      <c r="AP59" s="352"/>
    </row>
    <row r="60" spans="5:42" s="265" customFormat="1">
      <c r="E60" s="317"/>
      <c r="AM60" s="351"/>
      <c r="AN60" s="352"/>
      <c r="AO60" s="352"/>
      <c r="AP60" s="352"/>
    </row>
    <row r="61" spans="5:42" s="265" customFormat="1">
      <c r="E61" s="317"/>
      <c r="AM61" s="351"/>
      <c r="AN61" s="352"/>
      <c r="AO61" s="352"/>
      <c r="AP61" s="352"/>
    </row>
    <row r="62" spans="5:42" s="265" customFormat="1">
      <c r="E62" s="317"/>
      <c r="AM62" s="351"/>
      <c r="AN62" s="352"/>
      <c r="AO62" s="352"/>
      <c r="AP62" s="352"/>
    </row>
    <row r="63" spans="5:42" s="265" customFormat="1">
      <c r="E63" s="317"/>
      <c r="AM63" s="351"/>
      <c r="AN63" s="352"/>
      <c r="AO63" s="352"/>
      <c r="AP63" s="352"/>
    </row>
    <row r="64" spans="5:42" s="265" customFormat="1">
      <c r="E64" s="317"/>
      <c r="AM64" s="351"/>
      <c r="AN64" s="352"/>
      <c r="AO64" s="352"/>
      <c r="AP64" s="352"/>
    </row>
    <row r="65" spans="5:42" s="265" customFormat="1">
      <c r="E65" s="317"/>
      <c r="AM65" s="351"/>
      <c r="AN65" s="352"/>
      <c r="AO65" s="352"/>
      <c r="AP65" s="352"/>
    </row>
    <row r="66" spans="5:42" s="265" customFormat="1">
      <c r="E66" s="317"/>
      <c r="AM66" s="351"/>
      <c r="AN66" s="352"/>
      <c r="AO66" s="352"/>
      <c r="AP66" s="352"/>
    </row>
    <row r="67" spans="5:42" s="265" customFormat="1">
      <c r="E67" s="317"/>
      <c r="AM67" s="351"/>
      <c r="AN67" s="352"/>
      <c r="AO67" s="352"/>
      <c r="AP67" s="352"/>
    </row>
    <row r="68" spans="5:42" s="265" customFormat="1">
      <c r="E68" s="317"/>
      <c r="AM68" s="351"/>
      <c r="AN68" s="352"/>
      <c r="AO68" s="352"/>
      <c r="AP68" s="352"/>
    </row>
    <row r="69" spans="5:42" s="265" customFormat="1">
      <c r="E69" s="317"/>
      <c r="AM69" s="351"/>
      <c r="AN69" s="352"/>
      <c r="AO69" s="352"/>
      <c r="AP69" s="352"/>
    </row>
    <row r="70" spans="5:42" s="265" customFormat="1">
      <c r="E70" s="317"/>
      <c r="AM70" s="351"/>
      <c r="AN70" s="352"/>
      <c r="AO70" s="352"/>
      <c r="AP70" s="352"/>
    </row>
    <row r="71" spans="5:42" s="265" customFormat="1">
      <c r="E71" s="317"/>
      <c r="AM71" s="351"/>
      <c r="AN71" s="352"/>
      <c r="AO71" s="352"/>
      <c r="AP71" s="352"/>
    </row>
    <row r="72" spans="5:42" s="265" customFormat="1">
      <c r="E72" s="317"/>
      <c r="AM72" s="351"/>
      <c r="AN72" s="352"/>
      <c r="AO72" s="352"/>
      <c r="AP72" s="352"/>
    </row>
    <row r="73" spans="5:42" s="265" customFormat="1">
      <c r="E73" s="317"/>
      <c r="AM73" s="351"/>
      <c r="AN73" s="352"/>
      <c r="AO73" s="352"/>
      <c r="AP73" s="352"/>
    </row>
    <row r="74" spans="5:42" s="265" customFormat="1">
      <c r="E74" s="317"/>
      <c r="AM74" s="351"/>
      <c r="AN74" s="352"/>
      <c r="AO74" s="352"/>
      <c r="AP74" s="352"/>
    </row>
    <row r="75" spans="5:42" s="265" customFormat="1">
      <c r="E75" s="317"/>
      <c r="AM75" s="351"/>
      <c r="AN75" s="352"/>
      <c r="AO75" s="352"/>
      <c r="AP75" s="352"/>
    </row>
    <row r="76" spans="5:42" s="265" customFormat="1">
      <c r="E76" s="317"/>
      <c r="AM76" s="351"/>
      <c r="AN76" s="352"/>
      <c r="AO76" s="352"/>
      <c r="AP76" s="352"/>
    </row>
    <row r="77" spans="5:42" s="265" customFormat="1">
      <c r="E77" s="317"/>
      <c r="AM77" s="351"/>
      <c r="AN77" s="352"/>
      <c r="AO77" s="352"/>
      <c r="AP77" s="352"/>
    </row>
    <row r="78" spans="5:42" s="265" customFormat="1">
      <c r="E78" s="317"/>
      <c r="AM78" s="351"/>
      <c r="AN78" s="352"/>
      <c r="AO78" s="352"/>
      <c r="AP78" s="352"/>
    </row>
    <row r="79" spans="5:42" s="265" customFormat="1">
      <c r="E79" s="317"/>
      <c r="AM79" s="351"/>
      <c r="AN79" s="352"/>
      <c r="AO79" s="352"/>
      <c r="AP79" s="352"/>
    </row>
    <row r="80" spans="5:42" s="265" customFormat="1">
      <c r="E80" s="317"/>
      <c r="AM80" s="351"/>
      <c r="AN80" s="352"/>
      <c r="AO80" s="352"/>
      <c r="AP80" s="352"/>
    </row>
    <row r="81" spans="5:42" s="265" customFormat="1">
      <c r="E81" s="317"/>
      <c r="AM81" s="351"/>
      <c r="AN81" s="352"/>
      <c r="AO81" s="352"/>
      <c r="AP81" s="352"/>
    </row>
    <row r="82" spans="5:42" s="265" customFormat="1">
      <c r="E82" s="317"/>
      <c r="AM82" s="351"/>
      <c r="AN82" s="352"/>
      <c r="AO82" s="352"/>
      <c r="AP82" s="352"/>
    </row>
    <row r="83" spans="5:42" s="265" customFormat="1">
      <c r="E83" s="317"/>
      <c r="AM83" s="351"/>
      <c r="AN83" s="352"/>
      <c r="AO83" s="352"/>
      <c r="AP83" s="352"/>
    </row>
    <row r="84" spans="5:42" s="265" customFormat="1">
      <c r="E84" s="317"/>
      <c r="AM84" s="351"/>
      <c r="AN84" s="352"/>
      <c r="AO84" s="352"/>
      <c r="AP84" s="352"/>
    </row>
    <row r="85" spans="5:42" s="265" customFormat="1">
      <c r="E85" s="317"/>
      <c r="AM85" s="351"/>
      <c r="AN85" s="352"/>
      <c r="AO85" s="352"/>
      <c r="AP85" s="352"/>
    </row>
    <row r="86" spans="5:42" s="265" customFormat="1">
      <c r="E86" s="317"/>
      <c r="AM86" s="351"/>
      <c r="AN86" s="352"/>
      <c r="AO86" s="352"/>
      <c r="AP86" s="352"/>
    </row>
    <row r="87" spans="5:42" s="265" customFormat="1">
      <c r="E87" s="317"/>
      <c r="AM87" s="351"/>
      <c r="AN87" s="352"/>
      <c r="AO87" s="352"/>
      <c r="AP87" s="352"/>
    </row>
    <row r="88" spans="5:42" s="265" customFormat="1">
      <c r="E88" s="317"/>
      <c r="AM88" s="351"/>
      <c r="AN88" s="352"/>
      <c r="AO88" s="352"/>
      <c r="AP88" s="352"/>
    </row>
    <row r="89" spans="5:42" s="265" customFormat="1">
      <c r="E89" s="317"/>
      <c r="AM89" s="351"/>
      <c r="AN89" s="352"/>
      <c r="AO89" s="352"/>
      <c r="AP89" s="352"/>
    </row>
    <row r="90" spans="5:42" s="265" customFormat="1">
      <c r="E90" s="317"/>
      <c r="AM90" s="351"/>
      <c r="AN90" s="352"/>
      <c r="AO90" s="352"/>
      <c r="AP90" s="352"/>
    </row>
    <row r="91" spans="5:42" s="265" customFormat="1">
      <c r="E91" s="317"/>
      <c r="AM91" s="351"/>
      <c r="AN91" s="352"/>
      <c r="AO91" s="352"/>
      <c r="AP91" s="352"/>
    </row>
    <row r="92" spans="5:42" s="265" customFormat="1">
      <c r="E92" s="317"/>
      <c r="AM92" s="351"/>
      <c r="AN92" s="352"/>
      <c r="AO92" s="352"/>
      <c r="AP92" s="352"/>
    </row>
    <row r="93" spans="5:42" s="265" customFormat="1">
      <c r="E93" s="317"/>
      <c r="AM93" s="351"/>
      <c r="AN93" s="352"/>
      <c r="AO93" s="352"/>
      <c r="AP93" s="352"/>
    </row>
    <row r="94" spans="5:42" s="265" customFormat="1">
      <c r="E94" s="317"/>
      <c r="AM94" s="351"/>
      <c r="AN94" s="352"/>
      <c r="AO94" s="352"/>
      <c r="AP94" s="352"/>
    </row>
    <row r="95" spans="5:42" s="265" customFormat="1">
      <c r="E95" s="317"/>
      <c r="AM95" s="351"/>
      <c r="AN95" s="352"/>
      <c r="AO95" s="352"/>
      <c r="AP95" s="352"/>
    </row>
    <row r="96" spans="5:42" s="265" customFormat="1">
      <c r="E96" s="317"/>
      <c r="AM96" s="351"/>
      <c r="AN96" s="352"/>
      <c r="AO96" s="352"/>
      <c r="AP96" s="352"/>
    </row>
    <row r="97" spans="5:42" s="265" customFormat="1">
      <c r="E97" s="317"/>
      <c r="AM97" s="351"/>
      <c r="AN97" s="352"/>
      <c r="AO97" s="352"/>
      <c r="AP97" s="352"/>
    </row>
    <row r="98" spans="5:42" s="265" customFormat="1">
      <c r="E98" s="317"/>
      <c r="AM98" s="351"/>
      <c r="AN98" s="352"/>
      <c r="AO98" s="352"/>
      <c r="AP98" s="352"/>
    </row>
    <row r="99" spans="5:42" s="265" customFormat="1">
      <c r="E99" s="317"/>
      <c r="AM99" s="351"/>
      <c r="AN99" s="352"/>
      <c r="AO99" s="352"/>
      <c r="AP99" s="352"/>
    </row>
    <row r="100" spans="5:42" s="265" customFormat="1">
      <c r="E100" s="317"/>
      <c r="AM100" s="351"/>
      <c r="AN100" s="352"/>
      <c r="AO100" s="352"/>
      <c r="AP100" s="352"/>
    </row>
    <row r="101" spans="5:42" s="265" customFormat="1">
      <c r="E101" s="317"/>
      <c r="AM101" s="351"/>
      <c r="AN101" s="352"/>
      <c r="AO101" s="352"/>
      <c r="AP101" s="352"/>
    </row>
    <row r="102" spans="5:42" s="265" customFormat="1">
      <c r="E102" s="317"/>
      <c r="AM102" s="351"/>
      <c r="AN102" s="352"/>
      <c r="AO102" s="352"/>
      <c r="AP102" s="352"/>
    </row>
    <row r="103" spans="5:42" s="265" customFormat="1">
      <c r="E103" s="317"/>
      <c r="AM103" s="351"/>
      <c r="AN103" s="352"/>
      <c r="AO103" s="352"/>
      <c r="AP103" s="352"/>
    </row>
    <row r="104" spans="5:42" s="265" customFormat="1">
      <c r="E104" s="317"/>
      <c r="AM104" s="351"/>
      <c r="AN104" s="352"/>
      <c r="AO104" s="352"/>
      <c r="AP104" s="352"/>
    </row>
    <row r="105" spans="5:42" s="265" customFormat="1">
      <c r="E105" s="317"/>
      <c r="AM105" s="351"/>
      <c r="AN105" s="352"/>
      <c r="AO105" s="352"/>
      <c r="AP105" s="352"/>
    </row>
    <row r="106" spans="5:42" s="265" customFormat="1">
      <c r="E106" s="317"/>
      <c r="AM106" s="351"/>
      <c r="AN106" s="352"/>
      <c r="AO106" s="352"/>
      <c r="AP106" s="352"/>
    </row>
    <row r="107" spans="5:42" s="265" customFormat="1">
      <c r="E107" s="317"/>
      <c r="AM107" s="351"/>
      <c r="AN107" s="352"/>
      <c r="AO107" s="352"/>
      <c r="AP107" s="352"/>
    </row>
    <row r="108" spans="5:42" s="265" customFormat="1">
      <c r="E108" s="317"/>
      <c r="AM108" s="351"/>
      <c r="AN108" s="352"/>
      <c r="AO108" s="352"/>
      <c r="AP108" s="352"/>
    </row>
    <row r="109" spans="5:42" s="265" customFormat="1">
      <c r="E109" s="317"/>
      <c r="AM109" s="351"/>
      <c r="AN109" s="352"/>
      <c r="AO109" s="352"/>
      <c r="AP109" s="352"/>
    </row>
    <row r="110" spans="5:42" s="265" customFormat="1">
      <c r="E110" s="317"/>
      <c r="AM110" s="351"/>
      <c r="AN110" s="352"/>
      <c r="AO110" s="352"/>
      <c r="AP110" s="352"/>
    </row>
    <row r="111" spans="5:42" s="265" customFormat="1">
      <c r="E111" s="317"/>
      <c r="AM111" s="351"/>
      <c r="AN111" s="352"/>
      <c r="AO111" s="352"/>
      <c r="AP111" s="352"/>
    </row>
    <row r="112" spans="5:42" s="265" customFormat="1">
      <c r="E112" s="317"/>
      <c r="AM112" s="351"/>
      <c r="AN112" s="352"/>
      <c r="AO112" s="352"/>
      <c r="AP112" s="352"/>
    </row>
    <row r="113" spans="5:42" s="265" customFormat="1">
      <c r="E113" s="317"/>
      <c r="AM113" s="351"/>
      <c r="AN113" s="352"/>
      <c r="AO113" s="352"/>
      <c r="AP113" s="352"/>
    </row>
    <row r="114" spans="5:42" s="265" customFormat="1">
      <c r="E114" s="317"/>
      <c r="AM114" s="351"/>
      <c r="AN114" s="352"/>
      <c r="AO114" s="352"/>
      <c r="AP114" s="352"/>
    </row>
    <row r="115" spans="5:42" s="265" customFormat="1">
      <c r="E115" s="317"/>
      <c r="AM115" s="351"/>
      <c r="AN115" s="352"/>
      <c r="AO115" s="352"/>
      <c r="AP115" s="352"/>
    </row>
    <row r="116" spans="5:42" s="265" customFormat="1">
      <c r="E116" s="317"/>
      <c r="AM116" s="351"/>
      <c r="AN116" s="352"/>
      <c r="AO116" s="352"/>
      <c r="AP116" s="352"/>
    </row>
    <row r="117" spans="5:42" s="265" customFormat="1">
      <c r="E117" s="317"/>
      <c r="AM117" s="351"/>
      <c r="AN117" s="352"/>
      <c r="AO117" s="352"/>
      <c r="AP117" s="352"/>
    </row>
    <row r="118" spans="5:42" s="265" customFormat="1">
      <c r="E118" s="317"/>
      <c r="AM118" s="351"/>
      <c r="AN118" s="352"/>
      <c r="AO118" s="352"/>
      <c r="AP118" s="352"/>
    </row>
    <row r="119" spans="5:42" s="265" customFormat="1">
      <c r="E119" s="317"/>
      <c r="AM119" s="351"/>
      <c r="AN119" s="352"/>
      <c r="AO119" s="352"/>
      <c r="AP119" s="352"/>
    </row>
    <row r="120" spans="5:42" s="265" customFormat="1">
      <c r="E120" s="317"/>
      <c r="AM120" s="351"/>
      <c r="AN120" s="352"/>
      <c r="AO120" s="352"/>
      <c r="AP120" s="352"/>
    </row>
    <row r="121" spans="5:42" s="265" customFormat="1">
      <c r="E121" s="317"/>
      <c r="AM121" s="351"/>
      <c r="AN121" s="352"/>
      <c r="AO121" s="352"/>
      <c r="AP121" s="352"/>
    </row>
    <row r="122" spans="5:42" s="265" customFormat="1">
      <c r="E122" s="317"/>
      <c r="AM122" s="351"/>
      <c r="AN122" s="352"/>
      <c r="AO122" s="352"/>
      <c r="AP122" s="352"/>
    </row>
    <row r="123" spans="5:42" s="265" customFormat="1">
      <c r="E123" s="317"/>
      <c r="AM123" s="351"/>
      <c r="AN123" s="352"/>
      <c r="AO123" s="352"/>
      <c r="AP123" s="352"/>
    </row>
    <row r="124" spans="5:42" s="265" customFormat="1">
      <c r="E124" s="317"/>
      <c r="AM124" s="351"/>
      <c r="AN124" s="352"/>
      <c r="AO124" s="352"/>
      <c r="AP124" s="352"/>
    </row>
    <row r="125" spans="5:42" s="265" customFormat="1">
      <c r="E125" s="317"/>
      <c r="AM125" s="351"/>
      <c r="AN125" s="352"/>
      <c r="AO125" s="352"/>
      <c r="AP125" s="352"/>
    </row>
    <row r="126" spans="5:42" s="265" customFormat="1">
      <c r="E126" s="317"/>
      <c r="AM126" s="351"/>
      <c r="AN126" s="352"/>
      <c r="AO126" s="352"/>
      <c r="AP126" s="352"/>
    </row>
    <row r="127" spans="5:42" s="265" customFormat="1">
      <c r="E127" s="317"/>
      <c r="AM127" s="351"/>
      <c r="AN127" s="352"/>
      <c r="AO127" s="352"/>
      <c r="AP127" s="352"/>
    </row>
    <row r="128" spans="5:42" s="265" customFormat="1">
      <c r="E128" s="317"/>
      <c r="AM128" s="351"/>
      <c r="AN128" s="352"/>
      <c r="AO128" s="352"/>
      <c r="AP128" s="352"/>
    </row>
    <row r="129" spans="5:42" s="265" customFormat="1">
      <c r="E129" s="317"/>
      <c r="AM129" s="351"/>
      <c r="AN129" s="352"/>
      <c r="AO129" s="352"/>
      <c r="AP129" s="352"/>
    </row>
    <row r="130" spans="5:42" s="265" customFormat="1">
      <c r="E130" s="317"/>
      <c r="AM130" s="351"/>
      <c r="AN130" s="352"/>
      <c r="AO130" s="352"/>
      <c r="AP130" s="352"/>
    </row>
    <row r="131" spans="5:42" s="265" customFormat="1">
      <c r="E131" s="317"/>
      <c r="AM131" s="351"/>
      <c r="AN131" s="352"/>
      <c r="AO131" s="352"/>
      <c r="AP131" s="352"/>
    </row>
    <row r="132" spans="5:42" s="265" customFormat="1">
      <c r="E132" s="317"/>
      <c r="AM132" s="351"/>
      <c r="AN132" s="352"/>
      <c r="AO132" s="352"/>
      <c r="AP132" s="352"/>
    </row>
    <row r="133" spans="5:42" s="265" customFormat="1">
      <c r="E133" s="317"/>
      <c r="AM133" s="351"/>
      <c r="AN133" s="352"/>
      <c r="AO133" s="352"/>
      <c r="AP133" s="352"/>
    </row>
    <row r="134" spans="5:42" s="265" customFormat="1">
      <c r="E134" s="317"/>
      <c r="AM134" s="351"/>
      <c r="AN134" s="352"/>
      <c r="AO134" s="352"/>
      <c r="AP134" s="352"/>
    </row>
    <row r="135" spans="5:42" s="265" customFormat="1">
      <c r="E135" s="317"/>
      <c r="AM135" s="351"/>
      <c r="AN135" s="352"/>
      <c r="AO135" s="352"/>
      <c r="AP135" s="352"/>
    </row>
    <row r="136" spans="5:42" s="265" customFormat="1">
      <c r="E136" s="317"/>
      <c r="AM136" s="351"/>
      <c r="AN136" s="352"/>
      <c r="AO136" s="352"/>
      <c r="AP136" s="352"/>
    </row>
    <row r="137" spans="5:42" s="265" customFormat="1">
      <c r="E137" s="317"/>
      <c r="AM137" s="351"/>
      <c r="AN137" s="352"/>
      <c r="AO137" s="352"/>
      <c r="AP137" s="352"/>
    </row>
    <row r="138" spans="5:42" s="265" customFormat="1">
      <c r="E138" s="317"/>
      <c r="AM138" s="351"/>
      <c r="AN138" s="352"/>
      <c r="AO138" s="352"/>
      <c r="AP138" s="352"/>
    </row>
    <row r="139" spans="5:42" s="265" customFormat="1">
      <c r="E139" s="317"/>
      <c r="AM139" s="351"/>
      <c r="AN139" s="352"/>
      <c r="AO139" s="352"/>
      <c r="AP139" s="352"/>
    </row>
    <row r="140" spans="5:42" s="265" customFormat="1">
      <c r="E140" s="317"/>
      <c r="AM140" s="351"/>
      <c r="AN140" s="352"/>
      <c r="AO140" s="352"/>
      <c r="AP140" s="352"/>
    </row>
    <row r="141" spans="5:42" s="265" customFormat="1">
      <c r="E141" s="317"/>
      <c r="AM141" s="351"/>
      <c r="AN141" s="352"/>
      <c r="AO141" s="352"/>
      <c r="AP141" s="352"/>
    </row>
    <row r="142" spans="5:42" s="265" customFormat="1">
      <c r="E142" s="317"/>
      <c r="AM142" s="351"/>
      <c r="AN142" s="352"/>
      <c r="AO142" s="352"/>
      <c r="AP142" s="352"/>
    </row>
    <row r="143" spans="5:42" s="265" customFormat="1">
      <c r="E143" s="317"/>
      <c r="AM143" s="351"/>
      <c r="AN143" s="352"/>
      <c r="AO143" s="352"/>
      <c r="AP143" s="352"/>
    </row>
    <row r="144" spans="5:42" s="265" customFormat="1">
      <c r="E144" s="317"/>
      <c r="AM144" s="351"/>
      <c r="AN144" s="352"/>
      <c r="AO144" s="352"/>
      <c r="AP144" s="352"/>
    </row>
    <row r="145" spans="5:42" s="265" customFormat="1">
      <c r="E145" s="317"/>
      <c r="AM145" s="351"/>
      <c r="AN145" s="352"/>
      <c r="AO145" s="352"/>
      <c r="AP145" s="352"/>
    </row>
    <row r="146" spans="5:42" s="265" customFormat="1">
      <c r="E146" s="317"/>
      <c r="AM146" s="351"/>
      <c r="AN146" s="352"/>
      <c r="AO146" s="352"/>
      <c r="AP146" s="352"/>
    </row>
    <row r="147" spans="5:42" s="265" customFormat="1">
      <c r="E147" s="317"/>
      <c r="AM147" s="351"/>
      <c r="AN147" s="352"/>
      <c r="AO147" s="352"/>
      <c r="AP147" s="352"/>
    </row>
    <row r="148" spans="5:42" s="265" customFormat="1">
      <c r="E148" s="317"/>
      <c r="AM148" s="351"/>
      <c r="AN148" s="352"/>
      <c r="AO148" s="352"/>
      <c r="AP148" s="352"/>
    </row>
    <row r="149" spans="5:42" s="265" customFormat="1">
      <c r="E149" s="317"/>
      <c r="AM149" s="351"/>
      <c r="AN149" s="352"/>
      <c r="AO149" s="352"/>
      <c r="AP149" s="352"/>
    </row>
    <row r="150" spans="5:42" s="265" customFormat="1">
      <c r="E150" s="317"/>
      <c r="AM150" s="351"/>
      <c r="AN150" s="352"/>
      <c r="AO150" s="352"/>
      <c r="AP150" s="352"/>
    </row>
    <row r="151" spans="5:42" s="265" customFormat="1">
      <c r="E151" s="317"/>
      <c r="AM151" s="351"/>
      <c r="AN151" s="352"/>
      <c r="AO151" s="352"/>
      <c r="AP151" s="352"/>
    </row>
    <row r="152" spans="5:42" s="265" customFormat="1">
      <c r="E152" s="317"/>
      <c r="AM152" s="351"/>
      <c r="AN152" s="352"/>
      <c r="AO152" s="352"/>
      <c r="AP152" s="352"/>
    </row>
    <row r="153" spans="5:42" s="265" customFormat="1">
      <c r="E153" s="317"/>
      <c r="AM153" s="351"/>
      <c r="AN153" s="352"/>
      <c r="AO153" s="352"/>
      <c r="AP153" s="352"/>
    </row>
    <row r="154" spans="5:42" s="265" customFormat="1">
      <c r="E154" s="317"/>
      <c r="AM154" s="351"/>
      <c r="AN154" s="352"/>
      <c r="AO154" s="352"/>
      <c r="AP154" s="352"/>
    </row>
    <row r="155" spans="5:42" s="265" customFormat="1">
      <c r="E155" s="317"/>
      <c r="AM155" s="351"/>
      <c r="AN155" s="352"/>
      <c r="AO155" s="352"/>
      <c r="AP155" s="352"/>
    </row>
    <row r="156" spans="5:42" s="265" customFormat="1">
      <c r="E156" s="317"/>
      <c r="AM156" s="351"/>
      <c r="AN156" s="352"/>
      <c r="AO156" s="352"/>
      <c r="AP156" s="352"/>
    </row>
    <row r="157" spans="5:42" s="265" customFormat="1">
      <c r="E157" s="317"/>
      <c r="AM157" s="351"/>
      <c r="AN157" s="352"/>
      <c r="AO157" s="352"/>
      <c r="AP157" s="352"/>
    </row>
    <row r="158" spans="5:42" s="265" customFormat="1">
      <c r="E158" s="317"/>
      <c r="AM158" s="351"/>
      <c r="AN158" s="352"/>
      <c r="AO158" s="352"/>
      <c r="AP158" s="352"/>
    </row>
    <row r="159" spans="5:42" s="265" customFormat="1">
      <c r="E159" s="317"/>
      <c r="AM159" s="351"/>
      <c r="AN159" s="352"/>
      <c r="AO159" s="352"/>
      <c r="AP159" s="352"/>
    </row>
    <row r="160" spans="5:42" s="265" customFormat="1">
      <c r="E160" s="317"/>
      <c r="AM160" s="351"/>
      <c r="AN160" s="352"/>
      <c r="AO160" s="352"/>
      <c r="AP160" s="352"/>
    </row>
    <row r="161" spans="5:42" s="265" customFormat="1">
      <c r="E161" s="317"/>
      <c r="AM161" s="351"/>
      <c r="AN161" s="352"/>
      <c r="AO161" s="352"/>
      <c r="AP161" s="352"/>
    </row>
    <row r="162" spans="5:42" s="265" customFormat="1">
      <c r="E162" s="317"/>
      <c r="AM162" s="351"/>
      <c r="AN162" s="352"/>
      <c r="AO162" s="352"/>
      <c r="AP162" s="352"/>
    </row>
    <row r="163" spans="5:42" s="265" customFormat="1">
      <c r="E163" s="317"/>
      <c r="AM163" s="351"/>
      <c r="AN163" s="352"/>
      <c r="AO163" s="352"/>
      <c r="AP163" s="352"/>
    </row>
    <row r="164" spans="5:42" s="265" customFormat="1">
      <c r="E164" s="317"/>
      <c r="AM164" s="351"/>
      <c r="AN164" s="352"/>
      <c r="AO164" s="352"/>
      <c r="AP164" s="352"/>
    </row>
    <row r="165" spans="5:42" s="265" customFormat="1">
      <c r="E165" s="317"/>
      <c r="AM165" s="351"/>
      <c r="AN165" s="352"/>
      <c r="AO165" s="352"/>
      <c r="AP165" s="352"/>
    </row>
    <row r="166" spans="5:42" s="265" customFormat="1">
      <c r="E166" s="317"/>
      <c r="AM166" s="351"/>
      <c r="AN166" s="352"/>
      <c r="AO166" s="352"/>
      <c r="AP166" s="352"/>
    </row>
    <row r="167" spans="5:42" s="265" customFormat="1">
      <c r="E167" s="317"/>
      <c r="AM167" s="351"/>
      <c r="AN167" s="352"/>
      <c r="AO167" s="352"/>
      <c r="AP167" s="352"/>
    </row>
    <row r="168" spans="5:42" s="265" customFormat="1">
      <c r="E168" s="317"/>
      <c r="AM168" s="351"/>
      <c r="AN168" s="352"/>
      <c r="AO168" s="352"/>
      <c r="AP168" s="352"/>
    </row>
    <row r="169" spans="5:42" s="265" customFormat="1">
      <c r="E169" s="317"/>
      <c r="AM169" s="351"/>
      <c r="AN169" s="352"/>
      <c r="AO169" s="352"/>
      <c r="AP169" s="352"/>
    </row>
    <row r="170" spans="5:42" s="265" customFormat="1">
      <c r="E170" s="317"/>
      <c r="AM170" s="351"/>
      <c r="AN170" s="352"/>
      <c r="AO170" s="352"/>
      <c r="AP170" s="352"/>
    </row>
    <row r="171" spans="5:42" s="265" customFormat="1">
      <c r="E171" s="317"/>
      <c r="AM171" s="351"/>
      <c r="AN171" s="352"/>
      <c r="AO171" s="352"/>
      <c r="AP171" s="352"/>
    </row>
    <row r="172" spans="5:42" s="265" customFormat="1">
      <c r="E172" s="317"/>
      <c r="AM172" s="351"/>
      <c r="AN172" s="352"/>
      <c r="AO172" s="352"/>
      <c r="AP172" s="352"/>
    </row>
    <row r="173" spans="5:42" s="265" customFormat="1">
      <c r="E173" s="317"/>
      <c r="AM173" s="351"/>
      <c r="AN173" s="352"/>
      <c r="AO173" s="352"/>
      <c r="AP173" s="352"/>
    </row>
    <row r="174" spans="5:42" s="265" customFormat="1">
      <c r="E174" s="317"/>
      <c r="AM174" s="351"/>
      <c r="AN174" s="352"/>
      <c r="AO174" s="352"/>
      <c r="AP174" s="352"/>
    </row>
    <row r="175" spans="5:42" s="265" customFormat="1">
      <c r="E175" s="317"/>
      <c r="AM175" s="351"/>
      <c r="AN175" s="352"/>
      <c r="AO175" s="352"/>
      <c r="AP175" s="352"/>
    </row>
    <row r="176" spans="5:42" s="265" customFormat="1">
      <c r="E176" s="317"/>
      <c r="AM176" s="351"/>
      <c r="AN176" s="352"/>
      <c r="AO176" s="352"/>
      <c r="AP176" s="352"/>
    </row>
    <row r="177" spans="5:42" s="265" customFormat="1">
      <c r="E177" s="317"/>
      <c r="AM177" s="351"/>
      <c r="AN177" s="352"/>
      <c r="AO177" s="352"/>
      <c r="AP177" s="352"/>
    </row>
    <row r="178" spans="5:42" s="265" customFormat="1">
      <c r="E178" s="317"/>
      <c r="AM178" s="351"/>
      <c r="AN178" s="352"/>
      <c r="AO178" s="352"/>
      <c r="AP178" s="352"/>
    </row>
    <row r="179" spans="5:42" s="265" customFormat="1">
      <c r="E179" s="317"/>
      <c r="AM179" s="351"/>
      <c r="AN179" s="352"/>
      <c r="AO179" s="352"/>
      <c r="AP179" s="352"/>
    </row>
    <row r="180" spans="5:42" s="265" customFormat="1">
      <c r="E180" s="317"/>
      <c r="AM180" s="351"/>
      <c r="AN180" s="352"/>
      <c r="AO180" s="352"/>
      <c r="AP180" s="352"/>
    </row>
    <row r="181" spans="5:42" s="265" customFormat="1">
      <c r="E181" s="317"/>
      <c r="AM181" s="351"/>
      <c r="AN181" s="352"/>
      <c r="AO181" s="352"/>
      <c r="AP181" s="352"/>
    </row>
    <row r="182" spans="5:42" s="265" customFormat="1">
      <c r="E182" s="317"/>
      <c r="AM182" s="351"/>
      <c r="AN182" s="352"/>
      <c r="AO182" s="352"/>
      <c r="AP182" s="352"/>
    </row>
    <row r="183" spans="5:42" s="265" customFormat="1">
      <c r="E183" s="317"/>
      <c r="AM183" s="351"/>
      <c r="AN183" s="352"/>
      <c r="AO183" s="352"/>
      <c r="AP183" s="352"/>
    </row>
    <row r="184" spans="5:42" s="265" customFormat="1">
      <c r="E184" s="317"/>
      <c r="AM184" s="351"/>
      <c r="AN184" s="352"/>
      <c r="AO184" s="352"/>
      <c r="AP184" s="352"/>
    </row>
    <row r="185" spans="5:42" s="265" customFormat="1">
      <c r="E185" s="317"/>
      <c r="AM185" s="351"/>
      <c r="AN185" s="352"/>
      <c r="AO185" s="352"/>
      <c r="AP185" s="352"/>
    </row>
    <row r="186" spans="5:42" s="265" customFormat="1">
      <c r="E186" s="317"/>
      <c r="AM186" s="351"/>
      <c r="AN186" s="352"/>
      <c r="AO186" s="352"/>
      <c r="AP186" s="352"/>
    </row>
    <row r="187" spans="5:42" s="265" customFormat="1">
      <c r="E187" s="317"/>
      <c r="AM187" s="351"/>
      <c r="AN187" s="352"/>
      <c r="AO187" s="352"/>
      <c r="AP187" s="352"/>
    </row>
    <row r="188" spans="5:42" s="265" customFormat="1">
      <c r="E188" s="317"/>
      <c r="AM188" s="351"/>
      <c r="AN188" s="352"/>
      <c r="AO188" s="352"/>
      <c r="AP188" s="352"/>
    </row>
    <row r="189" spans="5:42" s="265" customFormat="1">
      <c r="E189" s="317"/>
      <c r="AM189" s="351"/>
      <c r="AN189" s="352"/>
      <c r="AO189" s="352"/>
      <c r="AP189" s="352"/>
    </row>
    <row r="190" spans="5:42" s="265" customFormat="1">
      <c r="E190" s="317"/>
      <c r="AM190" s="351"/>
      <c r="AN190" s="352"/>
      <c r="AO190" s="352"/>
      <c r="AP190" s="352"/>
    </row>
    <row r="191" spans="5:42" s="265" customFormat="1">
      <c r="E191" s="317"/>
      <c r="AM191" s="351"/>
      <c r="AN191" s="352"/>
      <c r="AO191" s="352"/>
      <c r="AP191" s="352"/>
    </row>
    <row r="192" spans="5:42" s="265" customFormat="1">
      <c r="E192" s="317"/>
      <c r="AM192" s="351"/>
      <c r="AN192" s="352"/>
      <c r="AO192" s="352"/>
      <c r="AP192" s="352"/>
    </row>
    <row r="193" spans="5:42" s="265" customFormat="1">
      <c r="E193" s="317"/>
      <c r="AM193" s="351"/>
      <c r="AN193" s="352"/>
      <c r="AO193" s="352"/>
      <c r="AP193" s="352"/>
    </row>
    <row r="194" spans="5:42" s="265" customFormat="1">
      <c r="E194" s="317"/>
      <c r="AM194" s="351"/>
      <c r="AN194" s="352"/>
      <c r="AO194" s="352"/>
      <c r="AP194" s="352"/>
    </row>
    <row r="195" spans="5:42" s="265" customFormat="1">
      <c r="E195" s="317"/>
      <c r="AM195" s="351"/>
      <c r="AN195" s="352"/>
      <c r="AO195" s="352"/>
      <c r="AP195" s="352"/>
    </row>
    <row r="196" spans="5:42" s="265" customFormat="1">
      <c r="E196" s="317"/>
      <c r="AM196" s="351"/>
      <c r="AN196" s="352"/>
      <c r="AO196" s="352"/>
      <c r="AP196" s="352"/>
    </row>
    <row r="197" spans="5:42" s="265" customFormat="1">
      <c r="E197" s="317"/>
      <c r="AM197" s="351"/>
      <c r="AN197" s="352"/>
      <c r="AO197" s="352"/>
      <c r="AP197" s="352"/>
    </row>
    <row r="198" spans="5:42" s="265" customFormat="1">
      <c r="E198" s="317"/>
      <c r="AM198" s="351"/>
      <c r="AN198" s="352"/>
      <c r="AO198" s="352"/>
      <c r="AP198" s="352"/>
    </row>
    <row r="199" spans="5:42" s="265" customFormat="1">
      <c r="E199" s="317"/>
      <c r="AM199" s="351"/>
      <c r="AN199" s="352"/>
      <c r="AO199" s="352"/>
      <c r="AP199" s="352"/>
    </row>
    <row r="200" spans="5:42" s="265" customFormat="1">
      <c r="E200" s="317"/>
      <c r="AM200" s="351"/>
      <c r="AN200" s="352"/>
      <c r="AO200" s="352"/>
      <c r="AP200" s="352"/>
    </row>
    <row r="201" spans="5:42" s="265" customFormat="1">
      <c r="E201" s="317"/>
      <c r="AM201" s="351"/>
      <c r="AN201" s="352"/>
      <c r="AO201" s="352"/>
      <c r="AP201" s="352"/>
    </row>
    <row r="202" spans="5:42" s="265" customFormat="1">
      <c r="E202" s="317"/>
      <c r="AM202" s="351"/>
      <c r="AN202" s="352"/>
      <c r="AO202" s="352"/>
      <c r="AP202" s="352"/>
    </row>
    <row r="203" spans="5:42" s="265" customFormat="1">
      <c r="E203" s="317"/>
      <c r="AM203" s="351"/>
      <c r="AN203" s="352"/>
      <c r="AO203" s="352"/>
      <c r="AP203" s="352"/>
    </row>
    <row r="204" spans="5:42" s="265" customFormat="1">
      <c r="E204" s="317"/>
      <c r="AM204" s="351"/>
      <c r="AN204" s="352"/>
      <c r="AO204" s="352"/>
      <c r="AP204" s="352"/>
    </row>
    <row r="205" spans="5:42" s="265" customFormat="1">
      <c r="E205" s="317"/>
      <c r="AM205" s="351"/>
      <c r="AN205" s="352"/>
      <c r="AO205" s="352"/>
      <c r="AP205" s="352"/>
    </row>
    <row r="206" spans="5:42" s="265" customFormat="1">
      <c r="E206" s="317"/>
      <c r="AM206" s="351"/>
      <c r="AN206" s="352"/>
      <c r="AO206" s="352"/>
      <c r="AP206" s="352"/>
    </row>
    <row r="207" spans="5:42" s="265" customFormat="1">
      <c r="E207" s="317"/>
      <c r="AM207" s="351"/>
      <c r="AN207" s="352"/>
      <c r="AO207" s="352"/>
      <c r="AP207" s="352"/>
    </row>
    <row r="208" spans="5:42" s="265" customFormat="1">
      <c r="E208" s="317"/>
      <c r="AM208" s="351"/>
      <c r="AN208" s="352"/>
      <c r="AO208" s="352"/>
      <c r="AP208" s="352"/>
    </row>
    <row r="209" spans="5:42" s="265" customFormat="1">
      <c r="E209" s="317"/>
      <c r="AM209" s="351"/>
      <c r="AN209" s="352"/>
      <c r="AO209" s="352"/>
      <c r="AP209" s="352"/>
    </row>
    <row r="210" spans="5:42" s="265" customFormat="1">
      <c r="E210" s="317"/>
      <c r="AM210" s="351"/>
      <c r="AN210" s="352"/>
      <c r="AO210" s="352"/>
      <c r="AP210" s="352"/>
    </row>
    <row r="211" spans="5:42" s="265" customFormat="1">
      <c r="E211" s="317"/>
      <c r="AM211" s="351"/>
      <c r="AN211" s="352"/>
      <c r="AO211" s="352"/>
      <c r="AP211" s="352"/>
    </row>
    <row r="212" spans="5:42" s="265" customFormat="1">
      <c r="E212" s="317"/>
      <c r="AM212" s="351"/>
      <c r="AN212" s="352"/>
      <c r="AO212" s="352"/>
      <c r="AP212" s="352"/>
    </row>
    <row r="213" spans="5:42" s="265" customFormat="1">
      <c r="E213" s="317"/>
      <c r="AM213" s="351"/>
      <c r="AN213" s="352"/>
      <c r="AO213" s="352"/>
      <c r="AP213" s="352"/>
    </row>
    <row r="214" spans="5:42" s="265" customFormat="1">
      <c r="E214" s="317"/>
      <c r="AM214" s="351"/>
      <c r="AN214" s="352"/>
      <c r="AO214" s="352"/>
      <c r="AP214" s="352"/>
    </row>
    <row r="215" spans="5:42" s="265" customFormat="1">
      <c r="E215" s="317"/>
      <c r="AM215" s="351"/>
      <c r="AN215" s="352"/>
      <c r="AO215" s="352"/>
      <c r="AP215" s="352"/>
    </row>
    <row r="216" spans="5:42" s="265" customFormat="1">
      <c r="E216" s="317"/>
      <c r="AM216" s="351"/>
      <c r="AN216" s="352"/>
      <c r="AO216" s="352"/>
      <c r="AP216" s="352"/>
    </row>
    <row r="217" spans="5:42" s="265" customFormat="1">
      <c r="E217" s="317"/>
      <c r="AM217" s="351"/>
      <c r="AN217" s="352"/>
      <c r="AO217" s="352"/>
      <c r="AP217" s="352"/>
    </row>
    <row r="218" spans="5:42" s="265" customFormat="1">
      <c r="E218" s="317"/>
      <c r="AM218" s="351"/>
      <c r="AN218" s="352"/>
      <c r="AO218" s="352"/>
      <c r="AP218" s="352"/>
    </row>
    <row r="219" spans="5:42" s="265" customFormat="1">
      <c r="E219" s="317"/>
      <c r="AM219" s="351"/>
      <c r="AN219" s="352"/>
      <c r="AO219" s="352"/>
      <c r="AP219" s="352"/>
    </row>
    <row r="220" spans="5:42" s="265" customFormat="1">
      <c r="E220" s="317"/>
      <c r="AM220" s="351"/>
      <c r="AN220" s="352"/>
      <c r="AO220" s="352"/>
      <c r="AP220" s="352"/>
    </row>
    <row r="221" spans="5:42" s="265" customFormat="1">
      <c r="E221" s="317"/>
      <c r="AM221" s="351"/>
      <c r="AN221" s="352"/>
      <c r="AO221" s="352"/>
      <c r="AP221" s="352"/>
    </row>
    <row r="222" spans="5:42" s="265" customFormat="1">
      <c r="E222" s="317"/>
      <c r="AM222" s="351"/>
      <c r="AN222" s="352"/>
      <c r="AO222" s="352"/>
      <c r="AP222" s="352"/>
    </row>
    <row r="223" spans="5:42" s="265" customFormat="1">
      <c r="E223" s="317"/>
      <c r="AM223" s="351"/>
      <c r="AN223" s="352"/>
      <c r="AO223" s="352"/>
      <c r="AP223" s="352"/>
    </row>
    <row r="224" spans="5:42" s="265" customFormat="1">
      <c r="E224" s="317"/>
      <c r="AM224" s="351"/>
      <c r="AN224" s="352"/>
      <c r="AO224" s="352"/>
      <c r="AP224" s="352"/>
    </row>
    <row r="225" spans="5:42" s="265" customFormat="1">
      <c r="E225" s="317"/>
      <c r="AM225" s="351"/>
      <c r="AN225" s="352"/>
      <c r="AO225" s="352"/>
      <c r="AP225" s="352"/>
    </row>
    <row r="226" spans="5:42" s="265" customFormat="1">
      <c r="E226" s="317"/>
      <c r="AM226" s="351"/>
      <c r="AN226" s="352"/>
      <c r="AO226" s="352"/>
      <c r="AP226" s="352"/>
    </row>
    <row r="227" spans="5:42" s="265" customFormat="1">
      <c r="E227" s="317"/>
      <c r="AM227" s="351"/>
      <c r="AN227" s="352"/>
      <c r="AO227" s="352"/>
      <c r="AP227" s="352"/>
    </row>
    <row r="228" spans="5:42" s="265" customFormat="1">
      <c r="E228" s="317"/>
      <c r="AM228" s="351"/>
      <c r="AN228" s="352"/>
      <c r="AO228" s="352"/>
      <c r="AP228" s="352"/>
    </row>
    <row r="229" spans="5:42" s="265" customFormat="1">
      <c r="E229" s="317"/>
      <c r="AM229" s="351"/>
      <c r="AN229" s="352"/>
      <c r="AO229" s="352"/>
      <c r="AP229" s="352"/>
    </row>
    <row r="230" spans="5:42" s="265" customFormat="1">
      <c r="E230" s="317"/>
      <c r="AM230" s="351"/>
      <c r="AN230" s="352"/>
      <c r="AO230" s="352"/>
      <c r="AP230" s="352"/>
    </row>
    <row r="231" spans="5:42" s="265" customFormat="1">
      <c r="E231" s="317"/>
      <c r="AM231" s="351"/>
      <c r="AN231" s="352"/>
      <c r="AO231" s="352"/>
      <c r="AP231" s="352"/>
    </row>
    <row r="232" spans="5:42" s="265" customFormat="1">
      <c r="E232" s="317"/>
      <c r="AM232" s="351"/>
      <c r="AN232" s="352"/>
      <c r="AO232" s="352"/>
      <c r="AP232" s="352"/>
    </row>
    <row r="233" spans="5:42" s="265" customFormat="1">
      <c r="E233" s="317"/>
      <c r="AM233" s="351"/>
      <c r="AN233" s="352"/>
      <c r="AO233" s="352"/>
      <c r="AP233" s="352"/>
    </row>
    <row r="234" spans="5:42" s="265" customFormat="1">
      <c r="E234" s="317"/>
      <c r="AM234" s="351"/>
      <c r="AN234" s="352"/>
      <c r="AO234" s="352"/>
      <c r="AP234" s="352"/>
    </row>
    <row r="235" spans="5:42" s="265" customFormat="1">
      <c r="E235" s="317"/>
      <c r="AM235" s="351"/>
      <c r="AN235" s="352"/>
      <c r="AO235" s="352"/>
      <c r="AP235" s="352"/>
    </row>
    <row r="236" spans="5:42" s="265" customFormat="1">
      <c r="E236" s="317"/>
      <c r="AM236" s="351"/>
      <c r="AN236" s="352"/>
      <c r="AO236" s="352"/>
      <c r="AP236" s="352"/>
    </row>
    <row r="237" spans="5:42" s="265" customFormat="1">
      <c r="E237" s="317"/>
      <c r="AM237" s="351"/>
      <c r="AN237" s="352"/>
      <c r="AO237" s="352"/>
      <c r="AP237" s="352"/>
    </row>
    <row r="238" spans="5:42" s="265" customFormat="1">
      <c r="E238" s="317"/>
      <c r="AM238" s="351"/>
      <c r="AN238" s="352"/>
      <c r="AO238" s="352"/>
      <c r="AP238" s="352"/>
    </row>
    <row r="239" spans="5:42" s="265" customFormat="1">
      <c r="E239" s="317"/>
      <c r="AM239" s="351"/>
      <c r="AN239" s="352"/>
      <c r="AO239" s="352"/>
      <c r="AP239" s="352"/>
    </row>
    <row r="240" spans="5:42" s="265" customFormat="1">
      <c r="E240" s="317"/>
      <c r="AM240" s="351"/>
      <c r="AN240" s="352"/>
      <c r="AO240" s="352"/>
      <c r="AP240" s="352"/>
    </row>
    <row r="241" spans="5:42" s="265" customFormat="1">
      <c r="E241" s="317"/>
      <c r="AM241" s="351"/>
      <c r="AN241" s="352"/>
      <c r="AO241" s="352"/>
      <c r="AP241" s="352"/>
    </row>
    <row r="242" spans="5:42" s="265" customFormat="1">
      <c r="E242" s="317"/>
      <c r="AM242" s="351"/>
      <c r="AN242" s="352"/>
      <c r="AO242" s="352"/>
      <c r="AP242" s="352"/>
    </row>
    <row r="243" spans="5:42" s="265" customFormat="1">
      <c r="E243" s="317"/>
      <c r="AM243" s="351"/>
      <c r="AN243" s="352"/>
      <c r="AO243" s="352"/>
      <c r="AP243" s="352"/>
    </row>
    <row r="244" spans="5:42" s="265" customFormat="1">
      <c r="E244" s="317"/>
      <c r="AM244" s="351"/>
      <c r="AN244" s="352"/>
      <c r="AO244" s="352"/>
      <c r="AP244" s="352"/>
    </row>
    <row r="245" spans="5:42" s="265" customFormat="1">
      <c r="E245" s="317"/>
      <c r="AM245" s="351"/>
      <c r="AN245" s="352"/>
      <c r="AO245" s="352"/>
      <c r="AP245" s="352"/>
    </row>
    <row r="246" spans="5:42" s="265" customFormat="1">
      <c r="E246" s="317"/>
      <c r="AM246" s="351"/>
      <c r="AN246" s="352"/>
      <c r="AO246" s="352"/>
      <c r="AP246" s="352"/>
    </row>
    <row r="247" spans="5:42" s="265" customFormat="1">
      <c r="E247" s="317"/>
      <c r="AM247" s="351"/>
      <c r="AN247" s="352"/>
      <c r="AO247" s="352"/>
      <c r="AP247" s="352"/>
    </row>
    <row r="248" spans="5:42" s="265" customFormat="1">
      <c r="E248" s="317"/>
      <c r="AM248" s="351"/>
      <c r="AN248" s="352"/>
      <c r="AO248" s="352"/>
      <c r="AP248" s="352"/>
    </row>
    <row r="249" spans="5:42" s="265" customFormat="1">
      <c r="E249" s="317"/>
      <c r="AM249" s="351"/>
      <c r="AN249" s="352"/>
      <c r="AO249" s="352"/>
      <c r="AP249" s="352"/>
    </row>
    <row r="250" spans="5:42" s="265" customFormat="1">
      <c r="E250" s="317"/>
      <c r="AM250" s="351"/>
      <c r="AN250" s="352"/>
      <c r="AO250" s="352"/>
      <c r="AP250" s="352"/>
    </row>
    <row r="251" spans="5:42" s="265" customFormat="1">
      <c r="E251" s="317"/>
      <c r="AM251" s="351"/>
      <c r="AN251" s="352"/>
      <c r="AO251" s="352"/>
      <c r="AP251" s="352"/>
    </row>
    <row r="252" spans="5:42" s="265" customFormat="1">
      <c r="E252" s="317"/>
      <c r="AM252" s="351"/>
      <c r="AN252" s="352"/>
      <c r="AO252" s="352"/>
      <c r="AP252" s="352"/>
    </row>
    <row r="253" spans="5:42" s="265" customFormat="1">
      <c r="E253" s="317"/>
      <c r="AM253" s="351"/>
      <c r="AN253" s="352"/>
      <c r="AO253" s="352"/>
      <c r="AP253" s="352"/>
    </row>
    <row r="254" spans="5:42" s="265" customFormat="1">
      <c r="E254" s="317"/>
      <c r="AM254" s="351"/>
      <c r="AN254" s="352"/>
      <c r="AO254" s="352"/>
      <c r="AP254" s="352"/>
    </row>
    <row r="255" spans="5:42" s="265" customFormat="1">
      <c r="E255" s="317"/>
      <c r="AM255" s="351"/>
      <c r="AN255" s="352"/>
      <c r="AO255" s="352"/>
      <c r="AP255" s="352"/>
    </row>
    <row r="256" spans="5:42" s="265" customFormat="1">
      <c r="E256" s="317"/>
      <c r="AM256" s="351"/>
      <c r="AN256" s="352"/>
      <c r="AO256" s="352"/>
      <c r="AP256" s="352"/>
    </row>
    <row r="257" spans="5:42" s="265" customFormat="1">
      <c r="E257" s="317"/>
      <c r="AM257" s="351"/>
      <c r="AN257" s="352"/>
      <c r="AO257" s="352"/>
      <c r="AP257" s="352"/>
    </row>
    <row r="258" spans="5:42" s="265" customFormat="1">
      <c r="E258" s="317"/>
      <c r="AM258" s="351"/>
      <c r="AN258" s="352"/>
      <c r="AO258" s="352"/>
      <c r="AP258" s="352"/>
    </row>
    <row r="259" spans="5:42" s="265" customFormat="1">
      <c r="E259" s="317"/>
      <c r="AM259" s="351"/>
      <c r="AN259" s="352"/>
      <c r="AO259" s="352"/>
      <c r="AP259" s="352"/>
    </row>
    <row r="260" spans="5:42" s="265" customFormat="1">
      <c r="E260" s="317"/>
      <c r="AM260" s="351"/>
      <c r="AN260" s="352"/>
      <c r="AO260" s="352"/>
      <c r="AP260" s="352"/>
    </row>
    <row r="261" spans="5:42" s="265" customFormat="1">
      <c r="E261" s="317"/>
      <c r="AM261" s="351"/>
      <c r="AN261" s="352"/>
      <c r="AO261" s="352"/>
      <c r="AP261" s="352"/>
    </row>
    <row r="262" spans="5:42" s="265" customFormat="1">
      <c r="E262" s="317"/>
      <c r="AM262" s="351"/>
      <c r="AN262" s="352"/>
      <c r="AO262" s="352"/>
      <c r="AP262" s="352"/>
    </row>
    <row r="263" spans="5:42" s="265" customFormat="1">
      <c r="E263" s="317"/>
      <c r="AM263" s="351"/>
      <c r="AN263" s="352"/>
      <c r="AO263" s="352"/>
      <c r="AP263" s="352"/>
    </row>
    <row r="264" spans="5:42" s="265" customFormat="1">
      <c r="E264" s="317"/>
      <c r="AM264" s="351"/>
      <c r="AN264" s="352"/>
      <c r="AO264" s="352"/>
      <c r="AP264" s="352"/>
    </row>
    <row r="265" spans="5:42" s="265" customFormat="1">
      <c r="E265" s="317"/>
      <c r="AM265" s="351"/>
      <c r="AN265" s="352"/>
      <c r="AO265" s="352"/>
      <c r="AP265" s="352"/>
    </row>
    <row r="266" spans="5:42" s="265" customFormat="1">
      <c r="E266" s="317"/>
      <c r="AM266" s="351"/>
      <c r="AN266" s="352"/>
      <c r="AO266" s="352"/>
      <c r="AP266" s="352"/>
    </row>
    <row r="267" spans="5:42" s="265" customFormat="1">
      <c r="E267" s="317"/>
      <c r="AM267" s="351"/>
      <c r="AN267" s="352"/>
      <c r="AO267" s="352"/>
      <c r="AP267" s="352"/>
    </row>
    <row r="268" spans="5:42" s="265" customFormat="1">
      <c r="E268" s="317"/>
      <c r="AM268" s="351"/>
      <c r="AN268" s="352"/>
      <c r="AO268" s="352"/>
      <c r="AP268" s="352"/>
    </row>
    <row r="269" spans="5:42" s="265" customFormat="1">
      <c r="E269" s="317"/>
      <c r="AM269" s="351"/>
      <c r="AN269" s="352"/>
      <c r="AO269" s="352"/>
      <c r="AP269" s="352"/>
    </row>
    <row r="270" spans="5:42" s="265" customFormat="1">
      <c r="E270" s="317"/>
      <c r="AM270" s="351"/>
      <c r="AN270" s="352"/>
      <c r="AO270" s="352"/>
      <c r="AP270" s="352"/>
    </row>
    <row r="271" spans="5:42" s="265" customFormat="1">
      <c r="E271" s="317"/>
      <c r="AM271" s="351"/>
      <c r="AN271" s="352"/>
      <c r="AO271" s="352"/>
      <c r="AP271" s="352"/>
    </row>
    <row r="272" spans="5:42" s="265" customFormat="1">
      <c r="E272" s="317"/>
      <c r="AM272" s="351"/>
      <c r="AN272" s="352"/>
      <c r="AO272" s="352"/>
      <c r="AP272" s="352"/>
    </row>
    <row r="273" spans="5:42" s="265" customFormat="1">
      <c r="E273" s="317"/>
      <c r="AM273" s="351"/>
      <c r="AN273" s="352"/>
      <c r="AO273" s="352"/>
      <c r="AP273" s="352"/>
    </row>
    <row r="274" spans="5:42" s="265" customFormat="1">
      <c r="E274" s="317"/>
      <c r="AM274" s="351"/>
      <c r="AN274" s="352"/>
      <c r="AO274" s="352"/>
      <c r="AP274" s="352"/>
    </row>
    <row r="275" spans="5:42" s="265" customFormat="1">
      <c r="E275" s="317"/>
      <c r="AM275" s="351"/>
      <c r="AN275" s="352"/>
      <c r="AO275" s="352"/>
      <c r="AP275" s="352"/>
    </row>
    <row r="276" spans="5:42" s="265" customFormat="1">
      <c r="E276" s="317"/>
      <c r="AM276" s="351"/>
      <c r="AN276" s="352"/>
      <c r="AO276" s="352"/>
      <c r="AP276" s="352"/>
    </row>
    <row r="277" spans="5:42" s="265" customFormat="1">
      <c r="E277" s="317"/>
      <c r="AM277" s="351"/>
      <c r="AN277" s="352"/>
      <c r="AO277" s="352"/>
      <c r="AP277" s="352"/>
    </row>
    <row r="278" spans="5:42" s="265" customFormat="1">
      <c r="E278" s="317"/>
      <c r="AM278" s="351"/>
      <c r="AN278" s="352"/>
      <c r="AO278" s="352"/>
      <c r="AP278" s="352"/>
    </row>
    <row r="279" spans="5:42" s="265" customFormat="1">
      <c r="E279" s="317"/>
      <c r="AM279" s="351"/>
      <c r="AN279" s="352"/>
      <c r="AO279" s="352"/>
      <c r="AP279" s="352"/>
    </row>
    <row r="280" spans="5:42" s="265" customFormat="1">
      <c r="E280" s="317"/>
      <c r="AM280" s="351"/>
      <c r="AN280" s="352"/>
      <c r="AO280" s="352"/>
      <c r="AP280" s="352"/>
    </row>
    <row r="281" spans="5:42" s="265" customFormat="1">
      <c r="E281" s="317"/>
      <c r="AM281" s="351"/>
      <c r="AN281" s="352"/>
      <c r="AO281" s="352"/>
      <c r="AP281" s="352"/>
    </row>
    <row r="282" spans="5:42" s="265" customFormat="1">
      <c r="E282" s="317"/>
      <c r="AM282" s="351"/>
      <c r="AN282" s="352"/>
      <c r="AO282" s="352"/>
      <c r="AP282" s="352"/>
    </row>
    <row r="283" spans="5:42" s="265" customFormat="1">
      <c r="E283" s="317"/>
      <c r="AM283" s="351"/>
      <c r="AN283" s="352"/>
      <c r="AO283" s="352"/>
      <c r="AP283" s="352"/>
    </row>
    <row r="284" spans="5:42" s="265" customFormat="1">
      <c r="E284" s="317"/>
      <c r="AM284" s="351"/>
      <c r="AN284" s="352"/>
      <c r="AO284" s="352"/>
      <c r="AP284" s="352"/>
    </row>
    <row r="285" spans="5:42" s="265" customFormat="1">
      <c r="E285" s="317"/>
      <c r="AM285" s="351"/>
      <c r="AN285" s="352"/>
      <c r="AO285" s="352"/>
      <c r="AP285" s="352"/>
    </row>
    <row r="286" spans="5:42" s="265" customFormat="1">
      <c r="E286" s="317"/>
      <c r="AM286" s="351"/>
      <c r="AN286" s="352"/>
      <c r="AO286" s="352"/>
      <c r="AP286" s="352"/>
    </row>
    <row r="287" spans="5:42" s="265" customFormat="1">
      <c r="E287" s="317"/>
      <c r="AM287" s="351"/>
      <c r="AN287" s="352"/>
      <c r="AO287" s="352"/>
      <c r="AP287" s="352"/>
    </row>
    <row r="288" spans="5:42" s="265" customFormat="1">
      <c r="E288" s="317"/>
      <c r="AM288" s="351"/>
      <c r="AN288" s="352"/>
      <c r="AO288" s="352"/>
      <c r="AP288" s="352"/>
    </row>
    <row r="289" spans="5:42" s="265" customFormat="1">
      <c r="E289" s="317"/>
      <c r="AM289" s="351"/>
      <c r="AN289" s="352"/>
      <c r="AO289" s="352"/>
      <c r="AP289" s="352"/>
    </row>
    <row r="290" spans="5:42" s="265" customFormat="1">
      <c r="E290" s="317"/>
      <c r="AM290" s="351"/>
      <c r="AN290" s="352"/>
      <c r="AO290" s="352"/>
      <c r="AP290" s="352"/>
    </row>
    <row r="291" spans="5:42" s="265" customFormat="1">
      <c r="E291" s="317"/>
      <c r="AM291" s="351"/>
      <c r="AN291" s="352"/>
      <c r="AO291" s="352"/>
      <c r="AP291" s="352"/>
    </row>
    <row r="292" spans="5:42" s="265" customFormat="1">
      <c r="E292" s="317"/>
      <c r="AM292" s="351"/>
      <c r="AN292" s="352"/>
      <c r="AO292" s="352"/>
      <c r="AP292" s="352"/>
    </row>
    <row r="293" spans="5:42" s="265" customFormat="1">
      <c r="E293" s="317"/>
      <c r="AM293" s="351"/>
      <c r="AN293" s="352"/>
      <c r="AO293" s="352"/>
      <c r="AP293" s="352"/>
    </row>
    <row r="294" spans="5:42" s="265" customFormat="1">
      <c r="E294" s="317"/>
      <c r="AM294" s="351"/>
      <c r="AN294" s="352"/>
      <c r="AO294" s="352"/>
      <c r="AP294" s="352"/>
    </row>
    <row r="295" spans="5:42" s="265" customFormat="1">
      <c r="E295" s="317"/>
      <c r="AM295" s="351"/>
      <c r="AN295" s="352"/>
      <c r="AO295" s="352"/>
      <c r="AP295" s="352"/>
    </row>
    <row r="296" spans="5:42" s="265" customFormat="1">
      <c r="E296" s="317"/>
      <c r="AM296" s="351"/>
      <c r="AN296" s="352"/>
      <c r="AO296" s="352"/>
      <c r="AP296" s="352"/>
    </row>
    <row r="297" spans="5:42" s="265" customFormat="1">
      <c r="E297" s="317"/>
      <c r="AM297" s="351"/>
      <c r="AN297" s="352"/>
      <c r="AO297" s="352"/>
      <c r="AP297" s="352"/>
    </row>
    <row r="298" spans="5:42" s="265" customFormat="1">
      <c r="E298" s="317"/>
      <c r="AM298" s="351"/>
      <c r="AN298" s="352"/>
      <c r="AO298" s="352"/>
      <c r="AP298" s="352"/>
    </row>
    <row r="299" spans="5:42" s="265" customFormat="1">
      <c r="E299" s="317"/>
      <c r="AM299" s="351"/>
      <c r="AN299" s="352"/>
      <c r="AO299" s="352"/>
      <c r="AP299" s="352"/>
    </row>
    <row r="300" spans="5:42" s="265" customFormat="1">
      <c r="E300" s="317"/>
      <c r="AM300" s="351"/>
      <c r="AN300" s="352"/>
      <c r="AO300" s="352"/>
      <c r="AP300" s="352"/>
    </row>
    <row r="301" spans="5:42" s="265" customFormat="1">
      <c r="E301" s="317"/>
      <c r="AM301" s="351"/>
      <c r="AN301" s="352"/>
      <c r="AO301" s="352"/>
      <c r="AP301" s="352"/>
    </row>
    <row r="302" spans="5:42" s="265" customFormat="1">
      <c r="E302" s="317"/>
      <c r="AM302" s="351"/>
      <c r="AN302" s="352"/>
      <c r="AO302" s="352"/>
      <c r="AP302" s="352"/>
    </row>
    <row r="303" spans="5:42" s="265" customFormat="1">
      <c r="E303" s="317"/>
      <c r="AM303" s="351"/>
      <c r="AN303" s="352"/>
      <c r="AO303" s="352"/>
      <c r="AP303" s="352"/>
    </row>
    <row r="304" spans="5:42" s="265" customFormat="1">
      <c r="E304" s="317"/>
      <c r="AM304" s="351"/>
      <c r="AN304" s="352"/>
      <c r="AO304" s="352"/>
      <c r="AP304" s="352"/>
    </row>
    <row r="305" spans="5:42" s="265" customFormat="1">
      <c r="E305" s="317"/>
      <c r="AM305" s="351"/>
      <c r="AN305" s="352"/>
      <c r="AO305" s="352"/>
      <c r="AP305" s="352"/>
    </row>
    <row r="306" spans="5:42" s="265" customFormat="1">
      <c r="E306" s="317"/>
      <c r="AM306" s="351"/>
      <c r="AN306" s="352"/>
      <c r="AO306" s="352"/>
      <c r="AP306" s="352"/>
    </row>
    <row r="307" spans="5:42" s="265" customFormat="1">
      <c r="E307" s="317"/>
      <c r="AM307" s="351"/>
      <c r="AN307" s="352"/>
      <c r="AO307" s="352"/>
      <c r="AP307" s="352"/>
    </row>
    <row r="308" spans="5:42" s="265" customFormat="1">
      <c r="E308" s="317"/>
      <c r="AM308" s="351"/>
      <c r="AN308" s="352"/>
      <c r="AO308" s="352"/>
      <c r="AP308" s="352"/>
    </row>
    <row r="309" spans="5:42" s="265" customFormat="1">
      <c r="E309" s="317"/>
      <c r="AM309" s="351"/>
      <c r="AN309" s="352"/>
      <c r="AO309" s="352"/>
      <c r="AP309" s="352"/>
    </row>
    <row r="310" spans="5:42" s="265" customFormat="1">
      <c r="E310" s="317"/>
      <c r="AM310" s="351"/>
      <c r="AN310" s="352"/>
      <c r="AO310" s="352"/>
      <c r="AP310" s="352"/>
    </row>
    <row r="311" spans="5:42" s="265" customFormat="1">
      <c r="E311" s="317"/>
      <c r="AM311" s="351"/>
      <c r="AN311" s="352"/>
      <c r="AO311" s="352"/>
      <c r="AP311" s="352"/>
    </row>
    <row r="312" spans="5:42" s="265" customFormat="1">
      <c r="E312" s="317"/>
      <c r="AM312" s="351"/>
      <c r="AN312" s="352"/>
      <c r="AO312" s="352"/>
      <c r="AP312" s="352"/>
    </row>
    <row r="313" spans="5:42" s="265" customFormat="1">
      <c r="E313" s="317"/>
      <c r="AM313" s="351"/>
      <c r="AN313" s="352"/>
      <c r="AO313" s="352"/>
      <c r="AP313" s="352"/>
    </row>
    <row r="314" spans="5:42" s="265" customFormat="1">
      <c r="E314" s="317"/>
      <c r="AM314" s="351"/>
      <c r="AN314" s="352"/>
      <c r="AO314" s="352"/>
      <c r="AP314" s="352"/>
    </row>
    <row r="315" spans="5:42" s="265" customFormat="1">
      <c r="E315" s="317"/>
      <c r="AM315" s="351"/>
      <c r="AN315" s="352"/>
      <c r="AO315" s="352"/>
      <c r="AP315" s="352"/>
    </row>
    <row r="316" spans="5:42" s="265" customFormat="1">
      <c r="E316" s="317"/>
      <c r="AM316" s="351"/>
      <c r="AN316" s="352"/>
      <c r="AO316" s="352"/>
      <c r="AP316" s="352"/>
    </row>
    <row r="317" spans="5:42" s="265" customFormat="1">
      <c r="E317" s="317"/>
      <c r="AM317" s="351"/>
      <c r="AN317" s="352"/>
      <c r="AO317" s="352"/>
      <c r="AP317" s="352"/>
    </row>
    <row r="318" spans="5:42" s="265" customFormat="1">
      <c r="E318" s="317"/>
      <c r="AM318" s="351"/>
      <c r="AN318" s="352"/>
      <c r="AO318" s="352"/>
      <c r="AP318" s="352"/>
    </row>
    <row r="319" spans="5:42" s="265" customFormat="1">
      <c r="E319" s="317"/>
      <c r="AM319" s="351"/>
      <c r="AN319" s="352"/>
      <c r="AO319" s="352"/>
      <c r="AP319" s="352"/>
    </row>
    <row r="320" spans="5:42" s="265" customFormat="1">
      <c r="E320" s="317"/>
      <c r="AM320" s="351"/>
      <c r="AN320" s="352"/>
      <c r="AO320" s="352"/>
      <c r="AP320" s="352"/>
    </row>
    <row r="321" spans="5:42" s="265" customFormat="1">
      <c r="E321" s="317"/>
      <c r="AM321" s="351"/>
      <c r="AN321" s="352"/>
      <c r="AO321" s="352"/>
      <c r="AP321" s="352"/>
    </row>
    <row r="322" spans="5:42" s="265" customFormat="1">
      <c r="E322" s="317"/>
      <c r="AM322" s="351"/>
      <c r="AN322" s="352"/>
      <c r="AO322" s="352"/>
      <c r="AP322" s="352"/>
    </row>
    <row r="323" spans="5:42" s="265" customFormat="1">
      <c r="E323" s="317"/>
      <c r="AM323" s="351"/>
      <c r="AN323" s="352"/>
      <c r="AO323" s="352"/>
      <c r="AP323" s="352"/>
    </row>
    <row r="324" spans="5:42" s="265" customFormat="1">
      <c r="E324" s="317"/>
      <c r="AM324" s="351"/>
      <c r="AN324" s="352"/>
      <c r="AO324" s="352"/>
      <c r="AP324" s="352"/>
    </row>
    <row r="325" spans="5:42" s="265" customFormat="1">
      <c r="E325" s="317"/>
      <c r="AM325" s="351"/>
      <c r="AN325" s="352"/>
      <c r="AO325" s="352"/>
      <c r="AP325" s="352"/>
    </row>
    <row r="326" spans="5:42" s="265" customFormat="1">
      <c r="E326" s="317"/>
      <c r="AM326" s="351"/>
      <c r="AN326" s="352"/>
      <c r="AO326" s="352"/>
      <c r="AP326" s="352"/>
    </row>
    <row r="327" spans="5:42" s="265" customFormat="1">
      <c r="E327" s="317"/>
      <c r="AM327" s="351"/>
      <c r="AN327" s="352"/>
      <c r="AO327" s="352"/>
      <c r="AP327" s="352"/>
    </row>
    <row r="328" spans="5:42" s="265" customFormat="1">
      <c r="E328" s="317"/>
      <c r="AM328" s="351"/>
      <c r="AN328" s="352"/>
      <c r="AO328" s="352"/>
      <c r="AP328" s="352"/>
    </row>
    <row r="329" spans="5:42" s="265" customFormat="1">
      <c r="E329" s="317"/>
      <c r="AM329" s="351"/>
      <c r="AN329" s="352"/>
      <c r="AO329" s="352"/>
      <c r="AP329" s="352"/>
    </row>
    <row r="330" spans="5:42" s="265" customFormat="1">
      <c r="E330" s="317"/>
      <c r="AM330" s="351"/>
      <c r="AN330" s="352"/>
      <c r="AO330" s="352"/>
      <c r="AP330" s="352"/>
    </row>
    <row r="331" spans="5:42" s="265" customFormat="1">
      <c r="E331" s="317"/>
      <c r="AM331" s="351"/>
      <c r="AN331" s="352"/>
      <c r="AO331" s="352"/>
      <c r="AP331" s="352"/>
    </row>
    <row r="332" spans="5:42" s="265" customFormat="1">
      <c r="E332" s="317"/>
      <c r="AM332" s="351"/>
      <c r="AN332" s="352"/>
      <c r="AO332" s="352"/>
      <c r="AP332" s="352"/>
    </row>
    <row r="333" spans="5:42" s="265" customFormat="1">
      <c r="E333" s="317"/>
      <c r="AM333" s="351"/>
      <c r="AN333" s="352"/>
      <c r="AO333" s="352"/>
      <c r="AP333" s="352"/>
    </row>
    <row r="334" spans="5:42" s="265" customFormat="1">
      <c r="E334" s="317"/>
      <c r="AM334" s="351"/>
      <c r="AN334" s="352"/>
      <c r="AO334" s="352"/>
      <c r="AP334" s="352"/>
    </row>
    <row r="335" spans="5:42" s="265" customFormat="1">
      <c r="E335" s="317"/>
      <c r="AM335" s="351"/>
      <c r="AN335" s="352"/>
      <c r="AO335" s="352"/>
      <c r="AP335" s="352"/>
    </row>
    <row r="336" spans="5:42" s="265" customFormat="1">
      <c r="E336" s="317"/>
      <c r="AM336" s="351"/>
      <c r="AN336" s="352"/>
      <c r="AO336" s="352"/>
      <c r="AP336" s="352"/>
    </row>
    <row r="337" spans="5:42" s="265" customFormat="1">
      <c r="E337" s="317"/>
      <c r="AM337" s="351"/>
      <c r="AN337" s="352"/>
      <c r="AO337" s="352"/>
      <c r="AP337" s="352"/>
    </row>
    <row r="338" spans="5:42" s="265" customFormat="1">
      <c r="E338" s="317"/>
      <c r="AM338" s="351"/>
      <c r="AN338" s="352"/>
      <c r="AO338" s="352"/>
      <c r="AP338" s="352"/>
    </row>
    <row r="339" spans="5:42" s="265" customFormat="1">
      <c r="E339" s="317"/>
      <c r="AM339" s="351"/>
      <c r="AN339" s="352"/>
      <c r="AO339" s="352"/>
      <c r="AP339" s="352"/>
    </row>
    <row r="340" spans="5:42" s="265" customFormat="1">
      <c r="E340" s="317"/>
      <c r="AM340" s="351"/>
      <c r="AN340" s="352"/>
      <c r="AO340" s="352"/>
      <c r="AP340" s="352"/>
    </row>
    <row r="341" spans="5:42" s="265" customFormat="1">
      <c r="E341" s="317"/>
      <c r="AM341" s="351"/>
      <c r="AN341" s="352"/>
      <c r="AO341" s="352"/>
      <c r="AP341" s="352"/>
    </row>
    <row r="342" spans="5:42" s="265" customFormat="1">
      <c r="E342" s="317"/>
      <c r="AM342" s="351"/>
      <c r="AN342" s="352"/>
      <c r="AO342" s="352"/>
      <c r="AP342" s="352"/>
    </row>
    <row r="343" spans="5:42" s="265" customFormat="1">
      <c r="E343" s="317"/>
      <c r="AM343" s="351"/>
      <c r="AN343" s="352"/>
      <c r="AO343" s="352"/>
      <c r="AP343" s="352"/>
    </row>
    <row r="344" spans="5:42" s="265" customFormat="1">
      <c r="E344" s="317"/>
      <c r="AM344" s="351"/>
      <c r="AN344" s="352"/>
      <c r="AO344" s="352"/>
      <c r="AP344" s="352"/>
    </row>
    <row r="345" spans="5:42" s="265" customFormat="1">
      <c r="E345" s="317"/>
      <c r="AM345" s="351"/>
      <c r="AN345" s="352"/>
      <c r="AO345" s="352"/>
      <c r="AP345" s="352"/>
    </row>
    <row r="346" spans="5:42" s="265" customFormat="1">
      <c r="E346" s="317"/>
      <c r="AM346" s="351"/>
      <c r="AN346" s="352"/>
      <c r="AO346" s="352"/>
      <c r="AP346" s="352"/>
    </row>
    <row r="347" spans="5:42" s="265" customFormat="1">
      <c r="E347" s="317"/>
      <c r="AM347" s="351"/>
      <c r="AN347" s="352"/>
      <c r="AO347" s="352"/>
      <c r="AP347" s="352"/>
    </row>
    <row r="348" spans="5:42" s="265" customFormat="1">
      <c r="E348" s="317"/>
      <c r="AM348" s="351"/>
      <c r="AN348" s="352"/>
      <c r="AO348" s="352"/>
      <c r="AP348" s="352"/>
    </row>
    <row r="349" spans="5:42" s="265" customFormat="1">
      <c r="E349" s="317"/>
      <c r="AM349" s="351"/>
      <c r="AN349" s="352"/>
      <c r="AO349" s="352"/>
      <c r="AP349" s="352"/>
    </row>
    <row r="350" spans="5:42" s="265" customFormat="1">
      <c r="E350" s="317"/>
      <c r="AM350" s="351"/>
      <c r="AN350" s="352"/>
      <c r="AO350" s="352"/>
      <c r="AP350" s="352"/>
    </row>
    <row r="351" spans="5:42" s="265" customFormat="1">
      <c r="E351" s="317"/>
      <c r="AM351" s="351"/>
      <c r="AN351" s="352"/>
      <c r="AO351" s="352"/>
      <c r="AP351" s="352"/>
    </row>
    <row r="352" spans="5:42" s="265" customFormat="1">
      <c r="E352" s="317"/>
      <c r="AM352" s="351"/>
      <c r="AN352" s="352"/>
      <c r="AO352" s="352"/>
      <c r="AP352" s="352"/>
    </row>
    <row r="353" spans="5:42" s="265" customFormat="1">
      <c r="E353" s="317"/>
      <c r="AM353" s="351"/>
      <c r="AN353" s="352"/>
      <c r="AO353" s="352"/>
      <c r="AP353" s="352"/>
    </row>
    <row r="354" spans="5:42" s="265" customFormat="1">
      <c r="E354" s="317"/>
      <c r="AM354" s="351"/>
      <c r="AN354" s="352"/>
      <c r="AO354" s="352"/>
      <c r="AP354" s="352"/>
    </row>
    <row r="355" spans="5:42" s="265" customFormat="1">
      <c r="E355" s="317"/>
      <c r="AM355" s="351"/>
      <c r="AN355" s="352"/>
      <c r="AO355" s="352"/>
      <c r="AP355" s="352"/>
    </row>
    <row r="356" spans="5:42" s="265" customFormat="1">
      <c r="E356" s="317"/>
      <c r="AM356" s="351"/>
      <c r="AN356" s="352"/>
      <c r="AO356" s="352"/>
      <c r="AP356" s="352"/>
    </row>
    <row r="357" spans="5:42" s="265" customFormat="1">
      <c r="E357" s="317"/>
      <c r="AM357" s="351"/>
      <c r="AN357" s="352"/>
      <c r="AO357" s="352"/>
      <c r="AP357" s="352"/>
    </row>
    <row r="358" spans="5:42" s="265" customFormat="1">
      <c r="E358" s="317"/>
      <c r="AM358" s="351"/>
      <c r="AN358" s="352"/>
      <c r="AO358" s="352"/>
      <c r="AP358" s="352"/>
    </row>
    <row r="359" spans="5:42" s="265" customFormat="1">
      <c r="E359" s="317"/>
      <c r="AM359" s="351"/>
      <c r="AN359" s="352"/>
      <c r="AO359" s="352"/>
      <c r="AP359" s="352"/>
    </row>
    <row r="360" spans="5:42" s="265" customFormat="1">
      <c r="E360" s="317"/>
      <c r="AM360" s="351"/>
      <c r="AN360" s="352"/>
      <c r="AO360" s="352"/>
      <c r="AP360" s="352"/>
    </row>
    <row r="361" spans="5:42" s="265" customFormat="1">
      <c r="E361" s="317"/>
      <c r="AM361" s="351"/>
      <c r="AN361" s="352"/>
      <c r="AO361" s="352"/>
      <c r="AP361" s="352"/>
    </row>
    <row r="362" spans="5:42" s="265" customFormat="1">
      <c r="E362" s="317"/>
      <c r="AM362" s="351"/>
      <c r="AN362" s="352"/>
      <c r="AO362" s="352"/>
      <c r="AP362" s="352"/>
    </row>
    <row r="363" spans="5:42" s="265" customFormat="1">
      <c r="E363" s="317"/>
      <c r="AM363" s="351"/>
      <c r="AN363" s="352"/>
      <c r="AO363" s="352"/>
      <c r="AP363" s="352"/>
    </row>
    <row r="364" spans="5:42" s="265" customFormat="1">
      <c r="E364" s="317"/>
      <c r="AM364" s="351"/>
      <c r="AN364" s="352"/>
      <c r="AO364" s="352"/>
      <c r="AP364" s="352"/>
    </row>
    <row r="365" spans="5:42" s="265" customFormat="1">
      <c r="E365" s="317"/>
      <c r="AM365" s="351"/>
      <c r="AN365" s="352"/>
      <c r="AO365" s="352"/>
      <c r="AP365" s="352"/>
    </row>
    <row r="366" spans="5:42" s="265" customFormat="1">
      <c r="E366" s="317"/>
      <c r="AM366" s="351"/>
      <c r="AN366" s="352"/>
      <c r="AO366" s="352"/>
      <c r="AP366" s="352"/>
    </row>
    <row r="367" spans="5:42" s="265" customFormat="1">
      <c r="E367" s="317"/>
      <c r="AM367" s="351"/>
      <c r="AN367" s="352"/>
      <c r="AO367" s="352"/>
      <c r="AP367" s="352"/>
    </row>
    <row r="368" spans="5:42" s="265" customFormat="1">
      <c r="E368" s="317"/>
      <c r="AM368" s="351"/>
      <c r="AN368" s="352"/>
      <c r="AO368" s="352"/>
      <c r="AP368" s="352"/>
    </row>
    <row r="369" spans="5:42" s="265" customFormat="1">
      <c r="E369" s="317"/>
      <c r="AM369" s="351"/>
      <c r="AN369" s="352"/>
      <c r="AO369" s="352"/>
      <c r="AP369" s="352"/>
    </row>
    <row r="370" spans="5:42" s="265" customFormat="1">
      <c r="E370" s="317"/>
      <c r="AM370" s="351"/>
      <c r="AN370" s="352"/>
      <c r="AO370" s="352"/>
      <c r="AP370" s="352"/>
    </row>
    <row r="371" spans="5:42" s="265" customFormat="1">
      <c r="E371" s="317"/>
      <c r="AM371" s="351"/>
      <c r="AN371" s="352"/>
      <c r="AO371" s="352"/>
      <c r="AP371" s="352"/>
    </row>
    <row r="372" spans="5:42" s="265" customFormat="1">
      <c r="E372" s="317"/>
      <c r="AM372" s="351"/>
      <c r="AN372" s="352"/>
      <c r="AO372" s="352"/>
      <c r="AP372" s="352"/>
    </row>
    <row r="373" spans="5:42" s="265" customFormat="1">
      <c r="E373" s="317"/>
      <c r="AM373" s="351"/>
      <c r="AN373" s="352"/>
      <c r="AO373" s="352"/>
      <c r="AP373" s="352"/>
    </row>
    <row r="374" spans="5:42" s="265" customFormat="1">
      <c r="E374" s="317"/>
      <c r="AM374" s="351"/>
      <c r="AN374" s="352"/>
      <c r="AO374" s="352"/>
      <c r="AP374" s="352"/>
    </row>
    <row r="375" spans="5:42" s="265" customFormat="1">
      <c r="E375" s="317"/>
      <c r="AM375" s="351"/>
      <c r="AN375" s="352"/>
      <c r="AO375" s="352"/>
      <c r="AP375" s="352"/>
    </row>
    <row r="376" spans="5:42" s="265" customFormat="1">
      <c r="E376" s="317"/>
      <c r="AM376" s="351"/>
      <c r="AN376" s="352"/>
      <c r="AO376" s="352"/>
      <c r="AP376" s="352"/>
    </row>
    <row r="377" spans="5:42" s="265" customFormat="1">
      <c r="E377" s="317"/>
      <c r="AM377" s="351"/>
      <c r="AN377" s="352"/>
      <c r="AO377" s="352"/>
      <c r="AP377" s="352"/>
    </row>
    <row r="378" spans="5:42" s="265" customFormat="1">
      <c r="E378" s="317"/>
      <c r="AM378" s="351"/>
      <c r="AN378" s="352"/>
      <c r="AO378" s="352"/>
      <c r="AP378" s="352"/>
    </row>
    <row r="379" spans="5:42" s="265" customFormat="1">
      <c r="E379" s="317"/>
      <c r="AM379" s="351"/>
      <c r="AN379" s="352"/>
      <c r="AO379" s="352"/>
      <c r="AP379" s="352"/>
    </row>
    <row r="380" spans="5:42" s="265" customFormat="1">
      <c r="E380" s="317"/>
      <c r="AM380" s="351"/>
      <c r="AN380" s="352"/>
      <c r="AO380" s="352"/>
      <c r="AP380" s="352"/>
    </row>
    <row r="381" spans="5:42" s="265" customFormat="1">
      <c r="E381" s="317"/>
      <c r="AM381" s="351"/>
      <c r="AN381" s="352"/>
      <c r="AO381" s="352"/>
      <c r="AP381" s="352"/>
    </row>
    <row r="382" spans="5:42" s="265" customFormat="1">
      <c r="E382" s="317"/>
      <c r="AM382" s="351"/>
      <c r="AN382" s="352"/>
      <c r="AO382" s="352"/>
      <c r="AP382" s="352"/>
    </row>
    <row r="383" spans="5:42" s="265" customFormat="1">
      <c r="E383" s="317"/>
      <c r="AM383" s="351"/>
      <c r="AN383" s="352"/>
      <c r="AO383" s="352"/>
      <c r="AP383" s="352"/>
    </row>
    <row r="384" spans="5:42" s="265" customFormat="1">
      <c r="E384" s="317"/>
      <c r="AM384" s="351"/>
      <c r="AN384" s="352"/>
      <c r="AO384" s="352"/>
      <c r="AP384" s="352"/>
    </row>
    <row r="385" spans="5:42" s="265" customFormat="1">
      <c r="E385" s="317"/>
      <c r="AM385" s="351"/>
      <c r="AN385" s="352"/>
      <c r="AO385" s="352"/>
      <c r="AP385" s="352"/>
    </row>
    <row r="386" spans="5:42" s="265" customFormat="1">
      <c r="E386" s="317"/>
      <c r="AM386" s="351"/>
      <c r="AN386" s="352"/>
      <c r="AO386" s="352"/>
      <c r="AP386" s="352"/>
    </row>
    <row r="387" spans="5:42" s="265" customFormat="1">
      <c r="E387" s="317"/>
      <c r="AM387" s="351"/>
      <c r="AN387" s="352"/>
      <c r="AO387" s="352"/>
      <c r="AP387" s="352"/>
    </row>
    <row r="388" spans="5:42" s="265" customFormat="1">
      <c r="E388" s="317"/>
      <c r="AM388" s="351"/>
      <c r="AN388" s="352"/>
      <c r="AO388" s="352"/>
      <c r="AP388" s="352"/>
    </row>
    <row r="389" spans="5:42" s="265" customFormat="1">
      <c r="E389" s="317"/>
      <c r="AM389" s="351"/>
      <c r="AN389" s="352"/>
      <c r="AO389" s="352"/>
      <c r="AP389" s="352"/>
    </row>
    <row r="390" spans="5:42" s="265" customFormat="1">
      <c r="E390" s="317"/>
      <c r="AM390" s="351"/>
      <c r="AN390" s="352"/>
      <c r="AO390" s="352"/>
      <c r="AP390" s="352"/>
    </row>
    <row r="391" spans="5:42" s="265" customFormat="1">
      <c r="E391" s="317"/>
      <c r="AM391" s="351"/>
      <c r="AN391" s="352"/>
      <c r="AO391" s="352"/>
      <c r="AP391" s="352"/>
    </row>
    <row r="392" spans="5:42" s="265" customFormat="1">
      <c r="E392" s="317"/>
      <c r="AM392" s="351"/>
      <c r="AN392" s="352"/>
      <c r="AO392" s="352"/>
      <c r="AP392" s="352"/>
    </row>
    <row r="393" spans="5:42" s="265" customFormat="1">
      <c r="E393" s="317"/>
      <c r="AM393" s="351"/>
      <c r="AN393" s="352"/>
      <c r="AO393" s="352"/>
      <c r="AP393" s="352"/>
    </row>
    <row r="394" spans="5:42" s="265" customFormat="1">
      <c r="E394" s="317"/>
      <c r="AM394" s="351"/>
      <c r="AN394" s="352"/>
      <c r="AO394" s="352"/>
      <c r="AP394" s="352"/>
    </row>
    <row r="395" spans="5:42" s="265" customFormat="1">
      <c r="E395" s="317"/>
      <c r="AM395" s="351"/>
      <c r="AN395" s="352"/>
      <c r="AO395" s="352"/>
      <c r="AP395" s="352"/>
    </row>
    <row r="396" spans="5:42" s="265" customFormat="1">
      <c r="E396" s="317"/>
      <c r="AM396" s="351"/>
      <c r="AN396" s="352"/>
      <c r="AO396" s="352"/>
      <c r="AP396" s="352"/>
    </row>
    <row r="397" spans="5:42" s="265" customFormat="1">
      <c r="E397" s="317"/>
      <c r="AM397" s="351"/>
      <c r="AN397" s="352"/>
      <c r="AO397" s="352"/>
      <c r="AP397" s="352"/>
    </row>
    <row r="398" spans="5:42" s="265" customFormat="1">
      <c r="E398" s="317"/>
      <c r="AM398" s="351"/>
      <c r="AN398" s="352"/>
      <c r="AO398" s="352"/>
      <c r="AP398" s="352"/>
    </row>
    <row r="399" spans="5:42" s="265" customFormat="1">
      <c r="E399" s="317"/>
      <c r="AM399" s="351"/>
      <c r="AN399" s="352"/>
      <c r="AO399" s="352"/>
      <c r="AP399" s="352"/>
    </row>
    <row r="400" spans="5:42" s="265" customFormat="1">
      <c r="E400" s="317"/>
      <c r="AM400" s="351"/>
      <c r="AN400" s="352"/>
      <c r="AO400" s="352"/>
      <c r="AP400" s="352"/>
    </row>
    <row r="401" spans="5:42" s="265" customFormat="1">
      <c r="E401" s="317"/>
      <c r="AM401" s="351"/>
      <c r="AN401" s="352"/>
      <c r="AO401" s="352"/>
      <c r="AP401" s="352"/>
    </row>
    <row r="402" spans="5:42" s="265" customFormat="1">
      <c r="E402" s="317"/>
      <c r="AM402" s="351"/>
      <c r="AN402" s="352"/>
      <c r="AO402" s="352"/>
      <c r="AP402" s="352"/>
    </row>
    <row r="403" spans="5:42" s="265" customFormat="1">
      <c r="E403" s="317"/>
      <c r="AM403" s="351"/>
      <c r="AN403" s="352"/>
      <c r="AO403" s="352"/>
      <c r="AP403" s="352"/>
    </row>
    <row r="404" spans="5:42" s="265" customFormat="1">
      <c r="E404" s="317"/>
      <c r="AM404" s="351"/>
      <c r="AN404" s="352"/>
      <c r="AO404" s="352"/>
      <c r="AP404" s="352"/>
    </row>
    <row r="405" spans="5:42" s="265" customFormat="1">
      <c r="E405" s="317"/>
      <c r="AM405" s="351"/>
      <c r="AN405" s="352"/>
      <c r="AO405" s="352"/>
      <c r="AP405" s="352"/>
    </row>
    <row r="406" spans="5:42" s="265" customFormat="1">
      <c r="E406" s="317"/>
      <c r="AM406" s="351"/>
      <c r="AN406" s="352"/>
      <c r="AO406" s="352"/>
      <c r="AP406" s="352"/>
    </row>
    <row r="407" spans="5:42" s="265" customFormat="1">
      <c r="E407" s="317"/>
      <c r="AM407" s="351"/>
      <c r="AN407" s="352"/>
      <c r="AO407" s="352"/>
      <c r="AP407" s="352"/>
    </row>
    <row r="408" spans="5:42" s="265" customFormat="1">
      <c r="E408" s="317"/>
      <c r="AM408" s="351"/>
      <c r="AN408" s="352"/>
      <c r="AO408" s="352"/>
      <c r="AP408" s="352"/>
    </row>
    <row r="409" spans="5:42" s="265" customFormat="1">
      <c r="E409" s="317"/>
      <c r="AM409" s="351"/>
      <c r="AN409" s="352"/>
      <c r="AO409" s="352"/>
      <c r="AP409" s="352"/>
    </row>
    <row r="410" spans="5:42" s="265" customFormat="1">
      <c r="E410" s="317"/>
      <c r="AM410" s="351"/>
      <c r="AN410" s="352"/>
      <c r="AO410" s="352"/>
      <c r="AP410" s="352"/>
    </row>
    <row r="411" spans="5:42" s="265" customFormat="1">
      <c r="E411" s="317"/>
      <c r="AM411" s="351"/>
      <c r="AN411" s="352"/>
      <c r="AO411" s="352"/>
      <c r="AP411" s="352"/>
    </row>
  </sheetData>
  <mergeCells count="42">
    <mergeCell ref="Y6:Z6"/>
    <mergeCell ref="A2:AF2"/>
    <mergeCell ref="A4:AF4"/>
    <mergeCell ref="A5:C5"/>
    <mergeCell ref="D5:H5"/>
    <mergeCell ref="I5:I6"/>
    <mergeCell ref="J5:J6"/>
    <mergeCell ref="K5:Z5"/>
    <mergeCell ref="AA5:AF5"/>
    <mergeCell ref="K6:L6"/>
    <mergeCell ref="M6:N6"/>
    <mergeCell ref="O6:P6"/>
    <mergeCell ref="Q6:R6"/>
    <mergeCell ref="S6:T6"/>
    <mergeCell ref="U6:V6"/>
    <mergeCell ref="W6:X6"/>
    <mergeCell ref="A8:C8"/>
    <mergeCell ref="F8:AF8"/>
    <mergeCell ref="A10:Z10"/>
    <mergeCell ref="A11:C11"/>
    <mergeCell ref="D11:H11"/>
    <mergeCell ref="I11:I12"/>
    <mergeCell ref="J11:J12"/>
    <mergeCell ref="K11:T11"/>
    <mergeCell ref="U11:Z11"/>
    <mergeCell ref="K12:L12"/>
    <mergeCell ref="M12:N12"/>
    <mergeCell ref="O12:P12"/>
    <mergeCell ref="Q12:R12"/>
    <mergeCell ref="S12:T12"/>
    <mergeCell ref="A14:C14"/>
    <mergeCell ref="F14:Z14"/>
    <mergeCell ref="A16:V16"/>
    <mergeCell ref="A17:C17"/>
    <mergeCell ref="D17:H17"/>
    <mergeCell ref="I17:I18"/>
    <mergeCell ref="J17:J18"/>
    <mergeCell ref="K17:P17"/>
    <mergeCell ref="Q17:V17"/>
    <mergeCell ref="K18:L18"/>
    <mergeCell ref="M18:N18"/>
    <mergeCell ref="O18:P18"/>
  </mergeCells>
  <dataValidations count="5">
    <dataValidation type="list" allowBlank="1" showInputMessage="1" showErrorMessage="1" sqref="Q20:Q40 AA9 U15" xr:uid="{00000000-0002-0000-2800-000000000000}">
      <formula1>$AP$2</formula1>
    </dataValidation>
    <dataValidation type="list" allowBlank="1" showInputMessage="1" showErrorMessage="1" sqref="AB9" xr:uid="{00000000-0002-0000-2800-000001000000}">
      <formula1>$AO$2:$AO$4</formula1>
    </dataValidation>
    <dataValidation type="list" allowBlank="1" showInputMessage="1" showErrorMessage="1" sqref="S20:S40 AC9 W15" xr:uid="{00000000-0002-0000-2800-000002000000}">
      <formula1>$AN$2:$AN$3</formula1>
    </dataValidation>
    <dataValidation type="list" allowBlank="1" showInputMessage="1" showErrorMessage="1" sqref="V15" xr:uid="{00000000-0002-0000-2800-000003000000}">
      <formula1>$AO$7:$AO$8</formula1>
    </dataValidation>
    <dataValidation type="list" allowBlank="1" showInputMessage="1" showErrorMessage="1" sqref="R20:R40" xr:uid="{00000000-0002-0000-2800-000004000000}">
      <formula1>$AO$5:$AO$6</formula1>
    </dataValidation>
  </dataValidation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DH18"/>
  <sheetViews>
    <sheetView showGridLines="0" zoomScale="70" zoomScaleNormal="70" workbookViewId="0">
      <selection activeCell="B2" sqref="B2:L2"/>
    </sheetView>
  </sheetViews>
  <sheetFormatPr baseColWidth="10" defaultColWidth="11.5" defaultRowHeight="15" outlineLevelRow="1"/>
  <cols>
    <col min="1" max="1" width="11.5" style="246"/>
    <col min="2" max="2" width="49.5" style="246" customWidth="1"/>
    <col min="3" max="3" width="25.5" style="246" customWidth="1"/>
    <col min="4" max="4" width="16.5" style="246" customWidth="1"/>
    <col min="5" max="6" width="11.5" style="246" customWidth="1"/>
    <col min="7" max="7" width="13.5" style="246" customWidth="1"/>
    <col min="8" max="9" width="15.5" style="246" customWidth="1"/>
    <col min="10" max="10" width="13.5" style="246" customWidth="1"/>
    <col min="11" max="11" width="14.5" style="246" bestFit="1" customWidth="1"/>
    <col min="12" max="12" width="11.1640625" style="246" bestFit="1" customWidth="1"/>
    <col min="13" max="13" width="14.5" style="246" bestFit="1" customWidth="1"/>
    <col min="14" max="14" width="11.1640625" style="246" bestFit="1" customWidth="1"/>
    <col min="15" max="15" width="18" style="246" bestFit="1" customWidth="1"/>
    <col min="16" max="16" width="20.83203125" style="246" bestFit="1" customWidth="1"/>
    <col min="17" max="17" width="16.83203125" style="246" bestFit="1" customWidth="1"/>
    <col min="18" max="24" width="11.5" style="246"/>
    <col min="25" max="25" width="18.1640625" style="246" customWidth="1"/>
    <col min="26" max="16384" width="11.5" style="246"/>
  </cols>
  <sheetData>
    <row r="1" spans="1:112" s="291" customFormat="1" ht="34">
      <c r="A1" s="4243" t="s">
        <v>2793</v>
      </c>
      <c r="B1" s="4243"/>
      <c r="C1" s="4243"/>
      <c r="D1" s="4243"/>
      <c r="E1" s="4243"/>
      <c r="F1" s="4243"/>
      <c r="G1" s="4243"/>
      <c r="H1" s="4243"/>
      <c r="I1" s="4243"/>
      <c r="J1" s="4243"/>
      <c r="K1" s="4243"/>
      <c r="L1" s="4243"/>
      <c r="M1" s="4243"/>
      <c r="N1" s="4243"/>
      <c r="O1" s="4243"/>
      <c r="P1" s="4243"/>
      <c r="Q1" s="4243"/>
      <c r="R1" s="4243"/>
      <c r="S1" s="4243"/>
      <c r="T1" s="4243"/>
      <c r="U1" s="288"/>
      <c r="V1" s="288"/>
      <c r="W1" s="288"/>
      <c r="X1" s="288"/>
      <c r="Y1" s="289" t="s">
        <v>2263</v>
      </c>
      <c r="Z1" s="289" t="s">
        <v>2262</v>
      </c>
      <c r="AA1" s="306"/>
      <c r="AB1" s="289"/>
      <c r="AC1" s="289"/>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row>
    <row r="2" spans="1:112" customFormat="1" ht="29" customHeight="1">
      <c r="C2" s="249"/>
      <c r="Y2" s="247" t="s">
        <v>2266</v>
      </c>
      <c r="Z2" s="247"/>
      <c r="AA2" s="248"/>
      <c r="AB2" s="247"/>
      <c r="AC2" s="247"/>
    </row>
    <row r="3" spans="1:112" customFormat="1" ht="31">
      <c r="A3" s="4185" t="s">
        <v>2794</v>
      </c>
      <c r="B3" s="4185"/>
      <c r="C3" s="4185"/>
      <c r="D3" s="4185"/>
      <c r="E3" s="4185"/>
      <c r="F3" s="4185"/>
      <c r="G3" s="4185"/>
      <c r="H3" s="4185"/>
      <c r="I3" s="4185"/>
      <c r="J3" s="4185"/>
      <c r="K3" s="4185"/>
      <c r="L3" s="4185"/>
      <c r="M3" s="4185"/>
      <c r="N3" s="4185"/>
      <c r="O3" s="4185"/>
      <c r="P3" s="4185"/>
      <c r="Q3" s="4185"/>
      <c r="R3" s="4185"/>
      <c r="S3" s="4185"/>
      <c r="T3" s="4185"/>
      <c r="Y3" s="247" t="s">
        <v>2268</v>
      </c>
      <c r="Z3" s="247"/>
      <c r="AA3" s="248"/>
      <c r="AB3" s="247"/>
      <c r="AC3" s="247"/>
    </row>
    <row r="4" spans="1:112" customFormat="1" ht="24" hidden="1" outlineLevel="1">
      <c r="A4" s="4186" t="s">
        <v>2662</v>
      </c>
      <c r="B4" s="4186"/>
      <c r="C4" s="4186"/>
      <c r="D4" s="4186" t="s">
        <v>2663</v>
      </c>
      <c r="E4" s="4186"/>
      <c r="F4" s="4186"/>
      <c r="G4" s="4186"/>
      <c r="H4" s="4186"/>
      <c r="I4" s="4187" t="s">
        <v>1686</v>
      </c>
      <c r="J4" s="4187" t="s">
        <v>610</v>
      </c>
      <c r="K4" s="4186" t="s">
        <v>2664</v>
      </c>
      <c r="L4" s="4186"/>
      <c r="M4" s="4186"/>
      <c r="N4" s="4186"/>
      <c r="O4" s="4186" t="s">
        <v>2665</v>
      </c>
      <c r="P4" s="4186"/>
      <c r="Q4" s="4186"/>
      <c r="R4" s="4186"/>
      <c r="S4" s="4186"/>
      <c r="T4" s="4186"/>
      <c r="Y4" s="247" t="s">
        <v>2718</v>
      </c>
      <c r="Z4" s="247"/>
      <c r="AA4" s="248"/>
      <c r="AB4" s="247"/>
      <c r="AC4" s="247"/>
    </row>
    <row r="5" spans="1:112" customFormat="1" ht="34" hidden="1" outlineLevel="1">
      <c r="A5" s="410" t="s">
        <v>2666</v>
      </c>
      <c r="B5" s="309" t="s">
        <v>2667</v>
      </c>
      <c r="C5" s="309" t="s">
        <v>2668</v>
      </c>
      <c r="D5" s="309" t="s">
        <v>2669</v>
      </c>
      <c r="E5" s="309" t="s">
        <v>2670</v>
      </c>
      <c r="F5" s="309" t="s">
        <v>2671</v>
      </c>
      <c r="G5" s="309" t="s">
        <v>2672</v>
      </c>
      <c r="H5" s="309" t="s">
        <v>2673</v>
      </c>
      <c r="I5" s="4187"/>
      <c r="J5" s="4187"/>
      <c r="K5" s="4183" t="s">
        <v>2795</v>
      </c>
      <c r="L5" s="4183"/>
      <c r="M5" s="4183" t="s">
        <v>2796</v>
      </c>
      <c r="N5" s="4183"/>
      <c r="O5" s="309" t="s">
        <v>2723</v>
      </c>
      <c r="P5" s="309" t="s">
        <v>2724</v>
      </c>
      <c r="Q5" s="309" t="s">
        <v>2695</v>
      </c>
      <c r="R5" s="309" t="s">
        <v>2696</v>
      </c>
      <c r="S5" s="309" t="s">
        <v>2697</v>
      </c>
      <c r="T5" s="309" t="s">
        <v>2698</v>
      </c>
      <c r="Y5" s="247" t="s">
        <v>2725</v>
      </c>
      <c r="Z5" s="247"/>
      <c r="AA5" s="248"/>
      <c r="AB5" s="247"/>
      <c r="AC5" s="247"/>
    </row>
    <row r="6" spans="1:112" collapsed="1"/>
    <row r="15" spans="1:112">
      <c r="B15" s="307"/>
    </row>
    <row r="18" spans="4:4">
      <c r="D18" s="308"/>
    </row>
  </sheetData>
  <mergeCells count="10">
    <mergeCell ref="A1:T1"/>
    <mergeCell ref="A3:T3"/>
    <mergeCell ref="A4:C4"/>
    <mergeCell ref="D4:H4"/>
    <mergeCell ref="I4:I5"/>
    <mergeCell ref="J4:J5"/>
    <mergeCell ref="K4:N4"/>
    <mergeCell ref="O4:T4"/>
    <mergeCell ref="K5:L5"/>
    <mergeCell ref="M5:N5"/>
  </mergeCells>
  <dataValidations count="3">
    <dataValidation type="list" allowBlank="1" showInputMessage="1" showErrorMessage="1" sqref="O15:O73" xr:uid="{00000000-0002-0000-2900-000000000000}">
      <formula1>$Y$1:$Y$5</formula1>
    </dataValidation>
    <dataValidation type="list" allowBlank="1" showInputMessage="1" showErrorMessage="1" sqref="Q15:Q73" xr:uid="{00000000-0002-0000-2900-000001000000}">
      <formula1>$Z$1</formula1>
    </dataValidation>
    <dataValidation allowBlank="1" showDropDown="1" showInputMessage="1" showErrorMessage="1" sqref="P15:P74" xr:uid="{00000000-0002-0000-2900-000002000000}"/>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1"/>
  </sheetPr>
  <dimension ref="B1:O20"/>
  <sheetViews>
    <sheetView showGridLines="0" zoomScale="130" zoomScaleNormal="130" workbookViewId="0">
      <selection activeCell="C10" sqref="C10"/>
    </sheetView>
  </sheetViews>
  <sheetFormatPr baseColWidth="10" defaultColWidth="11.5" defaultRowHeight="15"/>
  <cols>
    <col min="1" max="1" width="2.5" customWidth="1"/>
    <col min="2" max="2" width="4.5" customWidth="1"/>
    <col min="3" max="3" width="10.5" customWidth="1"/>
    <col min="4" max="4" width="8.5" bestFit="1" customWidth="1"/>
    <col min="5" max="5" width="9.5" customWidth="1"/>
    <col min="6" max="6" width="10.5" customWidth="1"/>
    <col min="7" max="7" width="9" hidden="1" customWidth="1"/>
    <col min="8" max="8" width="6.1640625" customWidth="1"/>
    <col min="9" max="9" width="6.5" customWidth="1"/>
    <col min="10" max="10" width="10.5" bestFit="1" customWidth="1"/>
    <col min="11" max="11" width="7.5" customWidth="1"/>
    <col min="12" max="12" width="6.5" customWidth="1"/>
    <col min="13" max="13" width="14.5" customWidth="1"/>
    <col min="14" max="14" width="0" hidden="1" customWidth="1"/>
  </cols>
  <sheetData>
    <row r="1" spans="2:15" ht="12" customHeight="1" thickBot="1"/>
    <row r="2" spans="2:15" ht="29" customHeight="1" thickBot="1">
      <c r="B2" s="4276" t="s">
        <v>2898</v>
      </c>
      <c r="C2" s="4277"/>
      <c r="D2" s="4277"/>
      <c r="E2" s="4277"/>
      <c r="F2" s="4277"/>
      <c r="G2" s="4277"/>
      <c r="H2" s="4277"/>
      <c r="I2" s="4277"/>
      <c r="J2" s="4277"/>
      <c r="K2" s="4277"/>
      <c r="L2" s="4278"/>
    </row>
    <row r="3" spans="2:15" ht="39" customHeight="1" thickBot="1">
      <c r="B3" s="4279" t="s">
        <v>319</v>
      </c>
      <c r="C3" s="4279" t="s">
        <v>1985</v>
      </c>
      <c r="D3" s="2632" t="s">
        <v>2899</v>
      </c>
      <c r="E3" s="2632" t="s">
        <v>2900</v>
      </c>
      <c r="F3" s="4281" t="s">
        <v>2901</v>
      </c>
      <c r="G3" s="4282"/>
      <c r="H3" s="4283" t="s">
        <v>2902</v>
      </c>
      <c r="I3" s="4284"/>
      <c r="J3" s="2632" t="s">
        <v>2903</v>
      </c>
      <c r="K3" s="4285" t="s">
        <v>487</v>
      </c>
      <c r="L3" s="4286"/>
    </row>
    <row r="4" spans="2:15" ht="25.5" customHeight="1" thickBot="1">
      <c r="B4" s="4280"/>
      <c r="C4" s="4280"/>
      <c r="D4" s="2632" t="s">
        <v>178</v>
      </c>
      <c r="E4" s="2632" t="s">
        <v>178</v>
      </c>
      <c r="F4" s="2632" t="s">
        <v>178</v>
      </c>
      <c r="G4" s="2634" t="s">
        <v>180</v>
      </c>
      <c r="H4" s="2633" t="s">
        <v>178</v>
      </c>
      <c r="I4" s="2635" t="s">
        <v>180</v>
      </c>
      <c r="J4" s="2632" t="s">
        <v>178</v>
      </c>
      <c r="K4" s="2636" t="s">
        <v>178</v>
      </c>
      <c r="L4" s="2636" t="s">
        <v>180</v>
      </c>
    </row>
    <row r="5" spans="2:15">
      <c r="B5" s="2637">
        <v>1</v>
      </c>
      <c r="C5" s="2638" t="s">
        <v>774</v>
      </c>
      <c r="D5" s="2638">
        <v>40</v>
      </c>
      <c r="E5" s="2639">
        <v>0</v>
      </c>
      <c r="F5" s="2638">
        <v>114</v>
      </c>
      <c r="G5" s="2640">
        <f t="shared" ref="G5:G10" si="0">+F5/22</f>
        <v>5.1818181818181817</v>
      </c>
      <c r="H5" s="2638">
        <f t="shared" ref="H5:H10" si="1">D5+E5+F5</f>
        <v>154</v>
      </c>
      <c r="I5" s="2640">
        <f t="shared" ref="I5:I10" si="2">H5/22</f>
        <v>7</v>
      </c>
      <c r="J5" s="2638">
        <v>40</v>
      </c>
      <c r="K5" s="3282">
        <v>210</v>
      </c>
      <c r="L5" s="2641">
        <f t="shared" ref="L5:L11" si="3">K5/22</f>
        <v>9.545454545454545</v>
      </c>
      <c r="M5" s="454"/>
      <c r="O5" s="1811"/>
    </row>
    <row r="6" spans="2:15">
      <c r="B6" s="2625">
        <v>2</v>
      </c>
      <c r="C6" s="1177" t="s">
        <v>2904</v>
      </c>
      <c r="D6" s="1177">
        <v>40</v>
      </c>
      <c r="E6" s="1178">
        <v>0</v>
      </c>
      <c r="F6" s="1177">
        <v>96</v>
      </c>
      <c r="G6" s="1179">
        <f t="shared" si="0"/>
        <v>4.3636363636363633</v>
      </c>
      <c r="H6" s="1177">
        <f t="shared" si="1"/>
        <v>136</v>
      </c>
      <c r="I6" s="1179">
        <f t="shared" si="2"/>
        <v>6.1818181818181817</v>
      </c>
      <c r="J6" s="1177">
        <v>21</v>
      </c>
      <c r="K6" s="3283">
        <v>180</v>
      </c>
      <c r="L6" s="2626">
        <f t="shared" si="3"/>
        <v>8.1818181818181817</v>
      </c>
      <c r="M6" s="454"/>
      <c r="O6" s="1811"/>
    </row>
    <row r="7" spans="2:15">
      <c r="B7" s="2625">
        <v>3</v>
      </c>
      <c r="C7" s="1177" t="s">
        <v>802</v>
      </c>
      <c r="D7" s="1177">
        <v>31</v>
      </c>
      <c r="E7" s="1178">
        <v>0</v>
      </c>
      <c r="F7" s="1177">
        <v>40</v>
      </c>
      <c r="G7" s="1179">
        <f t="shared" si="0"/>
        <v>1.8181818181818181</v>
      </c>
      <c r="H7" s="1177">
        <f t="shared" si="1"/>
        <v>71</v>
      </c>
      <c r="I7" s="1179">
        <f t="shared" si="2"/>
        <v>3.2272727272727271</v>
      </c>
      <c r="J7" s="1177">
        <v>21</v>
      </c>
      <c r="K7" s="3283">
        <v>100</v>
      </c>
      <c r="L7" s="2626">
        <f t="shared" si="3"/>
        <v>4.5454545454545459</v>
      </c>
      <c r="M7" s="1811"/>
      <c r="O7" s="1811"/>
    </row>
    <row r="8" spans="2:15">
      <c r="B8" s="2625">
        <v>4</v>
      </c>
      <c r="C8" s="1177" t="s">
        <v>853</v>
      </c>
      <c r="D8" s="1178">
        <v>0</v>
      </c>
      <c r="E8" s="1177">
        <v>47</v>
      </c>
      <c r="F8" s="1177">
        <v>121</v>
      </c>
      <c r="G8" s="1179">
        <f t="shared" si="0"/>
        <v>5.5</v>
      </c>
      <c r="H8" s="1177">
        <f t="shared" si="1"/>
        <v>168</v>
      </c>
      <c r="I8" s="1179">
        <f t="shared" si="2"/>
        <v>7.6363636363636367</v>
      </c>
      <c r="J8" s="1177">
        <v>40</v>
      </c>
      <c r="K8" s="3283">
        <v>208</v>
      </c>
      <c r="L8" s="2626">
        <f t="shared" si="3"/>
        <v>9.454545454545455</v>
      </c>
      <c r="M8" s="1811"/>
      <c r="O8" s="1811"/>
    </row>
    <row r="9" spans="2:15">
      <c r="B9" s="2625">
        <v>5</v>
      </c>
      <c r="C9" s="1177" t="s">
        <v>838</v>
      </c>
      <c r="D9" s="1178">
        <v>0</v>
      </c>
      <c r="E9" s="1177">
        <v>42</v>
      </c>
      <c r="F9" s="1177">
        <v>90</v>
      </c>
      <c r="G9" s="1179">
        <f t="shared" si="0"/>
        <v>4.0909090909090908</v>
      </c>
      <c r="H9" s="1177">
        <f t="shared" si="1"/>
        <v>132</v>
      </c>
      <c r="I9" s="1179">
        <f t="shared" si="2"/>
        <v>6</v>
      </c>
      <c r="J9" s="1177">
        <v>21</v>
      </c>
      <c r="K9" s="3283">
        <v>180</v>
      </c>
      <c r="L9" s="2626">
        <f t="shared" si="3"/>
        <v>8.1818181818181817</v>
      </c>
      <c r="O9" s="1811"/>
    </row>
    <row r="10" spans="2:15" ht="16" thickBot="1">
      <c r="B10" s="2627">
        <v>6</v>
      </c>
      <c r="C10" s="2628" t="s">
        <v>763</v>
      </c>
      <c r="D10" s="2628">
        <v>20</v>
      </c>
      <c r="E10" s="2629">
        <v>0</v>
      </c>
      <c r="F10" s="2628">
        <v>51</v>
      </c>
      <c r="G10" s="2630">
        <f t="shared" si="0"/>
        <v>2.3181818181818183</v>
      </c>
      <c r="H10" s="2628">
        <f t="shared" si="1"/>
        <v>71</v>
      </c>
      <c r="I10" s="2630">
        <f t="shared" si="2"/>
        <v>3.2272727272727271</v>
      </c>
      <c r="J10" s="2628">
        <v>16</v>
      </c>
      <c r="K10" s="3284">
        <v>125</v>
      </c>
      <c r="L10" s="2631">
        <f t="shared" si="3"/>
        <v>5.6818181818181817</v>
      </c>
      <c r="M10" s="1811"/>
      <c r="O10" s="1811"/>
    </row>
    <row r="11" spans="2:15">
      <c r="C11" s="3280" t="s">
        <v>2905</v>
      </c>
      <c r="K11" s="3285">
        <v>91</v>
      </c>
      <c r="L11" s="3281">
        <f t="shared" si="3"/>
        <v>4.1363636363636367</v>
      </c>
    </row>
    <row r="14" spans="2:15" ht="81" hidden="1" thickBot="1">
      <c r="B14" s="1180" t="s">
        <v>2906</v>
      </c>
      <c r="C14" s="1181" t="s">
        <v>2907</v>
      </c>
      <c r="D14" s="1181" t="s">
        <v>2908</v>
      </c>
      <c r="E14" s="1181" t="s">
        <v>2909</v>
      </c>
      <c r="F14" s="1182" t="s">
        <v>2910</v>
      </c>
      <c r="G14" s="1183" t="s">
        <v>2911</v>
      </c>
      <c r="H14" s="1184" t="s">
        <v>2912</v>
      </c>
      <c r="I14" s="1184" t="s">
        <v>2913</v>
      </c>
    </row>
    <row r="15" spans="2:15" ht="17" hidden="1" thickBot="1">
      <c r="B15" s="1185" t="s">
        <v>774</v>
      </c>
      <c r="C15" s="1186">
        <v>165</v>
      </c>
      <c r="D15" s="1186">
        <v>210</v>
      </c>
      <c r="E15" s="1186">
        <v>261</v>
      </c>
      <c r="F15" s="1187">
        <f t="shared" ref="F15:F20" si="4">+(C15+4*D15+E15)/6</f>
        <v>211</v>
      </c>
      <c r="G15" s="1188">
        <f t="shared" ref="G15:G20" si="5">+(E15-C15)/6</f>
        <v>16</v>
      </c>
      <c r="H15" s="1189">
        <f t="shared" ref="H15:H20" si="6">+F15/22</f>
        <v>9.5909090909090917</v>
      </c>
      <c r="I15" s="1189">
        <f t="shared" ref="I15:I20" si="7">+F15/30</f>
        <v>7.0333333333333332</v>
      </c>
      <c r="J15" s="292"/>
    </row>
    <row r="16" spans="2:15" ht="17" hidden="1" thickBot="1">
      <c r="B16" s="1185" t="s">
        <v>2904</v>
      </c>
      <c r="C16" s="1186">
        <v>135</v>
      </c>
      <c r="D16" s="1186">
        <v>180</v>
      </c>
      <c r="E16" s="1186">
        <v>224</v>
      </c>
      <c r="F16" s="1187">
        <f t="shared" si="4"/>
        <v>179.83333333333334</v>
      </c>
      <c r="G16" s="1188">
        <f t="shared" si="5"/>
        <v>14.833333333333334</v>
      </c>
      <c r="H16" s="1189">
        <f t="shared" si="6"/>
        <v>8.1742424242424239</v>
      </c>
      <c r="I16" s="1189">
        <f t="shared" si="7"/>
        <v>5.9944444444444445</v>
      </c>
      <c r="J16" s="292"/>
    </row>
    <row r="17" spans="2:10" ht="33" hidden="1" thickBot="1">
      <c r="B17" s="1185" t="s">
        <v>853</v>
      </c>
      <c r="C17" s="1186">
        <v>180</v>
      </c>
      <c r="D17" s="1186">
        <v>230</v>
      </c>
      <c r="E17" s="1186">
        <v>330</v>
      </c>
      <c r="F17" s="1187">
        <f t="shared" si="4"/>
        <v>238.33333333333334</v>
      </c>
      <c r="G17" s="1188">
        <f t="shared" si="5"/>
        <v>25</v>
      </c>
      <c r="H17" s="1189">
        <f t="shared" si="6"/>
        <v>10.833333333333334</v>
      </c>
      <c r="I17" s="1189">
        <f t="shared" si="7"/>
        <v>7.9444444444444446</v>
      </c>
      <c r="J17" s="292"/>
    </row>
    <row r="18" spans="2:10" ht="33" hidden="1" thickBot="1">
      <c r="B18" s="1185" t="s">
        <v>2914</v>
      </c>
      <c r="C18" s="1186">
        <v>70</v>
      </c>
      <c r="D18" s="1186">
        <v>128</v>
      </c>
      <c r="E18" s="1186">
        <v>180</v>
      </c>
      <c r="F18" s="1187">
        <f t="shared" si="4"/>
        <v>127</v>
      </c>
      <c r="G18" s="1188">
        <f t="shared" si="5"/>
        <v>18.333333333333332</v>
      </c>
      <c r="H18" s="1189">
        <f t="shared" si="6"/>
        <v>5.7727272727272725</v>
      </c>
      <c r="I18" s="1189">
        <f t="shared" si="7"/>
        <v>4.2333333333333334</v>
      </c>
      <c r="J18" s="292"/>
    </row>
    <row r="19" spans="2:10" ht="17" hidden="1" thickBot="1">
      <c r="B19" s="1185" t="s">
        <v>1274</v>
      </c>
      <c r="C19" s="1186">
        <v>40</v>
      </c>
      <c r="D19" s="1186">
        <v>55</v>
      </c>
      <c r="E19" s="1186">
        <v>70</v>
      </c>
      <c r="F19" s="1187">
        <f t="shared" si="4"/>
        <v>55</v>
      </c>
      <c r="G19" s="1188">
        <f t="shared" si="5"/>
        <v>5</v>
      </c>
      <c r="H19" s="1189">
        <f t="shared" si="6"/>
        <v>2.5</v>
      </c>
      <c r="I19" s="1189">
        <f t="shared" si="7"/>
        <v>1.8333333333333333</v>
      </c>
      <c r="J19" s="292"/>
    </row>
    <row r="20" spans="2:10" ht="33" hidden="1" thickBot="1">
      <c r="B20" s="1185" t="s">
        <v>2915</v>
      </c>
      <c r="C20" s="1186">
        <v>54</v>
      </c>
      <c r="D20" s="1186">
        <v>70</v>
      </c>
      <c r="E20" s="1186">
        <v>90</v>
      </c>
      <c r="F20" s="1187">
        <f t="shared" si="4"/>
        <v>70.666666666666671</v>
      </c>
      <c r="G20" s="1188">
        <f t="shared" si="5"/>
        <v>6</v>
      </c>
      <c r="H20" s="1189">
        <f t="shared" si="6"/>
        <v>3.2121212121212124</v>
      </c>
      <c r="I20" s="1189">
        <f t="shared" si="7"/>
        <v>2.3555555555555556</v>
      </c>
      <c r="J20" s="292"/>
    </row>
  </sheetData>
  <mergeCells count="6">
    <mergeCell ref="B2:L2"/>
    <mergeCell ref="B3:B4"/>
    <mergeCell ref="C3:C4"/>
    <mergeCell ref="F3:G3"/>
    <mergeCell ref="H3:I3"/>
    <mergeCell ref="K3:L3"/>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L18"/>
  <sheetViews>
    <sheetView showGridLines="0" zoomScale="130" zoomScaleNormal="130" workbookViewId="0">
      <pane ySplit="2" topLeftCell="A14" activePane="bottomLeft" state="frozen"/>
      <selection activeCell="B2" sqref="B2:L2"/>
      <selection pane="bottomLeft" activeCell="B2" sqref="B2:L2"/>
    </sheetView>
  </sheetViews>
  <sheetFormatPr baseColWidth="10" defaultColWidth="11.5" defaultRowHeight="15"/>
  <cols>
    <col min="1" max="1" width="2.5" customWidth="1"/>
    <col min="2" max="2" width="3" bestFit="1" customWidth="1"/>
    <col min="3" max="3" width="36.5" style="1795" bestFit="1" customWidth="1"/>
    <col min="4" max="4" width="61.5" customWidth="1"/>
    <col min="5" max="5" width="24.5" hidden="1" customWidth="1"/>
    <col min="6" max="6" width="21.5" hidden="1" customWidth="1"/>
    <col min="7" max="7" width="15.5" hidden="1" customWidth="1"/>
    <col min="8" max="9" width="11.5" hidden="1" customWidth="1"/>
    <col min="10" max="10" width="16.1640625" customWidth="1"/>
    <col min="11" max="11" width="14.1640625" bestFit="1" customWidth="1"/>
    <col min="12" max="12" width="18.5" bestFit="1" customWidth="1"/>
  </cols>
  <sheetData>
    <row r="1" spans="2:12" ht="15" customHeight="1">
      <c r="B1" s="4287" t="s">
        <v>2916</v>
      </c>
      <c r="C1" s="4287"/>
      <c r="D1" s="4287"/>
      <c r="E1" s="4287"/>
      <c r="F1" s="4287"/>
      <c r="G1" s="4287"/>
      <c r="H1" s="4287"/>
      <c r="I1" s="4287"/>
      <c r="J1" s="4287"/>
      <c r="K1" s="4287"/>
      <c r="L1" s="4287"/>
    </row>
    <row r="2" spans="2:12" ht="16">
      <c r="B2" s="1813" t="s">
        <v>319</v>
      </c>
      <c r="C2" s="1814" t="s">
        <v>2917</v>
      </c>
      <c r="D2" s="1813" t="s">
        <v>2287</v>
      </c>
      <c r="E2" s="1815" t="s">
        <v>1985</v>
      </c>
      <c r="F2" s="1816" t="s">
        <v>2918</v>
      </c>
      <c r="G2" s="1816" t="s">
        <v>2289</v>
      </c>
      <c r="H2" s="1817"/>
      <c r="I2" s="1817"/>
      <c r="J2" s="1799" t="s">
        <v>2919</v>
      </c>
      <c r="K2" s="1799" t="s">
        <v>2920</v>
      </c>
      <c r="L2" s="1796" t="s">
        <v>2921</v>
      </c>
    </row>
    <row r="3" spans="2:12" s="1805" customFormat="1" ht="48" hidden="1">
      <c r="B3" s="1828">
        <v>1</v>
      </c>
      <c r="C3" s="1829" t="s">
        <v>579</v>
      </c>
      <c r="D3" s="1794" t="s">
        <v>2922</v>
      </c>
      <c r="E3" s="1830"/>
      <c r="F3" s="1831"/>
      <c r="G3" s="1832"/>
      <c r="H3" s="1831"/>
      <c r="I3" s="1831"/>
      <c r="J3" s="1794" t="s">
        <v>2923</v>
      </c>
      <c r="K3" s="1794"/>
      <c r="L3" s="1794"/>
    </row>
    <row r="4" spans="2:12" ht="37.25" customHeight="1">
      <c r="B4" s="1820">
        <v>1</v>
      </c>
      <c r="C4" s="1821" t="s">
        <v>2924</v>
      </c>
      <c r="D4" s="1822" t="s">
        <v>2925</v>
      </c>
      <c r="E4" s="1823"/>
      <c r="F4" s="1824"/>
      <c r="G4" s="1825"/>
      <c r="H4" s="1824"/>
      <c r="I4" s="1824"/>
      <c r="J4" s="1826" t="s">
        <v>159</v>
      </c>
      <c r="K4" s="1826"/>
      <c r="L4" s="1826" t="s">
        <v>2926</v>
      </c>
    </row>
    <row r="5" spans="2:12" ht="32">
      <c r="B5" s="1808">
        <f t="shared" ref="B5:B16" si="0">+B4+1</f>
        <v>2</v>
      </c>
      <c r="C5" s="1766" t="s">
        <v>2927</v>
      </c>
      <c r="D5" s="1793" t="s">
        <v>699</v>
      </c>
      <c r="E5" s="1792"/>
      <c r="F5" s="1772"/>
      <c r="G5" s="1773"/>
      <c r="H5" s="1770"/>
      <c r="I5" s="1770"/>
      <c r="J5" s="1812" t="s">
        <v>159</v>
      </c>
      <c r="K5" s="1812"/>
      <c r="L5" s="1793"/>
    </row>
    <row r="6" spans="2:12" ht="32">
      <c r="B6" s="1808">
        <f t="shared" si="0"/>
        <v>3</v>
      </c>
      <c r="C6" s="1766" t="s">
        <v>2928</v>
      </c>
      <c r="D6" s="1812" t="s">
        <v>2929</v>
      </c>
      <c r="E6" s="1792"/>
      <c r="F6" s="1772"/>
      <c r="G6" s="1773"/>
      <c r="H6" s="1770"/>
      <c r="I6" s="1770"/>
      <c r="J6" s="1812" t="s">
        <v>2930</v>
      </c>
      <c r="K6" s="1812"/>
      <c r="L6" s="1794"/>
    </row>
    <row r="7" spans="2:12" ht="32">
      <c r="B7" s="1808">
        <f t="shared" si="0"/>
        <v>4</v>
      </c>
      <c r="C7" s="1766" t="s">
        <v>2931</v>
      </c>
      <c r="D7" s="1812" t="s">
        <v>2932</v>
      </c>
      <c r="E7" s="1792"/>
      <c r="F7" s="1772"/>
      <c r="G7" s="1773"/>
      <c r="H7" s="1770"/>
      <c r="I7" s="1770"/>
      <c r="J7" s="1812" t="s">
        <v>2930</v>
      </c>
      <c r="K7" s="1812"/>
      <c r="L7" s="1794"/>
    </row>
    <row r="8" spans="2:12" ht="48">
      <c r="B8" s="1820">
        <f t="shared" si="0"/>
        <v>5</v>
      </c>
      <c r="C8" s="1827" t="s">
        <v>2933</v>
      </c>
      <c r="D8" s="1826" t="s">
        <v>2934</v>
      </c>
      <c r="E8" s="1823"/>
      <c r="F8" s="1824"/>
      <c r="G8" s="1825"/>
      <c r="H8" s="1824"/>
      <c r="I8" s="1824"/>
      <c r="J8" s="1822" t="s">
        <v>2935</v>
      </c>
      <c r="K8" s="1822"/>
      <c r="L8" s="1822" t="s">
        <v>2629</v>
      </c>
    </row>
    <row r="9" spans="2:12" ht="32">
      <c r="B9" s="1808">
        <f t="shared" si="0"/>
        <v>6</v>
      </c>
      <c r="C9" s="1809" t="s">
        <v>2936</v>
      </c>
      <c r="D9" s="1793" t="s">
        <v>2937</v>
      </c>
      <c r="E9" s="1792"/>
      <c r="F9" s="1770"/>
      <c r="G9" s="1773"/>
      <c r="H9" s="1770"/>
      <c r="I9" s="1770"/>
      <c r="J9" s="1793" t="s">
        <v>2938</v>
      </c>
      <c r="K9" s="1793"/>
      <c r="L9" s="1793"/>
    </row>
    <row r="10" spans="2:12" ht="32">
      <c r="B10" s="1808">
        <f t="shared" si="0"/>
        <v>7</v>
      </c>
      <c r="C10" s="1809" t="s">
        <v>2939</v>
      </c>
      <c r="D10" s="1793" t="s">
        <v>2434</v>
      </c>
      <c r="E10" s="1792"/>
      <c r="F10" s="1770"/>
      <c r="G10" s="1773"/>
      <c r="H10" s="1770"/>
      <c r="I10" s="1770"/>
      <c r="J10" s="1793" t="s">
        <v>5</v>
      </c>
      <c r="K10" s="1793"/>
      <c r="L10" s="1793"/>
    </row>
    <row r="11" spans="2:12" ht="32">
      <c r="B11" s="1808">
        <f t="shared" si="0"/>
        <v>8</v>
      </c>
      <c r="C11" s="1766" t="s">
        <v>2940</v>
      </c>
      <c r="D11" s="1793" t="s">
        <v>2941</v>
      </c>
      <c r="E11" s="1792"/>
      <c r="F11" s="1770"/>
      <c r="G11" s="1773"/>
      <c r="H11" s="1770"/>
      <c r="I11" s="1770"/>
      <c r="J11" s="1793" t="s">
        <v>5</v>
      </c>
      <c r="K11" s="1793"/>
      <c r="L11" s="1793"/>
    </row>
    <row r="12" spans="2:12" ht="48">
      <c r="B12" s="1820">
        <f t="shared" si="0"/>
        <v>9</v>
      </c>
      <c r="C12" s="1827" t="s">
        <v>2942</v>
      </c>
      <c r="D12" s="1822" t="s">
        <v>2943</v>
      </c>
      <c r="E12" s="1823"/>
      <c r="F12" s="1824"/>
      <c r="G12" s="1825"/>
      <c r="H12" s="1824"/>
      <c r="I12" s="1824"/>
      <c r="J12" s="1822" t="s">
        <v>5</v>
      </c>
      <c r="K12" s="1822"/>
      <c r="L12" s="1822" t="s">
        <v>2629</v>
      </c>
    </row>
    <row r="13" spans="2:12" ht="32">
      <c r="B13" s="1808">
        <f t="shared" si="0"/>
        <v>10</v>
      </c>
      <c r="C13" s="1766" t="s">
        <v>2944</v>
      </c>
      <c r="D13" s="1793" t="s">
        <v>2945</v>
      </c>
      <c r="E13" s="1792"/>
      <c r="F13" s="1770"/>
      <c r="G13" s="1773"/>
      <c r="H13" s="1770"/>
      <c r="I13" s="1770"/>
      <c r="J13" s="1793" t="s">
        <v>5</v>
      </c>
      <c r="K13" s="1793"/>
      <c r="L13" s="1793"/>
    </row>
    <row r="14" spans="2:12" ht="48">
      <c r="B14" s="1808">
        <f t="shared" si="0"/>
        <v>11</v>
      </c>
      <c r="C14" s="1766" t="s">
        <v>2946</v>
      </c>
      <c r="D14" s="1793" t="s">
        <v>2947</v>
      </c>
      <c r="E14" s="1792"/>
      <c r="F14" s="1770"/>
      <c r="G14" s="1773"/>
      <c r="H14" s="1770"/>
      <c r="I14" s="1770"/>
      <c r="J14" s="1793" t="s">
        <v>1556</v>
      </c>
      <c r="K14" s="1793"/>
      <c r="L14" s="1794"/>
    </row>
    <row r="15" spans="2:12" ht="48">
      <c r="B15" s="1820">
        <f t="shared" si="0"/>
        <v>12</v>
      </c>
      <c r="C15" s="1827" t="s">
        <v>2948</v>
      </c>
      <c r="D15" s="1826" t="s">
        <v>2949</v>
      </c>
      <c r="E15" s="1823"/>
      <c r="F15" s="1824"/>
      <c r="G15" s="1825"/>
      <c r="H15" s="1824"/>
      <c r="I15" s="1824"/>
      <c r="J15" s="1822" t="s">
        <v>1556</v>
      </c>
      <c r="K15" s="1822"/>
      <c r="L15" s="1822" t="s">
        <v>2629</v>
      </c>
    </row>
    <row r="16" spans="2:12" ht="32">
      <c r="B16" s="4288">
        <f t="shared" si="0"/>
        <v>13</v>
      </c>
      <c r="C16" s="4291" t="s">
        <v>2950</v>
      </c>
      <c r="D16" s="1793" t="s">
        <v>2951</v>
      </c>
      <c r="E16" s="1792"/>
      <c r="F16" s="1770"/>
      <c r="G16" s="1773"/>
      <c r="H16" s="1770"/>
      <c r="I16" s="1770"/>
      <c r="J16" s="1793" t="s">
        <v>1556</v>
      </c>
      <c r="K16" s="1793"/>
      <c r="L16" s="1793"/>
    </row>
    <row r="17" spans="2:12" ht="32">
      <c r="B17" s="4289"/>
      <c r="C17" s="4292"/>
      <c r="D17" s="1793" t="s">
        <v>2952</v>
      </c>
      <c r="E17" s="1792"/>
      <c r="F17" s="1770"/>
      <c r="G17" s="1773"/>
      <c r="H17" s="1770"/>
      <c r="I17" s="1770"/>
      <c r="J17" s="1793" t="s">
        <v>1556</v>
      </c>
      <c r="K17" s="1793"/>
      <c r="L17" s="1793"/>
    </row>
    <row r="18" spans="2:12" ht="32">
      <c r="B18" s="4290"/>
      <c r="C18" s="4293"/>
      <c r="D18" s="1793" t="s">
        <v>2953</v>
      </c>
      <c r="E18" s="1792"/>
      <c r="F18" s="1770"/>
      <c r="G18" s="1773"/>
      <c r="H18" s="1770"/>
      <c r="I18" s="1770"/>
      <c r="J18" s="1793" t="s">
        <v>1556</v>
      </c>
      <c r="K18" s="1793"/>
      <c r="L18" s="1793"/>
    </row>
  </sheetData>
  <mergeCells count="3">
    <mergeCell ref="B1:L1"/>
    <mergeCell ref="B16:B18"/>
    <mergeCell ref="C16:C18"/>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219"/>
  <sheetViews>
    <sheetView topLeftCell="B1" zoomScale="115" zoomScaleNormal="115" workbookViewId="0">
      <selection activeCell="B2" sqref="B2:L2"/>
    </sheetView>
  </sheetViews>
  <sheetFormatPr baseColWidth="10" defaultColWidth="11.5" defaultRowHeight="15" outlineLevelRow="2"/>
  <cols>
    <col min="1" max="2" width="9.5" style="333" bestFit="1" customWidth="1"/>
    <col min="3" max="3" width="9.5" style="272" bestFit="1" customWidth="1"/>
    <col min="4" max="4" width="72" style="1743" customWidth="1"/>
    <col min="5" max="5" width="16" style="333" customWidth="1"/>
    <col min="6" max="6" width="14.1640625" style="1769" customWidth="1"/>
    <col min="7" max="7" width="19.5" style="1743" customWidth="1"/>
    <col min="8" max="16384" width="11.5" style="1743"/>
  </cols>
  <sheetData>
    <row r="1" spans="1:6" ht="19">
      <c r="A1" s="4295" t="s">
        <v>2954</v>
      </c>
      <c r="B1" s="4295"/>
      <c r="C1" s="4295"/>
      <c r="D1" s="4295"/>
      <c r="E1" s="4295"/>
      <c r="F1" s="4295"/>
    </row>
    <row r="2" spans="1:6" ht="32">
      <c r="A2" s="2156" t="s">
        <v>2955</v>
      </c>
      <c r="B2" s="2156" t="s">
        <v>2919</v>
      </c>
      <c r="C2" s="2156" t="s">
        <v>484</v>
      </c>
      <c r="D2" s="2156" t="s">
        <v>2956</v>
      </c>
      <c r="E2" s="2156" t="s">
        <v>1985</v>
      </c>
      <c r="F2" s="2157" t="s">
        <v>2957</v>
      </c>
    </row>
    <row r="3" spans="1:6" ht="32">
      <c r="A3" s="2158"/>
      <c r="B3" s="2158"/>
      <c r="C3" s="2159"/>
      <c r="D3" s="2160" t="str">
        <f>'8_MP'!$H$7</f>
        <v>DR-L1150 - Programa de Apoyo a la Agenda de Transparencia e Integridad en República Dominicana</v>
      </c>
      <c r="E3" s="2158"/>
      <c r="F3" s="2161" t="e">
        <f>+F4+F90+F153+F194</f>
        <v>#REF!</v>
      </c>
    </row>
    <row r="4" spans="1:6" ht="16">
      <c r="A4" s="2162"/>
      <c r="B4" s="2162"/>
      <c r="C4" s="2163" t="s">
        <v>494</v>
      </c>
      <c r="D4" s="2164" t="s">
        <v>495</v>
      </c>
      <c r="E4" s="2162"/>
      <c r="F4" s="2165" t="e">
        <f>+F5+F36+F60+F78</f>
        <v>#REF!</v>
      </c>
    </row>
    <row r="5" spans="1:6" ht="16">
      <c r="A5" s="2166"/>
      <c r="B5" s="2166"/>
      <c r="C5" s="2167" t="s">
        <v>496</v>
      </c>
      <c r="D5" s="2168" t="s">
        <v>11</v>
      </c>
      <c r="E5" s="2166"/>
      <c r="F5" s="2169" t="e">
        <f>+F6+F23+F26+F32+F34</f>
        <v>#REF!</v>
      </c>
    </row>
    <row r="6" spans="1:6" s="1768" customFormat="1" ht="32">
      <c r="A6" s="2170" t="s">
        <v>2958</v>
      </c>
      <c r="B6" s="2170" t="s">
        <v>2959</v>
      </c>
      <c r="C6" s="2171" t="str">
        <f>'8_MP'!$D$9</f>
        <v>1.1.1</v>
      </c>
      <c r="D6" s="2172" t="str">
        <f>'8_MP'!$H$9</f>
        <v xml:space="preserve">Producto 1: Procesos de interoperabilidad en MH, MEPyD, DGCP y CGRD, implementados. Incluye SIGEF ajustado al presupuesto plurianual </v>
      </c>
      <c r="E6" s="2173"/>
      <c r="F6" s="2174" t="e">
        <f>+F7+F12+F13+F14+F15+F20</f>
        <v>#REF!</v>
      </c>
    </row>
    <row r="7" spans="1:6" ht="32" outlineLevel="1">
      <c r="A7" s="2175"/>
      <c r="B7" s="2175"/>
      <c r="C7" s="2176" t="str">
        <f>'8_MP'!D10</f>
        <v>1.1.1.1</v>
      </c>
      <c r="D7" s="2177" t="str">
        <f>'8_MP'!H10</f>
        <v>Asistencia técnica para la implementación de la interoperabilidad en MH, MEPyD, DGCP y CGRD a partir de los mecanismos actuales, realizada.</v>
      </c>
      <c r="E7" s="2178"/>
      <c r="F7" s="2179" t="e">
        <f>+F8+F10+F11</f>
        <v>#REF!</v>
      </c>
    </row>
    <row r="8" spans="1:6" ht="32" outlineLevel="1">
      <c r="A8" s="2175"/>
      <c r="B8" s="2175"/>
      <c r="C8" s="2176" t="str">
        <f>'8_MP'!D11</f>
        <v>1.1.1.1.2</v>
      </c>
      <c r="D8" s="2180" t="str">
        <f>'8_MP'!H11</f>
        <v>Contratación de Especialistas Senior para la gestión técnica de arquitectura empresarial para realizar un diagnostico y plan de trabajo para la DIGES</v>
      </c>
      <c r="E8" s="4296" t="s">
        <v>2296</v>
      </c>
      <c r="F8" s="4297">
        <f>'8_MP'!$AI$11</f>
        <v>0</v>
      </c>
    </row>
    <row r="9" spans="1:6" ht="32" outlineLevel="1">
      <c r="A9" s="2175"/>
      <c r="B9" s="2175"/>
      <c r="C9" s="2176" t="str">
        <f>'8_MP'!D12</f>
        <v>1.1.1.1.5</v>
      </c>
      <c r="D9" s="2180" t="str">
        <f>'8_MP'!H12</f>
        <v>Contratación de Especialistas Senior para la implementacion de la arquitectura empresarial basado en el diagnostico del 1.1.1.1.2</v>
      </c>
      <c r="E9" s="4296"/>
      <c r="F9" s="4297"/>
    </row>
    <row r="10" spans="1:6" ht="16" outlineLevel="1">
      <c r="A10" s="2175"/>
      <c r="B10" s="2175"/>
      <c r="C10" s="2176" t="e">
        <f>'8_MP'!#REF!</f>
        <v>#REF!</v>
      </c>
      <c r="D10" s="2180" t="e">
        <f>'8_MP'!#REF!</f>
        <v>#REF!</v>
      </c>
      <c r="E10" s="2178" t="s">
        <v>763</v>
      </c>
      <c r="F10" s="2181" t="e">
        <f>'8_MP'!#REF!</f>
        <v>#REF!</v>
      </c>
    </row>
    <row r="11" spans="1:6" ht="16" outlineLevel="1">
      <c r="A11" s="2175"/>
      <c r="B11" s="2175"/>
      <c r="C11" s="2176" t="e">
        <f>'8_MP'!#REF!</f>
        <v>#REF!</v>
      </c>
      <c r="D11" s="2180" t="e">
        <f>'8_MP'!#REF!</f>
        <v>#REF!</v>
      </c>
      <c r="E11" s="2178" t="s">
        <v>763</v>
      </c>
      <c r="F11" s="2181" t="e">
        <f>'8_MP'!#REF!</f>
        <v>#REF!</v>
      </c>
    </row>
    <row r="12" spans="1:6" ht="50.25" customHeight="1" outlineLevel="1">
      <c r="A12" s="2175"/>
      <c r="B12" s="2175"/>
      <c r="C12" s="2176">
        <f>'8_MP'!D13</f>
        <v>0</v>
      </c>
      <c r="D12" s="2177" t="str">
        <f>'8_MP'!H13</f>
        <v xml:space="preserve"> Procesos de Arquitectura de interoperabilidad</v>
      </c>
      <c r="E12" s="2178" t="s">
        <v>763</v>
      </c>
      <c r="F12" s="2181">
        <f>'8_MP'!$AI$13</f>
        <v>1685241.9387999999</v>
      </c>
    </row>
    <row r="13" spans="1:6" ht="106.5" customHeight="1" outlineLevel="1">
      <c r="A13" s="2175"/>
      <c r="B13" s="2175"/>
      <c r="C13" s="2176" t="str">
        <f>'8_MP'!D16</f>
        <v>1.1.1.5</v>
      </c>
      <c r="D13" s="2177" t="str">
        <f>'8_MP'!H16</f>
        <v>Procesos priorizados según el diseño de la arquitectura, implementados</v>
      </c>
      <c r="E13" s="2178" t="s">
        <v>763</v>
      </c>
      <c r="F13" s="2181">
        <f>'8_MP'!$AI$16</f>
        <v>1173404</v>
      </c>
    </row>
    <row r="14" spans="1:6" ht="16" outlineLevel="1">
      <c r="A14" s="2175"/>
      <c r="B14" s="2175"/>
      <c r="C14" s="2176" t="str">
        <f>'8_MP'!D19</f>
        <v>1.1.1.7</v>
      </c>
      <c r="D14" s="2177" t="str">
        <f>'8_MP'!H19</f>
        <v>SIGEF ajustado a la programación del presupuesto plurianual</v>
      </c>
      <c r="E14" s="2178" t="s">
        <v>853</v>
      </c>
      <c r="F14" s="2181">
        <f>'8_MP'!$AI$19</f>
        <v>616596</v>
      </c>
    </row>
    <row r="15" spans="1:6" ht="32" outlineLevel="1">
      <c r="A15" s="2175"/>
      <c r="B15" s="2175"/>
      <c r="C15" s="2176" t="str">
        <f>'8_MP'!D27</f>
        <v>1.1.1.7.8.6</v>
      </c>
      <c r="D15" s="2177" t="str">
        <f>'8_MP'!H27</f>
        <v xml:space="preserve"> Especialista Desarrollo Frontend para definir estándares plataforma de desarrollo</v>
      </c>
      <c r="E15" s="2182"/>
      <c r="F15" s="2181" t="e">
        <f>SUM(F16:F19)</f>
        <v>#REF!</v>
      </c>
    </row>
    <row r="16" spans="1:6" outlineLevel="1">
      <c r="A16" s="2175"/>
      <c r="B16" s="2175"/>
      <c r="C16" s="2176" t="e">
        <f>'8_MP'!#REF!</f>
        <v>#REF!</v>
      </c>
      <c r="D16" s="2180" t="e">
        <f>'8_MP'!#REF!</f>
        <v>#REF!</v>
      </c>
      <c r="E16" s="2182" t="e">
        <f>'8_MP'!#REF!</f>
        <v>#REF!</v>
      </c>
      <c r="F16" s="2181" t="e">
        <f>'8_MP'!#REF!</f>
        <v>#REF!</v>
      </c>
    </row>
    <row r="17" spans="1:7" outlineLevel="1">
      <c r="A17" s="2175"/>
      <c r="B17" s="2175"/>
      <c r="C17" s="2176" t="e">
        <f>'8_MP'!#REF!</f>
        <v>#REF!</v>
      </c>
      <c r="D17" s="2180" t="e">
        <f>'8_MP'!#REF!</f>
        <v>#REF!</v>
      </c>
      <c r="E17" s="2182" t="e">
        <f>'8_MP'!#REF!</f>
        <v>#REF!</v>
      </c>
      <c r="F17" s="2181" t="e">
        <f>'8_MP'!#REF!</f>
        <v>#REF!</v>
      </c>
    </row>
    <row r="18" spans="1:7" outlineLevel="1">
      <c r="A18" s="2175"/>
      <c r="B18" s="2175"/>
      <c r="C18" s="2176" t="e">
        <f>'8_MP'!#REF!</f>
        <v>#REF!</v>
      </c>
      <c r="D18" s="2180" t="e">
        <f>'8_MP'!#REF!</f>
        <v>#REF!</v>
      </c>
      <c r="E18" s="2182" t="e">
        <f>'8_MP'!#REF!</f>
        <v>#REF!</v>
      </c>
      <c r="F18" s="2181" t="e">
        <f>'8_MP'!#REF!</f>
        <v>#REF!</v>
      </c>
    </row>
    <row r="19" spans="1:7" outlineLevel="1">
      <c r="A19" s="2175"/>
      <c r="B19" s="2175"/>
      <c r="C19" s="2176" t="e">
        <f>'8_MP'!#REF!</f>
        <v>#REF!</v>
      </c>
      <c r="D19" s="2180" t="e">
        <f>'8_MP'!#REF!</f>
        <v>#REF!</v>
      </c>
      <c r="E19" s="2182" t="e">
        <f>'8_MP'!#REF!</f>
        <v>#REF!</v>
      </c>
      <c r="F19" s="2181" t="e">
        <f>'8_MP'!#REF!</f>
        <v>#REF!</v>
      </c>
    </row>
    <row r="20" spans="1:7" ht="32" outlineLevel="1">
      <c r="A20" s="2175"/>
      <c r="B20" s="2175"/>
      <c r="C20" s="2176" t="str">
        <f>'8_MP'!D40</f>
        <v>1.1.1.1.4.1</v>
      </c>
      <c r="D20" s="2177" t="str">
        <f>'8_MP'!H40</f>
        <v>SCRUM MASTER para ajustes del SNIP</v>
      </c>
      <c r="E20" s="4296" t="s">
        <v>2296</v>
      </c>
      <c r="F20" s="4297">
        <f>'8_MP'!$AI$40</f>
        <v>30000</v>
      </c>
    </row>
    <row r="21" spans="1:7" ht="32" outlineLevel="1">
      <c r="A21" s="2175"/>
      <c r="B21" s="2175"/>
      <c r="C21" s="2176" t="str">
        <f>'8_MP'!D41</f>
        <v>1.1.1.1.4.2</v>
      </c>
      <c r="D21" s="2177" t="str">
        <f>'8_MP'!H41</f>
        <v>Analista de Sistemas de informacion SIAFE  para ajustes del SNIP</v>
      </c>
      <c r="E21" s="4296"/>
      <c r="F21" s="4297"/>
    </row>
    <row r="22" spans="1:7" outlineLevel="1">
      <c r="A22" s="2175"/>
      <c r="B22" s="2175"/>
      <c r="C22" s="2176" t="e">
        <f>'8_MP'!#REF!</f>
        <v>#REF!</v>
      </c>
      <c r="D22" s="2177" t="e">
        <f>'8_MP'!#REF!</f>
        <v>#REF!</v>
      </c>
      <c r="E22" s="4296"/>
      <c r="F22" s="4297"/>
    </row>
    <row r="23" spans="1:7" ht="32">
      <c r="A23" s="2170" t="s">
        <v>2958</v>
      </c>
      <c r="B23" s="2170" t="s">
        <v>2959</v>
      </c>
      <c r="C23" s="2171" t="str">
        <f>'8_MP'!D52</f>
        <v>1.1.2</v>
      </c>
      <c r="D23" s="2172" t="str">
        <f>'8_MP'!H52</f>
        <v>Producto 2: Portal de transparencia fiscal y Tablero de control con funcionalidades analíticas, desarrollados</v>
      </c>
      <c r="E23" s="2183"/>
      <c r="F23" s="2174">
        <f>SUM(F24:F25)</f>
        <v>502000</v>
      </c>
      <c r="G23" s="1743">
        <v>16</v>
      </c>
    </row>
    <row r="24" spans="1:7" ht="16" outlineLevel="1">
      <c r="A24" s="2175"/>
      <c r="B24" s="2175"/>
      <c r="C24" s="2176" t="str">
        <f>'8_MP'!D53</f>
        <v>1.1.2.1</v>
      </c>
      <c r="D24" s="2177" t="str">
        <f>'8_MP'!H53</f>
        <v>Portal de transparencia fiscal mejorado</v>
      </c>
      <c r="E24" s="2182" t="s">
        <v>763</v>
      </c>
      <c r="F24" s="2181">
        <f>'8_MP'!$AI$53</f>
        <v>502000</v>
      </c>
    </row>
    <row r="25" spans="1:7" ht="32" outlineLevel="1">
      <c r="A25" s="2175"/>
      <c r="B25" s="2175"/>
      <c r="C25" s="2176" t="str">
        <f>'8_MP'!D55</f>
        <v>1.1.2.1.2</v>
      </c>
      <c r="D25" s="2177" t="str">
        <f>'8_MP'!H55</f>
        <v>Consultoría individual para elaboración de TdR de firma consultora especializada para desarrollo de Herramienta de visualización de Datos</v>
      </c>
      <c r="E25" s="2182" t="s">
        <v>763</v>
      </c>
      <c r="F25" s="2181">
        <f>'8_MP'!$AI$55</f>
        <v>0</v>
      </c>
      <c r="G25" s="1743">
        <v>2</v>
      </c>
    </row>
    <row r="26" spans="1:7" ht="32">
      <c r="A26" s="2170" t="s">
        <v>2958</v>
      </c>
      <c r="B26" s="2170" t="s">
        <v>2959</v>
      </c>
      <c r="C26" s="2171" t="str">
        <f>'8_MP'!$D$61</f>
        <v>1.1.2.2</v>
      </c>
      <c r="D26" s="2172" t="str">
        <f>'8_MP'!$H$61</f>
        <v>Tablero de control y funcionalidades analíticas desarrollado</v>
      </c>
      <c r="E26" s="2173"/>
      <c r="F26" s="2174">
        <f>SUM(F28:F31)</f>
        <v>1000000</v>
      </c>
    </row>
    <row r="27" spans="1:7" ht="48" outlineLevel="1">
      <c r="A27" s="2184"/>
      <c r="B27" s="2184"/>
      <c r="C27" s="2185" t="str">
        <f>'8_MP'!D62</f>
        <v>1.1.2.2.1</v>
      </c>
      <c r="D27" s="2186" t="str">
        <f>'8_MP'!H62</f>
        <v>Ajustes a los tableros de control existentes orientados para soportar la toma de decisiones con respecto al ciclo de vida de la gestión de recursos públicos, hoja de ruta, repositorio de datos diseñado y construido</v>
      </c>
      <c r="E27" s="2187"/>
      <c r="F27" s="2188">
        <f>+F28+F29</f>
        <v>1000000</v>
      </c>
    </row>
    <row r="28" spans="1:7" ht="32" outlineLevel="1">
      <c r="A28" s="2175"/>
      <c r="B28" s="2175"/>
      <c r="C28" s="2176" t="str">
        <f>'8_MP'!D63</f>
        <v>1.1.2.2.1.1</v>
      </c>
      <c r="D28" s="2180" t="str">
        <f>'8_MP'!H63</f>
        <v>Contratación Consultor individual para el Diseño de Tableros de Control y Realizar ajustes a tableros existentes</v>
      </c>
      <c r="E28" s="2178" t="s">
        <v>763</v>
      </c>
      <c r="F28" s="2181">
        <f>'8_MP'!$AI$63</f>
        <v>30000</v>
      </c>
    </row>
    <row r="29" spans="1:7" ht="32" outlineLevel="1">
      <c r="A29" s="2175"/>
      <c r="B29" s="2175"/>
      <c r="C29" s="2176" t="str">
        <f>'8_MP'!D64</f>
        <v>1.1.2.2.1.2</v>
      </c>
      <c r="D29" s="2180" t="str">
        <f>'8_MP'!H64</f>
        <v>Implementación de algoritmos</v>
      </c>
      <c r="E29" s="4296" t="s">
        <v>2296</v>
      </c>
      <c r="F29" s="4297">
        <f>'8_MP'!$AI$64</f>
        <v>970000</v>
      </c>
    </row>
    <row r="30" spans="1:7" ht="32" outlineLevel="1">
      <c r="A30" s="2175"/>
      <c r="B30" s="2175"/>
      <c r="C30" s="2176" t="str">
        <f>'8_MP'!D65</f>
        <v>1.1.2.2.1.3</v>
      </c>
      <c r="D30" s="2180" t="str">
        <f>'8_MP'!H65</f>
        <v>Construcción, pruebas e implementación del tablero de control</v>
      </c>
      <c r="E30" s="4296"/>
      <c r="F30" s="4297"/>
    </row>
    <row r="31" spans="1:7" ht="32" outlineLevel="1">
      <c r="A31" s="2175"/>
      <c r="B31" s="2175"/>
      <c r="C31" s="2176" t="str">
        <f>'8_MP'!D66</f>
        <v>1.1.2.2.1.4</v>
      </c>
      <c r="D31" s="2180" t="str">
        <f>'8_MP'!H66</f>
        <v>Piloto para inclusión de información de gobiernos locales</v>
      </c>
      <c r="E31" s="4296"/>
      <c r="F31" s="4297"/>
      <c r="G31" s="1743">
        <v>4</v>
      </c>
    </row>
    <row r="32" spans="1:7" ht="32">
      <c r="A32" s="2170" t="s">
        <v>2958</v>
      </c>
      <c r="B32" s="2170" t="s">
        <v>2959</v>
      </c>
      <c r="C32" s="2171" t="e">
        <f>'8_MP'!#REF!</f>
        <v>#REF!</v>
      </c>
      <c r="D32" s="2172" t="e">
        <f>'8_MP'!#REF!</f>
        <v>#REF!</v>
      </c>
      <c r="E32" s="2183"/>
      <c r="F32" s="2174" t="e">
        <f>+F33</f>
        <v>#REF!</v>
      </c>
    </row>
    <row r="33" spans="1:7" ht="16" outlineLevel="1">
      <c r="A33" s="2175"/>
      <c r="B33" s="2175"/>
      <c r="C33" s="2176" t="e">
        <f>'8_MP'!#REF!</f>
        <v>#REF!</v>
      </c>
      <c r="D33" s="2177" t="e">
        <f>'8_MP'!#REF!</f>
        <v>#REF!</v>
      </c>
      <c r="E33" s="2182" t="s">
        <v>763</v>
      </c>
      <c r="F33" s="2181" t="e">
        <f>'8_MP'!#REF!</f>
        <v>#REF!</v>
      </c>
      <c r="G33" s="1743">
        <v>1</v>
      </c>
    </row>
    <row r="34" spans="1:7" ht="32">
      <c r="A34" s="2170" t="s">
        <v>2958</v>
      </c>
      <c r="B34" s="2170" t="s">
        <v>2959</v>
      </c>
      <c r="C34" s="2171" t="str">
        <f>'8_MP'!D44</f>
        <v>1.1.1.5.3</v>
      </c>
      <c r="D34" s="2172" t="str">
        <f>'8_MP'!H44</f>
        <v>Procesos de apoyo a la Direccion de Inversion Publica ( DGIP) del MEPYD para la Interoperabilidad entre el SNIP y SIGEF</v>
      </c>
      <c r="E34" s="2183"/>
      <c r="F34" s="2174">
        <f>+F35</f>
        <v>0</v>
      </c>
    </row>
    <row r="35" spans="1:7" ht="32" outlineLevel="1">
      <c r="A35" s="2175"/>
      <c r="B35" s="2175"/>
      <c r="C35" s="2176">
        <f>'8_MP'!D51</f>
        <v>0</v>
      </c>
      <c r="D35" s="2177">
        <f>'8_MP'!H51</f>
        <v>0</v>
      </c>
      <c r="E35" s="2182" t="s">
        <v>2296</v>
      </c>
      <c r="F35" s="2181">
        <f>'8_MP'!$AI$51</f>
        <v>0</v>
      </c>
      <c r="G35" s="1743">
        <v>1</v>
      </c>
    </row>
    <row r="36" spans="1:7" ht="16">
      <c r="A36" s="2166"/>
      <c r="B36" s="2166"/>
      <c r="C36" s="2167" t="str">
        <f>'8_MP'!$D$73</f>
        <v>1.2</v>
      </c>
      <c r="D36" s="2168" t="str">
        <f>'8_MP'!$H$73</f>
        <v>Subcomponente 1.2 Eficiencia en las contrataciones públicas</v>
      </c>
      <c r="E36" s="2166"/>
      <c r="F36" s="2169">
        <f>+F37+F43+F50+F56+F58</f>
        <v>3438945</v>
      </c>
    </row>
    <row r="37" spans="1:7" s="1768" customFormat="1" ht="48">
      <c r="A37" s="2170" t="s">
        <v>2958</v>
      </c>
      <c r="B37" s="2170" t="s">
        <v>2930</v>
      </c>
      <c r="C37" s="2171" t="str">
        <f>'8_MP'!$D$74</f>
        <v>1.2.1</v>
      </c>
      <c r="D37" s="2172" t="str">
        <f>'8_MP'!$H$74</f>
        <v>Producto 4: Modernización del Sistema de Contrataciones Públicas con accesibilidad para personas con discapacidad desarrollada. Incluye ajustes al sistema de información acutal de contrataciones y Sistema de detección de irregularidades y alertas tempranas</v>
      </c>
      <c r="E37" s="2173"/>
      <c r="F37" s="2174">
        <f>+F38+F41</f>
        <v>935000</v>
      </c>
    </row>
    <row r="38" spans="1:7" ht="16" outlineLevel="1">
      <c r="A38" s="2184"/>
      <c r="B38" s="2184"/>
      <c r="C38" s="2185" t="str">
        <f>'8_MP'!D75</f>
        <v>1.2.1.1</v>
      </c>
      <c r="D38" s="2186" t="str">
        <f>'8_MP'!H75</f>
        <v>Nuevo sistema de compras públicas electrónicas, diseñado</v>
      </c>
      <c r="E38" s="2189"/>
      <c r="F38" s="2190">
        <f>+F39+F40</f>
        <v>535000</v>
      </c>
    </row>
    <row r="39" spans="1:7" ht="48" outlineLevel="1">
      <c r="A39" s="2175"/>
      <c r="B39" s="2175"/>
      <c r="C39" s="2176" t="str">
        <f>'8_MP'!D76</f>
        <v>1.2.1.1.1</v>
      </c>
      <c r="D39" s="2180" t="str">
        <f>'8_MP'!H76</f>
        <v>Contratación de un consultor individual para la elaboración de TDR y SP para la contratación de la definición de la arquitectura empresarial del nuevo sistema de compras públicas y el desarrollo de la Oficina de Gestión de Proyectos de TI de la DGCP</v>
      </c>
      <c r="E39" s="2182" t="s">
        <v>763</v>
      </c>
      <c r="F39" s="2179">
        <f>'8_MP'!$AI$76</f>
        <v>35000</v>
      </c>
    </row>
    <row r="40" spans="1:7" ht="48" outlineLevel="1">
      <c r="A40" s="2175"/>
      <c r="B40" s="2175"/>
      <c r="C40" s="2176" t="str">
        <f>'8_MP'!D77</f>
        <v>1.2.1.1.2</v>
      </c>
      <c r="D40" s="2180" t="str">
        <f>'8_MP'!H77</f>
        <v>Contratación de un firma de consultoría para la definición de la arquitectura empresarial del nuevo sistema de compras públicas electrónicas y el desarrollo de la Oficina de Gestión de Proyectos de TI de la DGCP.</v>
      </c>
      <c r="E40" s="2191" t="s">
        <v>718</v>
      </c>
      <c r="F40" s="2179">
        <f>'8_MP'!$AI$77</f>
        <v>500000</v>
      </c>
      <c r="G40" s="1743">
        <v>2</v>
      </c>
    </row>
    <row r="41" spans="1:7" ht="16" outlineLevel="1">
      <c r="A41" s="2184"/>
      <c r="B41" s="2184"/>
      <c r="C41" s="2192" t="str">
        <f>'8_MP'!$D$78</f>
        <v>1.2.1.2</v>
      </c>
      <c r="D41" s="2193" t="str">
        <f>'8_MP'!$H$78</f>
        <v>Equipo Técnico/ Oficina de gestión de proyectos, adquirido</v>
      </c>
      <c r="E41" s="2194"/>
      <c r="F41" s="2190">
        <f>+F42</f>
        <v>400000</v>
      </c>
    </row>
    <row r="42" spans="1:7" ht="48" outlineLevel="1">
      <c r="A42" s="2175"/>
      <c r="B42" s="2175"/>
      <c r="C42" s="2176" t="str">
        <f>'8_MP'!$D$80</f>
        <v>1.2.1.2.2</v>
      </c>
      <c r="D42" s="2180" t="str">
        <f>'8_MP'!$H$80</f>
        <v>Equipo técnico para la Oficina de Gestión de Proyectos (PMO) encargada de administrar los proyectos de TI del nuevo sistema y especialista Técnico.</v>
      </c>
      <c r="E42" s="2191" t="s">
        <v>726</v>
      </c>
      <c r="F42" s="2179">
        <f>'8_MP'!$AI$80</f>
        <v>400000</v>
      </c>
      <c r="G42" s="1743">
        <v>1</v>
      </c>
    </row>
    <row r="43" spans="1:7" s="1768" customFormat="1" ht="16">
      <c r="A43" s="2170" t="s">
        <v>2958</v>
      </c>
      <c r="B43" s="2170" t="s">
        <v>2930</v>
      </c>
      <c r="C43" s="2171" t="e">
        <f>'8_MP'!#REF!</f>
        <v>#REF!</v>
      </c>
      <c r="D43" s="2172" t="e">
        <f>'8_MP'!#REF!</f>
        <v>#REF!</v>
      </c>
      <c r="E43" s="2173"/>
      <c r="F43" s="2174">
        <f>+F44+F49</f>
        <v>1983495</v>
      </c>
    </row>
    <row r="44" spans="1:7" ht="32" outlineLevel="1">
      <c r="A44" s="2184"/>
      <c r="B44" s="2184"/>
      <c r="C44" s="2185" t="str">
        <f>'8_MP'!D98</f>
        <v>1.2.1.7.1</v>
      </c>
      <c r="D44" s="2186" t="str">
        <f>'8_MP'!H98</f>
        <v>Realizar ajustes a mejoras identificadas de acuerdo a (diagnóstico evolutivo) al sistema de información actual de contrataciones públicas de la DGCP.</v>
      </c>
      <c r="E44" s="2187"/>
      <c r="F44" s="2190">
        <f>SUM(F45:F48)</f>
        <v>669072</v>
      </c>
    </row>
    <row r="45" spans="1:7" ht="32" outlineLevel="1">
      <c r="A45" s="2175"/>
      <c r="B45" s="2175"/>
      <c r="C45" s="2176" t="str">
        <f>'8_MP'!D99</f>
        <v>1.2.1.7.1.1</v>
      </c>
      <c r="D45" s="2177" t="str">
        <f>'8_MP'!H99</f>
        <v>Contratación de 2 desarrolladores senior</v>
      </c>
      <c r="E45" s="2178" t="str">
        <f>'8_MP'!W99</f>
        <v>3CV</v>
      </c>
      <c r="F45" s="2179">
        <f>'8_MP'!AI99</f>
        <v>184032</v>
      </c>
    </row>
    <row r="46" spans="1:7" ht="32" outlineLevel="1">
      <c r="A46" s="2175"/>
      <c r="B46" s="2175"/>
      <c r="C46" s="2176" t="str">
        <f>'8_MP'!D100</f>
        <v>1.2.1.7.1.2</v>
      </c>
      <c r="D46" s="2177" t="str">
        <f>'8_MP'!H100</f>
        <v>Contratación de 2 desarrolladores junior</v>
      </c>
      <c r="E46" s="2178" t="str">
        <f>'8_MP'!W100</f>
        <v>3CV</v>
      </c>
      <c r="F46" s="2179">
        <f>'8_MP'!AI100</f>
        <v>144000</v>
      </c>
    </row>
    <row r="47" spans="1:7" ht="32" outlineLevel="1">
      <c r="A47" s="2175"/>
      <c r="B47" s="2175"/>
      <c r="C47" s="2176" t="str">
        <f>'8_MP'!D101</f>
        <v>1.2.1.7.1.3</v>
      </c>
      <c r="D47" s="2177" t="str">
        <f>'8_MP'!H101</f>
        <v>Contratación de 1 Experto Sistema Actual</v>
      </c>
      <c r="E47" s="2178" t="str">
        <f>'8_MP'!W101</f>
        <v>3CV</v>
      </c>
      <c r="F47" s="2179">
        <f>'8_MP'!AI101</f>
        <v>184080</v>
      </c>
    </row>
    <row r="48" spans="1:7" ht="32" outlineLevel="1">
      <c r="A48" s="2175"/>
      <c r="B48" s="2175"/>
      <c r="C48" s="2176" t="str">
        <f>'8_MP'!D102</f>
        <v>1.2.1.7.1.4</v>
      </c>
      <c r="D48" s="2177" t="str">
        <f>'8_MP'!H102</f>
        <v>Contratación de 1 Especialista Sr. en desarrollo</v>
      </c>
      <c r="E48" s="2178" t="str">
        <f>'8_MP'!W102</f>
        <v>3CV</v>
      </c>
      <c r="F48" s="2179">
        <f>'8_MP'!AI102</f>
        <v>156960</v>
      </c>
    </row>
    <row r="49" spans="1:7" ht="32" outlineLevel="1">
      <c r="A49" s="2175"/>
      <c r="B49" s="2175"/>
      <c r="C49" s="2176" t="str">
        <f>'8_MP'!D105</f>
        <v>1.2.1.7.2</v>
      </c>
      <c r="D49" s="2177" t="str">
        <f>'8_MP'!H105</f>
        <v xml:space="preserve">Fortalecimiento de la infraestructura del sistema de información actual de contrataciones públicas </v>
      </c>
      <c r="E49" s="2178" t="str">
        <f>'8_MP'!W105</f>
        <v>LPI</v>
      </c>
      <c r="F49" s="2179">
        <f>'8_MP'!AI105</f>
        <v>1314423</v>
      </c>
      <c r="G49" s="1743">
        <v>5</v>
      </c>
    </row>
    <row r="50" spans="1:7" s="1768" customFormat="1" ht="16">
      <c r="A50" s="2170" t="s">
        <v>2958</v>
      </c>
      <c r="B50" s="2170" t="s">
        <v>2930</v>
      </c>
      <c r="C50" s="2171" t="str">
        <f>'8_MP'!$D$108</f>
        <v>1.2.1.8</v>
      </c>
      <c r="D50" s="2172" t="str">
        <f>'8_MP'!$H$108</f>
        <v>Sistema de detección de irregularidades y alertas tempranas diseñado e implementado</v>
      </c>
      <c r="E50" s="2173"/>
      <c r="F50" s="2174">
        <f>SUM(F51:F52)</f>
        <v>440450</v>
      </c>
    </row>
    <row r="51" spans="1:7" ht="32" outlineLevel="1">
      <c r="A51" s="2175"/>
      <c r="B51" s="2175"/>
      <c r="C51" s="2176">
        <f>'8_MP'!$D$110</f>
        <v>0</v>
      </c>
      <c r="D51" s="2177" t="str">
        <f>'8_MP'!$H$110</f>
        <v>Contratación de un consultor individual para la elaboración de la estrategia de analítica de datos para la compra pública en República Dominicana</v>
      </c>
      <c r="E51" s="2191" t="str">
        <f>'8_MP'!$W$110</f>
        <v>3CV</v>
      </c>
      <c r="F51" s="2179">
        <f>'8_MP'!$AI$110</f>
        <v>50000</v>
      </c>
    </row>
    <row r="52" spans="1:7" ht="40.5" customHeight="1" outlineLevel="1">
      <c r="A52" s="2175"/>
      <c r="B52" s="2175"/>
      <c r="C52" s="2176" t="str">
        <f>'8_MP'!D112</f>
        <v>1.2.1.8.2.1</v>
      </c>
      <c r="D52" s="2177" t="str">
        <f>'8_MP'!H112</f>
        <v>Mejoramiento del tablero de precios de bienes adquiridos mediante compra pública</v>
      </c>
      <c r="E52" s="2191"/>
      <c r="F52" s="2179">
        <f>SUM(F53:F55)</f>
        <v>390450</v>
      </c>
    </row>
    <row r="53" spans="1:7" ht="32" outlineLevel="1">
      <c r="A53" s="2175"/>
      <c r="B53" s="2175"/>
      <c r="C53" s="2176" t="str">
        <f>'8_MP'!D113</f>
        <v>1.2.1.8.2.2</v>
      </c>
      <c r="D53" s="2177" t="str">
        <f>'8_MP'!H113</f>
        <v>Contratación de 1 desarrollador</v>
      </c>
      <c r="E53" s="2191" t="str">
        <f>'8_MP'!W113</f>
        <v>3CV</v>
      </c>
      <c r="F53" s="2179">
        <f>'8_MP'!AI113</f>
        <v>105450</v>
      </c>
    </row>
    <row r="54" spans="1:7" ht="32" outlineLevel="1">
      <c r="A54" s="2175"/>
      <c r="B54" s="2175"/>
      <c r="C54" s="2176" t="str">
        <f>'8_MP'!D114</f>
        <v>1.2.1.8.2.3</v>
      </c>
      <c r="D54" s="2177" t="str">
        <f>'8_MP'!H114</f>
        <v>Contratación de 3 científicos de datos</v>
      </c>
      <c r="E54" s="2191" t="str">
        <f>'8_MP'!W114</f>
        <v>3CV</v>
      </c>
      <c r="F54" s="2179">
        <f>'8_MP'!AI114</f>
        <v>108300</v>
      </c>
    </row>
    <row r="55" spans="1:7" ht="32" outlineLevel="1">
      <c r="A55" s="2175"/>
      <c r="B55" s="2175"/>
      <c r="C55" s="2176" t="str">
        <f>'8_MP'!D115</f>
        <v>1.2.1.8.2.3</v>
      </c>
      <c r="D55" s="2177" t="str">
        <f>'8_MP'!H115</f>
        <v>Contratación de 2científicos de datos</v>
      </c>
      <c r="E55" s="2191" t="str">
        <f>'8_MP'!W115</f>
        <v>3CV</v>
      </c>
      <c r="F55" s="2179">
        <f>'8_MP'!AI115</f>
        <v>176700</v>
      </c>
      <c r="G55" s="1743">
        <v>5</v>
      </c>
    </row>
    <row r="56" spans="1:7" s="1768" customFormat="1" ht="16">
      <c r="A56" s="2170" t="s">
        <v>2958</v>
      </c>
      <c r="B56" s="2170" t="s">
        <v>2930</v>
      </c>
      <c r="C56" s="2171">
        <f>'8_MP'!$D$120</f>
        <v>0</v>
      </c>
      <c r="D56" s="2172">
        <f>'8_MP'!$H$120</f>
        <v>0</v>
      </c>
      <c r="E56" s="2173"/>
      <c r="F56" s="2174">
        <f>+F57</f>
        <v>80000</v>
      </c>
    </row>
    <row r="57" spans="1:7" ht="16" outlineLevel="1">
      <c r="A57" s="2175"/>
      <c r="B57" s="2175"/>
      <c r="C57" s="2176" t="str">
        <f>'8_MP'!$D$122</f>
        <v>1.2.2.1</v>
      </c>
      <c r="D57" s="2177" t="str">
        <f>'8_MP'!$H$122</f>
        <v>Carrera Especial en Contratación pública</v>
      </c>
      <c r="E57" s="2182">
        <f>'8_MP'!$W$122</f>
        <v>0</v>
      </c>
      <c r="F57" s="2179">
        <f>'8_MP'!$AI$122</f>
        <v>80000</v>
      </c>
      <c r="G57" s="1743">
        <v>1</v>
      </c>
    </row>
    <row r="58" spans="1:7" s="1768" customFormat="1" ht="16">
      <c r="A58" s="2170" t="s">
        <v>2958</v>
      </c>
      <c r="B58" s="2170" t="s">
        <v>2930</v>
      </c>
      <c r="C58" s="2171" t="str">
        <f>'8_MP'!$D$134</f>
        <v>1.2.2.5</v>
      </c>
      <c r="D58" s="2172" t="str">
        <f>'8_MP'!$H$134</f>
        <v>Centro de Estudios de Investigación en las Contrataciones Públicas</v>
      </c>
      <c r="E58" s="2173"/>
      <c r="F58" s="2174">
        <f>+F59</f>
        <v>0</v>
      </c>
    </row>
    <row r="59" spans="1:7" ht="32" outlineLevel="1">
      <c r="A59" s="2175"/>
      <c r="B59" s="2175"/>
      <c r="C59" s="2176" t="str">
        <f>'8_MP'!$D$138</f>
        <v>1.2.3.1.2</v>
      </c>
      <c r="D59" s="2195" t="str">
        <f>'8_MP'!$H$138</f>
        <v>Hito: Elaboración de los términos de referencia para la contratación del diseño de la estrategia nacional de compra pública sostenible.</v>
      </c>
      <c r="E59" s="2178">
        <f>'8_MP'!$W$138</f>
        <v>0</v>
      </c>
      <c r="F59" s="2181">
        <f>'8_MP'!$AI$138</f>
        <v>0</v>
      </c>
      <c r="G59" s="1743">
        <v>1</v>
      </c>
    </row>
    <row r="60" spans="1:7">
      <c r="A60" s="2166"/>
      <c r="B60" s="2166"/>
      <c r="C60" s="2167">
        <f>'8_MP'!$D$142</f>
        <v>0</v>
      </c>
      <c r="D60" s="2168">
        <f>'8_MP'!$H$142</f>
        <v>0</v>
      </c>
      <c r="E60" s="2166"/>
      <c r="F60" s="2169" t="e">
        <f>+F61+F67+F73</f>
        <v>#REF!</v>
      </c>
    </row>
    <row r="61" spans="1:7" s="1768" customFormat="1" ht="16" collapsed="1">
      <c r="A61" s="2170" t="s">
        <v>2958</v>
      </c>
      <c r="B61" s="2170" t="s">
        <v>2935</v>
      </c>
      <c r="C61" s="2171" t="str">
        <f>'8_MP'!$D$143</f>
        <v>1.3</v>
      </c>
      <c r="D61" s="2172" t="str">
        <f>'8_MP'!$H$143</f>
        <v>Subcomponente 1.3 Mejora en la eficiencia de la gestión de las inversiones públicas</v>
      </c>
      <c r="E61" s="2173"/>
      <c r="F61" s="2174">
        <f>+F62+F66</f>
        <v>8000000.0000799997</v>
      </c>
    </row>
    <row r="62" spans="1:7" ht="48" outlineLevel="1">
      <c r="A62" s="2184"/>
      <c r="B62" s="2184"/>
      <c r="C62" s="2185" t="str">
        <f>'8_MP'!$D$144</f>
        <v>1.3.1</v>
      </c>
      <c r="D62" s="2186" t="str">
        <f>'8_MP'!$H$144</f>
        <v xml:space="preserve">Producto 7: Sistema de información actual de inversión pública ajustado para interoperar con los sistemas electrónicos de la DGCP, el MH y la CGRD. Incluye el Sistema de Monitoreo, Seguimiento &amp; Evaluación </v>
      </c>
      <c r="E62" s="2189"/>
      <c r="F62" s="2190">
        <f>'8_MP'!$AI$144</f>
        <v>8000000.0000799997</v>
      </c>
    </row>
    <row r="63" spans="1:7" ht="64" outlineLevel="1">
      <c r="A63" s="2175"/>
      <c r="B63" s="2175"/>
      <c r="C63" s="2176" t="str">
        <f>'8_MP'!$D$145</f>
        <v>1.3.1.1</v>
      </c>
      <c r="D63" s="2180" t="str">
        <f>'8_MP'!$H$145</f>
        <v>Contratación firma especialista en el Ciclo de Vida de Proyectos de Inversión Pública, arquitectura e implementación de software y gestión del cambio, para la implementación de las mejoras al SNIP y del nuevo sistema de Seguimiento, Monitoreo y Evaluación de los PIP.</v>
      </c>
      <c r="E63" s="2182">
        <f>'8_MP'!$W$145</f>
        <v>0</v>
      </c>
      <c r="F63" s="2179">
        <f>'8_MP'!$AI$145</f>
        <v>2955715.0000399998</v>
      </c>
    </row>
    <row r="64" spans="1:7" ht="64" outlineLevel="1">
      <c r="A64" s="2175"/>
      <c r="B64" s="2175"/>
      <c r="C64" s="2176" t="str">
        <f>'8_MP'!$D$146</f>
        <v>1.3.1.1.1</v>
      </c>
      <c r="D64" s="2180" t="str">
        <f>'8_MP'!$H$146</f>
        <v>Contratación de un especialista en Inversión Pública para asistir en la elaboración de los TdR y documentos de licitación para la  contratación de una firma especialista.  Debe incluir la definición de alcance, perfil de la empresa, esquema de remuneración, acuerdos del nivel de servicios y esquema de penalización (multa).</v>
      </c>
      <c r="E64" s="2182" t="str">
        <f>'8_MP'!$W$146</f>
        <v>3CV</v>
      </c>
      <c r="F64" s="2179">
        <f>'8_MP'!$AI$146</f>
        <v>14991</v>
      </c>
    </row>
    <row r="65" spans="1:7" ht="64" outlineLevel="1">
      <c r="A65" s="2175"/>
      <c r="B65" s="2175"/>
      <c r="C65" s="2176" t="str">
        <f>'8_MP'!$D$147</f>
        <v>1.3.1.1.2</v>
      </c>
      <c r="D65" s="2180" t="str">
        <f>'8_MP'!$H$147</f>
        <v>Contratación de especialista en arquitectura empresarial para la elaboración de los TdR y documentos de licitación para la  contratación de una firma especialista.  Debe incluir la definición de alcance, perfil de la empresa, esquema de remuneración, acuerdos del nivel de servicios y esquema de penalización (multa).</v>
      </c>
      <c r="E65" s="2182" t="str">
        <f>'8_MP'!$W$147</f>
        <v>3CV</v>
      </c>
      <c r="F65" s="2179">
        <f>'8_MP'!$AI$147</f>
        <v>35981.000039999999</v>
      </c>
      <c r="G65" s="1743">
        <v>4</v>
      </c>
    </row>
    <row r="66" spans="1:7" ht="32" outlineLevel="1">
      <c r="A66" s="2175"/>
      <c r="B66" s="2175"/>
      <c r="C66" s="2196" t="str">
        <f>'8_MP'!$D$149</f>
        <v>1.3.1.2</v>
      </c>
      <c r="D66" s="2197" t="str">
        <f>'8_MP'!$H$149</f>
        <v>Elaboración de TdR y SP para el Acuerdo Marco 2</v>
      </c>
      <c r="E66" s="2182" t="s">
        <v>2314</v>
      </c>
      <c r="F66" s="2179">
        <f>'8_MP'!$AI$149</f>
        <v>0</v>
      </c>
    </row>
    <row r="67" spans="1:7" s="1768" customFormat="1" ht="16">
      <c r="A67" s="2170" t="s">
        <v>2958</v>
      </c>
      <c r="B67" s="2170" t="s">
        <v>2935</v>
      </c>
      <c r="C67" s="2171">
        <f>'8_MP'!$D$164</f>
        <v>0</v>
      </c>
      <c r="D67" s="2172" t="str">
        <f>'8_MP'!$H$164</f>
        <v xml:space="preserve">2 Desarrolladores Senior </v>
      </c>
      <c r="E67" s="2173"/>
      <c r="F67" s="2174">
        <f>+F68+F69</f>
        <v>2970715.0000399998</v>
      </c>
    </row>
    <row r="68" spans="1:7" ht="106.5" customHeight="1" outlineLevel="1">
      <c r="A68" s="2175"/>
      <c r="B68" s="2175"/>
      <c r="C68" s="2176" t="str">
        <f>'8_MP'!$D$167</f>
        <v>1.3.1.4</v>
      </c>
      <c r="D68" s="2177" t="str">
        <f>'8_MP'!$H$167</f>
        <v>Sistema de Monitoreo, Seguimiento &amp; Evaluación, diseñado e implementado</v>
      </c>
      <c r="E68" s="2182">
        <f>'8_MP'!$W$167</f>
        <v>0</v>
      </c>
      <c r="F68" s="2179">
        <f>'8_MP'!$AI$167</f>
        <v>2970715.0000399998</v>
      </c>
      <c r="G68" s="1743">
        <v>1</v>
      </c>
    </row>
    <row r="69" spans="1:7" ht="32" outlineLevel="1">
      <c r="A69" s="2184"/>
      <c r="B69" s="2184"/>
      <c r="C69" s="2185" t="str">
        <f>'8_MP'!$D$168</f>
        <v>1.3.1.4.1</v>
      </c>
      <c r="D69" s="2186" t="str">
        <f>'8_MP'!$H$168</f>
        <v xml:space="preserve">Contratación de asistencia técnica especializada inicial para levantamiento de información y definición de la estrategia de desarrollo y dimensionamiento de actividades clave </v>
      </c>
      <c r="E69" s="2189"/>
      <c r="F69" s="2190">
        <f>'8_MP'!$AI$168</f>
        <v>0</v>
      </c>
    </row>
    <row r="70" spans="1:7" ht="16" outlineLevel="1">
      <c r="A70" s="2175"/>
      <c r="B70" s="2175"/>
      <c r="C70" s="2176" t="str">
        <f>'8_MP'!$D$169</f>
        <v>1.3.1.4.2</v>
      </c>
      <c r="D70" s="2180" t="str">
        <f>'8_MP'!$H$169</f>
        <v>Selección modelo para el Sistema de SM&amp;E.</v>
      </c>
      <c r="E70" s="2182">
        <f>'8_MP'!$W$169</f>
        <v>0</v>
      </c>
      <c r="F70" s="2179">
        <f>'8_MP'!$AI$169</f>
        <v>15000</v>
      </c>
    </row>
    <row r="71" spans="1:7" ht="72" customHeight="1" outlineLevel="1">
      <c r="A71" s="2175"/>
      <c r="B71" s="2175"/>
      <c r="C71" s="2176" t="str">
        <f>'8_MP'!$D$170</f>
        <v>1.3.1.4.2.1</v>
      </c>
      <c r="D71" s="2180" t="str">
        <f>'8_MP'!$H$170</f>
        <v>Contratación de un especialista en Inversión Pública para el estudio, evaluación y selección del modelo a ser usado en la implementación del Sistema de Monitoreo, Seguimiento &amp; Evaluación de Proyectos de Inversión Pública a partir de los modelos presentados en la conclusión de la consultoría "Diagnóstico y Análisis de Alterntivas para la Creación de un Nuevo Sistema de Monitoreo, Seguimiento y Evaluación de los Proyectos de Inversión Pública en la República Dominicana".</v>
      </c>
      <c r="E71" s="2182" t="str">
        <f>'8_MP'!$W$170</f>
        <v>3CV</v>
      </c>
      <c r="F71" s="2179">
        <f>'8_MP'!$AI$170</f>
        <v>15000</v>
      </c>
    </row>
    <row r="72" spans="1:7" ht="64" outlineLevel="1">
      <c r="A72" s="2175"/>
      <c r="B72" s="2175"/>
      <c r="C72" s="2176" t="str">
        <f>'8_MP'!$D$171</f>
        <v>1.3.1.4.3</v>
      </c>
      <c r="D72" s="2180" t="str">
        <f>'8_MP'!$H$171</f>
        <v>Contratación firma especialista en el Ciclo de Vida de Proyectos de Inversión Pública, arquitectura e implementación de software y gestión del cambio, para la implementación de las mejoras al SNIP y del nuevo sistema de Seguimiento, Monitoreo y Evaluación de los PIP.</v>
      </c>
      <c r="E72" s="2182">
        <f>'8_MP'!$W$171</f>
        <v>0</v>
      </c>
      <c r="F72" s="2179">
        <f>'8_MP'!$AI$171</f>
        <v>2955715.0000399998</v>
      </c>
      <c r="G72" s="1743">
        <v>3</v>
      </c>
    </row>
    <row r="73" spans="1:7" s="1768" customFormat="1" ht="64">
      <c r="A73" s="2170" t="s">
        <v>2958</v>
      </c>
      <c r="B73" s="2170" t="s">
        <v>2935</v>
      </c>
      <c r="C73" s="2171" t="str">
        <f>'8_MP'!$D$173</f>
        <v>1.3.1.4.3.2</v>
      </c>
      <c r="D73" s="2172" t="str">
        <f>'8_MP'!$H$173</f>
        <v>Contratación de especialista en arquitectura empresarial para la elaboración de los TdR y documentos de licitación para la  contratación de una firma especialista.  Debe incluir la definición de alcance, perfil de la empresa, esquema de remuneración, acuerdos del nivel de servicios y esquema de penalización (multa).</v>
      </c>
      <c r="E73" s="2173"/>
      <c r="F73" s="2174" t="e">
        <f>+F74</f>
        <v>#REF!</v>
      </c>
    </row>
    <row r="74" spans="1:7" outlineLevel="1">
      <c r="A74" s="2184"/>
      <c r="B74" s="2184"/>
      <c r="C74" s="2185" t="e">
        <f>'8_MP'!#REF!</f>
        <v>#REF!</v>
      </c>
      <c r="D74" s="2186" t="e">
        <f>'8_MP'!#REF!</f>
        <v>#REF!</v>
      </c>
      <c r="E74" s="2189"/>
      <c r="F74" s="2190" t="e">
        <f>'8_MP'!#REF!</f>
        <v>#REF!</v>
      </c>
    </row>
    <row r="75" spans="1:7" outlineLevel="1">
      <c r="A75" s="2175"/>
      <c r="B75" s="2175"/>
      <c r="C75" s="2176" t="e">
        <f>'8_MP'!#REF!</f>
        <v>#REF!</v>
      </c>
      <c r="D75" s="2177" t="e">
        <f>'8_MP'!#REF!</f>
        <v>#REF!</v>
      </c>
      <c r="E75" s="2182" t="e">
        <f>'8_MP'!#REF!</f>
        <v>#REF!</v>
      </c>
      <c r="F75" s="2179" t="e">
        <f>'8_MP'!#REF!</f>
        <v>#REF!</v>
      </c>
    </row>
    <row r="76" spans="1:7" outlineLevel="1">
      <c r="A76" s="2175"/>
      <c r="B76" s="2175"/>
      <c r="C76" s="2176" t="e">
        <f>'8_MP'!#REF!</f>
        <v>#REF!</v>
      </c>
      <c r="D76" s="2177" t="e">
        <f>'8_MP'!#REF!</f>
        <v>#REF!</v>
      </c>
      <c r="E76" s="2182" t="e">
        <f>'8_MP'!#REF!</f>
        <v>#REF!</v>
      </c>
      <c r="F76" s="2179" t="e">
        <f>'8_MP'!#REF!</f>
        <v>#REF!</v>
      </c>
    </row>
    <row r="77" spans="1:7" outlineLevel="1">
      <c r="A77" s="2175"/>
      <c r="B77" s="2175"/>
      <c r="C77" s="2176" t="e">
        <f>'8_MP'!#REF!</f>
        <v>#REF!</v>
      </c>
      <c r="D77" s="2177" t="e">
        <f>'8_MP'!#REF!</f>
        <v>#REF!</v>
      </c>
      <c r="E77" s="2182" t="e">
        <f>'8_MP'!#REF!</f>
        <v>#REF!</v>
      </c>
      <c r="F77" s="2179" t="e">
        <f>'8_MP'!#REF!</f>
        <v>#REF!</v>
      </c>
      <c r="G77" s="1743">
        <v>3</v>
      </c>
    </row>
    <row r="78" spans="1:7" ht="32">
      <c r="A78" s="2166"/>
      <c r="B78" s="2166"/>
      <c r="C78" s="2167" t="str">
        <f>'8_MP'!$D$177</f>
        <v>1.3.1.5.1</v>
      </c>
      <c r="D78" s="2168" t="str">
        <f>'8_MP'!$H$177</f>
        <v>Adquisición e implementación de la Infraestructura y servicios TIC necesarios para la migración del SNIP ajustado y el nuevo sistema de Monitoreo, Seguimiento &amp; Evaluación.</v>
      </c>
      <c r="E78" s="2166"/>
      <c r="F78" s="2169">
        <f>+F79+F86</f>
        <v>1100000</v>
      </c>
    </row>
    <row r="79" spans="1:7" s="1768" customFormat="1" ht="32" collapsed="1">
      <c r="A79" s="2170" t="s">
        <v>2958</v>
      </c>
      <c r="B79" s="2170" t="s">
        <v>2960</v>
      </c>
      <c r="C79" s="2171">
        <f>'8_MP'!$D$178</f>
        <v>0</v>
      </c>
      <c r="D79" s="2172" t="str">
        <f>'8_MP'!$H$178</f>
        <v>Adquisición e implementación de la Infraestructura y servicios TIC necesarios para la migración del SNIP ajustado y el nuevo sistema de Monitoreo, Seguimiento &amp; Evaluación.</v>
      </c>
      <c r="E79" s="2173"/>
      <c r="F79" s="2174">
        <f>SUM(F80:F81)</f>
        <v>0</v>
      </c>
    </row>
    <row r="80" spans="1:7" outlineLevel="1">
      <c r="A80" s="2175"/>
      <c r="B80" s="2175"/>
      <c r="C80" s="2176">
        <f>'8_MP'!$D$179</f>
        <v>0</v>
      </c>
      <c r="D80" s="2177">
        <f>'8_MP'!$H$179</f>
        <v>0</v>
      </c>
      <c r="E80" s="2182"/>
      <c r="F80" s="2179">
        <f>'8_MP'!$AI$179</f>
        <v>0</v>
      </c>
      <c r="G80" s="1743">
        <v>1</v>
      </c>
    </row>
    <row r="81" spans="1:7" ht="32" outlineLevel="1">
      <c r="A81" s="2184"/>
      <c r="B81" s="2184"/>
      <c r="C81" s="2185" t="str">
        <f>'8_MP'!$D$182</f>
        <v>1.4.1.1</v>
      </c>
      <c r="D81" s="2186" t="str">
        <f>'8_MP'!$H$182</f>
        <v>Diagnóstico de brechas regulatorias, legales e institucionales sobre políticas de beneficiarios finales, realizado</v>
      </c>
      <c r="E81" s="2189"/>
      <c r="F81" s="2190">
        <f>SUM(F82:F85)</f>
        <v>0</v>
      </c>
    </row>
    <row r="82" spans="1:7" ht="32" outlineLevel="1">
      <c r="A82" s="2175"/>
      <c r="B82" s="2175"/>
      <c r="C82" s="2176" t="str">
        <f>'8_MP'!$D$184</f>
        <v>1.4.1.1.2</v>
      </c>
      <c r="D82" s="2180" t="str">
        <f>'8_MP'!$H$184</f>
        <v>Plan de acción basado en el diagnóstico realizado, con reformas y medidas sugeridas a implementar a corto, mediano y largo plazo</v>
      </c>
      <c r="E82" s="2182">
        <f>'8_MP'!$W$184</f>
        <v>0</v>
      </c>
      <c r="F82" s="2179">
        <f>'8_MP'!$AI$184</f>
        <v>0</v>
      </c>
    </row>
    <row r="83" spans="1:7" ht="32" outlineLevel="1">
      <c r="A83" s="2175"/>
      <c r="B83" s="2175"/>
      <c r="C83" s="2176" t="str">
        <f>'8_MP'!$D$189</f>
        <v>1.4.1.2.2.2</v>
      </c>
      <c r="D83" s="2180" t="str">
        <f>'8_MP'!$H$189</f>
        <v>Evaluación de viabilidad de la modificación del umbral cuantitativo existente para la identificación de beneficiarios finales</v>
      </c>
      <c r="E83" s="2182">
        <f>'8_MP'!$W$189</f>
        <v>0</v>
      </c>
      <c r="F83" s="2179">
        <f>'8_MP'!$AI$189</f>
        <v>0</v>
      </c>
    </row>
    <row r="84" spans="1:7" ht="32" outlineLevel="1">
      <c r="A84" s="2175"/>
      <c r="B84" s="2175"/>
      <c r="C84" s="2176" t="str">
        <f>'8_MP'!$D$193</f>
        <v>1.4.1.2.3.1</v>
      </c>
      <c r="D84" s="2180" t="str">
        <f>'8_MP'!$H$193</f>
        <v>Propuesta de revisión de las modalidad de identificación, registro y acceso a la información</v>
      </c>
      <c r="E84" s="2182"/>
      <c r="F84" s="2179">
        <f>'8_MP'!$AI$193</f>
        <v>0</v>
      </c>
    </row>
    <row r="85" spans="1:7" ht="32" outlineLevel="1">
      <c r="A85" s="2175"/>
      <c r="B85" s="2175"/>
      <c r="C85" s="2176" t="str">
        <f>'8_MP'!$D$183</f>
        <v>1.4.1.1.1</v>
      </c>
      <c r="D85" s="2180" t="str">
        <f>'8_MP'!$H$183</f>
        <v>Diagnóstico del marco legal, regulatorio, institucional y tecnológico del registro de beneficiarios finales</v>
      </c>
      <c r="E85" s="2182"/>
      <c r="F85" s="2179">
        <f>'8_MP'!$AI$183</f>
        <v>0</v>
      </c>
      <c r="G85" s="1743">
        <v>4</v>
      </c>
    </row>
    <row r="86" spans="1:7" s="1768" customFormat="1" ht="32">
      <c r="A86" s="2170" t="s">
        <v>2958</v>
      </c>
      <c r="B86" s="2170" t="s">
        <v>2960</v>
      </c>
      <c r="C86" s="2171" t="str">
        <f>'8_MP'!$D$205</f>
        <v>1.4.1.3.3.3</v>
      </c>
      <c r="D86" s="2172" t="str">
        <f>'8_MP'!$H$205</f>
        <v>Diseño de funciones de analítica avanzada sobre la base de los requisitos recogidos</v>
      </c>
      <c r="E86" s="2173"/>
      <c r="F86" s="2174">
        <f>SUM(F87:F89)</f>
        <v>1100000</v>
      </c>
    </row>
    <row r="87" spans="1:7" ht="16" outlineLevel="1">
      <c r="A87" s="2175"/>
      <c r="B87" s="2175"/>
      <c r="C87" s="2176" t="str">
        <f>'8_MP'!$D$206</f>
        <v>1.4.1.4</v>
      </c>
      <c r="D87" s="2177" t="str">
        <f>'8_MP'!$H$206</f>
        <v>Infraestructura Tecnológica</v>
      </c>
      <c r="E87" s="2182" t="s">
        <v>763</v>
      </c>
      <c r="F87" s="2179">
        <f>'8_MP'!$AI$206</f>
        <v>80000</v>
      </c>
    </row>
    <row r="88" spans="1:7" ht="16" outlineLevel="1">
      <c r="A88" s="2175"/>
      <c r="B88" s="2175"/>
      <c r="C88" s="2176" t="str">
        <f>'8_MP'!$D$207</f>
        <v>1.4.1.4.1</v>
      </c>
      <c r="D88" s="2177" t="str">
        <f>'8_MP'!$H$207</f>
        <v>Adquisición de bienes para el desarrollo de la infraestructura tecnológica</v>
      </c>
      <c r="E88" s="4294" t="s">
        <v>853</v>
      </c>
      <c r="F88" s="2179">
        <f>'8_MP'!$AI$207</f>
        <v>80000</v>
      </c>
    </row>
    <row r="89" spans="1:7" ht="32" outlineLevel="1">
      <c r="A89" s="2175"/>
      <c r="B89" s="2175"/>
      <c r="C89" s="2176" t="str">
        <f>'8_MP'!$D$208</f>
        <v>1.4.1.5</v>
      </c>
      <c r="D89" s="2177" t="str">
        <f>'8_MP'!$H$208</f>
        <v>Estrategia de Gestión del Cambio y comunicaciones para el Registro de Beneficiarios Finales diseñada e implementada</v>
      </c>
      <c r="E89" s="4294"/>
      <c r="F89" s="2179">
        <f>'8_MP'!$AI$208</f>
        <v>940000</v>
      </c>
      <c r="G89" s="1743">
        <v>3</v>
      </c>
    </row>
    <row r="90" spans="1:7" ht="16">
      <c r="A90" s="2162"/>
      <c r="B90" s="2162"/>
      <c r="C90" s="2163" t="str">
        <f>'8_MP'!$D$215</f>
        <v>2</v>
      </c>
      <c r="D90" s="2164">
        <f>'8_MP'!$H$215</f>
        <v>0</v>
      </c>
      <c r="E90" s="2162"/>
      <c r="F90" s="2165">
        <f>+F91+F127+F141</f>
        <v>2053000</v>
      </c>
    </row>
    <row r="91" spans="1:7">
      <c r="A91" s="2166"/>
      <c r="B91" s="2166"/>
      <c r="C91" s="2167">
        <f>'8_MP'!$D$216</f>
        <v>0</v>
      </c>
      <c r="D91" s="2168">
        <f>'8_MP'!$H$216</f>
        <v>0</v>
      </c>
      <c r="E91" s="2166"/>
      <c r="F91" s="2169">
        <f>+F92+F105+F114+F117</f>
        <v>0</v>
      </c>
    </row>
    <row r="92" spans="1:7" s="1768" customFormat="1" ht="16" collapsed="1">
      <c r="A92" s="2170" t="s">
        <v>2961</v>
      </c>
      <c r="B92" s="2170" t="s">
        <v>5</v>
      </c>
      <c r="C92" s="2171">
        <f>'8_MP'!$D$217</f>
        <v>0</v>
      </c>
      <c r="D92" s="2172">
        <f>'8_MP'!$H$217</f>
        <v>0</v>
      </c>
      <c r="E92" s="2173"/>
      <c r="F92" s="2174">
        <f>+F93+F94+F99+F102+F103+F104</f>
        <v>0</v>
      </c>
    </row>
    <row r="93" spans="1:7" outlineLevel="1">
      <c r="A93" s="2175"/>
      <c r="B93" s="2175"/>
      <c r="C93" s="2176">
        <f>'8_MP'!$D$218</f>
        <v>0</v>
      </c>
      <c r="D93" s="2177">
        <f>'8_MP'!$H$218</f>
        <v>0</v>
      </c>
      <c r="E93" s="2182"/>
      <c r="F93" s="2179">
        <f>'8_MP'!$AI$218</f>
        <v>0</v>
      </c>
    </row>
    <row r="94" spans="1:7" outlineLevel="1">
      <c r="A94" s="2184"/>
      <c r="B94" s="2184"/>
      <c r="C94" s="2185">
        <f>'8_MP'!D219</f>
        <v>0</v>
      </c>
      <c r="D94" s="2186">
        <f>'8_MP'!H219</f>
        <v>0</v>
      </c>
      <c r="E94" s="2189"/>
      <c r="F94" s="2190">
        <f>SUM(F95:F98)</f>
        <v>0</v>
      </c>
    </row>
    <row r="95" spans="1:7" outlineLevel="1">
      <c r="A95" s="2175"/>
      <c r="B95" s="2175"/>
      <c r="C95" s="2176">
        <f>'8_MP'!D220</f>
        <v>0</v>
      </c>
      <c r="D95" s="2180">
        <f>'8_MP'!H220</f>
        <v>0</v>
      </c>
      <c r="E95" s="2182">
        <f>'8_MP'!W220</f>
        <v>0</v>
      </c>
      <c r="F95" s="2179">
        <f>'8_MP'!$AI$220</f>
        <v>0</v>
      </c>
    </row>
    <row r="96" spans="1:7" outlineLevel="1">
      <c r="A96" s="2175"/>
      <c r="B96" s="2175"/>
      <c r="C96" s="2176">
        <f>'8_MP'!D221</f>
        <v>0</v>
      </c>
      <c r="D96" s="2180">
        <f>'8_MP'!H221</f>
        <v>0</v>
      </c>
      <c r="E96" s="2182">
        <f>'8_MP'!W221</f>
        <v>0</v>
      </c>
      <c r="F96" s="2179">
        <f>'8_MP'!$AI$221</f>
        <v>0</v>
      </c>
    </row>
    <row r="97" spans="1:6" outlineLevel="1">
      <c r="A97" s="2175"/>
      <c r="B97" s="2175"/>
      <c r="C97" s="2176">
        <f>'8_MP'!D222</f>
        <v>0</v>
      </c>
      <c r="D97" s="2180">
        <f>'8_MP'!H222</f>
        <v>0</v>
      </c>
      <c r="E97" s="2182">
        <f>'8_MP'!W222</f>
        <v>0</v>
      </c>
      <c r="F97" s="2179">
        <f>'8_MP'!$AI$222</f>
        <v>0</v>
      </c>
    </row>
    <row r="98" spans="1:6" outlineLevel="1">
      <c r="A98" s="2175"/>
      <c r="B98" s="2175"/>
      <c r="C98" s="2176">
        <f>'8_MP'!D223</f>
        <v>0</v>
      </c>
      <c r="D98" s="2180">
        <f>'8_MP'!H223</f>
        <v>0</v>
      </c>
      <c r="E98" s="2182">
        <f>'8_MP'!W223</f>
        <v>0</v>
      </c>
      <c r="F98" s="2179">
        <f>'8_MP'!$AI$223</f>
        <v>0</v>
      </c>
    </row>
    <row r="99" spans="1:6" outlineLevel="1">
      <c r="A99" s="2184"/>
      <c r="B99" s="2184"/>
      <c r="C99" s="2185">
        <f>'8_MP'!D224</f>
        <v>0</v>
      </c>
      <c r="D99" s="2186">
        <f>'8_MP'!H224</f>
        <v>0</v>
      </c>
      <c r="E99" s="2189"/>
      <c r="F99" s="2190">
        <f>+F100+F101</f>
        <v>0</v>
      </c>
    </row>
    <row r="100" spans="1:6" outlineLevel="1">
      <c r="A100" s="2175"/>
      <c r="B100" s="2175"/>
      <c r="C100" s="2176">
        <f>'8_MP'!D225</f>
        <v>0</v>
      </c>
      <c r="D100" s="2180">
        <f>'8_MP'!H225</f>
        <v>0</v>
      </c>
      <c r="E100" s="2182">
        <f>'8_MP'!W225</f>
        <v>0</v>
      </c>
      <c r="F100" s="2179">
        <f>'8_MP'!$AI$225</f>
        <v>0</v>
      </c>
    </row>
    <row r="101" spans="1:6" outlineLevel="1">
      <c r="A101" s="2175"/>
      <c r="B101" s="2175"/>
      <c r="C101" s="2176">
        <f>'8_MP'!D226</f>
        <v>0</v>
      </c>
      <c r="D101" s="2180">
        <f>'8_MP'!H226</f>
        <v>0</v>
      </c>
      <c r="E101" s="2182"/>
      <c r="F101" s="2179">
        <f>'8_MP'!$AI$226</f>
        <v>0</v>
      </c>
    </row>
    <row r="102" spans="1:6" outlineLevel="1">
      <c r="A102" s="2175"/>
      <c r="B102" s="2175"/>
      <c r="C102" s="2176">
        <f>'8_MP'!D227</f>
        <v>0</v>
      </c>
      <c r="D102" s="2177">
        <f>'8_MP'!H227</f>
        <v>0</v>
      </c>
      <c r="E102" s="2182">
        <f>'8_MP'!W227</f>
        <v>0</v>
      </c>
      <c r="F102" s="2179">
        <f>'8_MP'!$AI$227</f>
        <v>0</v>
      </c>
    </row>
    <row r="103" spans="1:6" outlineLevel="1">
      <c r="A103" s="2175"/>
      <c r="B103" s="2175"/>
      <c r="C103" s="2176">
        <f>'8_MP'!D228</f>
        <v>0</v>
      </c>
      <c r="D103" s="2177">
        <f>'8_MP'!H228</f>
        <v>0</v>
      </c>
      <c r="E103" s="2182">
        <f>'8_MP'!W228</f>
        <v>0</v>
      </c>
      <c r="F103" s="2179">
        <f>'8_MP'!$AI$228</f>
        <v>0</v>
      </c>
    </row>
    <row r="104" spans="1:6" outlineLevel="1">
      <c r="A104" s="2175"/>
      <c r="B104" s="2175"/>
      <c r="C104" s="2176">
        <f>'8_MP'!D229</f>
        <v>0</v>
      </c>
      <c r="D104" s="2177">
        <f>'8_MP'!H229</f>
        <v>0</v>
      </c>
      <c r="E104" s="2182">
        <f>'8_MP'!W229</f>
        <v>0</v>
      </c>
      <c r="F104" s="2179">
        <f>'8_MP'!$AI$229</f>
        <v>0</v>
      </c>
    </row>
    <row r="105" spans="1:6" s="1768" customFormat="1" ht="16">
      <c r="A105" s="2170" t="s">
        <v>2961</v>
      </c>
      <c r="B105" s="2170" t="s">
        <v>5</v>
      </c>
      <c r="C105" s="2171">
        <f>'8_MP'!$D$247</f>
        <v>0</v>
      </c>
      <c r="D105" s="2172">
        <f>'8_MP'!$H$247</f>
        <v>0</v>
      </c>
      <c r="E105" s="2173"/>
      <c r="F105" s="2174">
        <f>+F106+F107</f>
        <v>0</v>
      </c>
    </row>
    <row r="106" spans="1:6" outlineLevel="1">
      <c r="A106" s="2175"/>
      <c r="B106" s="2175"/>
      <c r="C106" s="2176">
        <f>'8_MP'!$D$248</f>
        <v>0</v>
      </c>
      <c r="D106" s="2177">
        <f>'8_MP'!$H$248</f>
        <v>0</v>
      </c>
      <c r="E106" s="2182">
        <f>'8_MP'!$W$248</f>
        <v>0</v>
      </c>
      <c r="F106" s="2179">
        <f>'8_MP'!$AI$248</f>
        <v>0</v>
      </c>
    </row>
    <row r="107" spans="1:6" outlineLevel="1">
      <c r="A107" s="2184"/>
      <c r="B107" s="2184"/>
      <c r="C107" s="2185">
        <f>'8_MP'!D255</f>
        <v>0</v>
      </c>
      <c r="D107" s="2186">
        <f>'8_MP'!H255</f>
        <v>0</v>
      </c>
      <c r="E107" s="2189"/>
      <c r="F107" s="2190">
        <f>SUM(F108:F113)</f>
        <v>0</v>
      </c>
    </row>
    <row r="108" spans="1:6" outlineLevel="1">
      <c r="A108" s="2175"/>
      <c r="B108" s="2175"/>
      <c r="C108" s="2176">
        <f>'8_MP'!D256</f>
        <v>0</v>
      </c>
      <c r="D108" s="2180">
        <f>'8_MP'!H256</f>
        <v>0</v>
      </c>
      <c r="E108" s="4294">
        <f>'8_MP'!W256</f>
        <v>0</v>
      </c>
      <c r="F108" s="4298">
        <f>'8_MP'!$AI$256</f>
        <v>0</v>
      </c>
    </row>
    <row r="109" spans="1:6" outlineLevel="1">
      <c r="A109" s="2175"/>
      <c r="B109" s="2175"/>
      <c r="C109" s="2176">
        <f>'8_MP'!D257</f>
        <v>0</v>
      </c>
      <c r="D109" s="2180">
        <f>'8_MP'!H257</f>
        <v>0</v>
      </c>
      <c r="E109" s="4294"/>
      <c r="F109" s="4298"/>
    </row>
    <row r="110" spans="1:6" outlineLevel="1">
      <c r="A110" s="2175"/>
      <c r="B110" s="2175"/>
      <c r="C110" s="2176">
        <f>'8_MP'!D259</f>
        <v>0</v>
      </c>
      <c r="D110" s="2180">
        <f>'8_MP'!H259</f>
        <v>0</v>
      </c>
      <c r="E110" s="2182">
        <f>'8_MP'!W259</f>
        <v>0</v>
      </c>
      <c r="F110" s="2179">
        <f>'8_MP'!$AI$259</f>
        <v>0</v>
      </c>
    </row>
    <row r="111" spans="1:6" outlineLevel="1">
      <c r="A111" s="2175"/>
      <c r="B111" s="2175"/>
      <c r="C111" s="2176">
        <f>'8_MP'!D260</f>
        <v>0</v>
      </c>
      <c r="D111" s="2180">
        <f>'8_MP'!H260</f>
        <v>0</v>
      </c>
      <c r="E111" s="2182">
        <f>'8_MP'!W260</f>
        <v>0</v>
      </c>
      <c r="F111" s="2179">
        <f>'8_MP'!$AI$260</f>
        <v>0</v>
      </c>
    </row>
    <row r="112" spans="1:6" outlineLevel="1">
      <c r="A112" s="2175"/>
      <c r="B112" s="2175"/>
      <c r="C112" s="2176">
        <f>'8_MP'!D261</f>
        <v>0</v>
      </c>
      <c r="D112" s="2180">
        <f>'8_MP'!H261</f>
        <v>0</v>
      </c>
      <c r="E112" s="2182">
        <f>'8_MP'!W261</f>
        <v>0</v>
      </c>
      <c r="F112" s="2179">
        <f>'8_MP'!$AI$261</f>
        <v>0</v>
      </c>
    </row>
    <row r="113" spans="1:6" outlineLevel="1">
      <c r="A113" s="2175"/>
      <c r="B113" s="2175"/>
      <c r="C113" s="2176">
        <f>'8_MP'!D262</f>
        <v>0</v>
      </c>
      <c r="D113" s="2180">
        <f>'8_MP'!H262</f>
        <v>0</v>
      </c>
      <c r="E113" s="2182">
        <f>'8_MP'!W262</f>
        <v>0</v>
      </c>
      <c r="F113" s="2179">
        <f>'8_MP'!$AI$262</f>
        <v>0</v>
      </c>
    </row>
    <row r="114" spans="1:6" s="1768" customFormat="1" ht="16">
      <c r="A114" s="2170" t="s">
        <v>2961</v>
      </c>
      <c r="B114" s="2170" t="s">
        <v>5</v>
      </c>
      <c r="C114" s="2171">
        <f>'8_MP'!$D$230</f>
        <v>0</v>
      </c>
      <c r="D114" s="2172">
        <f>'8_MP'!$H$230</f>
        <v>0</v>
      </c>
      <c r="E114" s="2173"/>
      <c r="F114" s="2174">
        <f>SUM(F115:F116)</f>
        <v>0</v>
      </c>
    </row>
    <row r="115" spans="1:6" outlineLevel="1">
      <c r="A115" s="2175"/>
      <c r="B115" s="2175"/>
      <c r="C115" s="2176">
        <f>'8_MP'!D231</f>
        <v>0</v>
      </c>
      <c r="D115" s="2177">
        <f>'8_MP'!H231</f>
        <v>0</v>
      </c>
      <c r="E115" s="2182">
        <f>'8_MP'!W231</f>
        <v>0</v>
      </c>
      <c r="F115" s="2179">
        <f>'8_MP'!$AI$231</f>
        <v>0</v>
      </c>
    </row>
    <row r="116" spans="1:6" outlineLevel="1">
      <c r="A116" s="2175"/>
      <c r="B116" s="2175"/>
      <c r="C116" s="2176">
        <f>'8_MP'!D232</f>
        <v>0</v>
      </c>
      <c r="D116" s="2177">
        <f>'8_MP'!H232</f>
        <v>0</v>
      </c>
      <c r="E116" s="2182">
        <f>'8_MP'!W232</f>
        <v>0</v>
      </c>
      <c r="F116" s="2179">
        <f>'8_MP'!$AI$232</f>
        <v>0</v>
      </c>
    </row>
    <row r="117" spans="1:6" s="1768" customFormat="1" ht="16">
      <c r="A117" s="2170" t="s">
        <v>2961</v>
      </c>
      <c r="B117" s="2170" t="s">
        <v>5</v>
      </c>
      <c r="C117" s="2171">
        <f>'8_MP'!$D$265</f>
        <v>0</v>
      </c>
      <c r="D117" s="2172">
        <f>'8_MP'!$H$265</f>
        <v>0</v>
      </c>
      <c r="E117" s="2173"/>
      <c r="F117" s="2174">
        <f>SUM(F118:F126)</f>
        <v>0</v>
      </c>
    </row>
    <row r="118" spans="1:6" outlineLevel="1">
      <c r="A118" s="2175"/>
      <c r="B118" s="2175"/>
      <c r="C118" s="2176">
        <f>'8_MP'!D266</f>
        <v>0</v>
      </c>
      <c r="D118" s="2177">
        <f>'8_MP'!H266</f>
        <v>0</v>
      </c>
      <c r="E118" s="2182">
        <f>'8_MP'!W266</f>
        <v>0</v>
      </c>
      <c r="F118" s="2179">
        <f>'8_MP'!$AI$266</f>
        <v>0</v>
      </c>
    </row>
    <row r="119" spans="1:6" outlineLevel="1">
      <c r="A119" s="2175"/>
      <c r="B119" s="2175"/>
      <c r="C119" s="2176">
        <f>'8_MP'!D267</f>
        <v>0</v>
      </c>
      <c r="D119" s="2177">
        <f>'8_MP'!H267</f>
        <v>0</v>
      </c>
      <c r="E119" s="4294">
        <f>'8_MP'!W267</f>
        <v>0</v>
      </c>
      <c r="F119" s="4298">
        <f>'8_MP'!$AI$267</f>
        <v>0</v>
      </c>
    </row>
    <row r="120" spans="1:6" outlineLevel="1">
      <c r="A120" s="2175"/>
      <c r="B120" s="2175"/>
      <c r="C120" s="2176">
        <f>'8_MP'!D268</f>
        <v>0</v>
      </c>
      <c r="D120" s="2177">
        <f>'8_MP'!H268</f>
        <v>0</v>
      </c>
      <c r="E120" s="4294"/>
      <c r="F120" s="4298"/>
    </row>
    <row r="121" spans="1:6" outlineLevel="1">
      <c r="A121" s="2175"/>
      <c r="B121" s="2175"/>
      <c r="C121" s="2176">
        <f>'8_MP'!D269</f>
        <v>0</v>
      </c>
      <c r="D121" s="2177">
        <f>'8_MP'!H269</f>
        <v>0</v>
      </c>
      <c r="E121" s="4294"/>
      <c r="F121" s="4298"/>
    </row>
    <row r="122" spans="1:6" outlineLevel="1">
      <c r="A122" s="2175"/>
      <c r="B122" s="2175"/>
      <c r="C122" s="2176">
        <f>'8_MP'!D270</f>
        <v>0</v>
      </c>
      <c r="D122" s="2177">
        <f>'8_MP'!H270</f>
        <v>0</v>
      </c>
      <c r="E122" s="4294"/>
      <c r="F122" s="4298"/>
    </row>
    <row r="123" spans="1:6" outlineLevel="1">
      <c r="A123" s="2175"/>
      <c r="B123" s="2175"/>
      <c r="C123" s="2176">
        <f>'8_MP'!D271</f>
        <v>0</v>
      </c>
      <c r="D123" s="2180">
        <f>'8_MP'!H271</f>
        <v>0</v>
      </c>
      <c r="E123" s="4294"/>
      <c r="F123" s="4298"/>
    </row>
    <row r="124" spans="1:6" outlineLevel="1">
      <c r="A124" s="2175"/>
      <c r="B124" s="2175"/>
      <c r="C124" s="2176">
        <f>'8_MP'!D272</f>
        <v>0</v>
      </c>
      <c r="D124" s="2180">
        <f>'8_MP'!H272</f>
        <v>0</v>
      </c>
      <c r="E124" s="4294"/>
      <c r="F124" s="4298"/>
    </row>
    <row r="125" spans="1:6" outlineLevel="1">
      <c r="A125" s="2175"/>
      <c r="B125" s="2175"/>
      <c r="C125" s="2176">
        <f>'8_MP'!D273</f>
        <v>0</v>
      </c>
      <c r="D125" s="2180">
        <f>'8_MP'!H273</f>
        <v>0</v>
      </c>
      <c r="E125" s="4294"/>
      <c r="F125" s="4298"/>
    </row>
    <row r="126" spans="1:6" outlineLevel="1">
      <c r="A126" s="2175"/>
      <c r="B126" s="2175"/>
      <c r="C126" s="2176">
        <f>'8_MP'!D274</f>
        <v>0</v>
      </c>
      <c r="D126" s="2177">
        <f>'8_MP'!H274</f>
        <v>0</v>
      </c>
      <c r="E126" s="4294"/>
      <c r="F126" s="4298"/>
    </row>
    <row r="127" spans="1:6">
      <c r="A127" s="2166"/>
      <c r="B127" s="2166"/>
      <c r="C127" s="2167">
        <f>'8_MP'!$D$277</f>
        <v>0</v>
      </c>
      <c r="D127" s="2168">
        <f>'8_MP'!$H$277</f>
        <v>0</v>
      </c>
      <c r="E127" s="2166"/>
      <c r="F127" s="2169">
        <f>+F128+F138</f>
        <v>0</v>
      </c>
    </row>
    <row r="128" spans="1:6" s="1768" customFormat="1" ht="16">
      <c r="A128" s="2170" t="s">
        <v>2961</v>
      </c>
      <c r="B128" s="2170" t="s">
        <v>5</v>
      </c>
      <c r="C128" s="2171">
        <f>'8_MP'!$D$291</f>
        <v>0</v>
      </c>
      <c r="D128" s="2172">
        <f>'8_MP'!$H$291</f>
        <v>0</v>
      </c>
      <c r="E128" s="2173"/>
      <c r="F128" s="2174">
        <f>+F129+F132+F135</f>
        <v>0</v>
      </c>
    </row>
    <row r="129" spans="1:7" s="1768" customFormat="1" ht="27" customHeight="1" outlineLevel="1">
      <c r="A129" s="2198"/>
      <c r="B129" s="2198"/>
      <c r="C129" s="2199">
        <f>'8_MP'!D292</f>
        <v>0</v>
      </c>
      <c r="D129" s="2200">
        <f>'8_MP'!H292</f>
        <v>0</v>
      </c>
      <c r="E129" s="2201"/>
      <c r="F129" s="2202">
        <f>+F130+F131</f>
        <v>0</v>
      </c>
    </row>
    <row r="130" spans="1:7" outlineLevel="2">
      <c r="A130" s="2175"/>
      <c r="B130" s="2175"/>
      <c r="C130" s="2176">
        <f>'8_MP'!D293</f>
        <v>0</v>
      </c>
      <c r="D130" s="2180">
        <f>'8_MP'!H293</f>
        <v>0</v>
      </c>
      <c r="E130" s="2182">
        <f>'8_MP'!W293</f>
        <v>0</v>
      </c>
      <c r="F130" s="2179">
        <f>'8_MP'!AI293</f>
        <v>0</v>
      </c>
    </row>
    <row r="131" spans="1:7" outlineLevel="2">
      <c r="A131" s="2175"/>
      <c r="B131" s="2175"/>
      <c r="C131" s="2176">
        <f>'8_MP'!D294</f>
        <v>0</v>
      </c>
      <c r="D131" s="2180">
        <f>'8_MP'!H294</f>
        <v>0</v>
      </c>
      <c r="E131" s="2182">
        <f>'8_MP'!W294</f>
        <v>0</v>
      </c>
      <c r="F131" s="2179">
        <f>'8_MP'!AI294</f>
        <v>0</v>
      </c>
    </row>
    <row r="132" spans="1:7" s="1768" customFormat="1" ht="16" outlineLevel="1">
      <c r="A132" s="2198"/>
      <c r="B132" s="2198"/>
      <c r="C132" s="2203">
        <f>'8_MP'!D295</f>
        <v>0</v>
      </c>
      <c r="D132" s="2204">
        <f>'8_MP'!H295</f>
        <v>0</v>
      </c>
      <c r="E132" s="2205"/>
      <c r="F132" s="2206">
        <f>+F133+F134</f>
        <v>0</v>
      </c>
      <c r="G132" s="1915" t="s">
        <v>2962</v>
      </c>
    </row>
    <row r="133" spans="1:7" ht="16" outlineLevel="2">
      <c r="A133" s="2175"/>
      <c r="B133" s="2175"/>
      <c r="C133" s="2207">
        <f>'8_MP'!D296</f>
        <v>0</v>
      </c>
      <c r="D133" s="2208">
        <f>'8_MP'!H296</f>
        <v>0</v>
      </c>
      <c r="E133" s="2209">
        <f>'8_MP'!W296</f>
        <v>0</v>
      </c>
      <c r="F133" s="2210">
        <f>'8_MP'!AI296</f>
        <v>0</v>
      </c>
      <c r="G133" s="1810" t="s">
        <v>2962</v>
      </c>
    </row>
    <row r="134" spans="1:7" ht="16" outlineLevel="2">
      <c r="A134" s="2175"/>
      <c r="B134" s="2175"/>
      <c r="C134" s="2207">
        <f>'8_MP'!D297</f>
        <v>0</v>
      </c>
      <c r="D134" s="2208">
        <f>'8_MP'!H297</f>
        <v>0</v>
      </c>
      <c r="E134" s="2209">
        <f>'8_MP'!W297</f>
        <v>0</v>
      </c>
      <c r="F134" s="2210">
        <f>'8_MP'!AI297</f>
        <v>0</v>
      </c>
      <c r="G134" s="1810" t="s">
        <v>2962</v>
      </c>
    </row>
    <row r="135" spans="1:7" s="1768" customFormat="1" ht="16" outlineLevel="1">
      <c r="A135" s="2198"/>
      <c r="B135" s="2198"/>
      <c r="C135" s="2203">
        <f>'8_MP'!D304</f>
        <v>0</v>
      </c>
      <c r="D135" s="2204">
        <f>'8_MP'!H304</f>
        <v>0</v>
      </c>
      <c r="E135" s="2205"/>
      <c r="F135" s="2206">
        <f>+F136+F137</f>
        <v>0</v>
      </c>
      <c r="G135" s="1915" t="s">
        <v>2962</v>
      </c>
    </row>
    <row r="136" spans="1:7" ht="16" outlineLevel="2">
      <c r="A136" s="2175"/>
      <c r="B136" s="2175"/>
      <c r="C136" s="2207">
        <f>'8_MP'!D305</f>
        <v>0</v>
      </c>
      <c r="D136" s="2208">
        <f>'8_MP'!H305</f>
        <v>0</v>
      </c>
      <c r="E136" s="2209">
        <f>'8_MP'!W305</f>
        <v>0</v>
      </c>
      <c r="F136" s="2210">
        <f>'8_MP'!AI305</f>
        <v>0</v>
      </c>
      <c r="G136" s="1810" t="s">
        <v>2962</v>
      </c>
    </row>
    <row r="137" spans="1:7" ht="16" outlineLevel="2">
      <c r="A137" s="2175"/>
      <c r="B137" s="2175"/>
      <c r="C137" s="2207">
        <f>'8_MP'!D306</f>
        <v>0</v>
      </c>
      <c r="D137" s="2208">
        <f>'8_MP'!H306</f>
        <v>0</v>
      </c>
      <c r="E137" s="2209">
        <f>'8_MP'!W306</f>
        <v>0</v>
      </c>
      <c r="F137" s="2210">
        <f>'8_MP'!AI306</f>
        <v>0</v>
      </c>
      <c r="G137" s="1810" t="s">
        <v>2962</v>
      </c>
    </row>
    <row r="138" spans="1:7" s="1768" customFormat="1" ht="16">
      <c r="A138" s="2170" t="s">
        <v>2961</v>
      </c>
      <c r="B138" s="2170" t="s">
        <v>5</v>
      </c>
      <c r="C138" s="2171">
        <f>'8_MP'!$D$309</f>
        <v>0</v>
      </c>
      <c r="D138" s="2172">
        <f>'8_MP'!$H$309</f>
        <v>0</v>
      </c>
      <c r="E138" s="2173"/>
      <c r="F138" s="2174">
        <f>+F139+F140</f>
        <v>0</v>
      </c>
    </row>
    <row r="139" spans="1:7" outlineLevel="1">
      <c r="A139" s="2175"/>
      <c r="B139" s="2175"/>
      <c r="C139" s="2176">
        <f>'8_MP'!$D$310</f>
        <v>0</v>
      </c>
      <c r="D139" s="2177">
        <f>'8_MP'!$H$310</f>
        <v>0</v>
      </c>
      <c r="E139" s="2182">
        <f>'8_MP'!$W$310</f>
        <v>0</v>
      </c>
      <c r="F139" s="2179">
        <f>'8_MP'!$AI$310</f>
        <v>0</v>
      </c>
    </row>
    <row r="140" spans="1:7" outlineLevel="1">
      <c r="A140" s="2175"/>
      <c r="B140" s="2175"/>
      <c r="C140" s="2176">
        <f>'8_MP'!$D$312</f>
        <v>0</v>
      </c>
      <c r="D140" s="2177">
        <f>'8_MP'!$H$312</f>
        <v>0</v>
      </c>
      <c r="E140" s="2182">
        <f>'8_MP'!$W$312</f>
        <v>0</v>
      </c>
      <c r="F140" s="2179">
        <f>'8_MP'!$AI$312</f>
        <v>0</v>
      </c>
    </row>
    <row r="141" spans="1:7">
      <c r="A141" s="2166"/>
      <c r="B141" s="2166"/>
      <c r="C141" s="2167">
        <f>'8_MP'!$D$323</f>
        <v>0</v>
      </c>
      <c r="D141" s="2168">
        <f>'8_MP'!$H$323</f>
        <v>0</v>
      </c>
      <c r="E141" s="2166"/>
      <c r="F141" s="2169">
        <f>+F142+F146+F149+F151</f>
        <v>2053000</v>
      </c>
    </row>
    <row r="142" spans="1:7" s="1768" customFormat="1" ht="16" collapsed="1">
      <c r="A142" s="2170" t="s">
        <v>2961</v>
      </c>
      <c r="B142" s="2170" t="s">
        <v>5</v>
      </c>
      <c r="C142" s="2171" t="str">
        <f>'8_MP'!$D$325</f>
        <v>2.3.1.1</v>
      </c>
      <c r="D142" s="2172" t="str">
        <f>'8_MP'!$H$325</f>
        <v xml:space="preserve"> Generación de Capacidades, arquitectura y herramientas analíticas TI</v>
      </c>
      <c r="E142" s="2173"/>
      <c r="F142" s="2174">
        <f>SUM(F143:F145)</f>
        <v>280000</v>
      </c>
    </row>
    <row r="143" spans="1:7" ht="16" outlineLevel="1">
      <c r="A143" s="2175"/>
      <c r="B143" s="2175"/>
      <c r="C143" s="2176" t="str">
        <f>'8_MP'!D326</f>
        <v>2.3.1.1.1</v>
      </c>
      <c r="D143" s="2177" t="str">
        <f>'8_MP'!H326</f>
        <v>Analisis de Capacidades de Brechas basado en COBIT y generacion del plan de gobierno de TI</v>
      </c>
      <c r="E143" s="2178" t="s">
        <v>763</v>
      </c>
      <c r="F143" s="2179">
        <f>'8_MP'!$AI$326</f>
        <v>30000</v>
      </c>
    </row>
    <row r="144" spans="1:7" ht="32" outlineLevel="1">
      <c r="A144" s="2175"/>
      <c r="B144" s="2175"/>
      <c r="C144" s="2176" t="str">
        <f>'8_MP'!D327</f>
        <v>2.3.1.1.2</v>
      </c>
      <c r="D144" s="2177" t="str">
        <f>'8_MP'!H327</f>
        <v>Elaboración de TdR de personal en misión la CGR tiene capacidades internas con el apoyo del BID</v>
      </c>
      <c r="E144" s="2178"/>
      <c r="F144" s="2179">
        <f>'8_MP'!$AI$327</f>
        <v>0</v>
      </c>
    </row>
    <row r="145" spans="1:6" ht="32" outlineLevel="1">
      <c r="A145" s="2175"/>
      <c r="B145" s="2175"/>
      <c r="C145" s="2176" t="str">
        <f>'8_MP'!D328</f>
        <v>2.3.1.1.3</v>
      </c>
      <c r="D145" s="2177" t="str">
        <f>'8_MP'!H328</f>
        <v>Contratación de personal en Mision para fortalecer de capacidades de TI, contrapartes a las firmas de consultoría y transferir conocimiento a la Entidad - Fase 1</v>
      </c>
      <c r="E145" s="2178" t="s">
        <v>2963</v>
      </c>
      <c r="F145" s="2179">
        <f>'8_MP'!$AI$329/2</f>
        <v>250000</v>
      </c>
    </row>
    <row r="146" spans="1:6" s="1768" customFormat="1" ht="32">
      <c r="A146" s="2170" t="s">
        <v>2961</v>
      </c>
      <c r="B146" s="2170" t="s">
        <v>5</v>
      </c>
      <c r="C146" s="2171" t="str">
        <f>'8_MP'!$D$340</f>
        <v>2.3.1.1.5</v>
      </c>
      <c r="D146" s="2172" t="str">
        <f>'8_MP'!$H$340</f>
        <v>Arquitectura Empresarial realizada, incluyendo la construcción e implementación de componentes de software</v>
      </c>
      <c r="E146" s="2173"/>
      <c r="F146" s="2174">
        <f>SUM(F147:F148)</f>
        <v>1250000</v>
      </c>
    </row>
    <row r="147" spans="1:6" ht="32" outlineLevel="1">
      <c r="A147" s="2175"/>
      <c r="B147" s="2175"/>
      <c r="C147" s="2176" t="str">
        <f>'8_MP'!$D$341</f>
        <v>2.3.1.1.5.1</v>
      </c>
      <c r="D147" s="2177" t="str">
        <f>'8_MP'!$H$341</f>
        <v>Elaboración de TdR Incluye el apoyo en la evaluación técnica de la propuestas</v>
      </c>
      <c r="E147" s="2182" t="str">
        <f>'8_MP'!$W$341</f>
        <v>3CV</v>
      </c>
      <c r="F147" s="2179">
        <f>'8_MP'!$AI$341</f>
        <v>48000</v>
      </c>
    </row>
    <row r="148" spans="1:6" ht="64" outlineLevel="1">
      <c r="A148" s="2175"/>
      <c r="B148" s="2175"/>
      <c r="C148" s="2176" t="str">
        <f>'8_MP'!$D$342</f>
        <v>2.3.1.1.5.2</v>
      </c>
      <c r="D148" s="2177" t="str">
        <f>'8_MP'!$H$342</f>
        <v>Fase 1 Arquitectura estratégica (Diseño de alto nivel del funcionamiento del modelo de gestión de la CGR, incluido el modelo de gestión basado en riesgos) + Arquitectura de segmento ( Modelo de control Exante) , herramienta para el ciclo de vida de las recomendaciones + ajustes a los sistemas actuales incluyendo interoperabilidad.</v>
      </c>
      <c r="E148" s="2182" t="s">
        <v>853</v>
      </c>
      <c r="F148" s="2179">
        <f>'8_MP'!$AI$342</f>
        <v>1202000</v>
      </c>
    </row>
    <row r="149" spans="1:6" s="1768" customFormat="1" ht="32">
      <c r="A149" s="2170" t="s">
        <v>2961</v>
      </c>
      <c r="B149" s="2170" t="s">
        <v>5</v>
      </c>
      <c r="C149" s="2171" t="str">
        <f>'8_MP'!$D$358</f>
        <v>2.3.1.2</v>
      </c>
      <c r="D149" s="2172" t="str">
        <f>'8_MP'!$H$358</f>
        <v>Fortalecimiento de la infraestructura, servicios de TI y de los controles de ciberseguridad, implementados</v>
      </c>
      <c r="E149" s="2173"/>
      <c r="F149" s="2174">
        <f>+F150</f>
        <v>223000</v>
      </c>
    </row>
    <row r="150" spans="1:6" ht="16" outlineLevel="1">
      <c r="A150" s="2175"/>
      <c r="B150" s="2175"/>
      <c r="C150" s="2176" t="str">
        <f>'8_MP'!$D$360</f>
        <v>2.3.1.2.2</v>
      </c>
      <c r="D150" s="2177" t="str">
        <f>'8_MP'!$H$360</f>
        <v>Diseño e implementación interfaz web del sistema Trámite Regular Estructurado</v>
      </c>
      <c r="E150" s="2182" t="str">
        <f>'8_MP'!$W$360</f>
        <v>SBCC</v>
      </c>
      <c r="F150" s="2179">
        <f>'8_MP'!$AI$360</f>
        <v>223000</v>
      </c>
    </row>
    <row r="151" spans="1:6" s="1768" customFormat="1" ht="32">
      <c r="A151" s="2170" t="s">
        <v>2961</v>
      </c>
      <c r="B151" s="2170" t="s">
        <v>5</v>
      </c>
      <c r="C151" s="2171" t="str">
        <f>'8_MP'!$D$356</f>
        <v>2.3.1.1.7</v>
      </c>
      <c r="D151" s="2172" t="str">
        <f>'8_MP'!$H$356</f>
        <v>Sistema de información para la gestión integral de riesgos en los procesos de control interno, diseñado e implementado</v>
      </c>
      <c r="E151" s="2173"/>
      <c r="F151" s="2174">
        <f>+F152</f>
        <v>300000</v>
      </c>
    </row>
    <row r="152" spans="1:6" ht="16" outlineLevel="1">
      <c r="A152" s="2175"/>
      <c r="B152" s="2175"/>
      <c r="C152" s="2176" t="str">
        <f>'8_MP'!$D$364</f>
        <v>2.3.1.2.6</v>
      </c>
      <c r="D152" s="2177" t="str">
        <f>'8_MP'!$H$364</f>
        <v>Licenciamiento, parametrización e implementación del sistema</v>
      </c>
      <c r="E152" s="2182" t="str">
        <f>'8_MP'!$W$364</f>
        <v>LPI</v>
      </c>
      <c r="F152" s="2179">
        <f>'8_MP'!$AI$364</f>
        <v>300000</v>
      </c>
    </row>
    <row r="153" spans="1:6" ht="32">
      <c r="A153" s="2162"/>
      <c r="B153" s="2162"/>
      <c r="C153" s="2163" t="str">
        <f>'8_MP'!$D$368</f>
        <v>3</v>
      </c>
      <c r="D153" s="2164" t="str">
        <f>'8_MP'!$H$368</f>
        <v xml:space="preserve">Componente 3: Fortalecimiento del acceso a la información, participación ciudadana e integridad en la administración pública y sector privado </v>
      </c>
      <c r="E153" s="2162"/>
      <c r="F153" s="2165">
        <f>+F154+F167+F178+F193</f>
        <v>4428000</v>
      </c>
    </row>
    <row r="154" spans="1:6" ht="16" collapsed="1">
      <c r="A154" s="2166"/>
      <c r="B154" s="2166"/>
      <c r="C154" s="2167" t="str">
        <f>'8_MP'!$D$369</f>
        <v>3.1</v>
      </c>
      <c r="D154" s="2168" t="str">
        <f>'8_MP'!$H$369</f>
        <v>Subcomponente 3.1. Innovación pública para la Integridad y prevención de la corrupción</v>
      </c>
      <c r="E154" s="2166"/>
      <c r="F154" s="2169">
        <f>+F155+F157+F159+F163</f>
        <v>783000</v>
      </c>
    </row>
    <row r="155" spans="1:6" s="1768" customFormat="1" ht="48">
      <c r="A155" s="2170" t="s">
        <v>2958</v>
      </c>
      <c r="B155" s="2170" t="s">
        <v>1556</v>
      </c>
      <c r="C155" s="2171" t="str">
        <f>'8_MP'!$D$370</f>
        <v>3.1.1</v>
      </c>
      <c r="D155" s="2172" t="str">
        <f>'8_MP'!$H$370</f>
        <v>Producto 16: Sistema Nacional Integrado de Transparencia e Integridad Implementado. Incluye Plataforma de seguimiento y evaluación de componentes de integridad y sistema para el seguimiento de compromisos internacionales</v>
      </c>
      <c r="E155" s="2173"/>
      <c r="F155" s="2174">
        <f>+F156</f>
        <v>30000</v>
      </c>
    </row>
    <row r="156" spans="1:6" ht="48" outlineLevel="1">
      <c r="A156" s="2175"/>
      <c r="B156" s="2175"/>
      <c r="C156" s="2176" t="str">
        <f>'8_MP'!$D$372</f>
        <v>3.1.1.1.1</v>
      </c>
      <c r="D156" s="2211" t="str">
        <f>'8_MP'!$H$372</f>
        <v>Contratación de consultoría en Planificación, integración  e implementación de un modelo de integridad en la Unidad Etica e Integridad Gubernamental  basado en el estándar OCDE -integridad pública</v>
      </c>
      <c r="E156" s="2182" t="str">
        <f>'8_MP'!$W$372</f>
        <v>3CV</v>
      </c>
      <c r="F156" s="2179">
        <f>'8_MP'!$AI$372</f>
        <v>30000</v>
      </c>
    </row>
    <row r="157" spans="1:6" s="1768" customFormat="1" ht="32">
      <c r="A157" s="2170" t="s">
        <v>2958</v>
      </c>
      <c r="B157" s="2170" t="s">
        <v>1556</v>
      </c>
      <c r="C157" s="2171" t="str">
        <f>'8_MP'!$D$378</f>
        <v>3.1.1.2</v>
      </c>
      <c r="D157" s="2172" t="str">
        <f>'8_MP'!$H$378</f>
        <v>Plataforma TI de Seguimiento y Evaluación de componentes de integridad desarrollado e implementado</v>
      </c>
      <c r="E157" s="2173"/>
      <c r="F157" s="2174">
        <f>+F158</f>
        <v>20000</v>
      </c>
    </row>
    <row r="158" spans="1:6" ht="32" outlineLevel="1">
      <c r="A158" s="2175"/>
      <c r="B158" s="2175"/>
      <c r="C158" s="2176" t="str">
        <f>'8_MP'!$D$379</f>
        <v>3.1.1.2.1</v>
      </c>
      <c r="D158" s="2211" t="str">
        <f>'8_MP'!$H$379</f>
        <v>Contratación de consultor individual para establecimiento de reglas de negocio, tableros de control,  estándares,  requerimientos de usuarios, ciudadanos, etc</v>
      </c>
      <c r="E158" s="2182" t="str">
        <f>'8_MP'!$W$379</f>
        <v>3CV</v>
      </c>
      <c r="F158" s="2179">
        <f>'8_MP'!$AI$379</f>
        <v>20000</v>
      </c>
    </row>
    <row r="159" spans="1:6" s="1768" customFormat="1" ht="16">
      <c r="A159" s="2170" t="s">
        <v>2958</v>
      </c>
      <c r="B159" s="2170" t="s">
        <v>1556</v>
      </c>
      <c r="C159" s="2171" t="str">
        <f>'8_MP'!$D$398</f>
        <v>3.1.3</v>
      </c>
      <c r="D159" s="2172" t="str">
        <f>'8_MP'!$H$398</f>
        <v>Producto 18: Programa de cumplimiento e integridad para el sector privado desarrollado</v>
      </c>
      <c r="E159" s="2173"/>
      <c r="F159" s="2174">
        <f>SUM(F160:F162)</f>
        <v>213000</v>
      </c>
    </row>
    <row r="160" spans="1:6" ht="16" outlineLevel="1">
      <c r="A160" s="2175"/>
      <c r="B160" s="2175"/>
      <c r="C160" s="2176" t="str">
        <f>'8_MP'!D399</f>
        <v>3.1.3.1</v>
      </c>
      <c r="D160" s="2211" t="str">
        <f>'8_MP'!H399</f>
        <v>Elaboración de TdR de project manager exclusivo del producto</v>
      </c>
      <c r="E160" s="2182" t="str">
        <f>'8_MP'!W399</f>
        <v xml:space="preserve"> </v>
      </c>
      <c r="F160" s="2179">
        <f>'8_MP'!AI399</f>
        <v>0</v>
      </c>
    </row>
    <row r="161" spans="1:6" ht="48" outlineLevel="1">
      <c r="A161" s="2175"/>
      <c r="B161" s="2175"/>
      <c r="C161" s="2176" t="str">
        <f>'8_MP'!D400</f>
        <v>3.1.3.2</v>
      </c>
      <c r="D161" s="2211" t="str">
        <f>'8_MP'!H400</f>
        <v>Project Manager. Proceso de consulta del programa con el sector empresarial. Talleres de co-construcción iterativo.
- Diagnostico de dimensionamiento, alcance del programa y sus componentes, formularios</v>
      </c>
      <c r="E161" s="2182" t="str">
        <f>'8_MP'!W400</f>
        <v>3CV</v>
      </c>
      <c r="F161" s="2179">
        <f>'8_MP'!AI400</f>
        <v>63000</v>
      </c>
    </row>
    <row r="162" spans="1:6" ht="32" outlineLevel="1">
      <c r="A162" s="2175"/>
      <c r="B162" s="2175"/>
      <c r="C162" s="2176" t="str">
        <f>'8_MP'!$D$402</f>
        <v>3.1.3.4</v>
      </c>
      <c r="D162" s="2211" t="str">
        <f>'8_MP'!$H$402</f>
        <v>Desarrollo tecnológico de la plataforma de forma iterativa en etapas contemplando una inicial de ganancia temprana, difusión y educación</v>
      </c>
      <c r="E162" s="2182" t="str">
        <f>'8_MP'!$W$402</f>
        <v>SBCC</v>
      </c>
      <c r="F162" s="2179">
        <f>'8_MP'!$AI$402</f>
        <v>150000</v>
      </c>
    </row>
    <row r="163" spans="1:6" s="1768" customFormat="1" ht="16">
      <c r="A163" s="2170" t="s">
        <v>2958</v>
      </c>
      <c r="B163" s="2170" t="s">
        <v>1556</v>
      </c>
      <c r="C163" s="2171" t="str">
        <f>'8_MP'!D382</f>
        <v>3.1.1.3</v>
      </c>
      <c r="D163" s="2172" t="str">
        <f>'8_MP'!H382</f>
        <v>Estándar OCDE piloteado</v>
      </c>
      <c r="E163" s="2173"/>
      <c r="F163" s="2174">
        <f>SUM(F164:F166)</f>
        <v>520000</v>
      </c>
    </row>
    <row r="164" spans="1:6" ht="32" outlineLevel="1">
      <c r="A164" s="2175"/>
      <c r="B164" s="2175"/>
      <c r="C164" s="2176" t="str">
        <f>'8_MP'!D383</f>
        <v>3.1.1.3.1</v>
      </c>
      <c r="D164" s="2211" t="str">
        <f>'8_MP'!H383</f>
        <v>Contratación de firma consultora para la elaboración del Plan de acción en base al estandar  OCDE por sector y respectivos  talleres de seguimiento</v>
      </c>
      <c r="E164" s="2182" t="str">
        <f>'8_MP'!W383</f>
        <v>SBCC</v>
      </c>
      <c r="F164" s="2179">
        <f>'8_MP'!AI383</f>
        <v>160000</v>
      </c>
    </row>
    <row r="165" spans="1:6" ht="32" outlineLevel="1">
      <c r="A165" s="2175"/>
      <c r="B165" s="2175"/>
      <c r="C165" s="2176" t="str">
        <f>'8_MP'!D384</f>
        <v>3.1.1.3.2</v>
      </c>
      <c r="D165" s="2211" t="str">
        <f>'8_MP'!H384</f>
        <v>Contratación de firma consultora para la definición de estándares, procedimientos, herramientas, resoluciones para implementación del plan de acción</v>
      </c>
      <c r="E165" s="2182" t="str">
        <f>'8_MP'!W384</f>
        <v>SBCC</v>
      </c>
      <c r="F165" s="2179">
        <f>'8_MP'!AI384</f>
        <v>216000</v>
      </c>
    </row>
    <row r="166" spans="1:6" ht="32" outlineLevel="1">
      <c r="A166" s="2175"/>
      <c r="B166" s="2175"/>
      <c r="C166" s="2176" t="str">
        <f>'8_MP'!D385</f>
        <v>3.1.1.3.3</v>
      </c>
      <c r="D166" s="2211" t="str">
        <f>'8_MP'!H385</f>
        <v>Contratación de firma consultora para la coordinación de actividades en el marco del producto estándar OCDE</v>
      </c>
      <c r="E166" s="2182" t="str">
        <f>'8_MP'!W385</f>
        <v>SBCC</v>
      </c>
      <c r="F166" s="2179">
        <f>'8_MP'!AI385</f>
        <v>144000</v>
      </c>
    </row>
    <row r="167" spans="1:6" ht="32">
      <c r="A167" s="2166"/>
      <c r="B167" s="2166"/>
      <c r="C167" s="2167" t="str">
        <f>'8_MP'!$D$405</f>
        <v>3.2</v>
      </c>
      <c r="D167" s="2168" t="str">
        <f>'8_MP'!$H$405</f>
        <v>Subcomponente 3.2. Participación, control social y gestión de denuncias de corrupción administrativa</v>
      </c>
      <c r="E167" s="2166"/>
      <c r="F167" s="2169">
        <f>+F168+F171</f>
        <v>345000</v>
      </c>
    </row>
    <row r="168" spans="1:6" s="1768" customFormat="1" ht="48">
      <c r="A168" s="2170" t="s">
        <v>2958</v>
      </c>
      <c r="B168" s="2170" t="s">
        <v>1556</v>
      </c>
      <c r="C168" s="2171" t="str">
        <f>'8_MP'!$D$406</f>
        <v>3.2.1</v>
      </c>
      <c r="D168" s="2172" t="str">
        <f>'8_MP'!$H$406</f>
        <v>Producto 19: Sistema para realizar investigaciones, seguimiento y respuesta a las denuncias ciudadanas desarrollado. Incluye metodologías y plataforma tecnológica de participación ciudadana y seguimiento de denuncias con enfoque de género y diversidad.</v>
      </c>
      <c r="E168" s="2173"/>
      <c r="F168" s="2174">
        <f>+F169</f>
        <v>30000</v>
      </c>
    </row>
    <row r="169" spans="1:6" ht="48" outlineLevel="1">
      <c r="A169" s="2175"/>
      <c r="B169" s="2175"/>
      <c r="C169" s="2176" t="str">
        <f>'8_MP'!$D$408</f>
        <v>3.2.1.1.1</v>
      </c>
      <c r="D169" s="2211" t="str">
        <f>'8_MP'!$H$408</f>
        <v>Diagnóstico inicial, alcance y estandarización de procesos de investigación de denuncias y su seguimiento, incluye la metodología estandarizada del proceso de investigación de denuncias Lic. En Derecho</v>
      </c>
      <c r="E169" s="2182" t="str">
        <f>'8_MP'!$W$408</f>
        <v>3CV</v>
      </c>
      <c r="F169" s="2179">
        <f>'8_MP'!$AI$408</f>
        <v>30000</v>
      </c>
    </row>
    <row r="170" spans="1:6" ht="16" outlineLevel="1">
      <c r="A170" s="2175"/>
      <c r="B170" s="2175"/>
      <c r="C170" s="2176" t="str">
        <f>'8_MP'!$D$410</f>
        <v>3.2.1.3</v>
      </c>
      <c r="D170" s="2211" t="str">
        <f>'8_MP'!$H$410</f>
        <v>Apoyo en diseño, desarrollo, implementación y capacitación del sistema de forma iterativa</v>
      </c>
      <c r="E170" s="2182" t="str">
        <f>'8_MP'!$W$410</f>
        <v>SBCC</v>
      </c>
      <c r="F170" s="2179">
        <f>'8_MP'!$AI$410</f>
        <v>270000</v>
      </c>
    </row>
    <row r="171" spans="1:6" s="1768" customFormat="1" ht="32">
      <c r="A171" s="2170" t="s">
        <v>2958</v>
      </c>
      <c r="B171" s="2170" t="s">
        <v>1556</v>
      </c>
      <c r="C171" s="2171" t="str">
        <f>'8_MP'!$D$411</f>
        <v>3.2.1.2</v>
      </c>
      <c r="D171" s="2172" t="str">
        <f>'8_MP'!$H$411</f>
        <v>Plataforma tecnológica de participación ciudadana con enfoque de género y diversidad, implementado</v>
      </c>
      <c r="E171" s="2173"/>
      <c r="F171" s="2174">
        <f>+F172+F177</f>
        <v>315000</v>
      </c>
    </row>
    <row r="172" spans="1:6" ht="64" outlineLevel="1">
      <c r="A172" s="2184"/>
      <c r="B172" s="2184"/>
      <c r="C172" s="2185" t="str">
        <f>'8_MP'!D412</f>
        <v>3.2.2.1</v>
      </c>
      <c r="D172" s="2212" t="str">
        <f>'8_MP'!H412</f>
        <v>Diagnóstico de barreras y desafíos para la participación ciudadana y control social. Estrategia para ampliar la participación ciudadana garantizando el acceso de mujeres y grupos diversos. Diagnóstico, alcance, diseño de herramientas informáticas para mejorar la participación ciudadana en políticas y control social</v>
      </c>
      <c r="E172" s="2189"/>
      <c r="F172" s="2190">
        <f>SUM(F173:F176)</f>
        <v>180000</v>
      </c>
    </row>
    <row r="173" spans="1:6" ht="16" outlineLevel="1">
      <c r="A173" s="2175"/>
      <c r="B173" s="2175"/>
      <c r="C173" s="2176" t="str">
        <f>'8_MP'!D413</f>
        <v>3.2.2.1.1</v>
      </c>
      <c r="D173" s="2213" t="str">
        <f>'8_MP'!H413</f>
        <v>Elaboración de TdR con CT y Dirección de Transparencia y Gobierno Abierto</v>
      </c>
      <c r="E173" s="2182"/>
      <c r="F173" s="2179">
        <f>'8_MP'!$AI$413</f>
        <v>0</v>
      </c>
    </row>
    <row r="174" spans="1:6" ht="32" outlineLevel="1">
      <c r="A174" s="2175"/>
      <c r="B174" s="2175"/>
      <c r="C174" s="2176" t="str">
        <f>'8_MP'!D414</f>
        <v>3.2.2.1.2</v>
      </c>
      <c r="D174" s="2213" t="str">
        <f>'8_MP'!H414</f>
        <v>Consultor 1: Contratación de consultor para el desarrollo de un diagnóstico de barreras y desafíos para la participación ciudadana y control social</v>
      </c>
      <c r="E174" s="2182" t="str">
        <f>'8_MP'!W414</f>
        <v>3CV</v>
      </c>
      <c r="F174" s="2179">
        <f>'8_MP'!$AI$414</f>
        <v>60000</v>
      </c>
    </row>
    <row r="175" spans="1:6" ht="32" outlineLevel="1">
      <c r="A175" s="2175"/>
      <c r="B175" s="2175"/>
      <c r="C175" s="2176" t="str">
        <f>'8_MP'!D415</f>
        <v>3.2.2.1.3</v>
      </c>
      <c r="D175" s="2213" t="str">
        <f>'8_MP'!H415</f>
        <v>Consultor 2: Contratación de consultor para el diseño de una estrategia para ampliar la participación ciudadana garantizando el acceso de mujeres y grupos diversos</v>
      </c>
      <c r="E175" s="2182" t="str">
        <f>'8_MP'!W415</f>
        <v>3CV</v>
      </c>
      <c r="F175" s="2179">
        <f>'8_MP'!$AI$415</f>
        <v>60000</v>
      </c>
    </row>
    <row r="176" spans="1:6" ht="48" outlineLevel="1">
      <c r="A176" s="2175"/>
      <c r="B176" s="2175"/>
      <c r="C176" s="2176" t="str">
        <f>'8_MP'!D416</f>
        <v>3.2.2.1.4</v>
      </c>
      <c r="D176" s="2213" t="str">
        <f>'8_MP'!H416</f>
        <v>Consultor 3: Contratación de consultor para el desarrollo de un diagnóstico, alcance, diseño de herramientas informáticas para mejorar la participación ciudadana en políticas y control social</v>
      </c>
      <c r="E176" s="2182" t="str">
        <f>'8_MP'!W416</f>
        <v>3CV</v>
      </c>
      <c r="F176" s="2179">
        <f>'8_MP'!$AI$416</f>
        <v>60000</v>
      </c>
    </row>
    <row r="177" spans="1:6" ht="32" outlineLevel="1">
      <c r="A177" s="2175"/>
      <c r="B177" s="2175"/>
      <c r="C177" s="2176" t="str">
        <f>'8_MP'!$D$417</f>
        <v>3.2.2.3</v>
      </c>
      <c r="D177" s="2211" t="str">
        <f>'8_MP'!$H$417</f>
        <v>Construcción de herramientas informáticas para mejorar la participación ciudadana en políticas y control social</v>
      </c>
      <c r="E177" s="2182" t="str">
        <f>'8_MP'!$W$417</f>
        <v>SBCC</v>
      </c>
      <c r="F177" s="2179">
        <f>'8_MP'!$AI$417</f>
        <v>135000</v>
      </c>
    </row>
    <row r="178" spans="1:6" ht="16">
      <c r="A178" s="2166"/>
      <c r="B178" s="2166"/>
      <c r="C178" s="2167" t="str">
        <f>'8_MP'!$D$421</f>
        <v>3.3</v>
      </c>
      <c r="D178" s="2168" t="str">
        <f>'8_MP'!$H$421</f>
        <v xml:space="preserve">Subcomponente 3.3. Innovación para la transparencia y el acceso a la información </v>
      </c>
      <c r="E178" s="2166"/>
      <c r="F178" s="2169">
        <f>+F179</f>
        <v>3300000</v>
      </c>
    </row>
    <row r="179" spans="1:6" s="1768" customFormat="1" ht="16">
      <c r="A179" s="2170" t="s">
        <v>2958</v>
      </c>
      <c r="B179" s="2170" t="s">
        <v>1556</v>
      </c>
      <c r="C179" s="2171" t="str">
        <f>'8_MP'!$D$422</f>
        <v>3.3.1</v>
      </c>
      <c r="D179" s="2172" t="str">
        <f>'8_MP'!$H$422</f>
        <v>Producto 20: Plataforma tecnológica Nacional de Transparencia diseñado e implementado</v>
      </c>
      <c r="E179" s="2173"/>
      <c r="F179" s="2174">
        <f>SUM(F180:F192)</f>
        <v>3300000</v>
      </c>
    </row>
    <row r="180" spans="1:6" ht="32" outlineLevel="1">
      <c r="A180" s="2175"/>
      <c r="B180" s="2175"/>
      <c r="C180" s="2176" t="str">
        <f>'8_MP'!D423</f>
        <v>3.3.1.1</v>
      </c>
      <c r="D180" s="2177" t="str">
        <f>'8_MP'!H423</f>
        <v>Diagnóstico del dimensionamiento del Sistema Nacional de Transparencia (normas, procesos, reglas de negocio, alcance)</v>
      </c>
      <c r="E180" s="2182" t="str">
        <f>'8_MP'!W423</f>
        <v>3CV</v>
      </c>
      <c r="F180" s="2179">
        <f>'8_MP'!AI423</f>
        <v>40000</v>
      </c>
    </row>
    <row r="181" spans="1:6" ht="32" outlineLevel="1">
      <c r="A181" s="2175"/>
      <c r="B181" s="2175"/>
      <c r="C181" s="2176" t="str">
        <f>'8_MP'!D425</f>
        <v>3.3.1.2.1</v>
      </c>
      <c r="D181" s="2177" t="str">
        <f>'8_MP'!H425</f>
        <v>Ejercicio de arquitectura empresarial del sistema de transparencia, incluyendo mecanismos de recolección de información para el Sistema Nacional de Transparencia</v>
      </c>
      <c r="E181" s="4294" t="str">
        <f>'8_MP'!W425</f>
        <v>SBCC</v>
      </c>
      <c r="F181" s="2179">
        <f>'8_MP'!AI425</f>
        <v>400000</v>
      </c>
    </row>
    <row r="182" spans="1:6" ht="32" outlineLevel="1">
      <c r="A182" s="2175"/>
      <c r="B182" s="2175"/>
      <c r="C182" s="2176" t="str">
        <f>'8_MP'!D426</f>
        <v>3.3.1.2.2</v>
      </c>
      <c r="D182" s="2177" t="str">
        <f>'8_MP'!H426</f>
        <v>Definición del gobierno de datos y metadatos permitiendo la desagregación por variables de género y diversidad</v>
      </c>
      <c r="E182" s="4294"/>
      <c r="F182" s="2179">
        <f>'8_MP'!AI426</f>
        <v>200000</v>
      </c>
    </row>
    <row r="183" spans="1:6" ht="96" outlineLevel="1">
      <c r="A183" s="2175"/>
      <c r="B183" s="2175"/>
      <c r="C183" s="2176" t="str">
        <f>'8_MP'!D427</f>
        <v>3.3.1.2.3</v>
      </c>
      <c r="D183" s="2177" t="str">
        <f>'8_MP'!H427</f>
        <v>Diseño e implementación de los procesos, gestión del cambio y estructura organizacional necesaria (RRHH, Decretos, manuales de procedimientos) y plan de implementación. El Sistema Nacional de Transparencia integra los sub-portales de Transparencia Institucional, el portal de Datos Abiertos, de Gobierno Abierto, y de Solicitud de Acceso a la Información Pública, el Portal Unico de Transparencia y el Tablero de control de seguimiento, la herramienta de fiscalización en materia de transparencia activa.</v>
      </c>
      <c r="E183" s="4294"/>
      <c r="F183" s="2179">
        <f>'8_MP'!AI427</f>
        <v>150000</v>
      </c>
    </row>
    <row r="184" spans="1:6" ht="32" outlineLevel="1">
      <c r="A184" s="2175"/>
      <c r="B184" s="2175"/>
      <c r="C184" s="2176" t="str">
        <f>'8_MP'!D428</f>
        <v>3.3.1.2.4</v>
      </c>
      <c r="D184" s="2177" t="str">
        <f>'8_MP'!H428</f>
        <v>Desarrollo tecnológico del Sistema Nacional de Transparencia por versiones implementadas en forma incremental</v>
      </c>
      <c r="E184" s="4294"/>
      <c r="F184" s="2179">
        <f>'8_MP'!AI428</f>
        <v>800000</v>
      </c>
    </row>
    <row r="185" spans="1:6" ht="32" outlineLevel="1">
      <c r="A185" s="2175"/>
      <c r="B185" s="2175"/>
      <c r="C185" s="2176" t="str">
        <f>'8_MP'!D429</f>
        <v>3.3.1.2.5</v>
      </c>
      <c r="D185" s="2177" t="str">
        <f>'8_MP'!H429</f>
        <v>Desarrollo de una capa de analítica del Sistema Nacional de Transparencia, incluyendo calidad de datos, modelos y herramientas.</v>
      </c>
      <c r="E185" s="4294"/>
      <c r="F185" s="2179">
        <f>'8_MP'!AI429</f>
        <v>300000</v>
      </c>
    </row>
    <row r="186" spans="1:6" ht="16" outlineLevel="1">
      <c r="A186" s="2175"/>
      <c r="B186" s="2175"/>
      <c r="C186" s="2176" t="str">
        <f>'8_MP'!D430</f>
        <v>3.3.1.2.6</v>
      </c>
      <c r="D186" s="2177" t="str">
        <f>'8_MP'!H430</f>
        <v>Infraestructura y servicio TICs (licencias, equipos, almacenamiento)</v>
      </c>
      <c r="E186" s="4294"/>
      <c r="F186" s="2179">
        <f>'8_MP'!AI430</f>
        <v>400000</v>
      </c>
    </row>
    <row r="187" spans="1:6" ht="32" outlineLevel="1">
      <c r="A187" s="2175"/>
      <c r="B187" s="2175"/>
      <c r="C187" s="2176" t="str">
        <f>'8_MP'!D431</f>
        <v>3.3.1.2.7</v>
      </c>
      <c r="D187" s="2177" t="str">
        <f>'8_MP'!H431</f>
        <v>Diseño y elaboración de tutoriales (autoformativos) para usuarios finales (con accesibilidad para personas con discapacidad).</v>
      </c>
      <c r="E187" s="4294"/>
      <c r="F187" s="2179">
        <f>'8_MP'!AI431</f>
        <v>50000</v>
      </c>
    </row>
    <row r="188" spans="1:6" ht="32" outlineLevel="1">
      <c r="A188" s="2175"/>
      <c r="B188" s="2175"/>
      <c r="C188" s="2176" t="str">
        <f>'8_MP'!D432</f>
        <v>3.3.1.2.8</v>
      </c>
      <c r="D188" s="2177" t="str">
        <f>'8_MP'!H432</f>
        <v>Capacitación de funcionamiento de la plataforma para funcionarios públicos y operadores del sistema</v>
      </c>
      <c r="E188" s="4294"/>
      <c r="F188" s="2179">
        <f>'8_MP'!AI432</f>
        <v>100000</v>
      </c>
    </row>
    <row r="189" spans="1:6" ht="48" outlineLevel="1">
      <c r="A189" s="2175"/>
      <c r="B189" s="2175"/>
      <c r="C189" s="2176" t="str">
        <f>'8_MP'!D433</f>
        <v>3.3.1.2.9</v>
      </c>
      <c r="D189" s="2177" t="str">
        <f>'8_MP'!H433</f>
        <v>Implementación del nuevo Portal de Solicitud de Acceso a la Información Pública (SAIP) que permita verificar el cumplimiento normativo y la calidad de la respuesta a las solicitudes de acceso a la información pública, diseñada e implementada</v>
      </c>
      <c r="E189" s="4294"/>
      <c r="F189" s="2179">
        <f>'8_MP'!AI433</f>
        <v>170000</v>
      </c>
    </row>
    <row r="190" spans="1:6" ht="16" outlineLevel="1">
      <c r="A190" s="2175"/>
      <c r="B190" s="2175"/>
      <c r="C190" s="2176" t="str">
        <f>'8_MP'!D434</f>
        <v>3.3.1.2.10</v>
      </c>
      <c r="D190" s="2177" t="str">
        <f>'8_MP'!H434</f>
        <v>Capacitación de funcionamiento del SAIP</v>
      </c>
      <c r="E190" s="4294"/>
      <c r="F190" s="2179">
        <f>'8_MP'!AI434</f>
        <v>100000</v>
      </c>
    </row>
    <row r="191" spans="1:6" ht="32" outlineLevel="1">
      <c r="A191" s="2175"/>
      <c r="B191" s="2175"/>
      <c r="C191" s="2176" t="str">
        <f>'8_MP'!D435</f>
        <v>3.3.1.2.11</v>
      </c>
      <c r="D191" s="2177" t="str">
        <f>'8_MP'!H435</f>
        <v>Diseño de un esquema de incentivos para el cumplimiento de los objetivos de transparencia activa</v>
      </c>
      <c r="E191" s="4294"/>
      <c r="F191" s="2179">
        <f>'8_MP'!AI435</f>
        <v>40000</v>
      </c>
    </row>
    <row r="192" spans="1:6" ht="16" outlineLevel="1">
      <c r="A192" s="2175"/>
      <c r="B192" s="2175"/>
      <c r="C192" s="2176" t="str">
        <f>'8_MP'!D436</f>
        <v>3.3.1.2.12</v>
      </c>
      <c r="D192" s="2177" t="str">
        <f>'8_MP'!H436</f>
        <v>Apoyo técnico para el seguimiento y operación del Sistema Nacional de Transparencia</v>
      </c>
      <c r="E192" s="4294"/>
      <c r="F192" s="2179">
        <f>'8_MP'!AI436</f>
        <v>550000</v>
      </c>
    </row>
    <row r="193" spans="1:6" ht="16">
      <c r="A193" s="2166"/>
      <c r="B193" s="2166"/>
      <c r="C193" s="2167" t="str">
        <f>'8_MP'!$D$439</f>
        <v>3.4</v>
      </c>
      <c r="D193" s="2168" t="str">
        <f>'8_MP'!$H$439</f>
        <v>Subcomponente 3.4. Comunicación y capacitación para la transparencia y la integridad</v>
      </c>
      <c r="E193" s="2166"/>
      <c r="F193" s="2169">
        <v>0</v>
      </c>
    </row>
    <row r="194" spans="1:6" ht="16" collapsed="1">
      <c r="A194" s="2162"/>
      <c r="B194" s="2162"/>
      <c r="C194" s="2163" t="e">
        <f>'8_MP'!#REF!</f>
        <v>#REF!</v>
      </c>
      <c r="D194" s="2164" t="e">
        <f>'8_MP'!#REF!</f>
        <v>#REF!</v>
      </c>
      <c r="E194" s="2162"/>
      <c r="F194" s="2165" t="e">
        <f>+F195+F217+F219</f>
        <v>#REF!</v>
      </c>
    </row>
    <row r="195" spans="1:6" s="1768" customFormat="1" ht="16">
      <c r="A195" s="2170"/>
      <c r="B195" s="2170"/>
      <c r="C195" s="2171" t="e">
        <f>'8_MP'!#REF!</f>
        <v>#REF!</v>
      </c>
      <c r="D195" s="2172" t="e">
        <f>'8_MP'!#REF!</f>
        <v>#REF!</v>
      </c>
      <c r="E195" s="2173"/>
      <c r="F195" s="2174" t="e">
        <f>+F196+F208</f>
        <v>#REF!</v>
      </c>
    </row>
    <row r="196" spans="1:6" ht="16" outlineLevel="1">
      <c r="A196" s="2184" t="s">
        <v>2958</v>
      </c>
      <c r="B196" s="2184"/>
      <c r="C196" s="2185" t="e">
        <f>'8_MP'!#REF!</f>
        <v>#REF!</v>
      </c>
      <c r="D196" s="2186" t="e">
        <f>'8_MP'!#REF!</f>
        <v>#REF!</v>
      </c>
      <c r="E196" s="2184"/>
      <c r="F196" s="2190" t="e">
        <f>+F197+F206</f>
        <v>#REF!</v>
      </c>
    </row>
    <row r="197" spans="1:6" ht="16" outlineLevel="2">
      <c r="A197" s="2214"/>
      <c r="B197" s="2214"/>
      <c r="C197" s="2215" t="e">
        <f>'8_MP'!#REF!</f>
        <v>#REF!</v>
      </c>
      <c r="D197" s="2216" t="e">
        <f>'8_MP'!#REF!</f>
        <v>#REF!</v>
      </c>
      <c r="E197" s="2214"/>
      <c r="F197" s="2217" t="e">
        <f>SUM(F198:F205)</f>
        <v>#REF!</v>
      </c>
    </row>
    <row r="198" spans="1:6" ht="16" outlineLevel="2">
      <c r="A198" s="2218"/>
      <c r="B198" s="2218"/>
      <c r="C198" s="2219" t="e">
        <f>'8_MP'!#REF!</f>
        <v>#REF!</v>
      </c>
      <c r="D198" s="2220" t="e">
        <f>'8_MP'!#REF!</f>
        <v>#REF!</v>
      </c>
      <c r="E198" s="2218" t="e">
        <f>'8_MP'!#REF!</f>
        <v>#REF!</v>
      </c>
      <c r="F198" s="2221" t="e">
        <f>'8_MP'!#REF!</f>
        <v>#REF!</v>
      </c>
    </row>
    <row r="199" spans="1:6" ht="16" outlineLevel="2">
      <c r="A199" s="2218"/>
      <c r="B199" s="2218"/>
      <c r="C199" s="2219" t="e">
        <f>'8_MP'!#REF!</f>
        <v>#REF!</v>
      </c>
      <c r="D199" s="2220" t="e">
        <f>'8_MP'!#REF!</f>
        <v>#REF!</v>
      </c>
      <c r="E199" s="2218" t="e">
        <f>'8_MP'!#REF!</f>
        <v>#REF!</v>
      </c>
      <c r="F199" s="2221" t="e">
        <f>'8_MP'!#REF!</f>
        <v>#REF!</v>
      </c>
    </row>
    <row r="200" spans="1:6" ht="16" outlineLevel="2">
      <c r="A200" s="2218"/>
      <c r="B200" s="2218"/>
      <c r="C200" s="2219" t="e">
        <f>'8_MP'!#REF!</f>
        <v>#REF!</v>
      </c>
      <c r="D200" s="2220" t="e">
        <f>'8_MP'!#REF!</f>
        <v>#REF!</v>
      </c>
      <c r="E200" s="2218" t="e">
        <f>'8_MP'!#REF!</f>
        <v>#REF!</v>
      </c>
      <c r="F200" s="2221" t="e">
        <f>'8_MP'!#REF!</f>
        <v>#REF!</v>
      </c>
    </row>
    <row r="201" spans="1:6" ht="16" outlineLevel="2">
      <c r="A201" s="2218"/>
      <c r="B201" s="2218"/>
      <c r="C201" s="2219" t="e">
        <f>'8_MP'!#REF!</f>
        <v>#REF!</v>
      </c>
      <c r="D201" s="2220" t="e">
        <f>'8_MP'!#REF!</f>
        <v>#REF!</v>
      </c>
      <c r="E201" s="2218" t="e">
        <f>'8_MP'!#REF!</f>
        <v>#REF!</v>
      </c>
      <c r="F201" s="2221" t="e">
        <f>'8_MP'!#REF!</f>
        <v>#REF!</v>
      </c>
    </row>
    <row r="202" spans="1:6" ht="16" outlineLevel="2">
      <c r="A202" s="2175"/>
      <c r="B202" s="2175"/>
      <c r="C202" s="2176" t="e">
        <f>'8_MP'!#REF!</f>
        <v>#REF!</v>
      </c>
      <c r="D202" s="2180" t="e">
        <f>'8_MP'!#REF!</f>
        <v>#REF!</v>
      </c>
      <c r="E202" s="2175" t="e">
        <f>'8_MP'!#REF!</f>
        <v>#REF!</v>
      </c>
      <c r="F202" s="2179" t="e">
        <f>'8_MP'!#REF!</f>
        <v>#REF!</v>
      </c>
    </row>
    <row r="203" spans="1:6" ht="16" outlineLevel="2">
      <c r="A203" s="2175"/>
      <c r="B203" s="2175"/>
      <c r="C203" s="2176" t="e">
        <f>'8_MP'!#REF!</f>
        <v>#REF!</v>
      </c>
      <c r="D203" s="2180" t="e">
        <f>'8_MP'!#REF!</f>
        <v>#REF!</v>
      </c>
      <c r="E203" s="2175" t="e">
        <f>'8_MP'!#REF!</f>
        <v>#REF!</v>
      </c>
      <c r="F203" s="2179" t="e">
        <f>'8_MP'!#REF!</f>
        <v>#REF!</v>
      </c>
    </row>
    <row r="204" spans="1:6" ht="16" outlineLevel="2">
      <c r="A204" s="2175"/>
      <c r="B204" s="2175"/>
      <c r="C204" s="2176" t="e">
        <f>'8_MP'!#REF!</f>
        <v>#REF!</v>
      </c>
      <c r="D204" s="2180" t="e">
        <f>'8_MP'!#REF!</f>
        <v>#REF!</v>
      </c>
      <c r="E204" s="2175" t="e">
        <f>'8_MP'!#REF!</f>
        <v>#REF!</v>
      </c>
      <c r="F204" s="2179" t="e">
        <f>'8_MP'!#REF!</f>
        <v>#REF!</v>
      </c>
    </row>
    <row r="205" spans="1:6" ht="16" outlineLevel="2">
      <c r="A205" s="2175"/>
      <c r="B205" s="2175"/>
      <c r="C205" s="2176" t="e">
        <f>'8_MP'!#REF!</f>
        <v>#REF!</v>
      </c>
      <c r="D205" s="2180" t="e">
        <f>'8_MP'!#REF!</f>
        <v>#REF!</v>
      </c>
      <c r="E205" s="2222" t="e">
        <f>'8_MP'!#REF!</f>
        <v>#REF!</v>
      </c>
      <c r="F205" s="2179" t="e">
        <f>'8_MP'!#REF!</f>
        <v>#REF!</v>
      </c>
    </row>
    <row r="206" spans="1:6" ht="16" outlineLevel="2">
      <c r="A206" s="2223"/>
      <c r="B206" s="2223"/>
      <c r="C206" s="2224" t="e">
        <f>'8_MP'!#REF!</f>
        <v>#REF!</v>
      </c>
      <c r="D206" s="2225" t="e">
        <f>'8_MP'!#REF!</f>
        <v>#REF!</v>
      </c>
      <c r="E206" s="2214"/>
      <c r="F206" s="2217" t="e">
        <f>SUM(F207:F207)</f>
        <v>#REF!</v>
      </c>
    </row>
    <row r="207" spans="1:6" ht="16" outlineLevel="2">
      <c r="A207" s="2175"/>
      <c r="B207" s="2175"/>
      <c r="C207" s="2176" t="e">
        <f>'8_MP'!#REF!</f>
        <v>#REF!</v>
      </c>
      <c r="D207" s="2180" t="e">
        <f>'8_MP'!#REF!</f>
        <v>#REF!</v>
      </c>
      <c r="E207" s="2175" t="s">
        <v>763</v>
      </c>
      <c r="F207" s="2179" t="e">
        <f>'8_MP'!#REF!</f>
        <v>#REF!</v>
      </c>
    </row>
    <row r="208" spans="1:6" ht="16" outlineLevel="1">
      <c r="A208" s="2226" t="s">
        <v>2961</v>
      </c>
      <c r="B208" s="2226"/>
      <c r="C208" s="2192" t="e">
        <f>'8_MP'!#REF!</f>
        <v>#REF!</v>
      </c>
      <c r="D208" s="2193" t="e">
        <f>'8_MP'!#REF!</f>
        <v>#REF!</v>
      </c>
      <c r="E208" s="2184"/>
      <c r="F208" s="2190" t="e">
        <f>SUM(F209:F215)</f>
        <v>#REF!</v>
      </c>
    </row>
    <row r="209" spans="1:6" outlineLevel="2">
      <c r="A209" s="2227"/>
      <c r="B209" s="2227"/>
      <c r="C209" s="2228" t="e">
        <f>'8_MP'!#REF!</f>
        <v>#REF!</v>
      </c>
      <c r="D209" s="2229" t="e">
        <f>'8_MP'!#REF!</f>
        <v>#REF!</v>
      </c>
      <c r="E209" s="2230" t="e">
        <f>'8_MP'!#REF!</f>
        <v>#REF!</v>
      </c>
      <c r="F209" s="2221" t="e">
        <f>'8_MP'!#REF!</f>
        <v>#REF!</v>
      </c>
    </row>
    <row r="210" spans="1:6" outlineLevel="2">
      <c r="A210" s="2227"/>
      <c r="B210" s="2227"/>
      <c r="C210" s="2231" t="e">
        <f>'8_MP'!#REF!</f>
        <v>#REF!</v>
      </c>
      <c r="D210" s="2232" t="e">
        <f>'8_MP'!#REF!</f>
        <v>#REF!</v>
      </c>
      <c r="E210" s="2182" t="e">
        <f>'8_MP'!#REF!</f>
        <v>#REF!</v>
      </c>
      <c r="F210" s="2179" t="e">
        <f>'8_MP'!#REF!</f>
        <v>#REF!</v>
      </c>
    </row>
    <row r="211" spans="1:6" outlineLevel="2">
      <c r="A211" s="2227"/>
      <c r="B211" s="2227"/>
      <c r="C211" s="2228" t="e">
        <f>'8_MP'!#REF!</f>
        <v>#REF!</v>
      </c>
      <c r="D211" s="2229" t="e">
        <f>'8_MP'!#REF!</f>
        <v>#REF!</v>
      </c>
      <c r="E211" s="2230" t="e">
        <f>'8_MP'!#REF!</f>
        <v>#REF!</v>
      </c>
      <c r="F211" s="2221" t="e">
        <f>'8_MP'!#REF!</f>
        <v>#REF!</v>
      </c>
    </row>
    <row r="212" spans="1:6" outlineLevel="2">
      <c r="A212" s="2227"/>
      <c r="B212" s="2227"/>
      <c r="C212" s="2228" t="e">
        <f>'8_MP'!#REF!</f>
        <v>#REF!</v>
      </c>
      <c r="D212" s="2229" t="e">
        <f>'8_MP'!#REF!</f>
        <v>#REF!</v>
      </c>
      <c r="E212" s="2230" t="e">
        <f>'8_MP'!#REF!</f>
        <v>#REF!</v>
      </c>
      <c r="F212" s="2221" t="e">
        <f>'8_MP'!#REF!</f>
        <v>#REF!</v>
      </c>
    </row>
    <row r="213" spans="1:6" outlineLevel="2">
      <c r="A213" s="2227"/>
      <c r="B213" s="2227"/>
      <c r="C213" s="2231" t="e">
        <f>'8_MP'!#REF!</f>
        <v>#REF!</v>
      </c>
      <c r="D213" s="2232" t="e">
        <f>'8_MP'!#REF!</f>
        <v>#REF!</v>
      </c>
      <c r="E213" s="2182" t="e">
        <f>'8_MP'!#REF!</f>
        <v>#REF!</v>
      </c>
      <c r="F213" s="2179" t="e">
        <f>'8_MP'!#REF!</f>
        <v>#REF!</v>
      </c>
    </row>
    <row r="214" spans="1:6" outlineLevel="2">
      <c r="A214" s="2227"/>
      <c r="B214" s="2227"/>
      <c r="C214" s="2231" t="e">
        <f>'8_MP'!#REF!</f>
        <v>#REF!</v>
      </c>
      <c r="D214" s="2232" t="e">
        <f>'8_MP'!#REF!</f>
        <v>#REF!</v>
      </c>
      <c r="E214" s="2182" t="e">
        <f>'8_MP'!#REF!</f>
        <v>#REF!</v>
      </c>
      <c r="F214" s="2179" t="e">
        <f>'8_MP'!#REF!</f>
        <v>#REF!</v>
      </c>
    </row>
    <row r="215" spans="1:6" outlineLevel="2">
      <c r="A215" s="2227"/>
      <c r="B215" s="2227"/>
      <c r="C215" s="2231" t="e">
        <f>'8_MP'!#REF!</f>
        <v>#REF!</v>
      </c>
      <c r="D215" s="2232" t="e">
        <f>'8_MP'!#REF!</f>
        <v>#REF!</v>
      </c>
      <c r="E215" s="2182" t="e">
        <f>'8_MP'!#REF!</f>
        <v>#REF!</v>
      </c>
      <c r="F215" s="2179" t="e">
        <f>'8_MP'!#REF!</f>
        <v>#REF!</v>
      </c>
    </row>
    <row r="216" spans="1:6" outlineLevel="1">
      <c r="A216" s="2227"/>
      <c r="B216" s="2227"/>
      <c r="C216" s="2231"/>
      <c r="D216" s="2233"/>
      <c r="E216" s="2178"/>
      <c r="F216" s="2179"/>
    </row>
    <row r="217" spans="1:6" s="1768" customFormat="1" ht="16">
      <c r="A217" s="2170" t="s">
        <v>2958</v>
      </c>
      <c r="B217" s="2170"/>
      <c r="C217" s="2171" t="e">
        <f>'8_MP'!#REF!</f>
        <v>#REF!</v>
      </c>
      <c r="D217" s="2172" t="e">
        <f>'8_MP'!#REF!</f>
        <v>#REF!</v>
      </c>
      <c r="E217" s="2173"/>
      <c r="F217" s="2174" t="e">
        <f>+F218</f>
        <v>#REF!</v>
      </c>
    </row>
    <row r="218" spans="1:6" ht="40.5" customHeight="1" outlineLevel="1">
      <c r="A218" s="2175"/>
      <c r="B218" s="2175"/>
      <c r="C218" s="2176" t="e">
        <f>'8_MP'!#REF!</f>
        <v>#REF!</v>
      </c>
      <c r="D218" s="2177" t="e">
        <f>'8_MP'!#REF!</f>
        <v>#REF!</v>
      </c>
      <c r="E218" s="2182" t="e">
        <f>'8_MP'!#REF!</f>
        <v>#REF!</v>
      </c>
      <c r="F218" s="2179" t="e">
        <f>'8_MP'!#REF!</f>
        <v>#REF!</v>
      </c>
    </row>
    <row r="219" spans="1:6" s="1768" customFormat="1" ht="16">
      <c r="A219" s="2170" t="s">
        <v>2958</v>
      </c>
      <c r="B219" s="2170"/>
      <c r="C219" s="2171" t="e">
        <f>'8_MP'!#REF!</f>
        <v>#REF!</v>
      </c>
      <c r="D219" s="2172" t="e">
        <f>'8_MP'!#REF!</f>
        <v>#REF!</v>
      </c>
      <c r="E219" s="2173"/>
      <c r="F219" s="2174"/>
    </row>
  </sheetData>
  <mergeCells count="13">
    <mergeCell ref="E181:E192"/>
    <mergeCell ref="A1:F1"/>
    <mergeCell ref="E8:E9"/>
    <mergeCell ref="F8:F9"/>
    <mergeCell ref="F20:F22"/>
    <mergeCell ref="E29:E31"/>
    <mergeCell ref="F29:F31"/>
    <mergeCell ref="E108:E109"/>
    <mergeCell ref="F108:F109"/>
    <mergeCell ref="E119:E126"/>
    <mergeCell ref="F119:F126"/>
    <mergeCell ref="E20:E22"/>
    <mergeCell ref="E88:E89"/>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D20"/>
  <sheetViews>
    <sheetView workbookViewId="0">
      <selection activeCell="B2" sqref="B2:L2"/>
    </sheetView>
  </sheetViews>
  <sheetFormatPr baseColWidth="10" defaultColWidth="11.5" defaultRowHeight="15"/>
  <cols>
    <col min="1" max="1" width="2.1640625" style="624" customWidth="1"/>
    <col min="2" max="2" width="31.5" style="624" customWidth="1"/>
    <col min="3" max="3" width="36.5" style="624" customWidth="1"/>
    <col min="4" max="4" width="30.83203125" style="624" customWidth="1"/>
    <col min="5" max="16384" width="11.5" style="624"/>
  </cols>
  <sheetData>
    <row r="1" spans="1:4">
      <c r="A1" s="4301" t="s">
        <v>2964</v>
      </c>
      <c r="B1" s="4301"/>
      <c r="C1" s="4301"/>
      <c r="D1" s="4301"/>
    </row>
    <row r="2" spans="1:4" ht="16" thickBot="1">
      <c r="B2" s="623"/>
      <c r="C2" s="623"/>
      <c r="D2" s="623"/>
    </row>
    <row r="3" spans="1:4" ht="16">
      <c r="B3" s="593" t="s">
        <v>2965</v>
      </c>
      <c r="C3" s="594" t="s">
        <v>2966</v>
      </c>
      <c r="D3" s="595" t="s">
        <v>2967</v>
      </c>
    </row>
    <row r="4" spans="1:4">
      <c r="B4" s="4302"/>
      <c r="C4" s="4305" t="s">
        <v>2968</v>
      </c>
      <c r="D4" s="4308" t="s">
        <v>2968</v>
      </c>
    </row>
    <row r="5" spans="1:4">
      <c r="B5" s="4303"/>
      <c r="C5" s="4306"/>
      <c r="D5" s="4309"/>
    </row>
    <row r="6" spans="1:4">
      <c r="B6" s="4303"/>
      <c r="C6" s="4306"/>
      <c r="D6" s="4309"/>
    </row>
    <row r="7" spans="1:4">
      <c r="B7" s="4303"/>
      <c r="C7" s="4306"/>
      <c r="D7" s="4309"/>
    </row>
    <row r="8" spans="1:4">
      <c r="B8" s="4303"/>
      <c r="C8" s="4306"/>
      <c r="D8" s="4309"/>
    </row>
    <row r="9" spans="1:4">
      <c r="B9" s="4303"/>
      <c r="C9" s="4306"/>
      <c r="D9" s="4309"/>
    </row>
    <row r="10" spans="1:4" ht="16" thickBot="1">
      <c r="B10" s="4304"/>
      <c r="C10" s="4307"/>
      <c r="D10" s="4310"/>
    </row>
    <row r="11" spans="1:4" ht="5.25" customHeight="1"/>
    <row r="12" spans="1:4">
      <c r="B12" s="4311" t="s">
        <v>2969</v>
      </c>
      <c r="C12" s="4311"/>
      <c r="D12" s="4311"/>
    </row>
    <row r="13" spans="1:4" ht="16" thickBot="1">
      <c r="B13" s="623"/>
      <c r="C13" s="623"/>
      <c r="D13" s="623"/>
    </row>
    <row r="14" spans="1:4">
      <c r="B14" s="596" t="s">
        <v>2970</v>
      </c>
      <c r="C14" s="4299" t="s">
        <v>2971</v>
      </c>
      <c r="D14" s="4300"/>
    </row>
    <row r="15" spans="1:4">
      <c r="B15" s="4317" t="s">
        <v>2972</v>
      </c>
      <c r="C15" s="4312" t="e">
        <f>+'8_MP'!#REF!</f>
        <v>#REF!</v>
      </c>
      <c r="D15" s="4313"/>
    </row>
    <row r="16" spans="1:4">
      <c r="B16" s="4318"/>
      <c r="C16" s="4312">
        <f>+'8_MP'!$H$215</f>
        <v>0</v>
      </c>
      <c r="D16" s="4313"/>
    </row>
    <row r="17" spans="2:4">
      <c r="B17" s="4319"/>
      <c r="C17" s="4320" t="str">
        <f>+'8_MP'!$H$368</f>
        <v xml:space="preserve">Componente 3: Fortalecimiento del acceso a la información, participación ciudadana e integridad en la administración pública y sector privado </v>
      </c>
      <c r="D17" s="4321"/>
    </row>
    <row r="18" spans="2:4" ht="16" thickBot="1">
      <c r="B18" s="597" t="s">
        <v>2973</v>
      </c>
      <c r="C18" s="4314" t="e">
        <f>+'8_MP'!#REF!</f>
        <v>#REF!</v>
      </c>
      <c r="D18" s="4315"/>
    </row>
    <row r="19" spans="2:4">
      <c r="B19" s="598"/>
      <c r="C19" s="599"/>
    </row>
    <row r="20" spans="2:4">
      <c r="B20" s="4316" t="s">
        <v>2974</v>
      </c>
      <c r="C20" s="4316"/>
      <c r="D20" s="4316"/>
    </row>
  </sheetData>
  <mergeCells count="12">
    <mergeCell ref="C15:D15"/>
    <mergeCell ref="C16:D16"/>
    <mergeCell ref="C18:D18"/>
    <mergeCell ref="B20:D20"/>
    <mergeCell ref="B15:B17"/>
    <mergeCell ref="C17:D17"/>
    <mergeCell ref="C14:D14"/>
    <mergeCell ref="A1:D1"/>
    <mergeCell ref="B4:B10"/>
    <mergeCell ref="C4:C10"/>
    <mergeCell ref="D4:D10"/>
    <mergeCell ref="B12:D12"/>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C30"/>
  <sheetViews>
    <sheetView workbookViewId="0">
      <selection activeCell="A7" sqref="A7:AF15"/>
    </sheetView>
  </sheetViews>
  <sheetFormatPr baseColWidth="10" defaultColWidth="11.5" defaultRowHeight="15"/>
  <cols>
    <col min="1" max="1" width="32.5" style="624" customWidth="1"/>
    <col min="2" max="2" width="35.1640625" style="624" customWidth="1"/>
    <col min="3" max="3" width="33.5" style="624" customWidth="1"/>
    <col min="4" max="16384" width="11.5" style="624"/>
  </cols>
  <sheetData>
    <row r="1" spans="1:3">
      <c r="A1" s="4301" t="s">
        <v>2975</v>
      </c>
      <c r="B1" s="4301"/>
      <c r="C1" s="4301"/>
    </row>
    <row r="2" spans="1:3" ht="7.5" customHeight="1"/>
    <row r="3" spans="1:3" ht="16" thickBot="1">
      <c r="A3" s="4326" t="s">
        <v>2976</v>
      </c>
      <c r="B3" s="4326"/>
      <c r="C3" s="4326"/>
    </row>
    <row r="4" spans="1:3" ht="16">
      <c r="A4" s="4323" t="s">
        <v>2977</v>
      </c>
      <c r="B4" s="4324"/>
      <c r="C4" s="4325"/>
    </row>
    <row r="5" spans="1:3" ht="17">
      <c r="A5" s="600" t="s">
        <v>2978</v>
      </c>
      <c r="B5" s="601" t="s">
        <v>2979</v>
      </c>
      <c r="C5" s="602" t="s">
        <v>2980</v>
      </c>
    </row>
    <row r="6" spans="1:3" ht="16" thickBot="1">
      <c r="A6" s="603" t="s">
        <v>2981</v>
      </c>
      <c r="B6" s="1132" t="s">
        <v>2982</v>
      </c>
      <c r="C6" s="1133" t="s">
        <v>1080</v>
      </c>
    </row>
    <row r="7" spans="1:3" ht="16" thickBot="1">
      <c r="A7" s="4322"/>
      <c r="B7" s="4322"/>
      <c r="C7" s="4322"/>
    </row>
    <row r="8" spans="1:3" ht="16">
      <c r="A8" s="4323" t="s">
        <v>2983</v>
      </c>
      <c r="B8" s="4324"/>
      <c r="C8" s="4325"/>
    </row>
    <row r="9" spans="1:3" ht="16" thickBot="1">
      <c r="A9" s="603" t="s">
        <v>2984</v>
      </c>
      <c r="B9" s="4327">
        <v>44712</v>
      </c>
      <c r="C9" s="4328"/>
    </row>
    <row r="10" spans="1:3" ht="16" thickBot="1">
      <c r="A10" s="4322"/>
      <c r="B10" s="4322"/>
      <c r="C10" s="4322"/>
    </row>
    <row r="11" spans="1:3" ht="16">
      <c r="A11" s="4323" t="s">
        <v>2985</v>
      </c>
      <c r="B11" s="4324"/>
      <c r="C11" s="4325"/>
    </row>
    <row r="12" spans="1:3" ht="34">
      <c r="A12" s="600" t="s">
        <v>2986</v>
      </c>
      <c r="B12" s="601" t="s">
        <v>2987</v>
      </c>
      <c r="C12" s="602" t="s">
        <v>2988</v>
      </c>
    </row>
    <row r="13" spans="1:3">
      <c r="A13" s="610" t="s">
        <v>2292</v>
      </c>
      <c r="B13" s="605">
        <f>+'9.3_PA_Det'!$H$9</f>
        <v>0</v>
      </c>
      <c r="C13" s="605">
        <f>+'9.3_PA_Det'!$H$9</f>
        <v>0</v>
      </c>
    </row>
    <row r="14" spans="1:3">
      <c r="A14" s="610" t="s">
        <v>1340</v>
      </c>
      <c r="B14" s="605" t="e">
        <f>+'9.3_PA_Det'!$H$17</f>
        <v>#REF!</v>
      </c>
      <c r="C14" s="605" t="e">
        <f>+'9.3_PA_Det'!$H$17</f>
        <v>#REF!</v>
      </c>
    </row>
    <row r="15" spans="1:3">
      <c r="A15" s="610" t="s">
        <v>2989</v>
      </c>
      <c r="B15" s="605" t="e">
        <f>+'9.3_PA_Det'!$H$26</f>
        <v>#REF!</v>
      </c>
      <c r="C15" s="605" t="e">
        <f>+'9.3_PA_Det'!$H$26</f>
        <v>#REF!</v>
      </c>
    </row>
    <row r="16" spans="1:3">
      <c r="A16" s="610" t="s">
        <v>2990</v>
      </c>
      <c r="B16" s="605">
        <v>0</v>
      </c>
      <c r="C16" s="605">
        <v>0</v>
      </c>
    </row>
    <row r="17" spans="1:3">
      <c r="A17" s="610" t="s">
        <v>2991</v>
      </c>
      <c r="B17" s="605" t="e">
        <f>+'9.3_PA_Det'!$G$157</f>
        <v>#REF!</v>
      </c>
      <c r="C17" s="605" t="e">
        <f>+'9.3_PA_Det'!$G$157</f>
        <v>#REF!</v>
      </c>
    </row>
    <row r="18" spans="1:3">
      <c r="A18" s="604" t="s">
        <v>276</v>
      </c>
      <c r="B18" s="605" t="e">
        <f>+'9.3_PA_Det'!$G$207</f>
        <v>#REF!</v>
      </c>
      <c r="C18" s="605" t="e">
        <f>+'9.3_PA_Det'!$G$207</f>
        <v>#REF!</v>
      </c>
    </row>
    <row r="19" spans="1:3">
      <c r="A19" s="604" t="s">
        <v>2992</v>
      </c>
      <c r="B19" s="605">
        <v>0</v>
      </c>
      <c r="C19" s="605">
        <v>0</v>
      </c>
    </row>
    <row r="20" spans="1:3">
      <c r="A20" s="610" t="s">
        <v>2993</v>
      </c>
      <c r="B20" s="605">
        <v>0</v>
      </c>
      <c r="C20" s="605">
        <v>0</v>
      </c>
    </row>
    <row r="21" spans="1:3">
      <c r="A21" s="604" t="s">
        <v>2994</v>
      </c>
      <c r="B21" s="605" t="e">
        <f>+'9.3_PA_Det'!$D$269</f>
        <v>#REF!</v>
      </c>
      <c r="C21" s="605" t="e">
        <f>+'9.3_PA_Det'!$D$269</f>
        <v>#REF!</v>
      </c>
    </row>
    <row r="22" spans="1:3" ht="18" thickBot="1">
      <c r="A22" s="606" t="s">
        <v>487</v>
      </c>
      <c r="B22" s="607" t="e">
        <f>SUM(B13:B21)</f>
        <v>#REF!</v>
      </c>
      <c r="C22" s="608" t="e">
        <f>SUM(C13:C21)</f>
        <v>#REF!</v>
      </c>
    </row>
    <row r="23" spans="1:3" ht="16" thickBot="1">
      <c r="B23" s="625"/>
    </row>
    <row r="24" spans="1:3" ht="16">
      <c r="A24" s="4323" t="s">
        <v>2995</v>
      </c>
      <c r="B24" s="4324"/>
      <c r="C24" s="4325"/>
    </row>
    <row r="25" spans="1:3" ht="34">
      <c r="A25" s="600" t="s">
        <v>2996</v>
      </c>
      <c r="B25" s="601" t="s">
        <v>2987</v>
      </c>
      <c r="C25" s="602" t="s">
        <v>2988</v>
      </c>
    </row>
    <row r="26" spans="1:3" ht="30">
      <c r="A26" s="609" t="e">
        <f>+'8_MP'!#REF!</f>
        <v>#REF!</v>
      </c>
      <c r="B26" s="605" t="e">
        <f>+'8_MP'!#REF!</f>
        <v>#REF!</v>
      </c>
      <c r="C26" s="605" t="e">
        <f>+'8_MP'!#REF!</f>
        <v>#REF!</v>
      </c>
    </row>
    <row r="27" spans="1:3">
      <c r="A27" s="609">
        <f>+'8_MP'!H215</f>
        <v>0</v>
      </c>
      <c r="B27" s="605">
        <f>+'8_MP'!AL215</f>
        <v>0</v>
      </c>
      <c r="C27" s="605">
        <f>+'8_MP'!$AN$215</f>
        <v>0</v>
      </c>
    </row>
    <row r="28" spans="1:3" ht="60">
      <c r="A28" s="609" t="str">
        <f>+'8_MP'!H368</f>
        <v xml:space="preserve">Componente 3: Fortalecimiento del acceso a la información, participación ciudadana e integridad en la administración pública y sector privado </v>
      </c>
      <c r="B28" s="605">
        <f>+'8_MP'!AL368</f>
        <v>7205000</v>
      </c>
      <c r="C28" s="605">
        <f>+'8_MP'!$AN$368</f>
        <v>7205000</v>
      </c>
    </row>
    <row r="29" spans="1:3">
      <c r="A29" s="609" t="e">
        <f>+'8_MP'!#REF!</f>
        <v>#REF!</v>
      </c>
      <c r="B29" s="605" t="e">
        <f>+'8_MP'!#REF!</f>
        <v>#REF!</v>
      </c>
      <c r="C29" s="605" t="e">
        <f>+'8_MP'!#REF!</f>
        <v>#REF!</v>
      </c>
    </row>
    <row r="30" spans="1:3" ht="18" thickBot="1">
      <c r="A30" s="606" t="s">
        <v>487</v>
      </c>
      <c r="B30" s="607" t="e">
        <f>SUM(B26:B29)</f>
        <v>#REF!</v>
      </c>
      <c r="C30" s="608" t="e">
        <f>SUM(C26:C29)</f>
        <v>#REF!</v>
      </c>
    </row>
  </sheetData>
  <mergeCells count="9">
    <mergeCell ref="A10:C10"/>
    <mergeCell ref="A11:C11"/>
    <mergeCell ref="A24:C24"/>
    <mergeCell ref="A1:C1"/>
    <mergeCell ref="A3:C3"/>
    <mergeCell ref="A4:C4"/>
    <mergeCell ref="A7:C7"/>
    <mergeCell ref="A8:C8"/>
    <mergeCell ref="B9:C9"/>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E21"/>
  <sheetViews>
    <sheetView workbookViewId="0">
      <selection activeCell="B2" sqref="B2:L5"/>
    </sheetView>
  </sheetViews>
  <sheetFormatPr baseColWidth="10" defaultColWidth="11.5" defaultRowHeight="15"/>
  <cols>
    <col min="1" max="1" width="3.1640625" customWidth="1"/>
    <col min="2" max="2" width="6.5" style="1160" customWidth="1"/>
  </cols>
  <sheetData>
    <row r="1" spans="2:5" ht="16" thickBot="1"/>
    <row r="2" spans="2:5">
      <c r="B2" s="4329" t="s">
        <v>1076</v>
      </c>
      <c r="C2" s="1155" t="s">
        <v>2997</v>
      </c>
      <c r="D2" s="1161">
        <v>44743</v>
      </c>
      <c r="E2" s="1156">
        <v>44805</v>
      </c>
    </row>
    <row r="3" spans="2:5">
      <c r="B3" s="4330"/>
      <c r="C3" s="1153" t="s">
        <v>2998</v>
      </c>
      <c r="D3" s="1154">
        <v>44835</v>
      </c>
      <c r="E3" s="1157">
        <v>44896</v>
      </c>
    </row>
    <row r="4" spans="2:5">
      <c r="B4" s="4330"/>
      <c r="C4" s="1153" t="s">
        <v>2999</v>
      </c>
      <c r="D4" s="1154">
        <v>44927</v>
      </c>
      <c r="E4" s="1157">
        <v>44986</v>
      </c>
    </row>
    <row r="5" spans="2:5" ht="16" thickBot="1">
      <c r="B5" s="4331"/>
      <c r="C5" s="1158" t="s">
        <v>3000</v>
      </c>
      <c r="D5" s="1159">
        <v>45017</v>
      </c>
      <c r="E5" s="1162">
        <v>45078</v>
      </c>
    </row>
    <row r="6" spans="2:5">
      <c r="B6" s="4329" t="s">
        <v>1077</v>
      </c>
      <c r="C6" s="1155" t="s">
        <v>2997</v>
      </c>
      <c r="D6" s="1161">
        <v>45108</v>
      </c>
      <c r="E6" s="1156">
        <v>45170</v>
      </c>
    </row>
    <row r="7" spans="2:5">
      <c r="B7" s="4330"/>
      <c r="C7" s="1153" t="s">
        <v>2998</v>
      </c>
      <c r="D7" s="1154">
        <v>45200</v>
      </c>
      <c r="E7" s="1157">
        <v>45261</v>
      </c>
    </row>
    <row r="8" spans="2:5">
      <c r="B8" s="4330"/>
      <c r="C8" s="1153" t="s">
        <v>2999</v>
      </c>
      <c r="D8" s="1154">
        <v>45292</v>
      </c>
      <c r="E8" s="1157">
        <v>45352</v>
      </c>
    </row>
    <row r="9" spans="2:5" ht="16" thickBot="1">
      <c r="B9" s="4331"/>
      <c r="C9" s="1158" t="s">
        <v>3000</v>
      </c>
      <c r="D9" s="1159">
        <v>45383</v>
      </c>
      <c r="E9" s="1162">
        <v>45444</v>
      </c>
    </row>
    <row r="10" spans="2:5">
      <c r="B10" s="4329" t="s">
        <v>1078</v>
      </c>
      <c r="C10" s="1155" t="s">
        <v>2997</v>
      </c>
      <c r="D10" s="1161">
        <v>45474</v>
      </c>
      <c r="E10" s="1156">
        <v>45536</v>
      </c>
    </row>
    <row r="11" spans="2:5">
      <c r="B11" s="4330"/>
      <c r="C11" s="1153" t="s">
        <v>2998</v>
      </c>
      <c r="D11" s="1154">
        <v>45566</v>
      </c>
      <c r="E11" s="1157">
        <v>45627</v>
      </c>
    </row>
    <row r="12" spans="2:5">
      <c r="B12" s="4330"/>
      <c r="C12" s="1153" t="s">
        <v>2999</v>
      </c>
      <c r="D12" s="1154">
        <v>45658</v>
      </c>
      <c r="E12" s="1157">
        <v>45717</v>
      </c>
    </row>
    <row r="13" spans="2:5" ht="16" thickBot="1">
      <c r="B13" s="4331"/>
      <c r="C13" s="1158" t="s">
        <v>3000</v>
      </c>
      <c r="D13" s="1159">
        <v>45748</v>
      </c>
      <c r="E13" s="1162">
        <v>45809</v>
      </c>
    </row>
    <row r="14" spans="2:5">
      <c r="B14" s="4329" t="s">
        <v>1079</v>
      </c>
      <c r="C14" s="1155" t="s">
        <v>2997</v>
      </c>
      <c r="D14" s="1161">
        <v>45839</v>
      </c>
      <c r="E14" s="1156">
        <v>45901</v>
      </c>
    </row>
    <row r="15" spans="2:5">
      <c r="B15" s="4330"/>
      <c r="C15" s="1153" t="s">
        <v>2998</v>
      </c>
      <c r="D15" s="1154">
        <v>45931</v>
      </c>
      <c r="E15" s="1157">
        <v>45992</v>
      </c>
    </row>
    <row r="16" spans="2:5">
      <c r="B16" s="4330"/>
      <c r="C16" s="1153" t="s">
        <v>2999</v>
      </c>
      <c r="D16" s="1154">
        <v>46023</v>
      </c>
      <c r="E16" s="1157">
        <v>46082</v>
      </c>
    </row>
    <row r="17" spans="2:5" ht="16" thickBot="1">
      <c r="B17" s="4331"/>
      <c r="C17" s="1158" t="s">
        <v>3000</v>
      </c>
      <c r="D17" s="1159">
        <v>46113</v>
      </c>
      <c r="E17" s="1162">
        <v>46174</v>
      </c>
    </row>
    <row r="18" spans="2:5">
      <c r="B18" s="4329" t="s">
        <v>1080</v>
      </c>
      <c r="C18" s="1155" t="s">
        <v>2997</v>
      </c>
      <c r="D18" s="1161">
        <v>46204</v>
      </c>
      <c r="E18" s="1156">
        <v>46266</v>
      </c>
    </row>
    <row r="19" spans="2:5">
      <c r="B19" s="4330"/>
      <c r="C19" s="1153" t="s">
        <v>2998</v>
      </c>
      <c r="D19" s="1154">
        <v>46296</v>
      </c>
      <c r="E19" s="1157">
        <v>46357</v>
      </c>
    </row>
    <row r="20" spans="2:5">
      <c r="B20" s="4330"/>
      <c r="C20" s="1153" t="s">
        <v>2999</v>
      </c>
      <c r="D20" s="1154">
        <v>46388</v>
      </c>
      <c r="E20" s="1157">
        <v>46447</v>
      </c>
    </row>
    <row r="21" spans="2:5" ht="16" thickBot="1">
      <c r="B21" s="4331"/>
      <c r="C21" s="1158" t="s">
        <v>3000</v>
      </c>
      <c r="D21" s="1159">
        <v>46478</v>
      </c>
      <c r="E21" s="1162">
        <v>46539</v>
      </c>
    </row>
  </sheetData>
  <mergeCells count="5">
    <mergeCell ref="B2:B5"/>
    <mergeCell ref="B6:B9"/>
    <mergeCell ref="B10:B13"/>
    <mergeCell ref="B14:B17"/>
    <mergeCell ref="B18:B21"/>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G41"/>
  <sheetViews>
    <sheetView zoomScale="80" zoomScaleNormal="80" workbookViewId="0">
      <selection activeCell="B2" sqref="B2:L2"/>
    </sheetView>
  </sheetViews>
  <sheetFormatPr baseColWidth="10" defaultColWidth="11.5" defaultRowHeight="15" outlineLevelRow="1"/>
  <cols>
    <col min="1" max="1" width="11.5" style="527"/>
    <col min="2" max="2" width="84.5" style="252" customWidth="1"/>
    <col min="3" max="3" width="7.1640625" style="252" customWidth="1"/>
    <col min="4" max="4" width="7" style="252" customWidth="1"/>
    <col min="5" max="5" width="11.5" style="252"/>
    <col min="6" max="6" width="49.5" style="252" customWidth="1"/>
    <col min="7" max="7" width="12.1640625" style="252" customWidth="1"/>
    <col min="8" max="16384" width="11.5" style="252"/>
  </cols>
  <sheetData>
    <row r="2" spans="1:7" s="511" customFormat="1" ht="34">
      <c r="A2" s="736" t="s">
        <v>484</v>
      </c>
      <c r="B2" s="756" t="s">
        <v>609</v>
      </c>
      <c r="C2" s="756" t="s">
        <v>3001</v>
      </c>
      <c r="D2" s="756" t="s">
        <v>3002</v>
      </c>
      <c r="E2" s="756" t="s">
        <v>3003</v>
      </c>
      <c r="F2" s="756" t="s">
        <v>151</v>
      </c>
      <c r="G2" s="756" t="s">
        <v>3004</v>
      </c>
    </row>
    <row r="3" spans="1:7">
      <c r="B3" s="733"/>
      <c r="E3" s="900">
        <f>+E4+E25+E29+E37</f>
        <v>327000</v>
      </c>
    </row>
    <row r="4" spans="1:7" ht="25.25" customHeight="1">
      <c r="A4" s="737" t="e">
        <f>+'8_MP'!#REF!</f>
        <v>#REF!</v>
      </c>
      <c r="B4" s="566" t="e">
        <f>+'8_MP'!#REF!</f>
        <v>#REF!</v>
      </c>
      <c r="C4" s="612"/>
      <c r="D4" s="612"/>
      <c r="E4" s="567">
        <f>+E5+E13+E17+E20</f>
        <v>190000</v>
      </c>
      <c r="F4" s="566"/>
      <c r="G4" s="566"/>
    </row>
    <row r="5" spans="1:7" ht="23" customHeight="1">
      <c r="A5" s="738" t="str">
        <f>+'8_MP'!D8</f>
        <v>1.1</v>
      </c>
      <c r="B5" s="568" t="str">
        <f>+'8_MP'!H8</f>
        <v>Subcomponente 1.1 Transparencia en finanzas públicas</v>
      </c>
      <c r="C5" s="613"/>
      <c r="D5" s="613"/>
      <c r="E5" s="614">
        <f>+E6+E8+E11</f>
        <v>75000</v>
      </c>
      <c r="F5" s="568"/>
      <c r="G5" s="568"/>
    </row>
    <row r="6" spans="1:7" s="516" customFormat="1" ht="32">
      <c r="A6" s="739" t="str">
        <f>+'8_MP'!D10</f>
        <v>1.1.1.1</v>
      </c>
      <c r="B6" s="734" t="str">
        <f>+'8_MP'!H10</f>
        <v>Asistencia técnica para la implementación de la interoperabilidad en MH, MEPyD, DGCP y CGRD a partir de los mecanismos actuales, realizada.</v>
      </c>
      <c r="C6" s="569"/>
      <c r="D6" s="569"/>
      <c r="E6" s="570">
        <f>+E7</f>
        <v>20000</v>
      </c>
      <c r="F6" s="569"/>
      <c r="G6" s="569"/>
    </row>
    <row r="7" spans="1:7" hidden="1" outlineLevel="1">
      <c r="A7" s="740" t="e">
        <f>+'8_MP'!#REF!</f>
        <v>#REF!</v>
      </c>
      <c r="B7" s="276" t="e">
        <f>+'8_MP'!#REF!</f>
        <v>#REF!</v>
      </c>
      <c r="C7" s="252">
        <v>40</v>
      </c>
      <c r="D7" s="252">
        <v>500</v>
      </c>
      <c r="E7" s="528">
        <f>+C7*D7</f>
        <v>20000</v>
      </c>
      <c r="F7" s="273" t="e">
        <f>+'8_MP'!#REF!</f>
        <v>#REF!</v>
      </c>
      <c r="G7" s="273"/>
    </row>
    <row r="8" spans="1:7" s="516" customFormat="1" ht="32" collapsed="1">
      <c r="A8" s="744" t="str">
        <f>+'8_MP'!D9</f>
        <v>1.1.1</v>
      </c>
      <c r="B8" s="745" t="str">
        <f>+'8_MP'!H9</f>
        <v xml:space="preserve">Producto 1: Procesos de interoperabilidad en MH, MEPyD, DGCP y CGRD, implementados. Incluye SIGEF ajustado al presupuesto plurianual </v>
      </c>
      <c r="C8" s="569"/>
      <c r="D8" s="569"/>
      <c r="E8" s="570">
        <f>E9+E10</f>
        <v>35000</v>
      </c>
      <c r="F8" s="569"/>
      <c r="G8" s="569"/>
    </row>
    <row r="9" spans="1:7" ht="16" hidden="1" outlineLevel="1">
      <c r="A9" s="746">
        <f>+'8_MP'!D13</f>
        <v>0</v>
      </c>
      <c r="B9" s="747" t="str">
        <f>+'8_MP'!H13</f>
        <v xml:space="preserve"> Procesos de Arquitectura de interoperabilidad</v>
      </c>
      <c r="C9" s="252">
        <v>30</v>
      </c>
      <c r="D9" s="252">
        <v>500</v>
      </c>
      <c r="E9" s="528">
        <f>+C9*D9</f>
        <v>15000</v>
      </c>
      <c r="F9" s="591">
        <f>+'8_MP'!AJ13</f>
        <v>0</v>
      </c>
      <c r="G9" s="591"/>
    </row>
    <row r="10" spans="1:7" ht="16" hidden="1" outlineLevel="1">
      <c r="A10" s="746" t="str">
        <f>+'8_MP'!D16</f>
        <v>1.1.1.5</v>
      </c>
      <c r="B10" s="747" t="str">
        <f>+'8_MP'!H16</f>
        <v>Procesos priorizados según el diseño de la arquitectura, implementados</v>
      </c>
      <c r="C10" s="252">
        <v>40</v>
      </c>
      <c r="D10" s="252">
        <v>500</v>
      </c>
      <c r="E10" s="528">
        <f>+C10*D10</f>
        <v>20000</v>
      </c>
      <c r="F10" s="591">
        <f>+'8_MP'!AJ16</f>
        <v>0</v>
      </c>
      <c r="G10" s="591"/>
    </row>
    <row r="11" spans="1:7" s="516" customFormat="1" collapsed="1">
      <c r="A11" s="744" t="e">
        <f>+'8_MP'!#REF!</f>
        <v>#REF!</v>
      </c>
      <c r="B11" s="745" t="e">
        <f>+'8_MP'!#REF!</f>
        <v>#REF!</v>
      </c>
      <c r="C11" s="569"/>
      <c r="D11" s="569"/>
      <c r="E11" s="570">
        <f>+E12</f>
        <v>20000</v>
      </c>
      <c r="F11" s="569"/>
      <c r="G11" s="569"/>
    </row>
    <row r="12" spans="1:7" ht="68.5" hidden="1" customHeight="1" outlineLevel="1">
      <c r="A12" s="746" t="e">
        <f>+'8_MP'!#REF!</f>
        <v>#REF!</v>
      </c>
      <c r="B12" s="747" t="e">
        <f>+'8_MP'!#REF!</f>
        <v>#REF!</v>
      </c>
      <c r="C12" s="252">
        <v>40</v>
      </c>
      <c r="D12" s="252">
        <v>500</v>
      </c>
      <c r="E12" s="528">
        <f>+C12*D12</f>
        <v>20000</v>
      </c>
      <c r="F12" s="591" t="e">
        <f>+'8_MP'!#REF!</f>
        <v>#REF!</v>
      </c>
      <c r="G12" s="591"/>
    </row>
    <row r="13" spans="1:7" ht="16" collapsed="1">
      <c r="A13" s="738" t="str">
        <f>+'8_MP'!D73</f>
        <v>1.2</v>
      </c>
      <c r="B13" s="568" t="str">
        <f>+'8_MP'!H73</f>
        <v>Subcomponente 1.2 Eficiencia en las contrataciones públicas</v>
      </c>
      <c r="C13" s="613"/>
      <c r="D13" s="613"/>
      <c r="E13" s="614">
        <f>+E14</f>
        <v>35000</v>
      </c>
      <c r="F13" s="568"/>
      <c r="G13" s="568"/>
    </row>
    <row r="14" spans="1:7" s="516" customFormat="1" ht="48">
      <c r="A14" s="744" t="str">
        <f>+'8_MP'!D74</f>
        <v>1.2.1</v>
      </c>
      <c r="B14" s="745" t="str">
        <f>+'8_MP'!H74</f>
        <v>Producto 4: Modernización del Sistema de Contrataciones Públicas con accesibilidad para personas con discapacidad desarrollada. Incluye ajustes al sistema de información acutal de contrataciones y Sistema de detección de irregularidades y alertas tempranas</v>
      </c>
      <c r="C14" s="569"/>
      <c r="D14" s="569"/>
      <c r="E14" s="570">
        <f>+E15</f>
        <v>35000</v>
      </c>
      <c r="F14" s="569"/>
      <c r="G14" s="569"/>
    </row>
    <row r="15" spans="1:7" ht="41.5" hidden="1" customHeight="1" outlineLevel="1">
      <c r="A15" s="746" t="e">
        <f>+'8_MP'!#REF!</f>
        <v>#REF!</v>
      </c>
      <c r="B15" s="747" t="e">
        <f>+'8_MP'!#REF!</f>
        <v>#REF!</v>
      </c>
      <c r="C15" s="252">
        <v>70</v>
      </c>
      <c r="D15" s="252">
        <v>500</v>
      </c>
      <c r="E15" s="528">
        <f>+C15*D15</f>
        <v>35000</v>
      </c>
      <c r="F15" s="591"/>
      <c r="G15" s="591"/>
    </row>
    <row r="16" spans="1:7" ht="41.5" hidden="1" customHeight="1" outlineLevel="1">
      <c r="A16" s="746"/>
      <c r="B16" s="747"/>
      <c r="E16" s="528"/>
      <c r="F16" s="591"/>
      <c r="G16" s="591"/>
    </row>
    <row r="17" spans="1:7" collapsed="1">
      <c r="A17" s="738">
        <f>+'8_MP'!D142</f>
        <v>0</v>
      </c>
      <c r="B17" s="568">
        <f>+'8_MP'!H142</f>
        <v>0</v>
      </c>
      <c r="C17" s="613"/>
      <c r="D17" s="613"/>
      <c r="E17" s="614">
        <f>E18</f>
        <v>20000</v>
      </c>
      <c r="F17" s="568"/>
      <c r="G17" s="568"/>
    </row>
    <row r="18" spans="1:7" s="516" customFormat="1" ht="16">
      <c r="A18" s="739">
        <f>+'8_MP'!D164</f>
        <v>0</v>
      </c>
      <c r="B18" s="734" t="str">
        <f>+'8_MP'!H164</f>
        <v xml:space="preserve">2 Desarrolladores Senior </v>
      </c>
      <c r="C18" s="569"/>
      <c r="D18" s="569"/>
      <c r="E18" s="570">
        <f>E19</f>
        <v>20000</v>
      </c>
      <c r="F18" s="569"/>
      <c r="G18" s="569"/>
    </row>
    <row r="19" spans="1:7" hidden="1" outlineLevel="1">
      <c r="A19" s="741" t="e">
        <f>+'8_MP'!#REF!</f>
        <v>#REF!</v>
      </c>
      <c r="B19" s="735" t="e">
        <f>+'8_MP'!#REF!</f>
        <v>#REF!</v>
      </c>
      <c r="C19" s="252">
        <v>40</v>
      </c>
      <c r="D19" s="252">
        <v>500</v>
      </c>
      <c r="E19" s="528">
        <f>+C19*D19</f>
        <v>20000</v>
      </c>
      <c r="F19" s="735" t="e">
        <f>+'8_MP'!#REF!</f>
        <v>#REF!</v>
      </c>
      <c r="G19" s="735"/>
    </row>
    <row r="20" spans="1:7" ht="32" collapsed="1">
      <c r="A20" s="738" t="str">
        <f>+'8_MP'!D177</f>
        <v>1.3.1.5.1</v>
      </c>
      <c r="B20" s="568" t="str">
        <f>+'8_MP'!H177</f>
        <v>Adquisición e implementación de la Infraestructura y servicios TIC necesarios para la migración del SNIP ajustado y el nuevo sistema de Monitoreo, Seguimiento &amp; Evaluación.</v>
      </c>
      <c r="C20" s="613"/>
      <c r="D20" s="613"/>
      <c r="E20" s="614">
        <f>+E21</f>
        <v>60000</v>
      </c>
      <c r="F20" s="568"/>
      <c r="G20" s="568"/>
    </row>
    <row r="21" spans="1:7" s="516" customFormat="1" ht="32">
      <c r="A21" s="739">
        <f>+'8_MP'!D178</f>
        <v>0</v>
      </c>
      <c r="B21" s="734" t="str">
        <f>+'8_MP'!H178</f>
        <v>Adquisición e implementación de la Infraestructura y servicios TIC necesarios para la migración del SNIP ajustado y el nuevo sistema de Monitoreo, Seguimiento &amp; Evaluación.</v>
      </c>
      <c r="C21" s="569"/>
      <c r="D21" s="569"/>
      <c r="E21" s="570">
        <f>+E22</f>
        <v>60000</v>
      </c>
      <c r="F21" s="569"/>
      <c r="G21" s="569"/>
    </row>
    <row r="22" spans="1:7" hidden="1" outlineLevel="1">
      <c r="A22" s="741">
        <f>+'8_MP'!D179</f>
        <v>0</v>
      </c>
      <c r="B22" s="735">
        <f>+'8_MP'!H179</f>
        <v>0</v>
      </c>
      <c r="E22" s="528">
        <f>+E23+E24</f>
        <v>60000</v>
      </c>
      <c r="F22" s="4332">
        <f>+'8_MP'!AJ180</f>
        <v>0</v>
      </c>
      <c r="G22" s="4332"/>
    </row>
    <row r="23" spans="1:7" ht="29.5" hidden="1" customHeight="1" outlineLevel="1">
      <c r="A23" s="741" t="str">
        <f>+'8_MP'!D180</f>
        <v>1.4</v>
      </c>
      <c r="B23" s="735" t="str">
        <f>+'8_MP'!H180</f>
        <v>Subcomponente 1.4 Integridad Financiera</v>
      </c>
      <c r="C23" s="252">
        <v>60</v>
      </c>
      <c r="D23" s="252">
        <v>500</v>
      </c>
      <c r="E23" s="528">
        <f>+C23*D23</f>
        <v>30000</v>
      </c>
      <c r="F23" s="4332"/>
      <c r="G23" s="4332"/>
    </row>
    <row r="24" spans="1:7" ht="29.5" hidden="1" customHeight="1" outlineLevel="1">
      <c r="A24" s="741" t="str">
        <f>+'8_MP'!D181</f>
        <v>1.4.1</v>
      </c>
      <c r="B24" s="735" t="str">
        <f>+'8_MP'!H181</f>
        <v>Producto 8: Régimen de Beneficiarios Finales de personas y estructuras jurídicas diseñado e implementado. Incluye la Estrategia de Gestión del Cambio y comunicaciones</v>
      </c>
      <c r="C24" s="252">
        <v>60</v>
      </c>
      <c r="D24" s="252">
        <v>500</v>
      </c>
      <c r="E24" s="528">
        <f>+C24*D24</f>
        <v>30000</v>
      </c>
      <c r="F24" s="4332"/>
      <c r="G24" s="4332"/>
    </row>
    <row r="25" spans="1:7" collapsed="1">
      <c r="A25" s="737"/>
      <c r="B25" s="566">
        <f>+'8_MP'!H215</f>
        <v>0</v>
      </c>
      <c r="C25" s="612"/>
      <c r="D25" s="612"/>
      <c r="E25" s="567">
        <f>+E26</f>
        <v>50000</v>
      </c>
      <c r="F25" s="566"/>
      <c r="G25" s="566"/>
    </row>
    <row r="26" spans="1:7">
      <c r="A26" s="738" t="e">
        <f>+'8_MP'!#REF!</f>
        <v>#REF!</v>
      </c>
      <c r="B26" s="568" t="e">
        <f>+'8_MP'!#REF!</f>
        <v>#REF!</v>
      </c>
      <c r="C26" s="613"/>
      <c r="D26" s="613"/>
      <c r="E26" s="614">
        <f>+E27</f>
        <v>50000</v>
      </c>
      <c r="F26" s="568"/>
      <c r="G26" s="568"/>
    </row>
    <row r="27" spans="1:7" s="516" customFormat="1" ht="32" customHeight="1">
      <c r="A27" s="739" t="e">
        <f>+'8_MP'!#REF!</f>
        <v>#REF!</v>
      </c>
      <c r="B27" s="734" t="e">
        <f>+'8_MP'!#REF!</f>
        <v>#REF!</v>
      </c>
      <c r="C27" s="569"/>
      <c r="D27" s="569"/>
      <c r="E27" s="570">
        <f>+E28</f>
        <v>50000</v>
      </c>
      <c r="F27" s="569"/>
      <c r="G27" s="569"/>
    </row>
    <row r="28" spans="1:7" ht="25.25" hidden="1" customHeight="1" outlineLevel="1">
      <c r="A28" s="741" t="e">
        <f>+'8_MP'!#REF!</f>
        <v>#REF!</v>
      </c>
      <c r="B28" s="735" t="e">
        <f>+'8_MP'!#REF!</f>
        <v>#REF!</v>
      </c>
      <c r="C28" s="252">
        <v>100</v>
      </c>
      <c r="D28" s="252">
        <v>500</v>
      </c>
      <c r="E28" s="528">
        <v>50000</v>
      </c>
      <c r="F28" s="735" t="e">
        <f>+'8_MP'!#REF!</f>
        <v>#REF!</v>
      </c>
      <c r="G28" s="735"/>
    </row>
    <row r="29" spans="1:7" ht="32" collapsed="1">
      <c r="A29" s="737" t="str">
        <f>+'8_MP'!D368</f>
        <v>3</v>
      </c>
      <c r="B29" s="566" t="str">
        <f>+'8_MP'!H368</f>
        <v xml:space="preserve">Componente 3: Fortalecimiento del acceso a la información, participación ciudadana e integridad en la administración pública y sector privado </v>
      </c>
      <c r="C29" s="612"/>
      <c r="D29" s="612"/>
      <c r="E29" s="567">
        <f>+E30</f>
        <v>32000</v>
      </c>
      <c r="F29" s="566"/>
      <c r="G29" s="566"/>
    </row>
    <row r="30" spans="1:7" ht="16">
      <c r="A30" s="738" t="str">
        <f>+'8_MP'!D369</f>
        <v>3.1</v>
      </c>
      <c r="B30" s="568" t="str">
        <f>+'8_MP'!H369</f>
        <v>Subcomponente 3.1. Innovación pública para la Integridad y prevención de la corrupción</v>
      </c>
      <c r="C30" s="613"/>
      <c r="D30" s="613"/>
      <c r="E30" s="614">
        <f>+E31+E34</f>
        <v>32000</v>
      </c>
      <c r="F30" s="568"/>
      <c r="G30" s="568"/>
    </row>
    <row r="31" spans="1:7" s="516" customFormat="1" ht="24" customHeight="1">
      <c r="A31" s="739" t="str">
        <f>+'8_MP'!D370</f>
        <v>3.1.1</v>
      </c>
      <c r="B31" s="734" t="str">
        <f>+'8_MP'!H370</f>
        <v>Producto 16: Sistema Nacional Integrado de Transparencia e Integridad Implementado. Incluye Plataforma de seguimiento y evaluación de componentes de integridad y sistema para el seguimiento de compromisos internacionales</v>
      </c>
      <c r="C31" s="569"/>
      <c r="D31" s="569"/>
      <c r="E31" s="570">
        <f>+E32+E33</f>
        <v>16000</v>
      </c>
      <c r="F31" s="569"/>
      <c r="G31" s="569"/>
    </row>
    <row r="32" spans="1:7" ht="32" hidden="1" outlineLevel="1">
      <c r="A32" s="741" t="str">
        <f>+'8_MP'!D372</f>
        <v>3.1.1.1.1</v>
      </c>
      <c r="B32" s="735" t="str">
        <f>+'8_MP'!H372</f>
        <v>Contratación de consultoría en Planificación, integración  e implementación de un modelo de integridad en la Unidad Etica e Integridad Gubernamental  basado en el estándar OCDE -integridad pública</v>
      </c>
      <c r="C32" s="252">
        <v>30</v>
      </c>
      <c r="D32" s="252">
        <v>500</v>
      </c>
      <c r="E32" s="528">
        <f>+C32*D32</f>
        <v>15000</v>
      </c>
      <c r="F32" s="591">
        <f>+'8_MP'!AJ372</f>
        <v>0</v>
      </c>
      <c r="G32" s="898" t="s">
        <v>3005</v>
      </c>
    </row>
    <row r="33" spans="1:7" ht="38" hidden="1" customHeight="1" outlineLevel="1">
      <c r="A33" s="741" t="str">
        <f>+'8_MP'!D373</f>
        <v>3.1.1.1.2</v>
      </c>
      <c r="B33" s="735" t="str">
        <f>+'8_MP'!H373</f>
        <v>Contratación de consultores para el diseño de la estructura organizacional, procesos y regulaciones del Sistema Nacional de Transparencia e Integridad, a partir de buenas prácticas y estándares de OCDE. Incluye el diseño e implementación del modelo de canal de denuncias en físico y del  Sistema de  Gestión de Conflictos de Intereses .</v>
      </c>
      <c r="C33" s="252">
        <v>2</v>
      </c>
      <c r="D33" s="252">
        <v>500</v>
      </c>
      <c r="E33" s="528">
        <f>+C33*D33</f>
        <v>1000</v>
      </c>
      <c r="F33" s="591">
        <f>+'8_MP'!AJ373</f>
        <v>0</v>
      </c>
      <c r="G33" s="898" t="s">
        <v>3005</v>
      </c>
    </row>
    <row r="34" spans="1:7" s="516" customFormat="1" ht="29.5" customHeight="1" collapsed="1">
      <c r="A34" s="897" t="str">
        <f>+'8_MP'!D393</f>
        <v>3.1.2</v>
      </c>
      <c r="B34" s="896" t="str">
        <f>+'8_MP'!H393</f>
        <v>Producto 17: Marco regulatorio en materia de integridad, fortalecido. Incluye protección a denunciantes y normativas sobre conflictos de interes</v>
      </c>
      <c r="C34" s="569"/>
      <c r="D34" s="569"/>
      <c r="E34" s="570">
        <f>+E35+E36</f>
        <v>16000</v>
      </c>
      <c r="F34" s="569"/>
      <c r="G34" s="569"/>
    </row>
    <row r="35" spans="1:7" ht="29.5" hidden="1" customHeight="1" outlineLevel="1">
      <c r="A35" s="741" t="str">
        <f>+'8_MP'!D397</f>
        <v>3.1.2.4</v>
      </c>
      <c r="B35" s="735" t="str">
        <f>+'8_MP'!H397</f>
        <v>Saldo para redondeo</v>
      </c>
      <c r="C35" s="252">
        <v>30</v>
      </c>
      <c r="D35" s="252">
        <v>500</v>
      </c>
      <c r="E35" s="528">
        <f>+C35*D35</f>
        <v>15000</v>
      </c>
      <c r="F35" s="591">
        <f>+'8_MP'!AJ397</f>
        <v>0</v>
      </c>
      <c r="G35" s="898" t="s">
        <v>3005</v>
      </c>
    </row>
    <row r="36" spans="1:7" ht="49.25" hidden="1" customHeight="1" outlineLevel="1">
      <c r="A36" s="741" t="e">
        <f>+'8_MP'!#REF!</f>
        <v>#REF!</v>
      </c>
      <c r="B36" s="735" t="e">
        <f>+'8_MP'!#REF!</f>
        <v>#REF!</v>
      </c>
      <c r="C36" s="252">
        <v>2</v>
      </c>
      <c r="D36" s="252">
        <v>500</v>
      </c>
      <c r="E36" s="528">
        <f>+C36*D36</f>
        <v>1000</v>
      </c>
      <c r="F36" s="591" t="e">
        <f>+'8_MP'!#REF!</f>
        <v>#REF!</v>
      </c>
      <c r="G36" s="898" t="s">
        <v>3005</v>
      </c>
    </row>
    <row r="37" spans="1:7" ht="16" collapsed="1">
      <c r="A37" s="737" t="e">
        <f>+'8_MP'!#REF!</f>
        <v>#REF!</v>
      </c>
      <c r="B37" s="566" t="e">
        <f>+'8_MP'!#REF!</f>
        <v>#REF!</v>
      </c>
      <c r="C37" s="612"/>
      <c r="D37" s="612"/>
      <c r="E37" s="615">
        <f>+E38</f>
        <v>55000</v>
      </c>
      <c r="F37" s="566"/>
      <c r="G37" s="566"/>
    </row>
    <row r="38" spans="1:7" ht="16">
      <c r="A38" s="738" t="e">
        <f>+'8_MP'!#REF!</f>
        <v>#REF!</v>
      </c>
      <c r="B38" s="568" t="e">
        <f>+'8_MP'!#REF!</f>
        <v>#REF!</v>
      </c>
      <c r="C38" s="613"/>
      <c r="D38" s="613"/>
      <c r="E38" s="614">
        <f>+E39+E40</f>
        <v>55000</v>
      </c>
      <c r="F38" s="568"/>
      <c r="G38" s="568"/>
    </row>
    <row r="39" spans="1:7" ht="57" customHeight="1">
      <c r="A39" s="527" t="e">
        <f>+'8_MP'!#REF!</f>
        <v>#REF!</v>
      </c>
      <c r="B39" s="273" t="e">
        <f>+'8_MP'!#REF!</f>
        <v>#REF!</v>
      </c>
      <c r="C39" s="252">
        <v>90</v>
      </c>
      <c r="D39" s="252">
        <v>500</v>
      </c>
      <c r="E39" s="528">
        <f>+C39*D39</f>
        <v>45000</v>
      </c>
      <c r="F39" s="273" t="e">
        <f>+'8_MP'!#REF!</f>
        <v>#REF!</v>
      </c>
      <c r="G39" s="899" t="s">
        <v>3006</v>
      </c>
    </row>
    <row r="40" spans="1:7" ht="18" customHeight="1">
      <c r="A40" s="742" t="e">
        <f>+'8_MP'!#REF!</f>
        <v>#REF!</v>
      </c>
      <c r="B40" s="616" t="e">
        <f>+'8_MP'!#REF!</f>
        <v>#REF!</v>
      </c>
      <c r="C40" s="616"/>
      <c r="D40" s="616"/>
      <c r="E40" s="617">
        <f>+E41</f>
        <v>10000</v>
      </c>
      <c r="F40" s="743"/>
      <c r="G40" s="743"/>
    </row>
    <row r="41" spans="1:7" ht="16">
      <c r="A41" s="527" t="e">
        <f>+'8_MP'!#REF!</f>
        <v>#REF!</v>
      </c>
      <c r="B41" s="273" t="e">
        <f>+'8_MP'!#REF!</f>
        <v>#REF!</v>
      </c>
      <c r="C41" s="252">
        <v>20</v>
      </c>
      <c r="D41" s="252">
        <v>500</v>
      </c>
      <c r="E41" s="528">
        <f>+C41*D41</f>
        <v>10000</v>
      </c>
      <c r="F41" s="273" t="e">
        <f>+'8_MP'!#REF!</f>
        <v>#REF!</v>
      </c>
      <c r="G41" s="899" t="s">
        <v>3006</v>
      </c>
    </row>
  </sheetData>
  <mergeCells count="2">
    <mergeCell ref="F22:F24"/>
    <mergeCell ref="G22:G24"/>
  </mergeCells>
  <pageMargins left="0.7" right="0.7" top="0.75" bottom="0.75" header="0.3" footer="0.3"/>
  <pageSetup orientation="portrait" r:id="rId1"/>
  <ignoredErrors>
    <ignoredError sqref="E40"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1"/>
  <sheetViews>
    <sheetView showGridLines="0" workbookViewId="0">
      <selection activeCell="B2" sqref="B2:L2"/>
    </sheetView>
  </sheetViews>
  <sheetFormatPr baseColWidth="10" defaultColWidth="11.5" defaultRowHeight="15"/>
  <sheetData>
    <row r="1" spans="1:8">
      <c r="A1" s="3551" t="s">
        <v>3007</v>
      </c>
      <c r="B1" s="3551"/>
      <c r="C1" s="3551"/>
      <c r="D1" s="3551"/>
      <c r="E1" s="3551"/>
      <c r="F1" s="3551"/>
      <c r="G1" s="3551"/>
      <c r="H1" s="3551"/>
    </row>
  </sheetData>
  <mergeCells count="1">
    <mergeCell ref="A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B2:Q73"/>
  <sheetViews>
    <sheetView showGridLines="0" zoomScaleNormal="100" zoomScalePageLayoutView="125" workbookViewId="0">
      <selection activeCell="P66" sqref="P66"/>
    </sheetView>
  </sheetViews>
  <sheetFormatPr baseColWidth="10" defaultColWidth="85.5" defaultRowHeight="12" outlineLevelRow="3"/>
  <cols>
    <col min="1" max="1" width="0.5" style="56" customWidth="1"/>
    <col min="2" max="2" width="34.5" style="213" customWidth="1"/>
    <col min="3" max="3" width="12.5" style="214" customWidth="1"/>
    <col min="4" max="4" width="7" style="56" customWidth="1"/>
    <col min="5" max="5" width="7.5" style="214" customWidth="1"/>
    <col min="6" max="6" width="7.5" style="214" hidden="1" customWidth="1"/>
    <col min="7" max="7" width="9.5" style="214" customWidth="1"/>
    <col min="8" max="8" width="12.5" style="214" customWidth="1"/>
    <col min="9" max="9" width="10.5" style="214" customWidth="1"/>
    <col min="10" max="11" width="7.5" style="214" customWidth="1"/>
    <col min="12" max="12" width="11.5" style="214" customWidth="1"/>
    <col min="13" max="13" width="7.5" style="214" customWidth="1"/>
    <col min="14" max="14" width="10.5" style="56" customWidth="1"/>
    <col min="15" max="15" width="11" style="56" customWidth="1"/>
    <col min="16" max="16" width="46.33203125" style="386" customWidth="1"/>
    <col min="17" max="17" width="26" style="56" customWidth="1"/>
    <col min="18" max="19" width="18.83203125" style="56" customWidth="1"/>
    <col min="20" max="16384" width="85.5" style="56"/>
  </cols>
  <sheetData>
    <row r="2" spans="2:17">
      <c r="B2" s="3598" t="s">
        <v>136</v>
      </c>
      <c r="C2" s="3598"/>
      <c r="D2" s="3598"/>
      <c r="E2" s="3598"/>
      <c r="F2" s="3598"/>
      <c r="G2" s="3598"/>
      <c r="H2" s="3598"/>
      <c r="I2" s="3598"/>
      <c r="J2" s="3598"/>
      <c r="K2" s="3598"/>
      <c r="L2" s="3598"/>
      <c r="M2" s="3598"/>
      <c r="N2" s="3598"/>
      <c r="O2" s="3598"/>
      <c r="P2" s="3598"/>
    </row>
    <row r="3" spans="2:17" ht="13" outlineLevel="2">
      <c r="B3" s="771" t="s">
        <v>137</v>
      </c>
      <c r="C3" s="3600" t="s">
        <v>138</v>
      </c>
      <c r="D3" s="3600"/>
      <c r="E3" s="3600"/>
      <c r="F3" s="3600"/>
      <c r="G3" s="3600"/>
      <c r="H3" s="3600"/>
      <c r="I3" s="3600"/>
      <c r="J3" s="3600"/>
      <c r="K3" s="3600"/>
      <c r="L3" s="3600"/>
      <c r="M3" s="3600"/>
      <c r="N3" s="3600"/>
      <c r="O3" s="3600"/>
      <c r="P3" s="3600"/>
    </row>
    <row r="4" spans="2:17" ht="13" outlineLevel="2">
      <c r="B4" s="771" t="s">
        <v>139</v>
      </c>
      <c r="C4" s="3599" t="s">
        <v>140</v>
      </c>
      <c r="D4" s="3599"/>
      <c r="E4" s="3599"/>
      <c r="F4" s="3599"/>
      <c r="G4" s="3599"/>
      <c r="H4" s="3599"/>
      <c r="I4" s="3599"/>
      <c r="J4" s="3599"/>
      <c r="K4" s="3599"/>
      <c r="L4" s="3599"/>
      <c r="M4" s="3599"/>
      <c r="N4" s="3599"/>
      <c r="O4" s="3599"/>
      <c r="P4" s="3599"/>
    </row>
    <row r="5" spans="2:17" ht="13" outlineLevel="2">
      <c r="B5" s="771" t="s">
        <v>141</v>
      </c>
      <c r="C5" s="3599" t="s">
        <v>142</v>
      </c>
      <c r="D5" s="3599"/>
      <c r="E5" s="3599"/>
      <c r="F5" s="3599"/>
      <c r="G5" s="3599"/>
      <c r="H5" s="3599"/>
      <c r="I5" s="3599"/>
      <c r="J5" s="3599"/>
      <c r="K5" s="3599"/>
      <c r="L5" s="3599"/>
      <c r="M5" s="3599"/>
      <c r="N5" s="3599"/>
      <c r="O5" s="3599"/>
      <c r="P5" s="3599"/>
    </row>
    <row r="6" spans="2:17" outlineLevel="1">
      <c r="B6" s="215"/>
      <c r="C6" s="215"/>
      <c r="D6" s="216"/>
      <c r="E6" s="216"/>
      <c r="F6" s="216"/>
      <c r="G6" s="216"/>
      <c r="H6" s="216"/>
      <c r="I6" s="216"/>
      <c r="J6" s="216"/>
      <c r="K6" s="217"/>
      <c r="L6" s="217"/>
      <c r="M6" s="217"/>
      <c r="N6" s="217"/>
      <c r="O6" s="218"/>
      <c r="P6" s="387"/>
      <c r="Q6" s="212"/>
    </row>
    <row r="7" spans="2:17" outlineLevel="1">
      <c r="B7" s="3627" t="s">
        <v>143</v>
      </c>
      <c r="C7" s="3628"/>
      <c r="D7" s="3628"/>
      <c r="E7" s="3628"/>
      <c r="F7" s="3628"/>
      <c r="G7" s="3628"/>
      <c r="H7" s="3628"/>
      <c r="I7" s="3628"/>
      <c r="J7" s="3628"/>
      <c r="K7" s="3628"/>
      <c r="L7" s="3628"/>
      <c r="M7" s="3628"/>
      <c r="N7" s="3628"/>
      <c r="O7" s="3628"/>
      <c r="P7" s="3629"/>
      <c r="Q7" s="212"/>
    </row>
    <row r="8" spans="2:17" outlineLevel="2">
      <c r="B8" s="3607" t="s">
        <v>144</v>
      </c>
      <c r="C8" s="3607"/>
      <c r="D8" s="3601" t="s">
        <v>145</v>
      </c>
      <c r="E8" s="3601" t="s">
        <v>146</v>
      </c>
      <c r="F8" s="772"/>
      <c r="G8" s="772"/>
      <c r="H8" s="3601" t="s">
        <v>147</v>
      </c>
      <c r="I8" s="3601" t="s">
        <v>148</v>
      </c>
      <c r="J8" s="3601"/>
      <c r="K8" s="3601" t="s">
        <v>149</v>
      </c>
      <c r="L8" s="3601"/>
      <c r="M8" s="3601" t="s">
        <v>150</v>
      </c>
      <c r="N8" s="3601"/>
      <c r="O8" s="3601" t="s">
        <v>151</v>
      </c>
      <c r="P8" s="3601"/>
      <c r="Q8" s="212"/>
    </row>
    <row r="9" spans="2:17" ht="13" outlineLevel="2">
      <c r="B9" s="3607"/>
      <c r="C9" s="3607"/>
      <c r="D9" s="3601"/>
      <c r="E9" s="3601"/>
      <c r="F9" s="772"/>
      <c r="G9" s="772"/>
      <c r="H9" s="3601"/>
      <c r="I9" s="772" t="s">
        <v>152</v>
      </c>
      <c r="J9" s="772" t="s">
        <v>153</v>
      </c>
      <c r="K9" s="772" t="s">
        <v>152</v>
      </c>
      <c r="L9" s="772" t="s">
        <v>153</v>
      </c>
      <c r="M9" s="3601"/>
      <c r="N9" s="3601"/>
      <c r="O9" s="3601"/>
      <c r="P9" s="3601"/>
      <c r="Q9" s="212"/>
    </row>
    <row r="10" spans="2:17" s="1108" customFormat="1" outlineLevel="2">
      <c r="B10" s="3590" t="s">
        <v>154</v>
      </c>
      <c r="C10" s="3590"/>
      <c r="D10" s="3590"/>
      <c r="E10" s="3590"/>
      <c r="F10" s="3590"/>
      <c r="G10" s="3590"/>
      <c r="H10" s="3590"/>
      <c r="I10" s="3590"/>
      <c r="J10" s="3590"/>
      <c r="K10" s="3590"/>
      <c r="L10" s="3590"/>
      <c r="M10" s="3590"/>
      <c r="N10" s="3590"/>
      <c r="O10" s="3590"/>
      <c r="P10" s="3590"/>
      <c r="Q10" s="1107"/>
    </row>
    <row r="11" spans="2:17" ht="44" customHeight="1" outlineLevel="3">
      <c r="B11" s="3591" t="s">
        <v>358</v>
      </c>
      <c r="C11" s="3592"/>
      <c r="D11" s="1806" t="s">
        <v>156</v>
      </c>
      <c r="E11" s="1806">
        <v>0</v>
      </c>
      <c r="F11" s="1806"/>
      <c r="G11" s="1806"/>
      <c r="H11" s="1806">
        <v>2023</v>
      </c>
      <c r="I11" s="1806" t="s">
        <v>157</v>
      </c>
      <c r="J11" s="1806" t="s">
        <v>157</v>
      </c>
      <c r="K11" s="1806">
        <v>100</v>
      </c>
      <c r="L11" s="1806">
        <v>2028</v>
      </c>
      <c r="M11" s="3589" t="s">
        <v>158</v>
      </c>
      <c r="N11" s="3589"/>
      <c r="O11" s="3589"/>
      <c r="P11" s="3589"/>
      <c r="Q11" s="212" t="s">
        <v>159</v>
      </c>
    </row>
    <row r="12" spans="2:17" ht="44" customHeight="1" outlineLevel="3">
      <c r="B12" s="3591" t="s">
        <v>160</v>
      </c>
      <c r="C12" s="3592"/>
      <c r="D12" s="1806" t="s">
        <v>156</v>
      </c>
      <c r="E12" s="1806">
        <v>58</v>
      </c>
      <c r="F12" s="1806"/>
      <c r="G12" s="1806"/>
      <c r="H12" s="1806">
        <v>2023</v>
      </c>
      <c r="I12" s="1806" t="s">
        <v>157</v>
      </c>
      <c r="J12" s="1806" t="s">
        <v>157</v>
      </c>
      <c r="K12" s="1806">
        <v>45</v>
      </c>
      <c r="L12" s="1806">
        <v>2028</v>
      </c>
      <c r="M12" s="3589" t="s">
        <v>158</v>
      </c>
      <c r="N12" s="3589"/>
      <c r="O12" s="3589" t="s">
        <v>161</v>
      </c>
      <c r="P12" s="3589"/>
      <c r="Q12" s="212" t="s">
        <v>162</v>
      </c>
    </row>
    <row r="13" spans="2:17" ht="44" customHeight="1" outlineLevel="3">
      <c r="B13" s="3591" t="s">
        <v>163</v>
      </c>
      <c r="C13" s="3592"/>
      <c r="D13" s="1806" t="s">
        <v>156</v>
      </c>
      <c r="E13" s="1806">
        <v>8.35</v>
      </c>
      <c r="F13" s="1806"/>
      <c r="G13" s="1806"/>
      <c r="H13" s="1806">
        <v>2023</v>
      </c>
      <c r="I13" s="1806" t="s">
        <v>157</v>
      </c>
      <c r="J13" s="1806" t="s">
        <v>157</v>
      </c>
      <c r="K13" s="1806">
        <v>10</v>
      </c>
      <c r="L13" s="1806">
        <v>2028</v>
      </c>
      <c r="M13" s="3589" t="s">
        <v>158</v>
      </c>
      <c r="N13" s="3589"/>
      <c r="O13" s="3589" t="s">
        <v>164</v>
      </c>
      <c r="P13" s="3589"/>
      <c r="Q13" s="212"/>
    </row>
    <row r="14" spans="2:17" ht="44" customHeight="1" outlineLevel="3">
      <c r="B14" s="3593" t="s">
        <v>359</v>
      </c>
      <c r="C14" s="3594"/>
      <c r="D14" s="1806" t="s">
        <v>156</v>
      </c>
      <c r="E14" s="1806">
        <v>0</v>
      </c>
      <c r="F14" s="1806"/>
      <c r="G14" s="1806"/>
      <c r="H14" s="1806">
        <v>2023</v>
      </c>
      <c r="I14" s="1806" t="s">
        <v>157</v>
      </c>
      <c r="J14" s="1806" t="s">
        <v>157</v>
      </c>
      <c r="K14" s="1806">
        <v>60</v>
      </c>
      <c r="L14" s="1806">
        <v>2028</v>
      </c>
      <c r="M14" s="3589" t="s">
        <v>166</v>
      </c>
      <c r="N14" s="3589"/>
      <c r="O14" s="3589" t="s">
        <v>167</v>
      </c>
      <c r="P14" s="3589"/>
      <c r="Q14" s="212" t="s">
        <v>168</v>
      </c>
    </row>
    <row r="15" spans="2:17" s="1108" customFormat="1" outlineLevel="2">
      <c r="B15" s="3626" t="s">
        <v>169</v>
      </c>
      <c r="C15" s="3626"/>
      <c r="D15" s="3626"/>
      <c r="E15" s="3626"/>
      <c r="F15" s="3626"/>
      <c r="G15" s="3626"/>
      <c r="H15" s="3626"/>
      <c r="I15" s="3626"/>
      <c r="J15" s="3626"/>
      <c r="K15" s="3626"/>
      <c r="L15" s="3626"/>
      <c r="M15" s="3626"/>
      <c r="N15" s="3626"/>
      <c r="O15" s="3626"/>
      <c r="P15" s="3626"/>
      <c r="Q15" s="1107"/>
    </row>
    <row r="16" spans="2:17" ht="44" customHeight="1" outlineLevel="3">
      <c r="B16" s="3560" t="s">
        <v>170</v>
      </c>
      <c r="C16" s="3560"/>
      <c r="D16" s="2083" t="s">
        <v>156</v>
      </c>
      <c r="E16" s="2083">
        <v>0</v>
      </c>
      <c r="F16" s="2083"/>
      <c r="G16" s="2083"/>
      <c r="H16" s="2083">
        <v>2023</v>
      </c>
      <c r="I16" s="2083" t="s">
        <v>157</v>
      </c>
      <c r="J16" s="2083" t="s">
        <v>157</v>
      </c>
      <c r="K16" s="2083">
        <v>30</v>
      </c>
      <c r="L16" s="2083">
        <v>2028</v>
      </c>
      <c r="M16" s="3560" t="s">
        <v>171</v>
      </c>
      <c r="N16" s="3560"/>
      <c r="O16" s="3560" t="s">
        <v>360</v>
      </c>
      <c r="P16" s="3560"/>
      <c r="Q16" s="212"/>
    </row>
    <row r="17" spans="2:17" s="1108" customFormat="1" outlineLevel="2">
      <c r="B17" s="3624" t="s">
        <v>173</v>
      </c>
      <c r="C17" s="3624"/>
      <c r="D17" s="3624"/>
      <c r="E17" s="3624"/>
      <c r="F17" s="3624"/>
      <c r="G17" s="3624"/>
      <c r="H17" s="3624"/>
      <c r="I17" s="3624"/>
      <c r="J17" s="3624"/>
      <c r="K17" s="3624"/>
      <c r="L17" s="3624"/>
      <c r="M17" s="3624"/>
      <c r="N17" s="3624"/>
      <c r="O17" s="3624"/>
      <c r="P17" s="3624"/>
      <c r="Q17" s="1107"/>
    </row>
    <row r="18" spans="2:17" ht="44" customHeight="1" outlineLevel="3">
      <c r="B18" s="3560" t="s">
        <v>174</v>
      </c>
      <c r="C18" s="3560"/>
      <c r="D18" s="2083" t="s">
        <v>156</v>
      </c>
      <c r="E18" s="2083">
        <v>12.8</v>
      </c>
      <c r="F18" s="2083"/>
      <c r="G18" s="2083"/>
      <c r="H18" s="2083">
        <v>2020</v>
      </c>
      <c r="I18" s="2083" t="s">
        <v>157</v>
      </c>
      <c r="J18" s="2083" t="s">
        <v>157</v>
      </c>
      <c r="K18" s="2540">
        <v>0.05</v>
      </c>
      <c r="L18" s="2083">
        <v>2028</v>
      </c>
      <c r="M18" s="3560" t="s">
        <v>175</v>
      </c>
      <c r="N18" s="3560"/>
      <c r="O18" s="3625" t="s">
        <v>176</v>
      </c>
      <c r="P18" s="3625"/>
      <c r="Q18" s="212"/>
    </row>
    <row r="19" spans="2:17" ht="44" customHeight="1" outlineLevel="3">
      <c r="B19" s="3560" t="s">
        <v>177</v>
      </c>
      <c r="C19" s="3560"/>
      <c r="D19" s="2083" t="s">
        <v>178</v>
      </c>
      <c r="E19" s="2083">
        <v>172</v>
      </c>
      <c r="F19" s="2083"/>
      <c r="G19" s="2083"/>
      <c r="H19" s="2083">
        <v>2022</v>
      </c>
      <c r="I19" s="2083" t="s">
        <v>157</v>
      </c>
      <c r="J19" s="2083" t="s">
        <v>157</v>
      </c>
      <c r="K19" s="2083">
        <v>100</v>
      </c>
      <c r="L19" s="2083">
        <v>2028</v>
      </c>
      <c r="M19" s="3560" t="s">
        <v>175</v>
      </c>
      <c r="N19" s="3560"/>
      <c r="O19" s="3560"/>
      <c r="P19" s="3560"/>
      <c r="Q19" s="212"/>
    </row>
    <row r="20" spans="2:17" ht="44" customHeight="1" outlineLevel="3">
      <c r="B20" s="3560" t="s">
        <v>179</v>
      </c>
      <c r="C20" s="3560"/>
      <c r="D20" s="2083" t="s">
        <v>180</v>
      </c>
      <c r="E20" s="2083">
        <v>3</v>
      </c>
      <c r="F20" s="2083"/>
      <c r="G20" s="2083"/>
      <c r="H20" s="2083">
        <v>2020</v>
      </c>
      <c r="I20" s="2083" t="s">
        <v>157</v>
      </c>
      <c r="J20" s="2083" t="s">
        <v>157</v>
      </c>
      <c r="K20" s="2083">
        <v>1</v>
      </c>
      <c r="L20" s="2083">
        <v>2028</v>
      </c>
      <c r="M20" s="3560" t="s">
        <v>175</v>
      </c>
      <c r="N20" s="3560"/>
      <c r="O20" s="3560" t="s">
        <v>181</v>
      </c>
      <c r="P20" s="3560"/>
      <c r="Q20" s="212"/>
    </row>
    <row r="21" spans="2:17" ht="44" customHeight="1" outlineLevel="3">
      <c r="B21" s="3560" t="s">
        <v>182</v>
      </c>
      <c r="C21" s="3560"/>
      <c r="D21" s="2083" t="s">
        <v>156</v>
      </c>
      <c r="E21" s="2083">
        <v>17</v>
      </c>
      <c r="F21" s="2083"/>
      <c r="G21" s="2083"/>
      <c r="H21" s="2083">
        <v>2021</v>
      </c>
      <c r="I21" s="2083" t="s">
        <v>157</v>
      </c>
      <c r="J21" s="2083" t="s">
        <v>157</v>
      </c>
      <c r="K21" s="2083">
        <v>5</v>
      </c>
      <c r="L21" s="2083">
        <v>2028</v>
      </c>
      <c r="M21" s="3560" t="s">
        <v>175</v>
      </c>
      <c r="N21" s="3560"/>
      <c r="O21" s="3560" t="s">
        <v>183</v>
      </c>
      <c r="P21" s="3560"/>
      <c r="Q21" s="212"/>
    </row>
    <row r="22" spans="2:17" outlineLevel="2">
      <c r="B22" s="217"/>
      <c r="C22" s="217"/>
      <c r="D22" s="216"/>
      <c r="E22" s="216"/>
      <c r="F22" s="216"/>
      <c r="G22" s="216"/>
      <c r="H22" s="216"/>
      <c r="I22" s="216"/>
      <c r="J22" s="216"/>
      <c r="K22" s="217"/>
      <c r="L22" s="217"/>
      <c r="M22" s="217"/>
      <c r="N22" s="216"/>
      <c r="O22" s="216"/>
      <c r="P22" s="216"/>
      <c r="Q22" s="212"/>
    </row>
    <row r="23" spans="2:17" outlineLevel="1">
      <c r="B23" s="215"/>
      <c r="C23" s="215"/>
      <c r="D23" s="216"/>
      <c r="E23" s="216"/>
      <c r="F23" s="216"/>
      <c r="G23" s="216"/>
      <c r="H23" s="216"/>
      <c r="I23" s="216"/>
      <c r="J23" s="216"/>
      <c r="K23" s="217"/>
      <c r="L23" s="217"/>
      <c r="M23" s="217"/>
      <c r="N23" s="217"/>
      <c r="O23" s="218"/>
      <c r="P23" s="387"/>
      <c r="Q23" s="212"/>
    </row>
    <row r="24" spans="2:17">
      <c r="B24" s="3617" t="e">
        <f>+'8_MP'!#REF!</f>
        <v>#REF!</v>
      </c>
      <c r="C24" s="3617"/>
      <c r="D24" s="3617"/>
      <c r="E24" s="3617"/>
      <c r="F24" s="3617"/>
      <c r="G24" s="3617"/>
      <c r="H24" s="3617"/>
      <c r="I24" s="3617"/>
      <c r="J24" s="3617"/>
      <c r="K24" s="3617"/>
      <c r="L24" s="3617"/>
      <c r="M24" s="3617"/>
      <c r="N24" s="3617"/>
      <c r="O24" s="3617"/>
      <c r="P24" s="3617"/>
    </row>
    <row r="25" spans="2:17" ht="39">
      <c r="B25" s="2103" t="s">
        <v>184</v>
      </c>
      <c r="C25" s="2104" t="s">
        <v>185</v>
      </c>
      <c r="D25" s="2104" t="s">
        <v>186</v>
      </c>
      <c r="E25" s="2104" t="s">
        <v>147</v>
      </c>
      <c r="F25" s="2104"/>
      <c r="G25" s="2104" t="s">
        <v>361</v>
      </c>
      <c r="H25" s="2104" t="s">
        <v>188</v>
      </c>
      <c r="I25" s="2104" t="s">
        <v>189</v>
      </c>
      <c r="J25" s="2104" t="s">
        <v>190</v>
      </c>
      <c r="K25" s="2104" t="s">
        <v>191</v>
      </c>
      <c r="L25" s="2104" t="s">
        <v>192</v>
      </c>
      <c r="M25" s="2104" t="s">
        <v>193</v>
      </c>
      <c r="N25" s="3622" t="s">
        <v>194</v>
      </c>
      <c r="O25" s="3622"/>
      <c r="P25" s="2104" t="s">
        <v>151</v>
      </c>
    </row>
    <row r="26" spans="2:17">
      <c r="B26" s="3617" t="str">
        <f>+'8_MP'!H8</f>
        <v>Subcomponente 1.1 Transparencia en finanzas públicas</v>
      </c>
      <c r="C26" s="3617"/>
      <c r="D26" s="3617"/>
      <c r="E26" s="3617"/>
      <c r="F26" s="3617"/>
      <c r="G26" s="3617"/>
      <c r="H26" s="3617"/>
      <c r="I26" s="3617"/>
      <c r="J26" s="3617"/>
      <c r="K26" s="3617"/>
      <c r="L26" s="3617"/>
      <c r="M26" s="3617"/>
      <c r="N26" s="3617"/>
      <c r="O26" s="3617"/>
      <c r="P26" s="3617"/>
    </row>
    <row r="27" spans="2:17" ht="93.75" customHeight="1" outlineLevel="1">
      <c r="B27" s="2471" t="str">
        <f>+'8_MP'!H9</f>
        <v xml:space="preserve">Producto 1: Procesos de interoperabilidad en MH, MEPyD, DGCP y CGRD, implementados. Incluye SIGEF ajustado al presupuesto plurianual </v>
      </c>
      <c r="C27" s="1882" t="s">
        <v>196</v>
      </c>
      <c r="D27" s="2082">
        <v>0</v>
      </c>
      <c r="E27" s="1894">
        <v>2022</v>
      </c>
      <c r="F27" s="1894"/>
      <c r="G27" s="1894" t="s">
        <v>157</v>
      </c>
      <c r="H27" s="1894" t="s">
        <v>157</v>
      </c>
      <c r="I27" s="1894" t="s">
        <v>157</v>
      </c>
      <c r="J27" s="1894">
        <v>1</v>
      </c>
      <c r="K27" s="1894">
        <v>1</v>
      </c>
      <c r="L27" s="1894">
        <v>1</v>
      </c>
      <c r="M27" s="1894">
        <f>SUM(G27:L27)</f>
        <v>3</v>
      </c>
      <c r="N27" s="3623" t="s">
        <v>197</v>
      </c>
      <c r="O27" s="3623"/>
      <c r="P27" s="2464" t="s">
        <v>198</v>
      </c>
    </row>
    <row r="28" spans="2:17" ht="72.75" customHeight="1" outlineLevel="1">
      <c r="B28" s="2471" t="str">
        <f>+'8_MP'!H52</f>
        <v>Producto 2: Portal de transparencia fiscal y Tablero de control con funcionalidades analíticas, desarrollados</v>
      </c>
      <c r="C28" s="1882" t="s">
        <v>196</v>
      </c>
      <c r="D28" s="2082">
        <v>0</v>
      </c>
      <c r="E28" s="1894">
        <v>2022</v>
      </c>
      <c r="F28" s="1894"/>
      <c r="G28" s="1894" t="s">
        <v>157</v>
      </c>
      <c r="H28" s="1894" t="s">
        <v>157</v>
      </c>
      <c r="I28" s="1894" t="s">
        <v>157</v>
      </c>
      <c r="J28" s="1894">
        <v>1</v>
      </c>
      <c r="K28" s="1894">
        <v>1</v>
      </c>
      <c r="L28" s="1894">
        <v>1</v>
      </c>
      <c r="M28" s="1894">
        <f>SUM(G28:L28)</f>
        <v>3</v>
      </c>
      <c r="N28" s="3560" t="s">
        <v>202</v>
      </c>
      <c r="O28" s="3560"/>
      <c r="P28" s="1890" t="s">
        <v>362</v>
      </c>
    </row>
    <row r="29" spans="2:17" ht="24" outlineLevel="1">
      <c r="B29" s="1881" t="s">
        <v>363</v>
      </c>
      <c r="C29" s="1882" t="s">
        <v>196</v>
      </c>
      <c r="D29" s="2082">
        <v>0</v>
      </c>
      <c r="E29" s="1894">
        <v>2022</v>
      </c>
      <c r="F29" s="1894"/>
      <c r="G29" s="1894" t="s">
        <v>157</v>
      </c>
      <c r="H29" s="1894" t="s">
        <v>157</v>
      </c>
      <c r="I29" s="1894" t="s">
        <v>157</v>
      </c>
      <c r="J29" s="1894" t="s">
        <v>157</v>
      </c>
      <c r="K29" s="1894" t="s">
        <v>157</v>
      </c>
      <c r="L29" s="1894">
        <v>1</v>
      </c>
      <c r="M29" s="1894">
        <f>SUM(G29:L29)</f>
        <v>1</v>
      </c>
      <c r="N29" s="3560" t="s">
        <v>214</v>
      </c>
      <c r="O29" s="3560"/>
      <c r="P29" s="1890"/>
    </row>
    <row r="30" spans="2:17">
      <c r="B30" s="3617" t="str">
        <f>+'8_MP'!H73</f>
        <v>Subcomponente 1.2 Eficiencia en las contrataciones públicas</v>
      </c>
      <c r="C30" s="3617"/>
      <c r="D30" s="3617"/>
      <c r="E30" s="3617"/>
      <c r="F30" s="3617"/>
      <c r="G30" s="3617"/>
      <c r="H30" s="3617"/>
      <c r="I30" s="3617"/>
      <c r="J30" s="3617"/>
      <c r="K30" s="3617"/>
      <c r="L30" s="3617"/>
      <c r="M30" s="3617"/>
      <c r="N30" s="3617"/>
      <c r="O30" s="3617"/>
      <c r="P30" s="3617"/>
    </row>
    <row r="31" spans="2:17" ht="158.5" customHeight="1" outlineLevel="1">
      <c r="B31" s="2471" t="str">
        <f>+'8_MP'!H74</f>
        <v>Producto 4: Modernización del Sistema de Contrataciones Públicas con accesibilidad para personas con discapacidad desarrollada. Incluye ajustes al sistema de información acutal de contrataciones y Sistema de detección de irregularidades y alertas tempranas</v>
      </c>
      <c r="C31" s="1882" t="s">
        <v>364</v>
      </c>
      <c r="D31" s="2082">
        <v>0</v>
      </c>
      <c r="E31" s="1894">
        <v>2022</v>
      </c>
      <c r="F31" s="1894"/>
      <c r="G31" s="1894" t="s">
        <v>157</v>
      </c>
      <c r="H31" s="1894" t="s">
        <v>157</v>
      </c>
      <c r="I31" s="1894" t="s">
        <v>157</v>
      </c>
      <c r="J31" s="1894">
        <v>2</v>
      </c>
      <c r="K31" s="1894">
        <v>1</v>
      </c>
      <c r="L31" s="1894">
        <v>1</v>
      </c>
      <c r="M31" s="1894">
        <f>SUM(G31:L31)</f>
        <v>4</v>
      </c>
      <c r="N31" s="3623" t="s">
        <v>202</v>
      </c>
      <c r="O31" s="3623"/>
      <c r="P31" s="2464" t="s">
        <v>365</v>
      </c>
    </row>
    <row r="32" spans="2:17" ht="84" outlineLevel="1">
      <c r="B32" s="2471" t="s">
        <v>366</v>
      </c>
      <c r="C32" s="1882" t="s">
        <v>364</v>
      </c>
      <c r="D32" s="2082">
        <v>0</v>
      </c>
      <c r="E32" s="1894">
        <v>2022</v>
      </c>
      <c r="F32" s="1894"/>
      <c r="G32" s="1894" t="s">
        <v>157</v>
      </c>
      <c r="H32" s="1894" t="s">
        <v>157</v>
      </c>
      <c r="I32" s="1894" t="s">
        <v>157</v>
      </c>
      <c r="J32" s="1894">
        <v>1</v>
      </c>
      <c r="K32" s="1894">
        <v>1</v>
      </c>
      <c r="L32" s="1894">
        <v>1</v>
      </c>
      <c r="M32" s="1894">
        <f>SUM(G32:L32)</f>
        <v>3</v>
      </c>
      <c r="N32" s="3623" t="s">
        <v>234</v>
      </c>
      <c r="O32" s="3623"/>
      <c r="P32" s="2464" t="s">
        <v>367</v>
      </c>
    </row>
    <row r="33" spans="2:16" ht="101.25" customHeight="1" outlineLevel="1">
      <c r="B33" s="2471" t="s">
        <v>368</v>
      </c>
      <c r="C33" s="1882" t="s">
        <v>364</v>
      </c>
      <c r="D33" s="2082">
        <v>0</v>
      </c>
      <c r="E33" s="1894">
        <v>2022</v>
      </c>
      <c r="F33" s="1894"/>
      <c r="G33" s="1894" t="s">
        <v>157</v>
      </c>
      <c r="H33" s="1894" t="s">
        <v>157</v>
      </c>
      <c r="I33" s="1894" t="s">
        <v>157</v>
      </c>
      <c r="J33" s="1894" t="s">
        <v>369</v>
      </c>
      <c r="K33" s="1894" t="s">
        <v>370</v>
      </c>
      <c r="L33" s="1894" t="s">
        <v>157</v>
      </c>
      <c r="M33" s="1894">
        <v>2</v>
      </c>
      <c r="N33" s="3623" t="s">
        <v>371</v>
      </c>
      <c r="O33" s="3623"/>
      <c r="P33" s="2464" t="s">
        <v>372</v>
      </c>
    </row>
    <row r="34" spans="2:16">
      <c r="B34" s="3617" t="s">
        <v>29</v>
      </c>
      <c r="C34" s="3617"/>
      <c r="D34" s="3617"/>
      <c r="E34" s="3617"/>
      <c r="F34" s="3617"/>
      <c r="G34" s="3617"/>
      <c r="H34" s="3617"/>
      <c r="I34" s="3617"/>
      <c r="J34" s="3617"/>
      <c r="K34" s="3617"/>
      <c r="L34" s="3617"/>
      <c r="M34" s="3617"/>
      <c r="N34" s="3617"/>
      <c r="O34" s="3617"/>
      <c r="P34" s="3617"/>
    </row>
    <row r="35" spans="2:16" s="2084" customFormat="1" ht="153.75" customHeight="1" outlineLevel="1">
      <c r="B35" s="2087" t="s">
        <v>373</v>
      </c>
      <c r="C35" s="1882" t="s">
        <v>364</v>
      </c>
      <c r="D35" s="1883">
        <v>0</v>
      </c>
      <c r="E35" s="1884">
        <v>2022</v>
      </c>
      <c r="F35" s="1884"/>
      <c r="G35" s="1894" t="s">
        <v>157</v>
      </c>
      <c r="H35" s="1894" t="s">
        <v>157</v>
      </c>
      <c r="I35" s="1894" t="s">
        <v>157</v>
      </c>
      <c r="J35" s="2122">
        <v>2</v>
      </c>
      <c r="K35" s="2122">
        <v>2</v>
      </c>
      <c r="L35" s="2122">
        <v>1</v>
      </c>
      <c r="M35" s="2122">
        <f>SUM(G35:L35)</f>
        <v>5</v>
      </c>
      <c r="N35" s="3619" t="s">
        <v>374</v>
      </c>
      <c r="O35" s="3620"/>
      <c r="P35" s="2507" t="s">
        <v>375</v>
      </c>
    </row>
    <row r="36" spans="2:16">
      <c r="B36" s="3617" t="s">
        <v>34</v>
      </c>
      <c r="C36" s="3617"/>
      <c r="D36" s="3617"/>
      <c r="E36" s="3617"/>
      <c r="F36" s="3617"/>
      <c r="G36" s="3617"/>
      <c r="H36" s="3617"/>
      <c r="I36" s="3617"/>
      <c r="J36" s="3617"/>
      <c r="K36" s="3617"/>
      <c r="L36" s="3617"/>
      <c r="M36" s="3617"/>
      <c r="N36" s="3617"/>
      <c r="O36" s="3617"/>
      <c r="P36" s="3617"/>
    </row>
    <row r="37" spans="2:16" s="2084" customFormat="1" ht="60" outlineLevel="1">
      <c r="B37" s="1889" t="str">
        <f>+'8_MP'!H181</f>
        <v>Producto 8: Régimen de Beneficiarios Finales de personas y estructuras jurídicas diseñado e implementado. Incluye la Estrategia de Gestión del Cambio y comunicaciones</v>
      </c>
      <c r="C37" s="1882" t="s">
        <v>196</v>
      </c>
      <c r="D37" s="1883">
        <v>0</v>
      </c>
      <c r="E37" s="1884">
        <v>2022</v>
      </c>
      <c r="F37" s="1884"/>
      <c r="G37" s="2122" t="s">
        <v>157</v>
      </c>
      <c r="H37" s="2122" t="s">
        <v>157</v>
      </c>
      <c r="I37" s="2122">
        <v>1</v>
      </c>
      <c r="J37" s="2122">
        <v>1</v>
      </c>
      <c r="K37" s="2122">
        <v>1</v>
      </c>
      <c r="L37" s="2122">
        <v>1</v>
      </c>
      <c r="M37" s="2122">
        <v>4</v>
      </c>
      <c r="N37" s="3619" t="s">
        <v>248</v>
      </c>
      <c r="O37" s="3620"/>
      <c r="P37" s="2507" t="s">
        <v>376</v>
      </c>
    </row>
    <row r="38" spans="2:16" outlineLevel="1">
      <c r="B38" s="2105"/>
      <c r="C38" s="2106"/>
      <c r="D38" s="2107"/>
      <c r="E38" s="2108"/>
      <c r="F38" s="2108"/>
      <c r="G38" s="2108"/>
      <c r="H38" s="2109"/>
      <c r="I38" s="2109"/>
      <c r="J38" s="2109"/>
      <c r="K38" s="2109"/>
      <c r="L38" s="2109"/>
      <c r="M38" s="2109"/>
      <c r="N38" s="2102"/>
      <c r="O38" s="2102"/>
      <c r="P38" s="2110"/>
    </row>
    <row r="39" spans="2:16">
      <c r="B39" s="3617" t="s">
        <v>258</v>
      </c>
      <c r="C39" s="3617"/>
      <c r="D39" s="3617"/>
      <c r="E39" s="3617"/>
      <c r="F39" s="3617"/>
      <c r="G39" s="3617"/>
      <c r="H39" s="3617"/>
      <c r="I39" s="3617"/>
      <c r="J39" s="3617"/>
      <c r="K39" s="3617"/>
      <c r="L39" s="3617"/>
      <c r="M39" s="3617"/>
      <c r="N39" s="3617"/>
      <c r="O39" s="3617"/>
      <c r="P39" s="3617"/>
    </row>
    <row r="40" spans="2:16" ht="39">
      <c r="B40" s="2104" t="s">
        <v>184</v>
      </c>
      <c r="C40" s="2104" t="s">
        <v>185</v>
      </c>
      <c r="D40" s="2104" t="s">
        <v>186</v>
      </c>
      <c r="E40" s="2104" t="s">
        <v>147</v>
      </c>
      <c r="F40" s="2104"/>
      <c r="G40" s="2104" t="s">
        <v>377</v>
      </c>
      <c r="H40" s="2104" t="s">
        <v>188</v>
      </c>
      <c r="I40" s="2104" t="s">
        <v>189</v>
      </c>
      <c r="J40" s="2104" t="s">
        <v>190</v>
      </c>
      <c r="K40" s="2104" t="s">
        <v>191</v>
      </c>
      <c r="L40" s="2104" t="s">
        <v>378</v>
      </c>
      <c r="M40" s="2104" t="s">
        <v>193</v>
      </c>
      <c r="N40" s="3622" t="s">
        <v>194</v>
      </c>
      <c r="O40" s="3622"/>
      <c r="P40" s="2104" t="s">
        <v>151</v>
      </c>
    </row>
    <row r="41" spans="2:16">
      <c r="B41" s="3617" t="s">
        <v>259</v>
      </c>
      <c r="C41" s="3617"/>
      <c r="D41" s="3617"/>
      <c r="E41" s="3617"/>
      <c r="F41" s="3617"/>
      <c r="G41" s="3617"/>
      <c r="H41" s="3617"/>
      <c r="I41" s="3617"/>
      <c r="J41" s="3617"/>
      <c r="K41" s="3617"/>
      <c r="L41" s="3617"/>
      <c r="M41" s="3617"/>
      <c r="N41" s="3617"/>
      <c r="O41" s="3617"/>
      <c r="P41" s="3617"/>
    </row>
    <row r="42" spans="2:16" s="708" customFormat="1" ht="96" hidden="1" outlineLevel="1">
      <c r="B42" s="1889">
        <f>+'8_MP'!H217</f>
        <v>0</v>
      </c>
      <c r="C42" s="1882" t="s">
        <v>379</v>
      </c>
      <c r="D42" s="1883">
        <v>0</v>
      </c>
      <c r="E42" s="1884">
        <v>2022</v>
      </c>
      <c r="F42" s="1884" t="s">
        <v>380</v>
      </c>
      <c r="H42" s="1894"/>
      <c r="I42" s="2344">
        <v>1</v>
      </c>
      <c r="J42" s="2344">
        <v>1</v>
      </c>
      <c r="K42" s="1894" t="s">
        <v>157</v>
      </c>
      <c r="L42" s="1894" t="s">
        <v>157</v>
      </c>
      <c r="M42" s="1884">
        <v>2</v>
      </c>
      <c r="N42" s="3560" t="s">
        <v>234</v>
      </c>
      <c r="O42" s="3560"/>
      <c r="P42" s="2090" t="s">
        <v>381</v>
      </c>
    </row>
    <row r="43" spans="2:16" s="1361" customFormat="1" ht="96" hidden="1" outlineLevel="1">
      <c r="B43" s="2345"/>
      <c r="C43" s="1855"/>
      <c r="D43" s="1856"/>
      <c r="E43" s="1857"/>
      <c r="F43" s="1857"/>
      <c r="H43" s="2346" t="s">
        <v>382</v>
      </c>
      <c r="I43" s="2347" t="s">
        <v>383</v>
      </c>
      <c r="J43" s="1858"/>
      <c r="K43" s="1858"/>
      <c r="L43" s="1858"/>
      <c r="M43" s="1857"/>
      <c r="N43" s="3578"/>
      <c r="O43" s="3579"/>
      <c r="P43" s="1859"/>
    </row>
    <row r="44" spans="2:16" s="708" customFormat="1" ht="24" hidden="1" outlineLevel="1">
      <c r="B44" s="1889">
        <f>+'8_MP'!H247</f>
        <v>0</v>
      </c>
      <c r="C44" s="1882" t="s">
        <v>287</v>
      </c>
      <c r="D44" s="1883">
        <v>0</v>
      </c>
      <c r="E44" s="1884">
        <v>2022</v>
      </c>
      <c r="F44" s="1884"/>
      <c r="G44" s="1894" t="s">
        <v>157</v>
      </c>
      <c r="H44" s="1894" t="s">
        <v>157</v>
      </c>
      <c r="I44" s="1894" t="s">
        <v>157</v>
      </c>
      <c r="J44" s="2344">
        <v>1</v>
      </c>
      <c r="K44" s="2344">
        <v>1</v>
      </c>
      <c r="L44" s="1894" t="s">
        <v>157</v>
      </c>
      <c r="M44" s="1884">
        <f>SUM(G44:L44)</f>
        <v>2</v>
      </c>
      <c r="N44" s="3560" t="s">
        <v>234</v>
      </c>
      <c r="O44" s="3560"/>
      <c r="P44" s="2090" t="s">
        <v>384</v>
      </c>
    </row>
    <row r="45" spans="2:16" s="1361" customFormat="1" ht="48" hidden="1" outlineLevel="2">
      <c r="B45" s="2348"/>
      <c r="C45" s="1855"/>
      <c r="D45" s="1856"/>
      <c r="E45" s="1857"/>
      <c r="F45" s="1857"/>
      <c r="G45" s="1858"/>
      <c r="H45" s="2346" t="s">
        <v>385</v>
      </c>
      <c r="I45" s="2346" t="s">
        <v>386</v>
      </c>
      <c r="J45" s="1858"/>
      <c r="K45" s="1858"/>
      <c r="L45" s="1858"/>
      <c r="M45" s="1857"/>
      <c r="N45" s="2322"/>
      <c r="O45" s="2322"/>
      <c r="P45" s="2112" t="s">
        <v>387</v>
      </c>
    </row>
    <row r="46" spans="2:16" s="708" customFormat="1" hidden="1" outlineLevel="1">
      <c r="B46" s="1889">
        <f>+'8_MP'!H265</f>
        <v>0</v>
      </c>
      <c r="C46" s="1882" t="s">
        <v>379</v>
      </c>
      <c r="D46" s="1883">
        <v>0</v>
      </c>
      <c r="E46" s="1884">
        <v>2022</v>
      </c>
      <c r="F46" s="1884"/>
      <c r="G46" s="1894" t="s">
        <v>157</v>
      </c>
      <c r="H46" s="1894" t="s">
        <v>157</v>
      </c>
      <c r="I46" s="2344">
        <v>1</v>
      </c>
      <c r="J46" s="2344">
        <v>1</v>
      </c>
      <c r="K46" s="2344">
        <v>1</v>
      </c>
      <c r="L46" s="1894"/>
      <c r="M46" s="1884">
        <v>3</v>
      </c>
      <c r="N46" s="3560" t="s">
        <v>234</v>
      </c>
      <c r="O46" s="3560"/>
    </row>
    <row r="47" spans="2:16" s="708" customFormat="1" ht="24" hidden="1" outlineLevel="1">
      <c r="B47" s="2087"/>
      <c r="C47" s="1882"/>
      <c r="D47" s="1883"/>
      <c r="E47" s="1884"/>
      <c r="F47" s="1884"/>
      <c r="G47" s="1894"/>
      <c r="H47" s="2349" t="s">
        <v>388</v>
      </c>
      <c r="I47" s="1894"/>
      <c r="J47" s="1894"/>
      <c r="K47" s="1894"/>
      <c r="L47" s="1894"/>
      <c r="M47" s="1884"/>
      <c r="N47" s="2321"/>
      <c r="O47" s="2321"/>
      <c r="P47" s="2112"/>
    </row>
    <row r="48" spans="2:16" collapsed="1">
      <c r="B48" s="3617" t="s">
        <v>268</v>
      </c>
      <c r="C48" s="3618"/>
      <c r="D48" s="3618"/>
      <c r="E48" s="3618"/>
      <c r="F48" s="3618"/>
      <c r="G48" s="3618"/>
      <c r="H48" s="3618"/>
      <c r="I48" s="3618"/>
      <c r="J48" s="3618"/>
      <c r="K48" s="3618"/>
      <c r="L48" s="3618"/>
      <c r="M48" s="3618"/>
      <c r="N48" s="3618"/>
      <c r="O48" s="3618"/>
      <c r="P48" s="3618"/>
    </row>
    <row r="49" spans="2:16" s="708" customFormat="1" ht="36" hidden="1" outlineLevel="1">
      <c r="B49" s="1889">
        <f>+'8_MP'!H278</f>
        <v>0</v>
      </c>
      <c r="C49" s="1882" t="s">
        <v>196</v>
      </c>
      <c r="D49" s="1883">
        <v>0</v>
      </c>
      <c r="E49" s="1884">
        <v>2022</v>
      </c>
      <c r="F49" s="1884"/>
      <c r="G49" s="1894" t="s">
        <v>157</v>
      </c>
      <c r="H49" s="2336" t="s">
        <v>389</v>
      </c>
      <c r="I49" s="2336" t="s">
        <v>390</v>
      </c>
      <c r="J49" s="2344">
        <v>1</v>
      </c>
      <c r="K49" s="2344">
        <v>1</v>
      </c>
      <c r="L49" s="1894" t="s">
        <v>157</v>
      </c>
      <c r="M49" s="1884">
        <v>2</v>
      </c>
      <c r="N49" s="3560" t="s">
        <v>234</v>
      </c>
      <c r="O49" s="3560"/>
      <c r="P49" s="2090" t="s">
        <v>391</v>
      </c>
    </row>
    <row r="50" spans="2:16" s="708" customFormat="1" ht="60" hidden="1" outlineLevel="1">
      <c r="B50" s="1889">
        <f>+'8_MP'!H291</f>
        <v>0</v>
      </c>
      <c r="C50" s="1882" t="s">
        <v>287</v>
      </c>
      <c r="D50" s="1883">
        <v>0</v>
      </c>
      <c r="E50" s="1884">
        <v>2022</v>
      </c>
      <c r="F50" s="1884"/>
      <c r="G50" s="1894" t="s">
        <v>157</v>
      </c>
      <c r="H50" s="2344">
        <v>1</v>
      </c>
      <c r="I50" s="2344">
        <v>1</v>
      </c>
      <c r="J50" s="2344">
        <v>1</v>
      </c>
      <c r="K50" s="1894"/>
      <c r="L50" s="1858"/>
      <c r="M50" s="1884">
        <f>SUM(G50:L50)</f>
        <v>3</v>
      </c>
      <c r="N50" s="3560" t="s">
        <v>234</v>
      </c>
      <c r="O50" s="3560"/>
      <c r="P50" s="2090" t="s">
        <v>392</v>
      </c>
    </row>
    <row r="51" spans="2:16" s="708" customFormat="1" ht="39" hidden="1" outlineLevel="1">
      <c r="B51" s="1889"/>
      <c r="C51" s="1882"/>
      <c r="D51" s="1883"/>
      <c r="E51" s="1884"/>
      <c r="F51" s="1884"/>
      <c r="H51" s="2362" t="s">
        <v>393</v>
      </c>
      <c r="I51" s="1894"/>
      <c r="J51" s="1894"/>
      <c r="K51" s="1894"/>
      <c r="L51" s="1894"/>
      <c r="M51" s="1884"/>
      <c r="N51" s="2321"/>
      <c r="O51" s="2321"/>
      <c r="P51" s="2090"/>
    </row>
    <row r="52" spans="2:16" s="708" customFormat="1" ht="26" hidden="1" outlineLevel="1">
      <c r="B52" s="2356">
        <f>+'8_MP'!H309</f>
        <v>0</v>
      </c>
      <c r="C52" s="1882" t="s">
        <v>287</v>
      </c>
      <c r="D52" s="1883">
        <v>0</v>
      </c>
      <c r="E52" s="1884">
        <v>2022</v>
      </c>
      <c r="F52" s="1884"/>
      <c r="G52" s="1894" t="s">
        <v>157</v>
      </c>
      <c r="H52" s="2362" t="s">
        <v>394</v>
      </c>
      <c r="I52" s="2362" t="s">
        <v>395</v>
      </c>
      <c r="J52" s="2344">
        <v>1</v>
      </c>
      <c r="K52" s="2344">
        <v>1</v>
      </c>
      <c r="L52" s="1894" t="s">
        <v>157</v>
      </c>
      <c r="M52" s="1884">
        <v>2</v>
      </c>
      <c r="N52" s="3621"/>
      <c r="O52" s="3621"/>
      <c r="P52" s="1902" t="s">
        <v>396</v>
      </c>
    </row>
    <row r="53" spans="2:16" s="708" customFormat="1" hidden="1" outlineLevel="1">
      <c r="B53" s="2356"/>
      <c r="C53" s="1882"/>
      <c r="D53" s="1883"/>
      <c r="E53" s="1884"/>
      <c r="F53" s="1884"/>
      <c r="G53" s="1894"/>
      <c r="J53" s="1894"/>
      <c r="K53" s="1894"/>
      <c r="L53" s="1894"/>
      <c r="M53" s="1884"/>
      <c r="N53" s="2083"/>
      <c r="O53" s="2083"/>
      <c r="P53" s="1902"/>
    </row>
    <row r="54" spans="2:16" s="708" customFormat="1" hidden="1" outlineLevel="1">
      <c r="B54" s="2356"/>
      <c r="C54" s="1882"/>
      <c r="D54" s="1883"/>
      <c r="E54" s="1884"/>
      <c r="F54" s="1884"/>
      <c r="G54" s="1894"/>
      <c r="H54" s="1894"/>
      <c r="I54" s="1894"/>
      <c r="J54" s="1894"/>
      <c r="K54" s="1894"/>
      <c r="L54" s="1894"/>
      <c r="M54" s="1884"/>
      <c r="N54" s="2083"/>
      <c r="O54" s="2083"/>
      <c r="P54" s="1902"/>
    </row>
    <row r="55" spans="2:16" collapsed="1">
      <c r="B55" s="3617" t="s">
        <v>281</v>
      </c>
      <c r="C55" s="3618"/>
      <c r="D55" s="3618"/>
      <c r="E55" s="3618"/>
      <c r="F55" s="3618"/>
      <c r="G55" s="3618"/>
      <c r="H55" s="3618"/>
      <c r="I55" s="3618"/>
      <c r="J55" s="3618"/>
      <c r="K55" s="3618"/>
      <c r="L55" s="3618"/>
      <c r="M55" s="3618"/>
      <c r="N55" s="3618"/>
      <c r="O55" s="3618"/>
      <c r="P55" s="3618"/>
    </row>
    <row r="56" spans="2:16" s="708" customFormat="1" hidden="1" outlineLevel="1">
      <c r="B56" s="2356">
        <f>+'8_MP'!H324</f>
        <v>0</v>
      </c>
      <c r="C56" s="1882" t="s">
        <v>287</v>
      </c>
      <c r="D56" s="1883"/>
      <c r="E56" s="1884"/>
      <c r="F56" s="1884"/>
      <c r="G56" s="1894"/>
      <c r="H56" s="1894"/>
      <c r="I56" s="2344">
        <v>1</v>
      </c>
      <c r="J56" s="2344">
        <v>1</v>
      </c>
      <c r="K56" s="2344">
        <v>1</v>
      </c>
      <c r="L56" s="2344">
        <v>1</v>
      </c>
      <c r="M56" s="2089">
        <f>SUM(I56:L56)</f>
        <v>4</v>
      </c>
      <c r="N56" s="3560"/>
      <c r="O56" s="3560"/>
      <c r="P56" s="2090"/>
    </row>
    <row r="57" spans="2:16" s="708" customFormat="1" ht="84" hidden="1" outlineLevel="1">
      <c r="B57" s="1901"/>
      <c r="C57" s="1882"/>
      <c r="D57" s="1883"/>
      <c r="E57" s="1884"/>
      <c r="F57" s="1884"/>
      <c r="G57" s="1894"/>
      <c r="H57" s="2364" t="s">
        <v>397</v>
      </c>
      <c r="I57" s="1894"/>
      <c r="J57" s="1894"/>
      <c r="K57" s="1894"/>
      <c r="L57" s="1894"/>
      <c r="M57" s="2089"/>
      <c r="N57" s="2321"/>
      <c r="O57" s="2321"/>
      <c r="P57" s="2090"/>
    </row>
    <row r="58" spans="2:16" s="708" customFormat="1" collapsed="1">
      <c r="B58" s="1736"/>
      <c r="C58" s="2106"/>
      <c r="D58" s="2085"/>
      <c r="E58" s="2109"/>
      <c r="F58" s="2109"/>
      <c r="G58" s="2111"/>
      <c r="H58" s="2111"/>
      <c r="I58" s="2111"/>
      <c r="J58" s="2111"/>
      <c r="K58" s="2111"/>
      <c r="L58" s="2111"/>
      <c r="M58" s="2086"/>
      <c r="N58" s="217"/>
      <c r="O58" s="217"/>
      <c r="P58" s="2113"/>
    </row>
    <row r="59" spans="2:16">
      <c r="B59" s="3617" t="str">
        <f>+'8_MP'!H368</f>
        <v xml:space="preserve">Componente 3: Fortalecimiento del acceso a la información, participación ciudadana e integridad en la administración pública y sector privado </v>
      </c>
      <c r="C59" s="3618"/>
      <c r="D59" s="3618"/>
      <c r="E59" s="3618"/>
      <c r="F59" s="3618"/>
      <c r="G59" s="3618"/>
      <c r="H59" s="3618"/>
      <c r="I59" s="3618"/>
      <c r="J59" s="3618"/>
      <c r="K59" s="3618"/>
      <c r="L59" s="3618"/>
      <c r="M59" s="3618"/>
      <c r="N59" s="3618"/>
      <c r="O59" s="3618"/>
      <c r="P59" s="3618"/>
    </row>
    <row r="60" spans="2:16" ht="39">
      <c r="B60" s="2104" t="s">
        <v>184</v>
      </c>
      <c r="C60" s="2104" t="s">
        <v>185</v>
      </c>
      <c r="D60" s="2104" t="s">
        <v>186</v>
      </c>
      <c r="E60" s="2104" t="s">
        <v>147</v>
      </c>
      <c r="F60" s="2104"/>
      <c r="G60" s="2104" t="s">
        <v>398</v>
      </c>
      <c r="H60" s="2104" t="s">
        <v>188</v>
      </c>
      <c r="I60" s="2104" t="s">
        <v>189</v>
      </c>
      <c r="J60" s="2104" t="s">
        <v>190</v>
      </c>
      <c r="K60" s="2104" t="s">
        <v>191</v>
      </c>
      <c r="L60" s="2104" t="s">
        <v>399</v>
      </c>
      <c r="M60" s="2104" t="s">
        <v>193</v>
      </c>
      <c r="N60" s="3622" t="s">
        <v>194</v>
      </c>
      <c r="O60" s="3622"/>
      <c r="P60" s="2114" t="s">
        <v>151</v>
      </c>
    </row>
    <row r="61" spans="2:16">
      <c r="B61" s="3617" t="str">
        <f>+'8_MP'!H369</f>
        <v>Subcomponente 3.1. Innovación pública para la Integridad y prevención de la corrupción</v>
      </c>
      <c r="C61" s="3618"/>
      <c r="D61" s="3618"/>
      <c r="E61" s="3618"/>
      <c r="F61" s="3618"/>
      <c r="G61" s="3618"/>
      <c r="H61" s="3618"/>
      <c r="I61" s="3618"/>
      <c r="J61" s="3618"/>
      <c r="K61" s="3618"/>
      <c r="L61" s="3618"/>
      <c r="M61" s="3618"/>
      <c r="N61" s="3618"/>
      <c r="O61" s="3618"/>
      <c r="P61" s="3618"/>
    </row>
    <row r="62" spans="2:16" s="2084" customFormat="1" ht="60" outlineLevel="1">
      <c r="B62" s="2087" t="str">
        <f>+'8_MP'!H370</f>
        <v>Producto 16: Sistema Nacional Integrado de Transparencia e Integridad Implementado. Incluye Plataforma de seguimiento y evaluación de componentes de integridad y sistema para el seguimiento de compromisos internacionales</v>
      </c>
      <c r="C62" s="1882" t="s">
        <v>196</v>
      </c>
      <c r="D62" s="1883">
        <v>0</v>
      </c>
      <c r="E62" s="1884">
        <v>2022</v>
      </c>
      <c r="F62" s="1884"/>
      <c r="G62" s="2122" t="s">
        <v>157</v>
      </c>
      <c r="H62" s="2122" t="s">
        <v>157</v>
      </c>
      <c r="I62" s="2122">
        <v>2</v>
      </c>
      <c r="J62" s="2122">
        <v>1</v>
      </c>
      <c r="K62" s="2122">
        <v>1</v>
      </c>
      <c r="L62" s="2122" t="s">
        <v>157</v>
      </c>
      <c r="M62" s="2122">
        <f>SUM(G62:L62)</f>
        <v>4</v>
      </c>
      <c r="N62" s="3619" t="s">
        <v>248</v>
      </c>
      <c r="O62" s="3620"/>
      <c r="P62" s="2507" t="s">
        <v>400</v>
      </c>
    </row>
    <row r="63" spans="2:16" s="2084" customFormat="1" ht="63.5" customHeight="1" outlineLevel="1">
      <c r="B63" s="2087" t="str">
        <f>+'8_MP'!H393</f>
        <v>Producto 17: Marco regulatorio en materia de integridad, fortalecido. Incluye protección a denunciantes y normativas sobre conflictos de interes</v>
      </c>
      <c r="C63" s="1882" t="s">
        <v>196</v>
      </c>
      <c r="D63" s="1883">
        <v>0</v>
      </c>
      <c r="E63" s="1884">
        <v>2022</v>
      </c>
      <c r="F63" s="1884"/>
      <c r="G63" s="2122" t="s">
        <v>157</v>
      </c>
      <c r="H63" s="2122" t="s">
        <v>157</v>
      </c>
      <c r="I63" s="2122" t="s">
        <v>157</v>
      </c>
      <c r="J63" s="2122">
        <v>1</v>
      </c>
      <c r="K63" s="2122">
        <v>1</v>
      </c>
      <c r="L63" s="2122" t="s">
        <v>157</v>
      </c>
      <c r="M63" s="2122">
        <f>SUM(G63:L63)</f>
        <v>2</v>
      </c>
      <c r="N63" s="3619" t="s">
        <v>248</v>
      </c>
      <c r="O63" s="3620"/>
      <c r="P63" s="2507" t="s">
        <v>401</v>
      </c>
    </row>
    <row r="64" spans="2:16" s="2084" customFormat="1" ht="24" outlineLevel="1">
      <c r="B64" s="2087" t="str">
        <f>+'8_MP'!H398</f>
        <v>Producto 18: Programa de cumplimiento e integridad para el sector privado desarrollado</v>
      </c>
      <c r="C64" s="1882" t="s">
        <v>364</v>
      </c>
      <c r="D64" s="1883">
        <v>0</v>
      </c>
      <c r="E64" s="1884">
        <v>2022</v>
      </c>
      <c r="F64" s="1884"/>
      <c r="G64" s="2122" t="s">
        <v>157</v>
      </c>
      <c r="H64" s="2122" t="s">
        <v>157</v>
      </c>
      <c r="I64" s="2122" t="s">
        <v>157</v>
      </c>
      <c r="J64" s="2122">
        <v>1</v>
      </c>
      <c r="K64" s="2122">
        <v>1</v>
      </c>
      <c r="L64" s="2122" t="s">
        <v>157</v>
      </c>
      <c r="M64" s="2122">
        <f>SUM(G64:K64)</f>
        <v>2</v>
      </c>
      <c r="N64" s="3619" t="s">
        <v>248</v>
      </c>
      <c r="O64" s="3620"/>
      <c r="P64" s="2507" t="s">
        <v>402</v>
      </c>
    </row>
    <row r="65" spans="2:16">
      <c r="B65" s="3617" t="str">
        <f>+'8_MP'!H405</f>
        <v>Subcomponente 3.2. Participación, control social y gestión de denuncias de corrupción administrativa</v>
      </c>
      <c r="C65" s="3618"/>
      <c r="D65" s="3618"/>
      <c r="E65" s="3618"/>
      <c r="F65" s="3618"/>
      <c r="G65" s="3618"/>
      <c r="H65" s="3618"/>
      <c r="I65" s="3618"/>
      <c r="J65" s="3618"/>
      <c r="K65" s="3618"/>
      <c r="L65" s="3618"/>
      <c r="M65" s="3618"/>
      <c r="N65" s="3618"/>
      <c r="O65" s="3618"/>
      <c r="P65" s="3618"/>
    </row>
    <row r="66" spans="2:16" s="2084" customFormat="1" ht="72" outlineLevel="1">
      <c r="B66" s="2087" t="str">
        <f>+'8_MP'!H406</f>
        <v>Producto 19: Sistema para realizar investigaciones, seguimiento y respuesta a las denuncias ciudadanas desarrollado. Incluye metodologías y plataforma tecnológica de participación ciudadana y seguimiento de denuncias con enfoque de género y diversidad.</v>
      </c>
      <c r="C66" s="1882" t="s">
        <v>287</v>
      </c>
      <c r="D66" s="1883">
        <v>0</v>
      </c>
      <c r="E66" s="1884">
        <v>2022</v>
      </c>
      <c r="F66" s="1884"/>
      <c r="G66" s="2122" t="s">
        <v>157</v>
      </c>
      <c r="H66" s="2122" t="s">
        <v>157</v>
      </c>
      <c r="I66" s="2122">
        <v>1</v>
      </c>
      <c r="J66" s="2122">
        <v>1</v>
      </c>
      <c r="K66" s="2122">
        <v>1</v>
      </c>
      <c r="L66" s="2122" t="s">
        <v>157</v>
      </c>
      <c r="M66" s="2122">
        <v>3</v>
      </c>
      <c r="N66" s="3619" t="s">
        <v>248</v>
      </c>
      <c r="O66" s="3620"/>
      <c r="P66" s="2507" t="s">
        <v>403</v>
      </c>
    </row>
    <row r="67" spans="2:16">
      <c r="B67" s="3617" t="str">
        <f>+'8_MP'!H421</f>
        <v xml:space="preserve">Subcomponente 3.3. Innovación para la transparencia y el acceso a la información </v>
      </c>
      <c r="C67" s="3618"/>
      <c r="D67" s="3618"/>
      <c r="E67" s="3618"/>
      <c r="F67" s="3618"/>
      <c r="G67" s="3618"/>
      <c r="H67" s="3618"/>
      <c r="I67" s="3618"/>
      <c r="J67" s="3618"/>
      <c r="K67" s="3618"/>
      <c r="L67" s="3618"/>
      <c r="M67" s="3618"/>
      <c r="N67" s="3618"/>
      <c r="O67" s="3618"/>
      <c r="P67" s="3618"/>
    </row>
    <row r="68" spans="2:16" s="2084" customFormat="1" ht="96" outlineLevel="1">
      <c r="B68" s="2087" t="str">
        <f>+'8_MP'!H422</f>
        <v>Producto 20: Plataforma tecnológica Nacional de Transparencia diseñado e implementado</v>
      </c>
      <c r="C68" s="1882" t="s">
        <v>287</v>
      </c>
      <c r="D68" s="1883">
        <v>0</v>
      </c>
      <c r="E68" s="1884">
        <v>2021</v>
      </c>
      <c r="F68" s="1884"/>
      <c r="G68" s="2122" t="s">
        <v>157</v>
      </c>
      <c r="H68" s="2122" t="s">
        <v>157</v>
      </c>
      <c r="I68" s="2122" t="s">
        <v>157</v>
      </c>
      <c r="J68" s="2122"/>
      <c r="K68" s="2122">
        <v>1</v>
      </c>
      <c r="L68" s="2122">
        <v>1</v>
      </c>
      <c r="M68" s="2122">
        <v>2</v>
      </c>
      <c r="N68" s="3619" t="s">
        <v>248</v>
      </c>
      <c r="O68" s="3620"/>
      <c r="P68" s="2507" t="s">
        <v>404</v>
      </c>
    </row>
    <row r="69" spans="2:16">
      <c r="B69" s="3617" t="s">
        <v>58</v>
      </c>
      <c r="C69" s="3618"/>
      <c r="D69" s="3618"/>
      <c r="E69" s="3618"/>
      <c r="F69" s="3618"/>
      <c r="G69" s="3618"/>
      <c r="H69" s="3618"/>
      <c r="I69" s="3618"/>
      <c r="J69" s="3618"/>
      <c r="K69" s="3618"/>
      <c r="L69" s="3618"/>
      <c r="M69" s="3618"/>
      <c r="N69" s="3618"/>
      <c r="O69" s="3618"/>
      <c r="P69" s="3618"/>
    </row>
    <row r="70" spans="2:16" s="2084" customFormat="1" ht="48" outlineLevel="1">
      <c r="B70" s="2087" t="str">
        <f>+'8_MP'!H440</f>
        <v>Producto 21: Programa de Gestión del Cambio para la transparencia e integridad, desarrollado. Incluye programa de comunicación y difusión a la ciudadanía sobre DIGEIG y capacitación  interna de las nuevas modalidades de gestión</v>
      </c>
      <c r="C70" s="1882" t="s">
        <v>196</v>
      </c>
      <c r="D70" s="1883">
        <v>0</v>
      </c>
      <c r="E70" s="1884">
        <v>2021</v>
      </c>
      <c r="F70" s="1884"/>
      <c r="G70" s="2122" t="s">
        <v>157</v>
      </c>
      <c r="H70" s="2122" t="s">
        <v>157</v>
      </c>
      <c r="I70" s="2122" t="s">
        <v>157</v>
      </c>
      <c r="J70" s="2122">
        <v>1</v>
      </c>
      <c r="K70" s="2122">
        <v>1</v>
      </c>
      <c r="L70" s="2122">
        <v>1</v>
      </c>
      <c r="M70" s="2122">
        <f>SUM(G70:L70)</f>
        <v>3</v>
      </c>
      <c r="N70" s="3619" t="s">
        <v>248</v>
      </c>
      <c r="O70" s="3620"/>
      <c r="P70" s="2507" t="s">
        <v>405</v>
      </c>
    </row>
    <row r="72" spans="2:16" ht="13">
      <c r="B72" s="213" t="s">
        <v>316</v>
      </c>
    </row>
    <row r="73" spans="2:16">
      <c r="B73" s="3606" t="s">
        <v>317</v>
      </c>
      <c r="C73" s="3606"/>
      <c r="D73" s="3606"/>
      <c r="E73" s="3606"/>
      <c r="F73" s="3606"/>
      <c r="G73" s="3606"/>
      <c r="H73" s="3606"/>
      <c r="I73" s="3606"/>
      <c r="J73" s="3606"/>
      <c r="K73" s="3606"/>
      <c r="L73" s="3606"/>
      <c r="M73" s="3606"/>
      <c r="N73" s="3606"/>
      <c r="O73" s="3606"/>
      <c r="P73" s="3606"/>
    </row>
  </sheetData>
  <mergeCells count="83">
    <mergeCell ref="B2:P2"/>
    <mergeCell ref="C3:P3"/>
    <mergeCell ref="C4:P4"/>
    <mergeCell ref="C5:P5"/>
    <mergeCell ref="B7:P7"/>
    <mergeCell ref="B8:C9"/>
    <mergeCell ref="D8:D9"/>
    <mergeCell ref="E8:E9"/>
    <mergeCell ref="H8:H9"/>
    <mergeCell ref="I8:J8"/>
    <mergeCell ref="K8:L8"/>
    <mergeCell ref="M8:N9"/>
    <mergeCell ref="O8:P9"/>
    <mergeCell ref="B15:P15"/>
    <mergeCell ref="B12:C12"/>
    <mergeCell ref="M12:N12"/>
    <mergeCell ref="O12:P12"/>
    <mergeCell ref="B13:C13"/>
    <mergeCell ref="M13:N13"/>
    <mergeCell ref="O13:P13"/>
    <mergeCell ref="B10:P10"/>
    <mergeCell ref="B11:C11"/>
    <mergeCell ref="M11:N11"/>
    <mergeCell ref="O11:P11"/>
    <mergeCell ref="B14:C14"/>
    <mergeCell ref="M14:N14"/>
    <mergeCell ref="O14:P14"/>
    <mergeCell ref="B19:C19"/>
    <mergeCell ref="M19:N19"/>
    <mergeCell ref="O19:P19"/>
    <mergeCell ref="B20:C20"/>
    <mergeCell ref="M20:N20"/>
    <mergeCell ref="O20:P20"/>
    <mergeCell ref="B16:C16"/>
    <mergeCell ref="M16:N16"/>
    <mergeCell ref="O16:P16"/>
    <mergeCell ref="B17:P17"/>
    <mergeCell ref="B18:C18"/>
    <mergeCell ref="M18:N18"/>
    <mergeCell ref="O18:P18"/>
    <mergeCell ref="N27:O27"/>
    <mergeCell ref="N28:O28"/>
    <mergeCell ref="B21:C21"/>
    <mergeCell ref="M21:N21"/>
    <mergeCell ref="O21:P21"/>
    <mergeCell ref="B24:P24"/>
    <mergeCell ref="N25:O25"/>
    <mergeCell ref="B26:P26"/>
    <mergeCell ref="N32:O32"/>
    <mergeCell ref="B30:P30"/>
    <mergeCell ref="N31:O31"/>
    <mergeCell ref="N29:O29"/>
    <mergeCell ref="B36:P36"/>
    <mergeCell ref="N37:O37"/>
    <mergeCell ref="B34:P34"/>
    <mergeCell ref="N33:O33"/>
    <mergeCell ref="N35:O35"/>
    <mergeCell ref="B48:P48"/>
    <mergeCell ref="N49:O49"/>
    <mergeCell ref="N46:O46"/>
    <mergeCell ref="N44:O44"/>
    <mergeCell ref="B39:P39"/>
    <mergeCell ref="N40:O40"/>
    <mergeCell ref="B41:P41"/>
    <mergeCell ref="N42:O42"/>
    <mergeCell ref="N43:O43"/>
    <mergeCell ref="B73:P73"/>
    <mergeCell ref="B67:P67"/>
    <mergeCell ref="N68:O68"/>
    <mergeCell ref="B69:P69"/>
    <mergeCell ref="N70:O70"/>
    <mergeCell ref="B65:P65"/>
    <mergeCell ref="N66:O66"/>
    <mergeCell ref="B55:P55"/>
    <mergeCell ref="N50:O50"/>
    <mergeCell ref="N52:O52"/>
    <mergeCell ref="N64:O64"/>
    <mergeCell ref="N63:O63"/>
    <mergeCell ref="B59:P59"/>
    <mergeCell ref="N60:O60"/>
    <mergeCell ref="B61:P61"/>
    <mergeCell ref="N62:O62"/>
    <mergeCell ref="N56:O56"/>
  </mergeCells>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C00000"/>
  </sheetPr>
  <dimension ref="A3:T40"/>
  <sheetViews>
    <sheetView topLeftCell="A18" zoomScaleNormal="100" workbookViewId="0">
      <selection activeCell="B2" sqref="B2:L2"/>
    </sheetView>
  </sheetViews>
  <sheetFormatPr baseColWidth="10" defaultColWidth="8.83203125" defaultRowHeight="15" outlineLevelRow="1"/>
  <cols>
    <col min="1" max="1" width="6.5" style="527" customWidth="1"/>
    <col min="2" max="2" width="49.5" style="252" customWidth="1"/>
    <col min="3" max="4" width="8.83203125" style="252"/>
    <col min="5" max="5" width="14" style="252" customWidth="1"/>
    <col min="6" max="6" width="11" style="252" bestFit="1" customWidth="1"/>
    <col min="7" max="7" width="11" style="252" customWidth="1"/>
    <col min="8" max="8" width="16.5" style="528" customWidth="1"/>
    <col min="9" max="9" width="18.1640625" style="252" customWidth="1"/>
    <col min="10" max="16384" width="8.83203125" style="252"/>
  </cols>
  <sheetData>
    <row r="3" spans="1:20">
      <c r="A3" s="4335" t="s">
        <v>3008</v>
      </c>
      <c r="B3" s="4335"/>
      <c r="C3" s="4335"/>
      <c r="D3" s="4335"/>
      <c r="E3" s="4335"/>
      <c r="F3" s="4335"/>
      <c r="G3" s="4335"/>
      <c r="H3" s="4335"/>
      <c r="I3" s="4335"/>
    </row>
    <row r="4" spans="1:20" ht="16">
      <c r="A4" s="4336" t="s">
        <v>3009</v>
      </c>
      <c r="B4" s="4336"/>
      <c r="C4" s="4336"/>
      <c r="D4" s="4336"/>
      <c r="E4" s="4336"/>
      <c r="F4" s="4336"/>
      <c r="G4" s="4336"/>
      <c r="H4" s="4336"/>
      <c r="I4" s="4336"/>
      <c r="J4" s="4336"/>
    </row>
    <row r="5" spans="1:20" ht="16">
      <c r="A5" s="504"/>
      <c r="B5" s="504"/>
      <c r="C5" s="504"/>
      <c r="D5" s="504"/>
      <c r="E5" s="504"/>
      <c r="F5" s="504"/>
      <c r="G5" s="504"/>
      <c r="H5" s="505"/>
      <c r="I5" s="504"/>
      <c r="J5" s="504"/>
    </row>
    <row r="6" spans="1:20" ht="32">
      <c r="A6" s="506"/>
      <c r="B6" s="507"/>
      <c r="C6" s="507" t="s">
        <v>3010</v>
      </c>
      <c r="D6" s="507" t="s">
        <v>3011</v>
      </c>
      <c r="E6" s="507" t="s">
        <v>3003</v>
      </c>
      <c r="F6" s="507" t="s">
        <v>487</v>
      </c>
      <c r="G6" s="508" t="s">
        <v>156</v>
      </c>
      <c r="H6" s="509" t="s">
        <v>3012</v>
      </c>
      <c r="I6" s="510" t="s">
        <v>3013</v>
      </c>
      <c r="J6" s="511"/>
    </row>
    <row r="7" spans="1:20" s="516" customFormat="1">
      <c r="A7" s="512">
        <v>4</v>
      </c>
      <c r="B7" s="513" t="s">
        <v>3014</v>
      </c>
      <c r="C7" s="513"/>
      <c r="D7" s="513"/>
      <c r="E7" s="513"/>
      <c r="F7" s="514">
        <f>+F8+F23+F34+F39</f>
        <v>4760000</v>
      </c>
      <c r="G7" s="515">
        <f>+F7/60000000</f>
        <v>7.9333333333333339E-2</v>
      </c>
      <c r="H7" s="514">
        <f>+H8+H23+H34+H39</f>
        <v>4760000</v>
      </c>
      <c r="I7" s="514">
        <f>+I8+I23+I34+I39</f>
        <v>4740000</v>
      </c>
    </row>
    <row r="8" spans="1:20" s="516" customFormat="1">
      <c r="A8" s="517" t="s">
        <v>578</v>
      </c>
      <c r="B8" s="518" t="s">
        <v>3015</v>
      </c>
      <c r="C8" s="518"/>
      <c r="D8" s="518"/>
      <c r="E8" s="518"/>
      <c r="F8" s="519">
        <f>SUM(F9:F21)</f>
        <v>2812000</v>
      </c>
      <c r="G8" s="520">
        <f>+F8/60000000</f>
        <v>4.6866666666666668E-2</v>
      </c>
      <c r="H8" s="521">
        <f>SUM(H9:H21)</f>
        <v>2812000</v>
      </c>
      <c r="I8" s="519">
        <f>SUM(I9:I21)</f>
        <v>3690000</v>
      </c>
    </row>
    <row r="9" spans="1:20" outlineLevel="1">
      <c r="A9" s="506" t="s">
        <v>1630</v>
      </c>
      <c r="B9" s="522" t="s">
        <v>3016</v>
      </c>
      <c r="C9" s="522">
        <v>1</v>
      </c>
      <c r="D9" s="522">
        <v>60</v>
      </c>
      <c r="E9" s="523">
        <v>4500</v>
      </c>
      <c r="F9" s="523">
        <f>+E9*D9*C9</f>
        <v>270000</v>
      </c>
      <c r="G9" s="524"/>
      <c r="H9" s="523">
        <f>+F9</f>
        <v>270000</v>
      </c>
      <c r="I9" s="522"/>
    </row>
    <row r="10" spans="1:20" outlineLevel="1">
      <c r="A10" s="506" t="s">
        <v>2631</v>
      </c>
      <c r="B10" s="522" t="s">
        <v>3017</v>
      </c>
      <c r="C10" s="522">
        <v>1</v>
      </c>
      <c r="D10" s="522">
        <v>60</v>
      </c>
      <c r="E10" s="523">
        <v>3500</v>
      </c>
      <c r="F10" s="523">
        <f t="shared" ref="F10:F17" si="0">+E10*D10*C10</f>
        <v>210000</v>
      </c>
      <c r="G10" s="524"/>
      <c r="H10" s="523">
        <f t="shared" ref="H10:H21" si="1">+F10</f>
        <v>210000</v>
      </c>
      <c r="I10" s="522"/>
    </row>
    <row r="11" spans="1:20" outlineLevel="1">
      <c r="A11" s="506" t="s">
        <v>3018</v>
      </c>
      <c r="B11" s="522" t="s">
        <v>3019</v>
      </c>
      <c r="C11" s="522">
        <v>1</v>
      </c>
      <c r="D11" s="522">
        <v>60</v>
      </c>
      <c r="E11" s="523">
        <v>3500</v>
      </c>
      <c r="F11" s="523">
        <f t="shared" si="0"/>
        <v>210000</v>
      </c>
      <c r="G11" s="524"/>
      <c r="H11" s="523">
        <f t="shared" si="1"/>
        <v>210000</v>
      </c>
      <c r="I11" s="522"/>
    </row>
    <row r="12" spans="1:20" outlineLevel="1">
      <c r="A12" s="506" t="s">
        <v>3020</v>
      </c>
      <c r="B12" s="522" t="s">
        <v>3021</v>
      </c>
      <c r="C12" s="522">
        <v>1</v>
      </c>
      <c r="D12" s="522">
        <v>60</v>
      </c>
      <c r="E12" s="523">
        <v>3500</v>
      </c>
      <c r="F12" s="523">
        <f t="shared" si="0"/>
        <v>210000</v>
      </c>
      <c r="G12" s="523"/>
      <c r="H12" s="523">
        <f t="shared" si="1"/>
        <v>210000</v>
      </c>
      <c r="I12" s="522"/>
    </row>
    <row r="13" spans="1:20" ht="40.25" customHeight="1" outlineLevel="1">
      <c r="A13" s="506" t="s">
        <v>3022</v>
      </c>
      <c r="B13" s="522" t="s">
        <v>3023</v>
      </c>
      <c r="C13" s="522">
        <v>1</v>
      </c>
      <c r="D13" s="522">
        <v>48</v>
      </c>
      <c r="E13" s="523">
        <v>4000</v>
      </c>
      <c r="F13" s="525">
        <f>+E13*D13*C13</f>
        <v>192000</v>
      </c>
      <c r="G13" s="523"/>
      <c r="H13" s="523">
        <f t="shared" si="1"/>
        <v>192000</v>
      </c>
      <c r="J13" s="4333" t="s">
        <v>3024</v>
      </c>
      <c r="K13" s="4334"/>
      <c r="L13" s="4334"/>
      <c r="M13" s="4334"/>
      <c r="N13" s="4334"/>
      <c r="O13" s="4334"/>
      <c r="P13" s="4334"/>
      <c r="Q13" s="4334"/>
      <c r="R13" s="4334"/>
      <c r="S13" s="4334"/>
      <c r="T13" s="4334"/>
    </row>
    <row r="14" spans="1:20" outlineLevel="1">
      <c r="A14" s="506" t="s">
        <v>3025</v>
      </c>
      <c r="B14" s="522" t="s">
        <v>2642</v>
      </c>
      <c r="C14" s="522">
        <v>1</v>
      </c>
      <c r="D14" s="522">
        <v>60</v>
      </c>
      <c r="E14" s="523">
        <v>3000</v>
      </c>
      <c r="G14" s="523"/>
      <c r="H14" s="523">
        <f t="shared" si="1"/>
        <v>0</v>
      </c>
      <c r="I14" s="525">
        <f>+E14*D14*C14</f>
        <v>180000</v>
      </c>
      <c r="J14" s="252" t="s">
        <v>3026</v>
      </c>
    </row>
    <row r="15" spans="1:20" outlineLevel="1">
      <c r="A15" s="506" t="s">
        <v>3027</v>
      </c>
      <c r="B15" s="522" t="s">
        <v>1645</v>
      </c>
      <c r="C15" s="522">
        <v>2</v>
      </c>
      <c r="D15" s="522">
        <v>60</v>
      </c>
      <c r="E15" s="523">
        <v>4000</v>
      </c>
      <c r="F15" s="523">
        <f t="shared" si="0"/>
        <v>480000</v>
      </c>
      <c r="G15" s="523"/>
      <c r="H15" s="523">
        <f t="shared" si="1"/>
        <v>480000</v>
      </c>
      <c r="I15" s="522"/>
    </row>
    <row r="16" spans="1:20" outlineLevel="1">
      <c r="A16" s="506" t="s">
        <v>3028</v>
      </c>
      <c r="B16" s="522" t="s">
        <v>3029</v>
      </c>
      <c r="C16" s="522">
        <v>4</v>
      </c>
      <c r="D16" s="522">
        <v>60</v>
      </c>
      <c r="E16" s="523">
        <v>2500</v>
      </c>
      <c r="F16" s="523">
        <f t="shared" si="0"/>
        <v>600000</v>
      </c>
      <c r="G16" s="523"/>
      <c r="H16" s="523">
        <f t="shared" si="1"/>
        <v>600000</v>
      </c>
      <c r="I16" s="522"/>
    </row>
    <row r="17" spans="1:20" outlineLevel="1">
      <c r="A17" s="506" t="s">
        <v>3030</v>
      </c>
      <c r="B17" s="522" t="s">
        <v>1649</v>
      </c>
      <c r="C17" s="522">
        <v>2</v>
      </c>
      <c r="D17" s="522">
        <v>60</v>
      </c>
      <c r="E17" s="523">
        <v>2000</v>
      </c>
      <c r="F17" s="523">
        <f t="shared" si="0"/>
        <v>240000</v>
      </c>
      <c r="G17" s="523"/>
      <c r="H17" s="523">
        <f t="shared" si="1"/>
        <v>240000</v>
      </c>
      <c r="I17" s="522"/>
    </row>
    <row r="18" spans="1:20" ht="185.5" customHeight="1" outlineLevel="1">
      <c r="A18" s="506" t="s">
        <v>3031</v>
      </c>
      <c r="B18" s="522" t="s">
        <v>3032</v>
      </c>
      <c r="C18" s="522">
        <v>1</v>
      </c>
      <c r="D18" s="522">
        <v>1</v>
      </c>
      <c r="E18" s="526">
        <v>150000</v>
      </c>
      <c r="G18" s="523"/>
      <c r="H18" s="523">
        <f t="shared" si="1"/>
        <v>0</v>
      </c>
      <c r="I18" s="525">
        <f>+E18*D18*C18</f>
        <v>150000</v>
      </c>
      <c r="J18" s="4333" t="s">
        <v>3033</v>
      </c>
      <c r="K18" s="4334"/>
      <c r="L18" s="4334"/>
      <c r="M18" s="4334"/>
      <c r="N18" s="4334"/>
      <c r="O18" s="4334"/>
      <c r="P18" s="4334"/>
      <c r="Q18" s="4334"/>
      <c r="R18" s="4334"/>
      <c r="S18" s="4334"/>
      <c r="T18" s="4334"/>
    </row>
    <row r="19" spans="1:20" outlineLevel="1">
      <c r="A19" s="506" t="s">
        <v>3034</v>
      </c>
      <c r="B19" s="522" t="s">
        <v>1663</v>
      </c>
      <c r="C19" s="522">
        <v>5</v>
      </c>
      <c r="D19" s="522">
        <v>1</v>
      </c>
      <c r="E19" s="523">
        <v>80000</v>
      </c>
      <c r="F19" s="523">
        <f>+E19*D19*C19</f>
        <v>400000</v>
      </c>
      <c r="G19" s="523"/>
      <c r="H19" s="523">
        <f t="shared" si="1"/>
        <v>400000</v>
      </c>
      <c r="I19" s="522"/>
    </row>
    <row r="20" spans="1:20" outlineLevel="1">
      <c r="A20" s="506" t="s">
        <v>3035</v>
      </c>
      <c r="B20" s="522" t="s">
        <v>3036</v>
      </c>
      <c r="C20" s="522">
        <v>6</v>
      </c>
      <c r="D20" s="522">
        <v>60</v>
      </c>
      <c r="E20" s="523">
        <v>3500</v>
      </c>
      <c r="F20" s="522"/>
      <c r="G20" s="522"/>
      <c r="H20" s="523">
        <f t="shared" si="1"/>
        <v>0</v>
      </c>
      <c r="I20" s="523">
        <f>+E20*D20*C20</f>
        <v>1260000</v>
      </c>
    </row>
    <row r="21" spans="1:20" outlineLevel="1">
      <c r="A21" s="506" t="s">
        <v>3037</v>
      </c>
      <c r="B21" s="522" t="s">
        <v>3038</v>
      </c>
      <c r="C21" s="522">
        <v>10</v>
      </c>
      <c r="D21" s="522">
        <v>60</v>
      </c>
      <c r="E21" s="523">
        <v>3500</v>
      </c>
      <c r="F21" s="522"/>
      <c r="G21" s="522"/>
      <c r="H21" s="523">
        <f t="shared" si="1"/>
        <v>0</v>
      </c>
      <c r="I21" s="523">
        <f>+E21*D21*C21</f>
        <v>2100000</v>
      </c>
    </row>
    <row r="22" spans="1:20" outlineLevel="1">
      <c r="A22" s="506"/>
      <c r="B22" s="522"/>
      <c r="C22" s="522"/>
      <c r="D22" s="522"/>
      <c r="E22" s="523"/>
      <c r="F22" s="522"/>
      <c r="G22" s="522"/>
      <c r="H22" s="523"/>
      <c r="I22" s="523"/>
    </row>
    <row r="23" spans="1:20" s="516" customFormat="1">
      <c r="A23" s="517" t="s">
        <v>580</v>
      </c>
      <c r="B23" s="518" t="s">
        <v>3039</v>
      </c>
      <c r="C23" s="518"/>
      <c r="D23" s="518"/>
      <c r="E23" s="518"/>
      <c r="F23" s="519">
        <f>SUM(F24:F33)</f>
        <v>1568000</v>
      </c>
      <c r="G23" s="520">
        <f>+F23/60000000</f>
        <v>2.6133333333333335E-2</v>
      </c>
      <c r="H23" s="519">
        <f>SUM(H24:H33)</f>
        <v>1568000</v>
      </c>
      <c r="I23" s="519">
        <f>SUM(I24:I33)</f>
        <v>1050000</v>
      </c>
    </row>
    <row r="24" spans="1:20" outlineLevel="1">
      <c r="A24" s="506" t="s">
        <v>1665</v>
      </c>
      <c r="B24" s="522" t="s">
        <v>2634</v>
      </c>
      <c r="C24" s="522">
        <v>1</v>
      </c>
      <c r="D24" s="522">
        <v>60</v>
      </c>
      <c r="E24" s="523">
        <v>4000</v>
      </c>
      <c r="F24" s="523">
        <f>+E24*D24*C24</f>
        <v>240000</v>
      </c>
      <c r="G24" s="523"/>
      <c r="H24" s="523">
        <f>+F24</f>
        <v>240000</v>
      </c>
      <c r="I24" s="522"/>
    </row>
    <row r="25" spans="1:20" outlineLevel="1">
      <c r="A25" s="506" t="s">
        <v>3040</v>
      </c>
      <c r="B25" s="522" t="s">
        <v>2636</v>
      </c>
      <c r="C25" s="522">
        <v>1</v>
      </c>
      <c r="D25" s="522">
        <v>60</v>
      </c>
      <c r="E25" s="523">
        <v>3000</v>
      </c>
      <c r="F25" s="523">
        <f t="shared" ref="F25:F30" si="2">+E25*D25*C25</f>
        <v>180000</v>
      </c>
      <c r="G25" s="523"/>
      <c r="H25" s="523">
        <f t="shared" ref="H25:H33" si="3">+F25</f>
        <v>180000</v>
      </c>
      <c r="I25" s="522"/>
    </row>
    <row r="26" spans="1:20" outlineLevel="1">
      <c r="A26" s="506" t="s">
        <v>3041</v>
      </c>
      <c r="B26" s="522" t="s">
        <v>2638</v>
      </c>
      <c r="C26" s="522">
        <v>1</v>
      </c>
      <c r="D26" s="522">
        <v>60</v>
      </c>
      <c r="E26" s="523">
        <v>3500</v>
      </c>
      <c r="F26" s="523">
        <f t="shared" si="2"/>
        <v>210000</v>
      </c>
      <c r="G26" s="523"/>
      <c r="H26" s="523">
        <f t="shared" si="3"/>
        <v>210000</v>
      </c>
      <c r="I26" s="522"/>
    </row>
    <row r="27" spans="1:20" outlineLevel="1">
      <c r="A27" s="506" t="s">
        <v>3042</v>
      </c>
      <c r="B27" s="522" t="s">
        <v>2640</v>
      </c>
      <c r="C27" s="522">
        <v>1</v>
      </c>
      <c r="D27" s="522">
        <v>60</v>
      </c>
      <c r="E27" s="523">
        <v>3500</v>
      </c>
      <c r="F27" s="523">
        <f t="shared" si="2"/>
        <v>210000</v>
      </c>
      <c r="G27" s="523"/>
      <c r="H27" s="523">
        <f t="shared" si="3"/>
        <v>210000</v>
      </c>
      <c r="I27" s="522"/>
    </row>
    <row r="28" spans="1:20" outlineLevel="1">
      <c r="A28" s="506" t="s">
        <v>3043</v>
      </c>
      <c r="B28" s="522" t="s">
        <v>2642</v>
      </c>
      <c r="C28" s="522">
        <v>1</v>
      </c>
      <c r="D28" s="522">
        <v>60</v>
      </c>
      <c r="E28" s="523">
        <v>2500</v>
      </c>
      <c r="F28" s="523">
        <f t="shared" si="2"/>
        <v>150000</v>
      </c>
      <c r="G28" s="523"/>
      <c r="H28" s="523">
        <f t="shared" si="3"/>
        <v>150000</v>
      </c>
      <c r="I28" s="522"/>
    </row>
    <row r="29" spans="1:20" outlineLevel="1">
      <c r="A29" s="506" t="s">
        <v>3044</v>
      </c>
      <c r="B29" s="522" t="s">
        <v>3029</v>
      </c>
      <c r="C29" s="522">
        <v>2</v>
      </c>
      <c r="D29" s="522">
        <v>48</v>
      </c>
      <c r="E29" s="523">
        <v>2500</v>
      </c>
      <c r="F29" s="523">
        <f t="shared" si="2"/>
        <v>240000</v>
      </c>
      <c r="G29" s="523"/>
      <c r="H29" s="523">
        <f t="shared" si="3"/>
        <v>240000</v>
      </c>
      <c r="I29" s="522"/>
    </row>
    <row r="30" spans="1:20" outlineLevel="1">
      <c r="A30" s="506" t="s">
        <v>3045</v>
      </c>
      <c r="B30" s="522" t="s">
        <v>2646</v>
      </c>
      <c r="C30" s="522">
        <v>1</v>
      </c>
      <c r="D30" s="522">
        <v>60</v>
      </c>
      <c r="E30" s="523">
        <v>2000</v>
      </c>
      <c r="F30" s="523">
        <f t="shared" si="2"/>
        <v>120000</v>
      </c>
      <c r="G30" s="523"/>
      <c r="H30" s="523">
        <f t="shared" si="3"/>
        <v>120000</v>
      </c>
      <c r="I30" s="522"/>
    </row>
    <row r="31" spans="1:20" outlineLevel="1">
      <c r="A31" s="506" t="s">
        <v>3046</v>
      </c>
      <c r="B31" s="522" t="s">
        <v>1663</v>
      </c>
      <c r="C31" s="522">
        <v>5</v>
      </c>
      <c r="D31" s="522">
        <v>1</v>
      </c>
      <c r="E31" s="523">
        <v>45000</v>
      </c>
      <c r="F31" s="523">
        <f>+E31*D31*C31-7000</f>
        <v>218000</v>
      </c>
      <c r="G31" s="523"/>
      <c r="H31" s="523">
        <f t="shared" si="3"/>
        <v>218000</v>
      </c>
      <c r="I31" s="522"/>
    </row>
    <row r="32" spans="1:20" outlineLevel="1">
      <c r="A32" s="506" t="s">
        <v>3047</v>
      </c>
      <c r="B32" s="522" t="s">
        <v>3048</v>
      </c>
      <c r="C32" s="522">
        <v>2</v>
      </c>
      <c r="D32" s="522">
        <v>60</v>
      </c>
      <c r="E32" s="523">
        <v>3500</v>
      </c>
      <c r="F32" s="522"/>
      <c r="G32" s="522"/>
      <c r="H32" s="523">
        <f t="shared" si="3"/>
        <v>0</v>
      </c>
      <c r="I32" s="523">
        <f>+E32*D32*C32</f>
        <v>420000</v>
      </c>
    </row>
    <row r="33" spans="1:20" outlineLevel="1">
      <c r="A33" s="506" t="s">
        <v>3049</v>
      </c>
      <c r="B33" s="522" t="s">
        <v>3038</v>
      </c>
      <c r="C33" s="522">
        <v>3</v>
      </c>
      <c r="D33" s="522">
        <v>60</v>
      </c>
      <c r="E33" s="523">
        <v>3500</v>
      </c>
      <c r="F33" s="522"/>
      <c r="G33" s="522"/>
      <c r="H33" s="523">
        <f t="shared" si="3"/>
        <v>0</v>
      </c>
      <c r="I33" s="523">
        <f>+E33*D33*C33</f>
        <v>630000</v>
      </c>
    </row>
    <row r="34" spans="1:20" s="516" customFormat="1">
      <c r="A34" s="517" t="s">
        <v>582</v>
      </c>
      <c r="B34" s="518" t="s">
        <v>3050</v>
      </c>
      <c r="C34" s="518"/>
      <c r="D34" s="518"/>
      <c r="E34" s="518"/>
      <c r="F34" s="519">
        <f>SUM(F35:F38)</f>
        <v>130000</v>
      </c>
      <c r="G34" s="520">
        <f>+F34/60000000</f>
        <v>2.1666666666666666E-3</v>
      </c>
      <c r="H34" s="519">
        <f>SUM(H35:H38)</f>
        <v>130000</v>
      </c>
      <c r="I34" s="519">
        <f>SUM(I35:I38)</f>
        <v>0</v>
      </c>
    </row>
    <row r="35" spans="1:20" ht="47" customHeight="1" outlineLevel="1">
      <c r="A35" s="506" t="s">
        <v>1672</v>
      </c>
      <c r="B35" s="522" t="s">
        <v>1673</v>
      </c>
      <c r="C35" s="522">
        <v>1</v>
      </c>
      <c r="D35" s="522"/>
      <c r="E35" s="523">
        <v>0</v>
      </c>
      <c r="F35" s="526">
        <f>+E35*C35</f>
        <v>0</v>
      </c>
      <c r="G35" s="523"/>
      <c r="H35" s="523">
        <f>+F35</f>
        <v>0</v>
      </c>
      <c r="I35" s="522"/>
      <c r="J35" s="4333" t="s">
        <v>3051</v>
      </c>
      <c r="K35" s="4334"/>
      <c r="L35" s="4334"/>
      <c r="M35" s="4334"/>
      <c r="N35" s="4334"/>
      <c r="O35" s="4334"/>
      <c r="P35" s="4334"/>
      <c r="Q35" s="4334"/>
      <c r="R35" s="4334"/>
      <c r="S35" s="4334"/>
      <c r="T35" s="4334"/>
    </row>
    <row r="36" spans="1:20" outlineLevel="1">
      <c r="A36" s="506" t="s">
        <v>1674</v>
      </c>
      <c r="B36" s="522" t="s">
        <v>1675</v>
      </c>
      <c r="C36" s="522">
        <v>1</v>
      </c>
      <c r="D36" s="522"/>
      <c r="E36" s="523">
        <v>30000</v>
      </c>
      <c r="F36" s="523">
        <f>+E36*C36</f>
        <v>30000</v>
      </c>
      <c r="G36" s="523"/>
      <c r="H36" s="523">
        <f>+F36</f>
        <v>30000</v>
      </c>
      <c r="I36" s="522"/>
    </row>
    <row r="37" spans="1:20" outlineLevel="1">
      <c r="A37" s="506" t="s">
        <v>1676</v>
      </c>
      <c r="B37" s="522" t="s">
        <v>1677</v>
      </c>
      <c r="C37" s="522">
        <v>1</v>
      </c>
      <c r="D37" s="522"/>
      <c r="E37" s="523">
        <v>50000</v>
      </c>
      <c r="F37" s="523">
        <f>+E37*C37</f>
        <v>50000</v>
      </c>
      <c r="G37" s="523"/>
      <c r="H37" s="523">
        <f>+F37</f>
        <v>50000</v>
      </c>
      <c r="I37" s="522"/>
    </row>
    <row r="38" spans="1:20" ht="32" customHeight="1" outlineLevel="1">
      <c r="A38" s="506" t="s">
        <v>1678</v>
      </c>
      <c r="B38" s="522" t="s">
        <v>1679</v>
      </c>
      <c r="C38" s="522">
        <v>1</v>
      </c>
      <c r="D38" s="522"/>
      <c r="E38" s="523">
        <v>70000</v>
      </c>
      <c r="F38" s="525">
        <v>50000</v>
      </c>
      <c r="G38" s="523"/>
      <c r="H38" s="523">
        <f>+F38</f>
        <v>50000</v>
      </c>
      <c r="I38" s="522"/>
      <c r="J38" s="4333" t="s">
        <v>3052</v>
      </c>
      <c r="K38" s="4334"/>
      <c r="L38" s="4334"/>
      <c r="M38" s="4334"/>
      <c r="N38" s="4334"/>
      <c r="O38" s="4334"/>
      <c r="P38" s="4334"/>
      <c r="Q38" s="4334"/>
      <c r="R38" s="4334"/>
      <c r="S38" s="4334"/>
      <c r="T38" s="4334"/>
    </row>
    <row r="39" spans="1:20" s="516" customFormat="1">
      <c r="A39" s="517" t="s">
        <v>3053</v>
      </c>
      <c r="B39" s="518" t="s">
        <v>3054</v>
      </c>
      <c r="C39" s="518"/>
      <c r="D39" s="518"/>
      <c r="E39" s="518"/>
      <c r="F39" s="519">
        <f>+F40</f>
        <v>250000</v>
      </c>
      <c r="G39" s="520">
        <f>+F39/60000000</f>
        <v>4.1666666666666666E-3</v>
      </c>
      <c r="H39" s="519">
        <f>+H40</f>
        <v>250000</v>
      </c>
      <c r="I39" s="519">
        <f>+I40</f>
        <v>0</v>
      </c>
    </row>
    <row r="40" spans="1:20" outlineLevel="1">
      <c r="A40" s="506" t="s">
        <v>578</v>
      </c>
      <c r="B40" s="522" t="s">
        <v>1666</v>
      </c>
      <c r="C40" s="522">
        <v>5</v>
      </c>
      <c r="D40" s="522"/>
      <c r="E40" s="523">
        <v>50000</v>
      </c>
      <c r="F40" s="523">
        <f>+E40*C40</f>
        <v>250000</v>
      </c>
      <c r="G40" s="523"/>
      <c r="H40" s="523">
        <f>+F40</f>
        <v>250000</v>
      </c>
      <c r="I40" s="522"/>
    </row>
  </sheetData>
  <mergeCells count="6">
    <mergeCell ref="J38:T38"/>
    <mergeCell ref="A3:I3"/>
    <mergeCell ref="A4:J4"/>
    <mergeCell ref="J13:T13"/>
    <mergeCell ref="J18:T18"/>
    <mergeCell ref="J35:T3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B1:Y269"/>
  <sheetViews>
    <sheetView zoomScale="85" zoomScaleNormal="85" workbookViewId="0">
      <pane xSplit="3" ySplit="1" topLeftCell="D2" activePane="bottomRight" state="frozen"/>
      <selection pane="topRight" activeCell="B4" sqref="B4:P10"/>
      <selection pane="bottomLeft" activeCell="B4" sqref="B4:P10"/>
      <selection pane="bottomRight" activeCell="S14" sqref="S14"/>
    </sheetView>
  </sheetViews>
  <sheetFormatPr baseColWidth="10" defaultColWidth="11.5" defaultRowHeight="15" outlineLevelRow="1"/>
  <cols>
    <col min="1" max="1" width="1.5" style="791" customWidth="1"/>
    <col min="2" max="2" width="10.5" style="791" customWidth="1"/>
    <col min="3" max="3" width="34.5" style="791" customWidth="1"/>
    <col min="4" max="4" width="13" style="816" customWidth="1"/>
    <col min="5" max="5" width="13.5" style="791" customWidth="1"/>
    <col min="6" max="6" width="8.83203125" style="824" customWidth="1"/>
    <col min="7" max="7" width="12" style="665" customWidth="1"/>
    <col min="8" max="8" width="13.5" style="665" customWidth="1"/>
    <col min="9" max="9" width="11.1640625" style="665" customWidth="1"/>
    <col min="10" max="10" width="13.5" style="665" customWidth="1"/>
    <col min="11" max="11" width="11.5" style="824" customWidth="1"/>
    <col min="12" max="12" width="12.5" style="824" customWidth="1"/>
    <col min="13" max="13" width="12.5" style="665" customWidth="1"/>
    <col min="14" max="14" width="12.5" style="791" customWidth="1"/>
    <col min="15" max="15" width="12.5" style="791" bestFit="1" customWidth="1"/>
    <col min="16" max="16" width="27.5" style="791" customWidth="1"/>
    <col min="17" max="17" width="4.5" customWidth="1"/>
    <col min="18" max="19" width="13.5" style="791" customWidth="1"/>
    <col min="20" max="20" width="21" style="627" customWidth="1"/>
    <col min="21" max="23" width="0" style="791" hidden="1" customWidth="1"/>
    <col min="24" max="24" width="12.5" style="791" customWidth="1"/>
    <col min="25" max="16384" width="11.5" style="791"/>
  </cols>
  <sheetData>
    <row r="1" spans="2:24" s="786" customFormat="1" ht="16">
      <c r="B1" s="1074" t="s">
        <v>3055</v>
      </c>
      <c r="C1" s="1076"/>
      <c r="D1" s="1076"/>
      <c r="E1" s="1076"/>
      <c r="F1" s="1076"/>
      <c r="G1" s="1076"/>
      <c r="H1" s="1076"/>
      <c r="J1" s="1076"/>
      <c r="K1" s="1076"/>
      <c r="L1" s="1076"/>
      <c r="M1" s="1076"/>
      <c r="N1" s="1076"/>
      <c r="O1" s="1076"/>
      <c r="P1" s="1076"/>
      <c r="Q1"/>
      <c r="R1" s="1076"/>
      <c r="S1" s="1076"/>
      <c r="T1" s="668"/>
    </row>
    <row r="3" spans="2:24" s="789" customFormat="1" ht="14.5" customHeight="1" thickBot="1">
      <c r="B3" s="4380" t="s">
        <v>3056</v>
      </c>
      <c r="C3" s="4380"/>
      <c r="D3" s="4380"/>
      <c r="E3" s="4380"/>
      <c r="F3" s="4380"/>
      <c r="G3" s="4380"/>
      <c r="H3" s="4380"/>
      <c r="I3" s="4380"/>
      <c r="J3" s="4380"/>
      <c r="K3" s="4380"/>
      <c r="L3" s="4380"/>
      <c r="M3" s="4380"/>
      <c r="N3" s="4380"/>
      <c r="O3" s="4380"/>
      <c r="P3" s="4380"/>
      <c r="Q3"/>
      <c r="R3"/>
      <c r="S3"/>
      <c r="T3"/>
      <c r="U3" s="787"/>
      <c r="V3" s="788"/>
      <c r="W3" s="788"/>
      <c r="X3" s="788"/>
    </row>
    <row r="4" spans="2:24" s="790" customFormat="1" ht="16" thickBot="1">
      <c r="B4" s="4383" t="s">
        <v>3057</v>
      </c>
      <c r="C4" s="4384"/>
      <c r="D4" s="4384"/>
      <c r="E4" s="4384"/>
      <c r="F4" s="4384"/>
      <c r="G4" s="4384"/>
      <c r="H4" s="4384"/>
      <c r="I4" s="4384"/>
      <c r="J4" s="4384"/>
      <c r="K4" s="4384"/>
      <c r="L4" s="4384"/>
      <c r="M4" s="4384"/>
      <c r="N4" s="4384"/>
      <c r="O4" s="4384"/>
      <c r="P4" s="4385"/>
      <c r="Q4"/>
      <c r="R4"/>
      <c r="S4"/>
      <c r="T4"/>
    </row>
    <row r="5" spans="2:24" s="790" customFormat="1">
      <c r="B5" s="4386" t="s">
        <v>3058</v>
      </c>
      <c r="C5" s="4394" t="s">
        <v>3059</v>
      </c>
      <c r="D5" s="4391" t="s">
        <v>3060</v>
      </c>
      <c r="E5" s="4391" t="s">
        <v>3061</v>
      </c>
      <c r="F5" s="4391" t="s">
        <v>3062</v>
      </c>
      <c r="G5" s="4391" t="s">
        <v>3063</v>
      </c>
      <c r="H5" s="4394" t="s">
        <v>3064</v>
      </c>
      <c r="I5" s="4394"/>
      <c r="J5" s="4394"/>
      <c r="K5" s="4398" t="s">
        <v>3065</v>
      </c>
      <c r="L5" s="4398" t="s">
        <v>610</v>
      </c>
      <c r="M5" s="4391" t="s">
        <v>3066</v>
      </c>
      <c r="N5" s="4391" t="s">
        <v>3067</v>
      </c>
      <c r="O5" s="4391"/>
      <c r="P5" s="4396" t="s">
        <v>3068</v>
      </c>
      <c r="Q5"/>
      <c r="R5"/>
      <c r="S5"/>
      <c r="T5"/>
    </row>
    <row r="6" spans="2:24" s="790" customFormat="1" ht="46" thickBot="1">
      <c r="B6" s="4393"/>
      <c r="C6" s="4395"/>
      <c r="D6" s="4379"/>
      <c r="E6" s="4379"/>
      <c r="F6" s="4379"/>
      <c r="G6" s="4379"/>
      <c r="H6" s="626" t="s">
        <v>3069</v>
      </c>
      <c r="I6" s="755" t="s">
        <v>3070</v>
      </c>
      <c r="J6" s="755" t="s">
        <v>3071</v>
      </c>
      <c r="K6" s="4399"/>
      <c r="L6" s="4399"/>
      <c r="M6" s="4379"/>
      <c r="N6" s="754" t="s">
        <v>3072</v>
      </c>
      <c r="O6" s="754" t="s">
        <v>3073</v>
      </c>
      <c r="P6" s="4397"/>
      <c r="Q6"/>
      <c r="R6"/>
      <c r="S6"/>
      <c r="T6"/>
    </row>
    <row r="7" spans="2:24" outlineLevel="1">
      <c r="B7" s="640"/>
      <c r="C7" s="641" t="s">
        <v>3074</v>
      </c>
      <c r="D7" s="642"/>
      <c r="E7" s="642"/>
      <c r="F7" s="642"/>
      <c r="G7" s="648"/>
      <c r="H7" s="649"/>
      <c r="I7" s="643"/>
      <c r="J7" s="643"/>
      <c r="K7" s="635"/>
      <c r="L7" s="644"/>
      <c r="M7" s="645"/>
      <c r="N7" s="645"/>
      <c r="O7" s="646"/>
      <c r="P7" s="647"/>
      <c r="R7"/>
      <c r="S7"/>
      <c r="T7"/>
      <c r="X7" s="792"/>
    </row>
    <row r="8" spans="2:24" ht="16" outlineLevel="1" thickBot="1">
      <c r="B8" s="629"/>
      <c r="C8" s="630" t="s">
        <v>3074</v>
      </c>
      <c r="D8" s="631"/>
      <c r="E8" s="631"/>
      <c r="F8" s="631"/>
      <c r="G8" s="632"/>
      <c r="H8" s="650"/>
      <c r="I8" s="634"/>
      <c r="J8" s="634"/>
      <c r="K8" s="639"/>
      <c r="L8" s="633"/>
      <c r="M8" s="637"/>
      <c r="N8" s="637"/>
      <c r="O8" s="637"/>
      <c r="P8" s="638"/>
      <c r="R8"/>
      <c r="S8"/>
      <c r="T8"/>
      <c r="X8" s="792"/>
    </row>
    <row r="9" spans="2:24" ht="16" thickBot="1">
      <c r="B9" s="4381" t="s">
        <v>3075</v>
      </c>
      <c r="C9" s="4382"/>
      <c r="D9" s="4382"/>
      <c r="E9" s="4382"/>
      <c r="F9" s="4382"/>
      <c r="G9" s="4382"/>
      <c r="H9" s="793">
        <f>SUM(H7:H8)</f>
        <v>0</v>
      </c>
      <c r="I9" s="793"/>
      <c r="J9" s="793"/>
      <c r="K9" s="794"/>
      <c r="L9" s="795"/>
      <c r="M9" s="796"/>
      <c r="N9" s="797"/>
      <c r="O9" s="798"/>
      <c r="P9" s="799"/>
      <c r="R9"/>
      <c r="S9"/>
      <c r="T9"/>
    </row>
    <row r="10" spans="2:24" ht="16" thickBot="1">
      <c r="B10" s="801"/>
      <c r="C10" s="801"/>
      <c r="D10" s="800"/>
      <c r="E10" s="801"/>
      <c r="F10" s="802"/>
      <c r="G10" s="803"/>
      <c r="H10" s="804"/>
      <c r="I10" s="651"/>
      <c r="J10" s="651"/>
      <c r="K10" s="802"/>
      <c r="L10" s="805"/>
      <c r="M10" s="806"/>
      <c r="N10" s="801"/>
      <c r="O10" s="801"/>
      <c r="R10"/>
      <c r="S10"/>
      <c r="T10"/>
    </row>
    <row r="11" spans="2:24" s="807" customFormat="1" ht="16" thickBot="1">
      <c r="B11" s="4383" t="s">
        <v>3076</v>
      </c>
      <c r="C11" s="4384"/>
      <c r="D11" s="4384"/>
      <c r="E11" s="4384"/>
      <c r="F11" s="4384"/>
      <c r="G11" s="4384"/>
      <c r="H11" s="4384"/>
      <c r="I11" s="4384"/>
      <c r="J11" s="4384"/>
      <c r="K11" s="4384"/>
      <c r="L11" s="4384"/>
      <c r="M11" s="4384"/>
      <c r="N11" s="4384"/>
      <c r="O11" s="4384"/>
      <c r="P11" s="4385"/>
      <c r="Q11"/>
      <c r="R11"/>
      <c r="S11"/>
      <c r="T11" s="627"/>
    </row>
    <row r="12" spans="2:24" s="808" customFormat="1">
      <c r="B12" s="4386" t="s">
        <v>3058</v>
      </c>
      <c r="C12" s="4394" t="s">
        <v>3059</v>
      </c>
      <c r="D12" s="4391" t="s">
        <v>3060</v>
      </c>
      <c r="E12" s="4391" t="s">
        <v>3061</v>
      </c>
      <c r="F12" s="4391" t="s">
        <v>3062</v>
      </c>
      <c r="G12" s="4391" t="s">
        <v>3063</v>
      </c>
      <c r="H12" s="4394" t="s">
        <v>3064</v>
      </c>
      <c r="I12" s="4394"/>
      <c r="J12" s="4394"/>
      <c r="K12" s="4398" t="s">
        <v>3065</v>
      </c>
      <c r="L12" s="4398" t="s">
        <v>610</v>
      </c>
      <c r="M12" s="4391" t="s">
        <v>3066</v>
      </c>
      <c r="N12" s="4391" t="s">
        <v>3067</v>
      </c>
      <c r="O12" s="4391"/>
      <c r="P12" s="4396" t="s">
        <v>3068</v>
      </c>
      <c r="Q12"/>
      <c r="R12" s="4338" t="s">
        <v>3067</v>
      </c>
      <c r="S12" s="4338"/>
      <c r="T12" s="652"/>
    </row>
    <row r="13" spans="2:24" s="808" customFormat="1" ht="45">
      <c r="B13" s="4387"/>
      <c r="C13" s="4410"/>
      <c r="D13" s="4392"/>
      <c r="E13" s="4392"/>
      <c r="F13" s="4392"/>
      <c r="G13" s="4392"/>
      <c r="H13" s="778" t="s">
        <v>3069</v>
      </c>
      <c r="I13" s="779" t="s">
        <v>3070</v>
      </c>
      <c r="J13" s="779" t="s">
        <v>3071</v>
      </c>
      <c r="K13" s="4398"/>
      <c r="L13" s="4398"/>
      <c r="M13" s="4392"/>
      <c r="N13" s="780" t="s">
        <v>3077</v>
      </c>
      <c r="O13" s="780" t="s">
        <v>3073</v>
      </c>
      <c r="P13" s="4409"/>
      <c r="Q13"/>
      <c r="R13" s="1165" t="s">
        <v>3077</v>
      </c>
      <c r="S13" s="1165" t="s">
        <v>3073</v>
      </c>
      <c r="T13" s="652"/>
    </row>
    <row r="14" spans="2:24" s="815" customFormat="1" ht="74.5" customHeight="1" outlineLevel="1">
      <c r="B14" s="1094" t="s">
        <v>3078</v>
      </c>
      <c r="C14" s="661" t="s">
        <v>3079</v>
      </c>
      <c r="D14" s="669" t="s">
        <v>3080</v>
      </c>
      <c r="E14" s="642" t="s">
        <v>3081</v>
      </c>
      <c r="F14" s="645" t="s">
        <v>157</v>
      </c>
      <c r="G14" s="642">
        <v>1</v>
      </c>
      <c r="H14" s="927" t="e">
        <f>+L14</f>
        <v>#REF!</v>
      </c>
      <c r="I14" s="782">
        <v>1</v>
      </c>
      <c r="J14" s="782">
        <v>0</v>
      </c>
      <c r="K14" s="891" t="e">
        <f>'8_MP'!#REF!</f>
        <v>#REF!</v>
      </c>
      <c r="L14" s="662" t="e">
        <f>'8_MP'!#REF!</f>
        <v>#REF!</v>
      </c>
      <c r="M14" s="645" t="s">
        <v>2265</v>
      </c>
      <c r="N14" s="1166" t="s">
        <v>3082</v>
      </c>
      <c r="O14" s="1166" t="s">
        <v>3083</v>
      </c>
      <c r="P14" s="846"/>
      <c r="Q14"/>
      <c r="R14" s="1163" t="s">
        <v>3084</v>
      </c>
      <c r="S14" s="645" t="s">
        <v>3085</v>
      </c>
      <c r="T14" s="654"/>
    </row>
    <row r="15" spans="2:24" s="815" customFormat="1" ht="39" outlineLevel="1">
      <c r="B15" s="640" t="s">
        <v>3078</v>
      </c>
      <c r="C15" s="661" t="s">
        <v>3086</v>
      </c>
      <c r="D15" s="669" t="s">
        <v>3080</v>
      </c>
      <c r="E15" s="642" t="s">
        <v>3081</v>
      </c>
      <c r="F15" s="645" t="s">
        <v>157</v>
      </c>
      <c r="G15" s="642">
        <f>+G14+1</f>
        <v>2</v>
      </c>
      <c r="H15" s="927" t="e">
        <f>+L15</f>
        <v>#REF!</v>
      </c>
      <c r="I15" s="782">
        <v>1</v>
      </c>
      <c r="J15" s="782">
        <v>0</v>
      </c>
      <c r="K15" s="891" t="e">
        <f>'8_MP'!#REF!</f>
        <v>#REF!</v>
      </c>
      <c r="L15" s="662" t="e">
        <f>'8_MP'!#REF!</f>
        <v>#REF!</v>
      </c>
      <c r="M15" s="645" t="s">
        <v>2265</v>
      </c>
      <c r="N15" s="1166" t="s">
        <v>3082</v>
      </c>
      <c r="O15" s="1166" t="s">
        <v>3083</v>
      </c>
      <c r="P15" s="846"/>
      <c r="Q15"/>
      <c r="R15" s="1163" t="s">
        <v>3084</v>
      </c>
      <c r="S15" s="645" t="s">
        <v>3085</v>
      </c>
      <c r="T15" s="654"/>
    </row>
    <row r="16" spans="2:24" ht="53" outlineLevel="1" thickBot="1">
      <c r="B16" s="640" t="s">
        <v>3078</v>
      </c>
      <c r="C16" s="630" t="s">
        <v>3087</v>
      </c>
      <c r="D16" s="631" t="s">
        <v>3080</v>
      </c>
      <c r="E16" s="642" t="s">
        <v>3081</v>
      </c>
      <c r="F16" s="631" t="s">
        <v>157</v>
      </c>
      <c r="G16" s="632">
        <f>+G15+1</f>
        <v>3</v>
      </c>
      <c r="H16" s="927" t="e">
        <f>+L16</f>
        <v>#REF!</v>
      </c>
      <c r="I16" s="782">
        <v>1</v>
      </c>
      <c r="J16" s="782">
        <v>0</v>
      </c>
      <c r="K16" s="891" t="e">
        <f>'8_MP'!#REF!</f>
        <v>#REF!</v>
      </c>
      <c r="L16" s="662" t="e">
        <f>'8_MP'!#REF!</f>
        <v>#REF!</v>
      </c>
      <c r="M16" s="645" t="s">
        <v>2265</v>
      </c>
      <c r="N16" s="1166" t="s">
        <v>3088</v>
      </c>
      <c r="O16" s="1166" t="s">
        <v>3089</v>
      </c>
      <c r="P16" s="846"/>
      <c r="R16" s="1163" t="s">
        <v>3090</v>
      </c>
      <c r="S16" s="645" t="s">
        <v>3091</v>
      </c>
    </row>
    <row r="17" spans="2:20" ht="15" customHeight="1" thickBot="1">
      <c r="B17" s="4381" t="s">
        <v>3092</v>
      </c>
      <c r="C17" s="4382"/>
      <c r="D17" s="4382"/>
      <c r="E17" s="4382"/>
      <c r="F17" s="4382"/>
      <c r="G17" s="4382"/>
      <c r="H17" s="793" t="e">
        <f>SUM(H14:H16)</f>
        <v>#REF!</v>
      </c>
      <c r="I17" s="4411"/>
      <c r="J17" s="4412"/>
      <c r="K17" s="4412"/>
      <c r="L17" s="4412"/>
      <c r="M17" s="4412"/>
      <c r="N17" s="4412"/>
      <c r="O17" s="4412"/>
      <c r="P17" s="4413"/>
      <c r="R17" s="1164"/>
      <c r="S17" s="1164"/>
    </row>
    <row r="18" spans="2:20" ht="16" thickBot="1">
      <c r="B18" s="810"/>
      <c r="C18" s="807"/>
      <c r="D18" s="809"/>
      <c r="E18" s="810"/>
      <c r="F18" s="811"/>
      <c r="G18" s="812"/>
      <c r="H18" s="784"/>
      <c r="I18" s="783"/>
      <c r="J18" s="784"/>
      <c r="K18" s="811"/>
      <c r="L18" s="813"/>
      <c r="M18" s="814"/>
      <c r="N18" s="810"/>
      <c r="O18" s="810"/>
      <c r="T18" s="785"/>
    </row>
    <row r="19" spans="2:20" s="807" customFormat="1" ht="16" thickBot="1">
      <c r="B19" s="4383" t="s">
        <v>3093</v>
      </c>
      <c r="C19" s="4384"/>
      <c r="D19" s="4384"/>
      <c r="E19" s="4384"/>
      <c r="F19" s="4384"/>
      <c r="G19" s="4384"/>
      <c r="H19" s="4384"/>
      <c r="I19" s="4384"/>
      <c r="J19" s="4384"/>
      <c r="K19" s="4384"/>
      <c r="L19" s="4384"/>
      <c r="M19" s="4384"/>
      <c r="N19" s="4384"/>
      <c r="O19" s="4384"/>
      <c r="P19" s="4385"/>
      <c r="Q19"/>
      <c r="R19"/>
      <c r="S19"/>
      <c r="T19" s="627"/>
    </row>
    <row r="20" spans="2:20" s="808" customFormat="1">
      <c r="B20" s="4386" t="s">
        <v>3058</v>
      </c>
      <c r="C20" s="4394" t="s">
        <v>3059</v>
      </c>
      <c r="D20" s="4391" t="s">
        <v>3060</v>
      </c>
      <c r="E20" s="4391" t="s">
        <v>3061</v>
      </c>
      <c r="F20" s="4391" t="s">
        <v>3062</v>
      </c>
      <c r="G20" s="4391" t="s">
        <v>3063</v>
      </c>
      <c r="H20" s="4394" t="s">
        <v>3064</v>
      </c>
      <c r="I20" s="4394"/>
      <c r="J20" s="4394"/>
      <c r="K20" s="4398" t="s">
        <v>3065</v>
      </c>
      <c r="L20" s="4398" t="s">
        <v>610</v>
      </c>
      <c r="M20" s="4391" t="s">
        <v>3066</v>
      </c>
      <c r="N20" s="4391" t="s">
        <v>3067</v>
      </c>
      <c r="O20" s="4391"/>
      <c r="P20" s="4396" t="s">
        <v>151</v>
      </c>
      <c r="Q20"/>
      <c r="R20" s="4338" t="s">
        <v>3067</v>
      </c>
      <c r="S20" s="4338"/>
      <c r="T20" s="652"/>
    </row>
    <row r="21" spans="2:20" s="808" customFormat="1" ht="46" thickBot="1">
      <c r="B21" s="4387"/>
      <c r="C21" s="4410"/>
      <c r="D21" s="4392"/>
      <c r="E21" s="4392"/>
      <c r="F21" s="4392"/>
      <c r="G21" s="4392"/>
      <c r="H21" s="778" t="s">
        <v>3069</v>
      </c>
      <c r="I21" s="779" t="s">
        <v>3070</v>
      </c>
      <c r="J21" s="779" t="s">
        <v>3071</v>
      </c>
      <c r="K21" s="4398"/>
      <c r="L21" s="4398"/>
      <c r="M21" s="4392"/>
      <c r="N21" s="780" t="s">
        <v>3077</v>
      </c>
      <c r="O21" s="780" t="s">
        <v>3073</v>
      </c>
      <c r="P21" s="4409"/>
      <c r="Q21"/>
      <c r="R21" s="1165" t="s">
        <v>3077</v>
      </c>
      <c r="S21" s="1165" t="s">
        <v>3073</v>
      </c>
      <c r="T21" s="652"/>
    </row>
    <row r="22" spans="2:20" s="815" customFormat="1" ht="52" outlineLevel="1">
      <c r="B22" s="1098" t="s">
        <v>1705</v>
      </c>
      <c r="C22" s="838" t="s">
        <v>3094</v>
      </c>
      <c r="D22" s="839" t="s">
        <v>2014</v>
      </c>
      <c r="E22" s="642" t="s">
        <v>3095</v>
      </c>
      <c r="F22" s="895" t="s">
        <v>157</v>
      </c>
      <c r="G22" s="840">
        <f>+G16+1</f>
        <v>4</v>
      </c>
      <c r="H22" s="894">
        <f>+L22</f>
        <v>0</v>
      </c>
      <c r="I22" s="844">
        <v>1</v>
      </c>
      <c r="J22" s="844">
        <v>0</v>
      </c>
      <c r="K22" s="889" t="str">
        <f>'8_MP'!$D$66</f>
        <v>1.1.2.2.1.4</v>
      </c>
      <c r="L22" s="841">
        <f>'8_MP'!$AN$66</f>
        <v>0</v>
      </c>
      <c r="M22" s="895" t="s">
        <v>2265</v>
      </c>
      <c r="N22" s="1166" t="s">
        <v>3096</v>
      </c>
      <c r="O22" s="1166" t="s">
        <v>3097</v>
      </c>
      <c r="P22" s="845"/>
      <c r="Q22"/>
      <c r="R22" s="1163" t="s">
        <v>3098</v>
      </c>
      <c r="S22" s="1163" t="s">
        <v>3099</v>
      </c>
      <c r="T22" s="654"/>
    </row>
    <row r="23" spans="2:20" s="815" customFormat="1" ht="39" outlineLevel="1">
      <c r="B23" s="629" t="s">
        <v>3100</v>
      </c>
      <c r="C23" s="661" t="s">
        <v>3101</v>
      </c>
      <c r="D23" s="669" t="s">
        <v>2174</v>
      </c>
      <c r="E23" s="642" t="s">
        <v>3095</v>
      </c>
      <c r="F23" s="645" t="s">
        <v>157</v>
      </c>
      <c r="G23" s="642">
        <f>+G22+1</f>
        <v>5</v>
      </c>
      <c r="H23" s="927" t="e">
        <f>+L23</f>
        <v>#REF!</v>
      </c>
      <c r="I23" s="782">
        <v>1</v>
      </c>
      <c r="J23" s="782">
        <v>0</v>
      </c>
      <c r="K23" s="891" t="e">
        <f>'8_MP'!#REF!</f>
        <v>#REF!</v>
      </c>
      <c r="L23" s="662" t="e">
        <f>'8_MP'!#REF!</f>
        <v>#REF!</v>
      </c>
      <c r="M23" s="645" t="s">
        <v>2265</v>
      </c>
      <c r="N23" s="1166" t="s">
        <v>3102</v>
      </c>
      <c r="O23" s="1166" t="s">
        <v>3103</v>
      </c>
      <c r="P23" s="846"/>
      <c r="Q23"/>
      <c r="R23" s="1163" t="s">
        <v>3090</v>
      </c>
      <c r="S23" s="1163" t="s">
        <v>3104</v>
      </c>
      <c r="T23" s="654"/>
    </row>
    <row r="24" spans="2:20" s="815" customFormat="1" ht="52" outlineLevel="1">
      <c r="B24" s="640" t="s">
        <v>1705</v>
      </c>
      <c r="C24" s="661" t="s">
        <v>3105</v>
      </c>
      <c r="D24" s="669" t="s">
        <v>3106</v>
      </c>
      <c r="E24" s="642" t="s">
        <v>3095</v>
      </c>
      <c r="F24" s="645" t="s">
        <v>157</v>
      </c>
      <c r="G24" s="642">
        <f>+G23+1</f>
        <v>6</v>
      </c>
      <c r="H24" s="927" t="e">
        <f>+L24</f>
        <v>#REF!</v>
      </c>
      <c r="I24" s="782">
        <v>1</v>
      </c>
      <c r="J24" s="782">
        <v>0</v>
      </c>
      <c r="K24" s="891" t="e">
        <f>'8_MP'!#REF!</f>
        <v>#REF!</v>
      </c>
      <c r="L24" s="662" t="e">
        <f>'8_MP'!#REF!</f>
        <v>#REF!</v>
      </c>
      <c r="M24" s="645" t="s">
        <v>2265</v>
      </c>
      <c r="N24" s="1166" t="s">
        <v>3107</v>
      </c>
      <c r="O24" s="1166" t="s">
        <v>3096</v>
      </c>
      <c r="P24" s="846"/>
      <c r="Q24"/>
      <c r="R24" s="1163" t="s">
        <v>3090</v>
      </c>
      <c r="S24" s="1163" t="s">
        <v>3104</v>
      </c>
      <c r="T24" s="654"/>
    </row>
    <row r="25" spans="2:20" s="815" customFormat="1" ht="66" outlineLevel="1" thickBot="1">
      <c r="B25" s="1099" t="s">
        <v>1705</v>
      </c>
      <c r="C25" s="661" t="s">
        <v>3108</v>
      </c>
      <c r="D25" s="749" t="s">
        <v>2782</v>
      </c>
      <c r="E25" s="631" t="s">
        <v>3095</v>
      </c>
      <c r="F25" s="637" t="s">
        <v>157</v>
      </c>
      <c r="G25" s="631">
        <f>+G24+1</f>
        <v>7</v>
      </c>
      <c r="H25" s="958">
        <f>+L25</f>
        <v>80000</v>
      </c>
      <c r="I25" s="959">
        <v>1</v>
      </c>
      <c r="J25" s="959">
        <v>0</v>
      </c>
      <c r="K25" s="892" t="str">
        <f>'8_MP'!$D$446</f>
        <v>3.4.1.2.2</v>
      </c>
      <c r="L25" s="657">
        <f>'8_MP'!$AN$446</f>
        <v>80000</v>
      </c>
      <c r="M25" s="637" t="s">
        <v>2265</v>
      </c>
      <c r="N25" s="1166" t="s">
        <v>3109</v>
      </c>
      <c r="O25" s="1166" t="s">
        <v>3089</v>
      </c>
      <c r="P25" s="960"/>
      <c r="Q25"/>
      <c r="R25" s="1163" t="s">
        <v>3090</v>
      </c>
      <c r="S25" s="645" t="s">
        <v>3104</v>
      </c>
      <c r="T25" s="654"/>
    </row>
    <row r="26" spans="2:20" ht="15" customHeight="1" thickBot="1">
      <c r="B26" s="4381" t="s">
        <v>3110</v>
      </c>
      <c r="C26" s="4382"/>
      <c r="D26" s="4382"/>
      <c r="E26" s="4382"/>
      <c r="F26" s="4382"/>
      <c r="G26" s="4382"/>
      <c r="H26" s="793" t="e">
        <f>SUM(H22:H25)</f>
        <v>#REF!</v>
      </c>
      <c r="I26" s="4411"/>
      <c r="J26" s="4412"/>
      <c r="K26" s="4412"/>
      <c r="L26" s="4412"/>
      <c r="M26" s="4412"/>
      <c r="N26" s="4412"/>
      <c r="O26" s="4412"/>
      <c r="P26" s="4413"/>
      <c r="R26"/>
      <c r="S26"/>
      <c r="T26"/>
    </row>
    <row r="27" spans="2:20" ht="16" thickBot="1">
      <c r="B27" s="810"/>
      <c r="C27" s="807"/>
      <c r="D27" s="809"/>
      <c r="E27" s="810"/>
      <c r="F27" s="811"/>
      <c r="G27" s="812"/>
      <c r="H27" s="784"/>
      <c r="I27" s="783"/>
      <c r="J27" s="784"/>
      <c r="K27" s="811"/>
      <c r="L27" s="813"/>
      <c r="M27" s="814"/>
      <c r="N27" s="810"/>
      <c r="O27" s="810"/>
      <c r="T27" s="785"/>
    </row>
    <row r="28" spans="2:20" s="816" customFormat="1" ht="15.5" customHeight="1" thickBot="1">
      <c r="B28" s="4414" t="s">
        <v>3111</v>
      </c>
      <c r="C28" s="4415"/>
      <c r="D28" s="4415"/>
      <c r="E28" s="4415"/>
      <c r="F28" s="4415"/>
      <c r="G28" s="4415"/>
      <c r="H28" s="4415"/>
      <c r="I28" s="4415"/>
      <c r="J28" s="4415"/>
      <c r="K28" s="4415"/>
      <c r="L28" s="4415"/>
      <c r="M28" s="4415"/>
      <c r="N28" s="4415"/>
      <c r="O28" s="4415"/>
      <c r="P28" s="4416"/>
      <c r="Q28"/>
      <c r="R28"/>
      <c r="S28"/>
      <c r="T28"/>
    </row>
    <row r="29" spans="2:20" s="817" customFormat="1">
      <c r="B29" s="4461" t="s">
        <v>3058</v>
      </c>
      <c r="C29" s="4419" t="s">
        <v>3059</v>
      </c>
      <c r="D29" s="4378" t="s">
        <v>3060</v>
      </c>
      <c r="E29" s="4378" t="s">
        <v>3061</v>
      </c>
      <c r="F29" s="4378" t="s">
        <v>3063</v>
      </c>
      <c r="G29" s="4404" t="s">
        <v>3069</v>
      </c>
      <c r="H29" s="4405"/>
      <c r="I29" s="4406"/>
      <c r="J29" s="4454" t="s">
        <v>3065</v>
      </c>
      <c r="K29" s="4454" t="s">
        <v>610</v>
      </c>
      <c r="L29" s="4378" t="s">
        <v>3066</v>
      </c>
      <c r="M29" s="4404" t="s">
        <v>3067</v>
      </c>
      <c r="N29" s="4406"/>
      <c r="O29" s="4455" t="s">
        <v>151</v>
      </c>
      <c r="P29" s="4456"/>
      <c r="Q29"/>
      <c r="R29" s="4338" t="s">
        <v>3067</v>
      </c>
      <c r="S29" s="4338"/>
      <c r="T29" s="656"/>
    </row>
    <row r="30" spans="2:20" s="817" customFormat="1" ht="46" thickBot="1">
      <c r="B30" s="4387"/>
      <c r="C30" s="4410"/>
      <c r="D30" s="4392"/>
      <c r="E30" s="4392"/>
      <c r="F30" s="4392"/>
      <c r="G30" s="778" t="s">
        <v>3069</v>
      </c>
      <c r="H30" s="779" t="s">
        <v>3070</v>
      </c>
      <c r="I30" s="779" t="s">
        <v>3071</v>
      </c>
      <c r="J30" s="4398"/>
      <c r="K30" s="4398"/>
      <c r="L30" s="4392"/>
      <c r="M30" s="780" t="s">
        <v>2721</v>
      </c>
      <c r="N30" s="780" t="s">
        <v>3073</v>
      </c>
      <c r="O30" s="4457"/>
      <c r="P30" s="4458"/>
      <c r="Q30"/>
      <c r="R30" s="1165" t="s">
        <v>2721</v>
      </c>
      <c r="S30" s="1165" t="s">
        <v>3073</v>
      </c>
      <c r="T30" s="656"/>
    </row>
    <row r="31" spans="2:20" s="815" customFormat="1" ht="66.5" customHeight="1" outlineLevel="1">
      <c r="B31" s="1087" t="s">
        <v>1705</v>
      </c>
      <c r="C31" s="901" t="s">
        <v>3112</v>
      </c>
      <c r="D31" s="839" t="s">
        <v>1994</v>
      </c>
      <c r="E31" s="840" t="s">
        <v>3113</v>
      </c>
      <c r="F31" s="840">
        <f>+G25+1</f>
        <v>8</v>
      </c>
      <c r="G31" s="841" t="e">
        <f>+K31</f>
        <v>#REF!</v>
      </c>
      <c r="H31" s="842">
        <v>1</v>
      </c>
      <c r="I31" s="842">
        <v>0</v>
      </c>
      <c r="J31" s="887" t="e">
        <f>'8_MP'!#REF!</f>
        <v>#REF!</v>
      </c>
      <c r="K31" s="843" t="e">
        <f>'8_MP'!#REF!</f>
        <v>#REF!</v>
      </c>
      <c r="L31" s="1144" t="s">
        <v>2265</v>
      </c>
      <c r="M31" s="1166" t="s">
        <v>3114</v>
      </c>
      <c r="N31" s="1166" t="s">
        <v>3088</v>
      </c>
      <c r="O31" s="4402"/>
      <c r="P31" s="4403"/>
      <c r="Q31"/>
      <c r="R31" s="645" t="s">
        <v>3098</v>
      </c>
      <c r="S31" s="645" t="s">
        <v>3115</v>
      </c>
      <c r="T31" s="654"/>
    </row>
    <row r="32" spans="2:20" s="815" customFormat="1" ht="78.5" customHeight="1" outlineLevel="1">
      <c r="B32" s="640" t="s">
        <v>1705</v>
      </c>
      <c r="C32" s="902" t="s">
        <v>3116</v>
      </c>
      <c r="D32" s="669" t="s">
        <v>2033</v>
      </c>
      <c r="E32" s="642" t="s">
        <v>3113</v>
      </c>
      <c r="F32" s="642">
        <f>+F31+1</f>
        <v>9</v>
      </c>
      <c r="G32" s="662">
        <f>+K32</f>
        <v>616596</v>
      </c>
      <c r="H32" s="643">
        <v>1</v>
      </c>
      <c r="I32" s="643">
        <v>0</v>
      </c>
      <c r="J32" s="888" t="str">
        <f>'8_MP'!$D$19</f>
        <v>1.1.1.7</v>
      </c>
      <c r="K32" s="767">
        <f>'8_MP'!$AN$19</f>
        <v>616596</v>
      </c>
      <c r="L32" s="1145" t="s">
        <v>2265</v>
      </c>
      <c r="M32" s="1166" t="s">
        <v>3114</v>
      </c>
      <c r="N32" s="1166" t="s">
        <v>3088</v>
      </c>
      <c r="O32" s="4400"/>
      <c r="P32" s="4401"/>
      <c r="Q32"/>
      <c r="R32" s="645" t="s">
        <v>3117</v>
      </c>
      <c r="S32" s="645" t="s">
        <v>3104</v>
      </c>
      <c r="T32" s="654"/>
    </row>
    <row r="33" spans="2:20" s="815" customFormat="1" ht="26.5" customHeight="1" outlineLevel="1">
      <c r="B33" s="4360" t="s">
        <v>1705</v>
      </c>
      <c r="C33" s="4347" t="s">
        <v>3118</v>
      </c>
      <c r="D33" s="4349" t="s">
        <v>2033</v>
      </c>
      <c r="E33" s="4351" t="s">
        <v>3113</v>
      </c>
      <c r="F33" s="4351">
        <f>+F32+1</f>
        <v>10</v>
      </c>
      <c r="G33" s="4353">
        <f>SUM(K33:K35)</f>
        <v>108000</v>
      </c>
      <c r="H33" s="4355">
        <v>1</v>
      </c>
      <c r="I33" s="4355">
        <v>0</v>
      </c>
      <c r="J33" s="888">
        <f>'8_MP'!D25</f>
        <v>0</v>
      </c>
      <c r="K33" s="767">
        <f>'8_MP'!AN25</f>
        <v>54000</v>
      </c>
      <c r="L33" s="4366" t="s">
        <v>2265</v>
      </c>
      <c r="M33" s="4339" t="s">
        <v>3119</v>
      </c>
      <c r="N33" s="4339" t="s">
        <v>3120</v>
      </c>
      <c r="O33" s="4341"/>
      <c r="P33" s="4342"/>
      <c r="Q33"/>
      <c r="R33" s="4337" t="s">
        <v>3090</v>
      </c>
      <c r="S33" s="4337" t="s">
        <v>3121</v>
      </c>
      <c r="T33" s="654"/>
    </row>
    <row r="34" spans="2:20" s="815" customFormat="1" ht="26.5" customHeight="1" outlineLevel="1">
      <c r="B34" s="4361"/>
      <c r="C34" s="4348"/>
      <c r="D34" s="4350"/>
      <c r="E34" s="4352"/>
      <c r="F34" s="4352"/>
      <c r="G34" s="4354"/>
      <c r="H34" s="4356"/>
      <c r="I34" s="4356"/>
      <c r="J34" s="888" t="str">
        <f>'8_MP'!D26</f>
        <v>1.1.1.7.8.1</v>
      </c>
      <c r="K34" s="767">
        <f>'8_MP'!AN26</f>
        <v>18000</v>
      </c>
      <c r="L34" s="4367"/>
      <c r="M34" s="4340"/>
      <c r="N34" s="4340"/>
      <c r="O34" s="4343"/>
      <c r="P34" s="4344"/>
      <c r="Q34"/>
      <c r="R34" s="4337"/>
      <c r="S34" s="4337"/>
      <c r="T34" s="654"/>
    </row>
    <row r="35" spans="2:20" s="815" customFormat="1" ht="26.5" customHeight="1" outlineLevel="1">
      <c r="B35" s="4462"/>
      <c r="C35" s="4425"/>
      <c r="D35" s="4463"/>
      <c r="E35" s="4368"/>
      <c r="F35" s="4368"/>
      <c r="G35" s="4430"/>
      <c r="H35" s="4432"/>
      <c r="I35" s="4432"/>
      <c r="J35" s="888" t="str">
        <f>'8_MP'!D27</f>
        <v>1.1.1.7.8.6</v>
      </c>
      <c r="K35" s="767">
        <f>'8_MP'!AN27</f>
        <v>36000</v>
      </c>
      <c r="L35" s="4388"/>
      <c r="M35" s="4359"/>
      <c r="N35" s="4359"/>
      <c r="O35" s="4389"/>
      <c r="P35" s="4390"/>
      <c r="Q35"/>
      <c r="R35" s="4337"/>
      <c r="S35" s="4337"/>
      <c r="T35" s="654"/>
    </row>
    <row r="36" spans="2:20" s="815" customFormat="1" ht="25.25" customHeight="1" outlineLevel="1">
      <c r="B36" s="4345" t="s">
        <v>1705</v>
      </c>
      <c r="C36" s="4347" t="s">
        <v>3122</v>
      </c>
      <c r="D36" s="4349" t="s">
        <v>2102</v>
      </c>
      <c r="E36" s="4351" t="s">
        <v>3113</v>
      </c>
      <c r="F36" s="4351">
        <f>+F33+1</f>
        <v>11</v>
      </c>
      <c r="G36" s="4353">
        <f>SUM(K36:K37)</f>
        <v>466000</v>
      </c>
      <c r="H36" s="4355">
        <v>1</v>
      </c>
      <c r="I36" s="4355">
        <v>0</v>
      </c>
      <c r="J36" s="888" t="str">
        <f>'8_MP'!D56</f>
        <v>1.1.2.1.3</v>
      </c>
      <c r="K36" s="767">
        <f>'8_MP'!AN56</f>
        <v>448000</v>
      </c>
      <c r="L36" s="4366" t="s">
        <v>2265</v>
      </c>
      <c r="M36" s="4339" t="s">
        <v>3089</v>
      </c>
      <c r="N36" s="4339" t="s">
        <v>3123</v>
      </c>
      <c r="O36" s="4341"/>
      <c r="P36" s="4342"/>
      <c r="Q36"/>
      <c r="R36" s="4337" t="s">
        <v>3104</v>
      </c>
      <c r="S36" s="4337" t="s">
        <v>3124</v>
      </c>
      <c r="T36" s="654"/>
    </row>
    <row r="37" spans="2:20" s="815" customFormat="1" ht="25.25" customHeight="1" outlineLevel="1">
      <c r="B37" s="4346"/>
      <c r="C37" s="4348"/>
      <c r="D37" s="4350"/>
      <c r="E37" s="4352"/>
      <c r="F37" s="4352"/>
      <c r="G37" s="4354"/>
      <c r="H37" s="4356"/>
      <c r="I37" s="4356"/>
      <c r="J37" s="888" t="str">
        <f>'8_MP'!D57</f>
        <v>1.1.2.1.4</v>
      </c>
      <c r="K37" s="767">
        <f>'8_MP'!AN57</f>
        <v>18000</v>
      </c>
      <c r="L37" s="4367"/>
      <c r="M37" s="4340"/>
      <c r="N37" s="4340"/>
      <c r="O37" s="4343"/>
      <c r="P37" s="4344"/>
      <c r="Q37"/>
      <c r="R37" s="4337"/>
      <c r="S37" s="4337"/>
      <c r="T37" s="654"/>
    </row>
    <row r="38" spans="2:20" s="815" customFormat="1" ht="29" customHeight="1" outlineLevel="1">
      <c r="B38" s="4360" t="s">
        <v>1705</v>
      </c>
      <c r="C38" s="4347" t="s">
        <v>3125</v>
      </c>
      <c r="D38" s="4349" t="s">
        <v>2014</v>
      </c>
      <c r="E38" s="4351" t="s">
        <v>3113</v>
      </c>
      <c r="F38" s="4351">
        <f>+F36+1</f>
        <v>12</v>
      </c>
      <c r="G38" s="4353">
        <f>SUM(K38:K40)</f>
        <v>1000000</v>
      </c>
      <c r="H38" s="4355">
        <v>1</v>
      </c>
      <c r="I38" s="4355">
        <v>0</v>
      </c>
      <c r="J38" s="888" t="str">
        <f>'8_MP'!D63</f>
        <v>1.1.2.2.1.1</v>
      </c>
      <c r="K38" s="767">
        <f>'8_MP'!AN63</f>
        <v>30000</v>
      </c>
      <c r="L38" s="4366" t="s">
        <v>2265</v>
      </c>
      <c r="M38" s="4339" t="s">
        <v>3096</v>
      </c>
      <c r="N38" s="4339" t="s">
        <v>3082</v>
      </c>
      <c r="O38" s="4341"/>
      <c r="P38" s="4342"/>
      <c r="Q38"/>
      <c r="R38" s="4337" t="s">
        <v>3098</v>
      </c>
      <c r="S38" s="4337" t="s">
        <v>3117</v>
      </c>
      <c r="T38" s="654"/>
    </row>
    <row r="39" spans="2:20" s="815" customFormat="1" ht="29" customHeight="1" outlineLevel="1">
      <c r="B39" s="4361"/>
      <c r="C39" s="4348"/>
      <c r="D39" s="4350"/>
      <c r="E39" s="4352"/>
      <c r="F39" s="4352"/>
      <c r="G39" s="4354"/>
      <c r="H39" s="4356"/>
      <c r="I39" s="4356"/>
      <c r="J39" s="888" t="str">
        <f>'8_MP'!D64</f>
        <v>1.1.2.2.1.2</v>
      </c>
      <c r="K39" s="767">
        <f>'8_MP'!AN64</f>
        <v>970000</v>
      </c>
      <c r="L39" s="4367"/>
      <c r="M39" s="4340"/>
      <c r="N39" s="4340"/>
      <c r="O39" s="4343"/>
      <c r="P39" s="4344"/>
      <c r="Q39"/>
      <c r="R39" s="4337"/>
      <c r="S39" s="4337"/>
      <c r="T39" s="654"/>
    </row>
    <row r="40" spans="2:20" s="815" customFormat="1" ht="29" customHeight="1" outlineLevel="1">
      <c r="B40" s="4462"/>
      <c r="C40" s="4425"/>
      <c r="D40" s="4463"/>
      <c r="E40" s="4368"/>
      <c r="F40" s="4368"/>
      <c r="G40" s="4430"/>
      <c r="H40" s="4432"/>
      <c r="I40" s="4432"/>
      <c r="J40" s="888" t="str">
        <f>'8_MP'!D65</f>
        <v>1.1.2.2.1.3</v>
      </c>
      <c r="K40" s="767">
        <f>'8_MP'!AN65</f>
        <v>0</v>
      </c>
      <c r="L40" s="4388"/>
      <c r="M40" s="4359"/>
      <c r="N40" s="4359"/>
      <c r="O40" s="4389"/>
      <c r="P40" s="4390"/>
      <c r="Q40"/>
      <c r="R40" s="4337"/>
      <c r="S40" s="4337"/>
      <c r="T40" s="654"/>
    </row>
    <row r="41" spans="2:20" s="815" customFormat="1" ht="65" outlineLevel="1">
      <c r="B41" s="629" t="s">
        <v>1705</v>
      </c>
      <c r="C41" s="903" t="s">
        <v>3126</v>
      </c>
      <c r="D41" s="669" t="s">
        <v>2063</v>
      </c>
      <c r="E41" s="781" t="s">
        <v>3113</v>
      </c>
      <c r="F41" s="631">
        <f>+F38+1</f>
        <v>13</v>
      </c>
      <c r="G41" s="657" t="e">
        <f>+K41</f>
        <v>#REF!</v>
      </c>
      <c r="H41" s="634">
        <v>1</v>
      </c>
      <c r="I41" s="634">
        <v>0</v>
      </c>
      <c r="J41" s="904" t="e">
        <f>'8_MP'!#REF!</f>
        <v>#REF!</v>
      </c>
      <c r="K41" s="905" t="e">
        <f>'8_MP'!#REF!</f>
        <v>#REF!</v>
      </c>
      <c r="L41" s="637" t="s">
        <v>2265</v>
      </c>
      <c r="M41" s="1167" t="s">
        <v>3127</v>
      </c>
      <c r="N41" s="1168" t="s">
        <v>3128</v>
      </c>
      <c r="O41" s="4362"/>
      <c r="P41" s="4363"/>
      <c r="Q41"/>
      <c r="R41" s="645" t="s">
        <v>3104</v>
      </c>
      <c r="S41" s="645" t="s">
        <v>3124</v>
      </c>
    </row>
    <row r="42" spans="2:20" s="815" customFormat="1" ht="52" outlineLevel="1">
      <c r="B42" s="1091" t="s">
        <v>1705</v>
      </c>
      <c r="C42" s="903" t="s">
        <v>3129</v>
      </c>
      <c r="D42" s="669" t="s">
        <v>2005</v>
      </c>
      <c r="E42" s="642" t="s">
        <v>3113</v>
      </c>
      <c r="F42" s="631">
        <f>+F41+1</f>
        <v>14</v>
      </c>
      <c r="G42" s="657">
        <f>+K42</f>
        <v>2525070.9</v>
      </c>
      <c r="H42" s="634">
        <v>1</v>
      </c>
      <c r="I42" s="634">
        <v>0</v>
      </c>
      <c r="J42" s="904" t="str">
        <f>'8_MP'!$D$97</f>
        <v>1.2.1.7</v>
      </c>
      <c r="K42" s="905">
        <f>'8_MP'!$AN$97</f>
        <v>2525070.9</v>
      </c>
      <c r="L42" s="637" t="s">
        <v>2265</v>
      </c>
      <c r="M42" s="1167" t="s">
        <v>3130</v>
      </c>
      <c r="N42" s="1168" t="s">
        <v>3109</v>
      </c>
      <c r="O42" s="4362"/>
      <c r="P42" s="4363"/>
      <c r="Q42"/>
      <c r="R42" s="645" t="s">
        <v>3117</v>
      </c>
      <c r="S42" s="645" t="s">
        <v>3131</v>
      </c>
    </row>
    <row r="43" spans="2:20" s="815" customFormat="1" ht="39" customHeight="1" outlineLevel="1">
      <c r="B43" s="4345" t="s">
        <v>1705</v>
      </c>
      <c r="C43" s="4347" t="s">
        <v>3132</v>
      </c>
      <c r="D43" s="4349" t="s">
        <v>2036</v>
      </c>
      <c r="E43" s="4351" t="s">
        <v>3113</v>
      </c>
      <c r="F43" s="4351">
        <f>+F42+1</f>
        <v>15</v>
      </c>
      <c r="G43" s="4353">
        <f>SUM(K43:K44)</f>
        <v>825000</v>
      </c>
      <c r="H43" s="4355">
        <v>1</v>
      </c>
      <c r="I43" s="4355">
        <v>0</v>
      </c>
      <c r="J43" s="888" t="str">
        <f>'8_MP'!D117</f>
        <v>1.2.1.8.2.5</v>
      </c>
      <c r="K43" s="767">
        <f>'8_MP'!AN117</f>
        <v>75000</v>
      </c>
      <c r="L43" s="4366" t="s">
        <v>2265</v>
      </c>
      <c r="M43" s="4339" t="s">
        <v>3133</v>
      </c>
      <c r="N43" s="4339" t="s">
        <v>3130</v>
      </c>
      <c r="O43" s="4341"/>
      <c r="P43" s="4342"/>
      <c r="Q43"/>
      <c r="R43" s="4337" t="s">
        <v>3134</v>
      </c>
      <c r="S43" s="4337" t="s">
        <v>3117</v>
      </c>
      <c r="T43" s="654"/>
    </row>
    <row r="44" spans="2:20" s="815" customFormat="1" ht="39" customHeight="1" outlineLevel="1">
      <c r="B44" s="4346"/>
      <c r="C44" s="4348"/>
      <c r="D44" s="4350"/>
      <c r="E44" s="4352"/>
      <c r="F44" s="4352"/>
      <c r="G44" s="4354"/>
      <c r="H44" s="4356"/>
      <c r="I44" s="4356"/>
      <c r="J44" s="888" t="str">
        <f>'8_MP'!D118</f>
        <v>1.2.1.8.3</v>
      </c>
      <c r="K44" s="767">
        <f>'8_MP'!AN118</f>
        <v>750000</v>
      </c>
      <c r="L44" s="4367"/>
      <c r="M44" s="4340"/>
      <c r="N44" s="4340"/>
      <c r="O44" s="4343"/>
      <c r="P44" s="4344"/>
      <c r="Q44"/>
      <c r="R44" s="4337"/>
      <c r="S44" s="4337"/>
      <c r="T44" s="654"/>
    </row>
    <row r="45" spans="2:20" s="815" customFormat="1" ht="19.25" customHeight="1" outlineLevel="1">
      <c r="B45" s="4345" t="s">
        <v>1705</v>
      </c>
      <c r="C45" s="4347" t="s">
        <v>3135</v>
      </c>
      <c r="D45" s="4349" t="s">
        <v>2774</v>
      </c>
      <c r="E45" s="4351" t="s">
        <v>3113</v>
      </c>
      <c r="F45" s="4351">
        <f>+F43+1</f>
        <v>16</v>
      </c>
      <c r="G45" s="4353" t="e">
        <f>SUM(K45:K49)</f>
        <v>#REF!</v>
      </c>
      <c r="H45" s="4355">
        <v>1</v>
      </c>
      <c r="I45" s="4355">
        <v>0</v>
      </c>
      <c r="J45" s="888" t="str">
        <f>'8_MP'!D122</f>
        <v>1.2.2.1</v>
      </c>
      <c r="K45" s="767">
        <f>'8_MP'!AN122</f>
        <v>80000</v>
      </c>
      <c r="L45" s="4366" t="s">
        <v>2265</v>
      </c>
      <c r="M45" s="4339" t="s">
        <v>3114</v>
      </c>
      <c r="N45" s="4339" t="s">
        <v>3088</v>
      </c>
      <c r="O45" s="4341"/>
      <c r="P45" s="4342"/>
      <c r="Q45"/>
      <c r="R45" s="4337" t="s">
        <v>3134</v>
      </c>
      <c r="S45" s="4337" t="s">
        <v>3117</v>
      </c>
      <c r="T45" s="654"/>
    </row>
    <row r="46" spans="2:20" s="815" customFormat="1" ht="19.25" customHeight="1" outlineLevel="1">
      <c r="B46" s="4346"/>
      <c r="C46" s="4348"/>
      <c r="D46" s="4350"/>
      <c r="E46" s="4352"/>
      <c r="F46" s="4352"/>
      <c r="G46" s="4354"/>
      <c r="H46" s="4356"/>
      <c r="I46" s="4356"/>
      <c r="J46" s="888" t="e">
        <f>'8_MP'!#REF!</f>
        <v>#REF!</v>
      </c>
      <c r="K46" s="767" t="e">
        <f>'8_MP'!#REF!</f>
        <v>#REF!</v>
      </c>
      <c r="L46" s="4367"/>
      <c r="M46" s="4340"/>
      <c r="N46" s="4340"/>
      <c r="O46" s="4343"/>
      <c r="P46" s="4344"/>
      <c r="Q46"/>
      <c r="R46" s="4337"/>
      <c r="S46" s="4337"/>
      <c r="T46" s="654"/>
    </row>
    <row r="47" spans="2:20" s="815" customFormat="1" ht="19.25" customHeight="1" outlineLevel="1">
      <c r="B47" s="4346"/>
      <c r="C47" s="4348"/>
      <c r="D47" s="4350"/>
      <c r="E47" s="4352"/>
      <c r="F47" s="4352"/>
      <c r="G47" s="4354"/>
      <c r="H47" s="4356"/>
      <c r="I47" s="4356"/>
      <c r="J47" s="888" t="e">
        <f>'8_MP'!#REF!</f>
        <v>#REF!</v>
      </c>
      <c r="K47" s="767" t="e">
        <f>'8_MP'!#REF!</f>
        <v>#REF!</v>
      </c>
      <c r="L47" s="4367"/>
      <c r="M47" s="4340"/>
      <c r="N47" s="4340"/>
      <c r="O47" s="4343"/>
      <c r="P47" s="4344"/>
      <c r="Q47"/>
      <c r="R47" s="4337"/>
      <c r="S47" s="4337"/>
      <c r="T47" s="654"/>
    </row>
    <row r="48" spans="2:20" s="815" customFormat="1" ht="19.25" customHeight="1" outlineLevel="1">
      <c r="B48" s="4346"/>
      <c r="C48" s="4348"/>
      <c r="D48" s="4350"/>
      <c r="E48" s="4352"/>
      <c r="F48" s="4352"/>
      <c r="G48" s="4354"/>
      <c r="H48" s="4356"/>
      <c r="I48" s="4356"/>
      <c r="J48" s="888" t="e">
        <f>'8_MP'!#REF!</f>
        <v>#REF!</v>
      </c>
      <c r="K48" s="767" t="e">
        <f>'8_MP'!#REF!</f>
        <v>#REF!</v>
      </c>
      <c r="L48" s="4367"/>
      <c r="M48" s="4340"/>
      <c r="N48" s="4340"/>
      <c r="O48" s="4343"/>
      <c r="P48" s="4344"/>
      <c r="Q48"/>
      <c r="R48" s="4337"/>
      <c r="S48" s="4337"/>
      <c r="T48" s="654"/>
    </row>
    <row r="49" spans="2:20" s="815" customFormat="1" ht="19.25" customHeight="1" outlineLevel="1">
      <c r="B49" s="4346"/>
      <c r="C49" s="4348"/>
      <c r="D49" s="4350"/>
      <c r="E49" s="4352"/>
      <c r="F49" s="4352"/>
      <c r="G49" s="4354"/>
      <c r="H49" s="4356"/>
      <c r="I49" s="4356"/>
      <c r="J49" s="888" t="e">
        <f>'8_MP'!#REF!</f>
        <v>#REF!</v>
      </c>
      <c r="K49" s="767" t="e">
        <f>'8_MP'!#REF!</f>
        <v>#REF!</v>
      </c>
      <c r="L49" s="4367"/>
      <c r="M49" s="4340"/>
      <c r="N49" s="4340"/>
      <c r="O49" s="4343"/>
      <c r="P49" s="4344"/>
      <c r="Q49"/>
      <c r="R49" s="4337"/>
      <c r="S49" s="4337"/>
      <c r="T49" s="654"/>
    </row>
    <row r="50" spans="2:20" s="815" customFormat="1" ht="43.25" customHeight="1" outlineLevel="1">
      <c r="B50" s="4345" t="s">
        <v>1705</v>
      </c>
      <c r="C50" s="4347" t="s">
        <v>3136</v>
      </c>
      <c r="D50" s="4349" t="s">
        <v>2748</v>
      </c>
      <c r="E50" s="4351" t="s">
        <v>3137</v>
      </c>
      <c r="F50" s="4351">
        <f>+F45+1</f>
        <v>17</v>
      </c>
      <c r="G50" s="4353">
        <f>SUM(K50:K51)</f>
        <v>691812</v>
      </c>
      <c r="H50" s="4355">
        <v>1</v>
      </c>
      <c r="I50" s="4355">
        <v>0</v>
      </c>
      <c r="J50" s="888" t="str">
        <f>'8_MP'!D135</f>
        <v>1.2.3</v>
      </c>
      <c r="K50" s="767">
        <f>'8_MP'!AN135</f>
        <v>500031</v>
      </c>
      <c r="L50" s="4366" t="s">
        <v>2265</v>
      </c>
      <c r="M50" s="4339" t="s">
        <v>3114</v>
      </c>
      <c r="N50" s="4339" t="s">
        <v>3102</v>
      </c>
      <c r="O50" s="4341"/>
      <c r="P50" s="4342"/>
      <c r="Q50"/>
      <c r="R50" s="4337" t="s">
        <v>3138</v>
      </c>
      <c r="S50" s="4337" t="s">
        <v>3115</v>
      </c>
      <c r="T50" s="654"/>
    </row>
    <row r="51" spans="2:20" s="815" customFormat="1" ht="43.25" customHeight="1" outlineLevel="1">
      <c r="B51" s="4346"/>
      <c r="C51" s="4425"/>
      <c r="D51" s="4350"/>
      <c r="E51" s="4352"/>
      <c r="F51" s="4352"/>
      <c r="G51" s="4354"/>
      <c r="H51" s="4356"/>
      <c r="I51" s="4356"/>
      <c r="J51" s="888" t="str">
        <f>'8_MP'!D136</f>
        <v>1.2.3.1</v>
      </c>
      <c r="K51" s="767">
        <f>'8_MP'!AN136</f>
        <v>191781</v>
      </c>
      <c r="L51" s="4367"/>
      <c r="M51" s="4340"/>
      <c r="N51" s="4340"/>
      <c r="O51" s="4343"/>
      <c r="P51" s="4344"/>
      <c r="Q51"/>
      <c r="R51" s="4337"/>
      <c r="S51" s="4337"/>
      <c r="T51" s="654"/>
    </row>
    <row r="52" spans="2:20" s="815" customFormat="1" ht="52" outlineLevel="1">
      <c r="B52" s="629" t="s">
        <v>1705</v>
      </c>
      <c r="C52" s="903" t="s">
        <v>3139</v>
      </c>
      <c r="D52" s="669" t="s">
        <v>2748</v>
      </c>
      <c r="E52" s="642" t="s">
        <v>3137</v>
      </c>
      <c r="F52" s="631">
        <f>+F50+1</f>
        <v>18</v>
      </c>
      <c r="G52" s="657">
        <f>+K52</f>
        <v>308250</v>
      </c>
      <c r="H52" s="634">
        <v>1</v>
      </c>
      <c r="I52" s="634">
        <v>0</v>
      </c>
      <c r="J52" s="904" t="str">
        <f>'8_MP'!D140</f>
        <v>1.2.3.2</v>
      </c>
      <c r="K52" s="905">
        <f>'8_MP'!AN140</f>
        <v>308250</v>
      </c>
      <c r="L52" s="637" t="s">
        <v>2265</v>
      </c>
      <c r="M52" s="1167" t="s">
        <v>3097</v>
      </c>
      <c r="N52" s="1168" t="s">
        <v>3123</v>
      </c>
      <c r="O52" s="4362"/>
      <c r="P52" s="4363"/>
      <c r="Q52"/>
      <c r="R52" s="645" t="s">
        <v>3090</v>
      </c>
      <c r="S52" s="645" t="s">
        <v>3104</v>
      </c>
    </row>
    <row r="53" spans="2:20" s="815" customFormat="1" ht="26" outlineLevel="1">
      <c r="B53" s="629" t="s">
        <v>1705</v>
      </c>
      <c r="C53" s="903" t="s">
        <v>3140</v>
      </c>
      <c r="D53" s="669" t="s">
        <v>2748</v>
      </c>
      <c r="E53" s="642" t="s">
        <v>3113</v>
      </c>
      <c r="F53" s="631">
        <f>+F52+1</f>
        <v>19</v>
      </c>
      <c r="G53" s="657" t="e">
        <f>+K53</f>
        <v>#REF!</v>
      </c>
      <c r="H53" s="634">
        <v>1</v>
      </c>
      <c r="I53" s="634">
        <v>0</v>
      </c>
      <c r="J53" s="904" t="e">
        <f>'8_MP'!#REF!</f>
        <v>#REF!</v>
      </c>
      <c r="K53" s="905" t="e">
        <f>'8_MP'!#REF!</f>
        <v>#REF!</v>
      </c>
      <c r="L53" s="637" t="s">
        <v>2265</v>
      </c>
      <c r="M53" s="1167" t="s">
        <v>3097</v>
      </c>
      <c r="N53" s="1168" t="s">
        <v>3141</v>
      </c>
      <c r="O53" s="4362"/>
      <c r="P53" s="4363"/>
      <c r="Q53"/>
      <c r="R53" s="645" t="s">
        <v>3090</v>
      </c>
      <c r="S53" s="645" t="s">
        <v>3121</v>
      </c>
    </row>
    <row r="54" spans="2:20" s="815" customFormat="1" ht="57.5" customHeight="1" outlineLevel="1">
      <c r="B54" s="629" t="s">
        <v>1705</v>
      </c>
      <c r="C54" s="903" t="s">
        <v>3142</v>
      </c>
      <c r="D54" s="749" t="s">
        <v>2748</v>
      </c>
      <c r="E54" s="631" t="s">
        <v>3137</v>
      </c>
      <c r="F54" s="631">
        <f>+F53+1</f>
        <v>20</v>
      </c>
      <c r="G54" s="657" t="e">
        <f>+K54</f>
        <v>#REF!</v>
      </c>
      <c r="H54" s="634">
        <v>1</v>
      </c>
      <c r="I54" s="634">
        <v>0</v>
      </c>
      <c r="J54" s="658" t="e">
        <f>'8_MP'!#REF!</f>
        <v>#REF!</v>
      </c>
      <c r="K54" s="905" t="e">
        <f>'8_MP'!#REF!</f>
        <v>#REF!</v>
      </c>
      <c r="L54" s="637" t="s">
        <v>2265</v>
      </c>
      <c r="M54" s="1167" t="s">
        <v>3097</v>
      </c>
      <c r="N54" s="1168" t="s">
        <v>3123</v>
      </c>
      <c r="O54" s="4362"/>
      <c r="P54" s="4363"/>
      <c r="Q54"/>
      <c r="R54" s="645" t="s">
        <v>3090</v>
      </c>
      <c r="S54" s="645" t="s">
        <v>3104</v>
      </c>
    </row>
    <row r="55" spans="2:20" s="815" customFormat="1" ht="39" outlineLevel="1">
      <c r="B55" s="1091" t="s">
        <v>1705</v>
      </c>
      <c r="C55" s="903" t="s">
        <v>3143</v>
      </c>
      <c r="D55" s="749" t="s">
        <v>2731</v>
      </c>
      <c r="E55" s="631" t="s">
        <v>3113</v>
      </c>
      <c r="F55" s="631">
        <f>+F54+1</f>
        <v>21</v>
      </c>
      <c r="G55" s="657" t="e">
        <f>+K55</f>
        <v>#REF!</v>
      </c>
      <c r="H55" s="634">
        <v>1</v>
      </c>
      <c r="I55" s="634">
        <v>0</v>
      </c>
      <c r="J55" s="658" t="e">
        <f>'8_MP'!#REF!</f>
        <v>#REF!</v>
      </c>
      <c r="K55" s="905" t="e">
        <f>'8_MP'!#REF!</f>
        <v>#REF!</v>
      </c>
      <c r="L55" s="637" t="s">
        <v>2265</v>
      </c>
      <c r="M55" s="1169" t="s">
        <v>3127</v>
      </c>
      <c r="N55" s="1169" t="s">
        <v>3123</v>
      </c>
      <c r="O55" s="4362"/>
      <c r="P55" s="4363"/>
      <c r="Q55"/>
      <c r="R55" s="645" t="s">
        <v>3104</v>
      </c>
      <c r="S55" s="645" t="s">
        <v>3124</v>
      </c>
    </row>
    <row r="56" spans="2:20" s="815" customFormat="1" ht="20.5" customHeight="1" outlineLevel="1">
      <c r="B56" s="4345" t="s">
        <v>1705</v>
      </c>
      <c r="C56" s="4347" t="s">
        <v>3144</v>
      </c>
      <c r="D56" s="4349" t="s">
        <v>2845</v>
      </c>
      <c r="E56" s="4351" t="s">
        <v>3137</v>
      </c>
      <c r="F56" s="4351">
        <f>+F55+1</f>
        <v>22</v>
      </c>
      <c r="G56" s="4353">
        <f>+K56</f>
        <v>0</v>
      </c>
      <c r="H56" s="4355">
        <v>1</v>
      </c>
      <c r="I56" s="4355">
        <v>0</v>
      </c>
      <c r="J56" s="888" t="str">
        <f>'8_MP'!D184</f>
        <v>1.4.1.1.2</v>
      </c>
      <c r="K56" s="4364">
        <f>'8_MP'!AN184</f>
        <v>0</v>
      </c>
      <c r="L56" s="4366" t="s">
        <v>2265</v>
      </c>
      <c r="M56" s="4339" t="s">
        <v>3114</v>
      </c>
      <c r="N56" s="4339" t="s">
        <v>3102</v>
      </c>
      <c r="O56" s="4341"/>
      <c r="P56" s="4342"/>
      <c r="Q56"/>
      <c r="R56" s="4337" t="s">
        <v>3134</v>
      </c>
      <c r="S56" s="4337" t="s">
        <v>3138</v>
      </c>
      <c r="T56" s="654"/>
    </row>
    <row r="57" spans="2:20" s="815" customFormat="1" ht="20.5" customHeight="1" outlineLevel="1">
      <c r="B57" s="4346"/>
      <c r="C57" s="4348"/>
      <c r="D57" s="4350"/>
      <c r="E57" s="4352"/>
      <c r="F57" s="4352"/>
      <c r="G57" s="4354"/>
      <c r="H57" s="4356"/>
      <c r="I57" s="4356"/>
      <c r="J57" s="888" t="str">
        <f>'8_MP'!D185</f>
        <v>1.4.1.2</v>
      </c>
      <c r="K57" s="4465"/>
      <c r="L57" s="4367"/>
      <c r="M57" s="4340"/>
      <c r="N57" s="4340"/>
      <c r="O57" s="4343"/>
      <c r="P57" s="4344"/>
      <c r="Q57"/>
      <c r="R57" s="4337"/>
      <c r="S57" s="4337"/>
      <c r="T57" s="654"/>
    </row>
    <row r="58" spans="2:20" s="815" customFormat="1" ht="20.5" customHeight="1" outlineLevel="1">
      <c r="B58" s="4424"/>
      <c r="C58" s="4425"/>
      <c r="D58" s="4463"/>
      <c r="E58" s="4368"/>
      <c r="F58" s="4368"/>
      <c r="G58" s="4430"/>
      <c r="H58" s="4432"/>
      <c r="I58" s="4432"/>
      <c r="J58" s="888" t="str">
        <f>'8_MP'!D188</f>
        <v>1.4.1.2.2.1</v>
      </c>
      <c r="K58" s="4365"/>
      <c r="L58" s="4388"/>
      <c r="M58" s="4359"/>
      <c r="N58" s="4359"/>
      <c r="O58" s="4389"/>
      <c r="P58" s="4390"/>
      <c r="Q58"/>
      <c r="R58" s="4337"/>
      <c r="S58" s="4337"/>
      <c r="T58" s="654"/>
    </row>
    <row r="59" spans="2:20" s="815" customFormat="1" ht="20" customHeight="1" outlineLevel="1">
      <c r="B59" s="4360" t="s">
        <v>1705</v>
      </c>
      <c r="C59" s="4347" t="s">
        <v>3145</v>
      </c>
      <c r="D59" s="4349" t="s">
        <v>2845</v>
      </c>
      <c r="E59" s="4351" t="s">
        <v>3113</v>
      </c>
      <c r="F59" s="4351">
        <f>+F56+1</f>
        <v>23</v>
      </c>
      <c r="G59" s="4353">
        <f>SUM(K59:K61)</f>
        <v>5080000</v>
      </c>
      <c r="H59" s="4355">
        <v>1</v>
      </c>
      <c r="I59" s="4355">
        <v>0</v>
      </c>
      <c r="J59" s="888" t="str">
        <f>'8_MP'!D197</f>
        <v>1.4.1.3</v>
      </c>
      <c r="K59" s="767">
        <f>'8_MP'!AN197</f>
        <v>5020000</v>
      </c>
      <c r="L59" s="4366" t="s">
        <v>2265</v>
      </c>
      <c r="M59" s="4339" t="s">
        <v>3114</v>
      </c>
      <c r="N59" s="4339" t="s">
        <v>3088</v>
      </c>
      <c r="O59" s="4341"/>
      <c r="P59" s="4342"/>
      <c r="Q59"/>
      <c r="R59" s="4337" t="s">
        <v>3138</v>
      </c>
      <c r="S59" s="4337" t="s">
        <v>3146</v>
      </c>
      <c r="T59" s="654"/>
    </row>
    <row r="60" spans="2:20" s="815" customFormat="1" ht="20" customHeight="1" outlineLevel="1">
      <c r="B60" s="4361"/>
      <c r="C60" s="4348"/>
      <c r="D60" s="4350"/>
      <c r="E60" s="4352"/>
      <c r="F60" s="4352"/>
      <c r="G60" s="4354"/>
      <c r="H60" s="4356"/>
      <c r="I60" s="4356"/>
      <c r="J60" s="888" t="str">
        <f>'8_MP'!D198</f>
        <v>1.4.1.3.1</v>
      </c>
      <c r="K60" s="767">
        <f>'8_MP'!AN198</f>
        <v>30000</v>
      </c>
      <c r="L60" s="4367"/>
      <c r="M60" s="4340"/>
      <c r="N60" s="4340"/>
      <c r="O60" s="4343"/>
      <c r="P60" s="4344"/>
      <c r="Q60"/>
      <c r="R60" s="4337"/>
      <c r="S60" s="4337"/>
      <c r="T60" s="654"/>
    </row>
    <row r="61" spans="2:20" s="815" customFormat="1" ht="20" customHeight="1" outlineLevel="1">
      <c r="B61" s="4462"/>
      <c r="C61" s="4425"/>
      <c r="D61" s="4463"/>
      <c r="E61" s="4368"/>
      <c r="F61" s="4368"/>
      <c r="G61" s="4430"/>
      <c r="H61" s="4432"/>
      <c r="I61" s="4432"/>
      <c r="J61" s="888">
        <f>'8_MP'!D199</f>
        <v>0</v>
      </c>
      <c r="K61" s="767">
        <f>'8_MP'!AN199</f>
        <v>30000</v>
      </c>
      <c r="L61" s="4388"/>
      <c r="M61" s="4359"/>
      <c r="N61" s="4359"/>
      <c r="O61" s="4389"/>
      <c r="P61" s="4390"/>
      <c r="Q61"/>
      <c r="R61" s="4337"/>
      <c r="S61" s="4337"/>
      <c r="T61" s="654"/>
    </row>
    <row r="62" spans="2:20" s="815" customFormat="1" ht="26.5" customHeight="1" outlineLevel="1">
      <c r="B62" s="4345" t="s">
        <v>1705</v>
      </c>
      <c r="C62" s="4347" t="s">
        <v>3147</v>
      </c>
      <c r="D62" s="4349" t="s">
        <v>2778</v>
      </c>
      <c r="E62" s="4351" t="s">
        <v>3113</v>
      </c>
      <c r="F62" s="4351">
        <f>+F59+1</f>
        <v>24</v>
      </c>
      <c r="G62" s="4353">
        <f>SUM(K62:K64)</f>
        <v>200000</v>
      </c>
      <c r="H62" s="4355">
        <v>1</v>
      </c>
      <c r="I62" s="4355">
        <v>0</v>
      </c>
      <c r="J62" s="888" t="str">
        <f>'8_MP'!$D$207</f>
        <v>1.4.1.4.1</v>
      </c>
      <c r="K62" s="767">
        <f>'8_MP'!$AN$207</f>
        <v>80000</v>
      </c>
      <c r="L62" s="4366" t="s">
        <v>2265</v>
      </c>
      <c r="M62" s="4339" t="s">
        <v>3148</v>
      </c>
      <c r="N62" s="4339" t="s">
        <v>3149</v>
      </c>
      <c r="O62" s="4341"/>
      <c r="P62" s="4342"/>
      <c r="Q62"/>
      <c r="R62" s="4337" t="s">
        <v>3134</v>
      </c>
      <c r="S62" s="4337" t="s">
        <v>3115</v>
      </c>
      <c r="T62" s="654"/>
    </row>
    <row r="63" spans="2:20" s="815" customFormat="1" ht="26.5" customHeight="1" outlineLevel="1">
      <c r="B63" s="4346"/>
      <c r="C63" s="4348"/>
      <c r="D63" s="4350"/>
      <c r="E63" s="4352"/>
      <c r="F63" s="4352"/>
      <c r="G63" s="4354"/>
      <c r="H63" s="4356"/>
      <c r="I63" s="4356"/>
      <c r="J63" s="888" t="str">
        <f>'8_MP'!D209</f>
        <v>1.4.1.5.1</v>
      </c>
      <c r="K63" s="767">
        <f>'8_MP'!AN209</f>
        <v>20000</v>
      </c>
      <c r="L63" s="4367"/>
      <c r="M63" s="4340"/>
      <c r="N63" s="4340"/>
      <c r="O63" s="4343"/>
      <c r="P63" s="4344"/>
      <c r="Q63"/>
      <c r="R63" s="4337"/>
      <c r="S63" s="4337"/>
      <c r="T63" s="654"/>
    </row>
    <row r="64" spans="2:20" s="815" customFormat="1" ht="26.5" customHeight="1" outlineLevel="1">
      <c r="B64" s="4424"/>
      <c r="C64" s="4425"/>
      <c r="D64" s="4463"/>
      <c r="E64" s="4368"/>
      <c r="F64" s="4368"/>
      <c r="G64" s="4430"/>
      <c r="H64" s="4432"/>
      <c r="I64" s="4432"/>
      <c r="J64" s="888" t="str">
        <f>'8_MP'!D210</f>
        <v>1.4.1.5.2</v>
      </c>
      <c r="K64" s="767">
        <f>'8_MP'!AN210</f>
        <v>100000</v>
      </c>
      <c r="L64" s="4388"/>
      <c r="M64" s="4359"/>
      <c r="N64" s="4359"/>
      <c r="O64" s="4389"/>
      <c r="P64" s="4390"/>
      <c r="Q64"/>
      <c r="R64" s="4337"/>
      <c r="S64" s="4337"/>
      <c r="T64" s="654"/>
    </row>
    <row r="65" spans="2:20" s="815" customFormat="1" ht="28.25" customHeight="1" outlineLevel="1">
      <c r="B65" s="4360" t="s">
        <v>3100</v>
      </c>
      <c r="C65" s="4347" t="s">
        <v>3150</v>
      </c>
      <c r="D65" s="4349" t="s">
        <v>2732</v>
      </c>
      <c r="E65" s="4351" t="s">
        <v>3113</v>
      </c>
      <c r="F65" s="4351">
        <f>+F62+1</f>
        <v>25</v>
      </c>
      <c r="G65" s="4353" t="e">
        <f>+K65</f>
        <v>#REF!</v>
      </c>
      <c r="H65" s="4355">
        <v>1</v>
      </c>
      <c r="I65" s="4355">
        <v>0</v>
      </c>
      <c r="J65" s="888" t="e">
        <f>'8_MP'!#REF!</f>
        <v>#REF!</v>
      </c>
      <c r="K65" s="4364" t="e">
        <f>'8_MP'!#REF!</f>
        <v>#REF!</v>
      </c>
      <c r="L65" s="4366" t="s">
        <v>2265</v>
      </c>
      <c r="M65" s="4339" t="s">
        <v>3114</v>
      </c>
      <c r="N65" s="4339" t="s">
        <v>3149</v>
      </c>
      <c r="O65" s="4341"/>
      <c r="P65" s="4342"/>
      <c r="Q65"/>
      <c r="R65" s="4337" t="s">
        <v>3134</v>
      </c>
      <c r="S65" s="4337" t="s">
        <v>3115</v>
      </c>
      <c r="T65" s="654"/>
    </row>
    <row r="66" spans="2:20" s="815" customFormat="1" ht="28.25" customHeight="1" outlineLevel="1">
      <c r="B66" s="4361"/>
      <c r="C66" s="4348"/>
      <c r="D66" s="4350"/>
      <c r="E66" s="4352"/>
      <c r="F66" s="4352"/>
      <c r="G66" s="4354"/>
      <c r="H66" s="4356"/>
      <c r="I66" s="4356"/>
      <c r="J66" s="888" t="e">
        <f>'8_MP'!#REF!</f>
        <v>#REF!</v>
      </c>
      <c r="K66" s="4465"/>
      <c r="L66" s="4367"/>
      <c r="M66" s="4340"/>
      <c r="N66" s="4340"/>
      <c r="O66" s="4343"/>
      <c r="P66" s="4344"/>
      <c r="Q66"/>
      <c r="R66" s="4337"/>
      <c r="S66" s="4337"/>
      <c r="T66" s="654"/>
    </row>
    <row r="67" spans="2:20" s="815" customFormat="1" ht="28.25" customHeight="1" outlineLevel="1">
      <c r="B67" s="4462"/>
      <c r="C67" s="4425"/>
      <c r="D67" s="4463"/>
      <c r="E67" s="4368"/>
      <c r="F67" s="4368"/>
      <c r="G67" s="4430"/>
      <c r="H67" s="4432"/>
      <c r="I67" s="4432"/>
      <c r="J67" s="888" t="e">
        <f>'8_MP'!#REF!</f>
        <v>#REF!</v>
      </c>
      <c r="K67" s="4465"/>
      <c r="L67" s="4388"/>
      <c r="M67" s="4359"/>
      <c r="N67" s="4359"/>
      <c r="O67" s="4389"/>
      <c r="P67" s="4390"/>
      <c r="Q67"/>
      <c r="R67" s="4337"/>
      <c r="S67" s="4337"/>
      <c r="T67" s="654"/>
    </row>
    <row r="68" spans="2:20" s="815" customFormat="1" outlineLevel="1">
      <c r="B68" s="4360" t="s">
        <v>3100</v>
      </c>
      <c r="C68" s="4347" t="s">
        <v>3151</v>
      </c>
      <c r="D68" s="4349" t="s">
        <v>2157</v>
      </c>
      <c r="E68" s="4351" t="s">
        <v>3113</v>
      </c>
      <c r="F68" s="4351">
        <f>+F65+1</f>
        <v>26</v>
      </c>
      <c r="G68" s="4353" t="e">
        <f>SUM(K68:K75)</f>
        <v>#REF!</v>
      </c>
      <c r="H68" s="4355">
        <v>1</v>
      </c>
      <c r="I68" s="4355">
        <v>0</v>
      </c>
      <c r="J68" s="921" t="e">
        <f>'8_MP'!#REF!</f>
        <v>#REF!</v>
      </c>
      <c r="K68" s="767" t="e">
        <f>'8_MP'!#REF!</f>
        <v>#REF!</v>
      </c>
      <c r="L68" s="4357" t="s">
        <v>2265</v>
      </c>
      <c r="M68" s="4339" t="s">
        <v>3114</v>
      </c>
      <c r="N68" s="4339" t="s">
        <v>3149</v>
      </c>
      <c r="O68" s="4341"/>
      <c r="P68" s="4342"/>
      <c r="Q68"/>
      <c r="R68" s="4337" t="s">
        <v>3134</v>
      </c>
      <c r="S68" s="4337" t="s">
        <v>3115</v>
      </c>
      <c r="T68" s="654"/>
    </row>
    <row r="69" spans="2:20" s="815" customFormat="1" outlineLevel="1">
      <c r="B69" s="4361"/>
      <c r="C69" s="4348"/>
      <c r="D69" s="4350"/>
      <c r="E69" s="4352"/>
      <c r="F69" s="4352"/>
      <c r="G69" s="4354"/>
      <c r="H69" s="4356"/>
      <c r="I69" s="4356"/>
      <c r="J69" s="921" t="e">
        <f>'8_MP'!#REF!</f>
        <v>#REF!</v>
      </c>
      <c r="K69" s="767" t="e">
        <f>'8_MP'!#REF!</f>
        <v>#REF!</v>
      </c>
      <c r="L69" s="4358"/>
      <c r="M69" s="4340"/>
      <c r="N69" s="4340"/>
      <c r="O69" s="4343"/>
      <c r="P69" s="4344"/>
      <c r="Q69"/>
      <c r="R69" s="4337"/>
      <c r="S69" s="4337"/>
      <c r="T69" s="654"/>
    </row>
    <row r="70" spans="2:20" s="815" customFormat="1" outlineLevel="1">
      <c r="B70" s="4361"/>
      <c r="C70" s="4348"/>
      <c r="D70" s="4350"/>
      <c r="E70" s="4352"/>
      <c r="F70" s="4352"/>
      <c r="G70" s="4354"/>
      <c r="H70" s="4356"/>
      <c r="I70" s="4356"/>
      <c r="J70" s="921" t="e">
        <f>'8_MP'!#REF!</f>
        <v>#REF!</v>
      </c>
      <c r="K70" s="767" t="e">
        <f>'8_MP'!#REF!</f>
        <v>#REF!</v>
      </c>
      <c r="L70" s="4358"/>
      <c r="M70" s="4340"/>
      <c r="N70" s="4340"/>
      <c r="O70" s="4343"/>
      <c r="P70" s="4344"/>
      <c r="Q70"/>
      <c r="R70" s="4337"/>
      <c r="S70" s="4337"/>
      <c r="T70" s="654"/>
    </row>
    <row r="71" spans="2:20" s="815" customFormat="1" outlineLevel="1">
      <c r="B71" s="4361"/>
      <c r="C71" s="4348"/>
      <c r="D71" s="4350"/>
      <c r="E71" s="4352"/>
      <c r="F71" s="4352"/>
      <c r="G71" s="4354"/>
      <c r="H71" s="4356"/>
      <c r="I71" s="4356"/>
      <c r="J71" s="921" t="e">
        <f>'8_MP'!#REF!</f>
        <v>#REF!</v>
      </c>
      <c r="K71" s="767" t="e">
        <f>'8_MP'!#REF!</f>
        <v>#REF!</v>
      </c>
      <c r="L71" s="4358"/>
      <c r="M71" s="4340"/>
      <c r="N71" s="4340"/>
      <c r="O71" s="4343"/>
      <c r="P71" s="4344"/>
      <c r="Q71"/>
      <c r="R71" s="4337"/>
      <c r="S71" s="4337"/>
      <c r="T71" s="654"/>
    </row>
    <row r="72" spans="2:20" s="815" customFormat="1" outlineLevel="1">
      <c r="B72" s="4361"/>
      <c r="C72" s="4348"/>
      <c r="D72" s="4350"/>
      <c r="E72" s="4352"/>
      <c r="F72" s="4352"/>
      <c r="G72" s="4354"/>
      <c r="H72" s="4356"/>
      <c r="I72" s="4356"/>
      <c r="J72" s="921" t="e">
        <f>'8_MP'!#REF!</f>
        <v>#REF!</v>
      </c>
      <c r="K72" s="767" t="e">
        <f>'8_MP'!#REF!</f>
        <v>#REF!</v>
      </c>
      <c r="L72" s="4358"/>
      <c r="M72" s="4340"/>
      <c r="N72" s="4340"/>
      <c r="O72" s="4343"/>
      <c r="P72" s="4344"/>
      <c r="Q72"/>
      <c r="R72" s="4337"/>
      <c r="S72" s="4337"/>
      <c r="T72" s="654"/>
    </row>
    <row r="73" spans="2:20" s="815" customFormat="1" outlineLevel="1">
      <c r="B73" s="4361"/>
      <c r="C73" s="4348"/>
      <c r="D73" s="4350"/>
      <c r="E73" s="4352"/>
      <c r="F73" s="4352"/>
      <c r="G73" s="4354"/>
      <c r="H73" s="4356"/>
      <c r="I73" s="4356"/>
      <c r="J73" s="921" t="e">
        <f>'8_MP'!#REF!</f>
        <v>#REF!</v>
      </c>
      <c r="K73" s="767" t="e">
        <f>'8_MP'!#REF!</f>
        <v>#REF!</v>
      </c>
      <c r="L73" s="4358"/>
      <c r="M73" s="4340"/>
      <c r="N73" s="4340"/>
      <c r="O73" s="4343"/>
      <c r="P73" s="4344"/>
      <c r="Q73"/>
      <c r="R73" s="4337"/>
      <c r="S73" s="4337"/>
      <c r="T73" s="654"/>
    </row>
    <row r="74" spans="2:20" s="815" customFormat="1" outlineLevel="1">
      <c r="B74" s="4361"/>
      <c r="C74" s="4348"/>
      <c r="D74" s="4350"/>
      <c r="E74" s="4352"/>
      <c r="F74" s="4352"/>
      <c r="G74" s="4354"/>
      <c r="H74" s="4356"/>
      <c r="I74" s="4356"/>
      <c r="J74" s="921" t="e">
        <f>'8_MP'!#REF!</f>
        <v>#REF!</v>
      </c>
      <c r="K74" s="767" t="e">
        <f>'8_MP'!#REF!</f>
        <v>#REF!</v>
      </c>
      <c r="L74" s="4358"/>
      <c r="M74" s="4340"/>
      <c r="N74" s="4340"/>
      <c r="O74" s="4343"/>
      <c r="P74" s="4344"/>
      <c r="Q74"/>
      <c r="R74" s="4337"/>
      <c r="S74" s="4337"/>
      <c r="T74" s="654"/>
    </row>
    <row r="75" spans="2:20" s="815" customFormat="1" outlineLevel="1">
      <c r="B75" s="4462"/>
      <c r="C75" s="4425"/>
      <c r="D75" s="4463"/>
      <c r="E75" s="4368"/>
      <c r="F75" s="4368"/>
      <c r="G75" s="4430"/>
      <c r="H75" s="4432"/>
      <c r="I75" s="4432"/>
      <c r="J75" s="921" t="e">
        <f>'8_MP'!#REF!</f>
        <v>#REF!</v>
      </c>
      <c r="K75" s="767" t="e">
        <f>'8_MP'!#REF!</f>
        <v>#REF!</v>
      </c>
      <c r="L75" s="4464"/>
      <c r="M75" s="4359"/>
      <c r="N75" s="4359"/>
      <c r="O75" s="4389"/>
      <c r="P75" s="4390"/>
      <c r="Q75"/>
      <c r="R75" s="4337"/>
      <c r="S75" s="4337"/>
      <c r="T75" s="654"/>
    </row>
    <row r="76" spans="2:20" s="815" customFormat="1" ht="14.5" customHeight="1" outlineLevel="1">
      <c r="B76" s="4345" t="s">
        <v>3100</v>
      </c>
      <c r="C76" s="4347" t="s">
        <v>3152</v>
      </c>
      <c r="D76" s="4349" t="s">
        <v>2186</v>
      </c>
      <c r="E76" s="4351" t="s">
        <v>3113</v>
      </c>
      <c r="F76" s="4351">
        <f>+F68+1</f>
        <v>27</v>
      </c>
      <c r="G76" s="4353" t="e">
        <f>+K76</f>
        <v>#REF!</v>
      </c>
      <c r="H76" s="4355">
        <v>1</v>
      </c>
      <c r="I76" s="4355">
        <v>0</v>
      </c>
      <c r="J76" s="888" t="e">
        <f>'8_MP'!#REF!</f>
        <v>#REF!</v>
      </c>
      <c r="K76" s="4364" t="e">
        <f>'8_MP'!#REF!</f>
        <v>#REF!</v>
      </c>
      <c r="L76" s="4366" t="s">
        <v>2265</v>
      </c>
      <c r="M76" s="4339" t="s">
        <v>3114</v>
      </c>
      <c r="N76" s="4339" t="s">
        <v>3149</v>
      </c>
      <c r="O76" s="4341"/>
      <c r="P76" s="4342"/>
      <c r="Q76"/>
      <c r="R76" s="4337" t="s">
        <v>3134</v>
      </c>
      <c r="S76" s="4337" t="s">
        <v>3115</v>
      </c>
      <c r="T76" s="654"/>
    </row>
    <row r="77" spans="2:20" s="815" customFormat="1" ht="14.5" customHeight="1" outlineLevel="1">
      <c r="B77" s="4346"/>
      <c r="C77" s="4348"/>
      <c r="D77" s="4350"/>
      <c r="E77" s="4352"/>
      <c r="F77" s="4352"/>
      <c r="G77" s="4354"/>
      <c r="H77" s="4356"/>
      <c r="I77" s="4356"/>
      <c r="J77" s="888" t="e">
        <f>'8_MP'!#REF!</f>
        <v>#REF!</v>
      </c>
      <c r="K77" s="4465"/>
      <c r="L77" s="4367"/>
      <c r="M77" s="4340"/>
      <c r="N77" s="4340"/>
      <c r="O77" s="4343"/>
      <c r="P77" s="4344"/>
      <c r="Q77"/>
      <c r="R77" s="4337"/>
      <c r="S77" s="4337"/>
      <c r="T77" s="654"/>
    </row>
    <row r="78" spans="2:20" s="815" customFormat="1" ht="14.5" customHeight="1" outlineLevel="1">
      <c r="B78" s="4346"/>
      <c r="C78" s="4348"/>
      <c r="D78" s="4350"/>
      <c r="E78" s="4352"/>
      <c r="F78" s="4352"/>
      <c r="G78" s="4354"/>
      <c r="H78" s="4356"/>
      <c r="I78" s="4356"/>
      <c r="J78" s="888" t="e">
        <f>'8_MP'!#REF!</f>
        <v>#REF!</v>
      </c>
      <c r="K78" s="4465"/>
      <c r="L78" s="4367"/>
      <c r="M78" s="4340"/>
      <c r="N78" s="4340"/>
      <c r="O78" s="4343"/>
      <c r="P78" s="4344"/>
      <c r="Q78"/>
      <c r="R78" s="4337"/>
      <c r="S78" s="4337"/>
      <c r="T78" s="654"/>
    </row>
    <row r="79" spans="2:20" s="815" customFormat="1" ht="14.5" customHeight="1" outlineLevel="1">
      <c r="B79" s="4346"/>
      <c r="C79" s="4348"/>
      <c r="D79" s="4350"/>
      <c r="E79" s="4352"/>
      <c r="F79" s="4352"/>
      <c r="G79" s="4354"/>
      <c r="H79" s="4356"/>
      <c r="I79" s="4356"/>
      <c r="J79" s="888" t="e">
        <f>'8_MP'!#REF!</f>
        <v>#REF!</v>
      </c>
      <c r="K79" s="4465"/>
      <c r="L79" s="4367"/>
      <c r="M79" s="4340"/>
      <c r="N79" s="4340"/>
      <c r="O79" s="4343"/>
      <c r="P79" s="4344"/>
      <c r="Q79"/>
      <c r="R79" s="4337"/>
      <c r="S79" s="4337"/>
      <c r="T79" s="654"/>
    </row>
    <row r="80" spans="2:20" s="815" customFormat="1" ht="14.5" customHeight="1" outlineLevel="1">
      <c r="B80" s="4346"/>
      <c r="C80" s="4348"/>
      <c r="D80" s="4350"/>
      <c r="E80" s="4352"/>
      <c r="F80" s="4352"/>
      <c r="G80" s="4354"/>
      <c r="H80" s="4356"/>
      <c r="I80" s="4356"/>
      <c r="J80" s="888" t="e">
        <f>'8_MP'!#REF!</f>
        <v>#REF!</v>
      </c>
      <c r="K80" s="4465"/>
      <c r="L80" s="4367"/>
      <c r="M80" s="4340"/>
      <c r="N80" s="4340"/>
      <c r="O80" s="4343"/>
      <c r="P80" s="4344"/>
      <c r="Q80"/>
      <c r="R80" s="4337"/>
      <c r="S80" s="4337"/>
      <c r="T80" s="654"/>
    </row>
    <row r="81" spans="2:20" s="815" customFormat="1" ht="14.5" customHeight="1" outlineLevel="1">
      <c r="B81" s="4424"/>
      <c r="C81" s="4425"/>
      <c r="D81" s="4463"/>
      <c r="E81" s="4368"/>
      <c r="F81" s="4368"/>
      <c r="G81" s="4430"/>
      <c r="H81" s="4432"/>
      <c r="I81" s="4432"/>
      <c r="J81" s="888" t="e">
        <f>'8_MP'!#REF!</f>
        <v>#REF!</v>
      </c>
      <c r="K81" s="4465"/>
      <c r="L81" s="4388"/>
      <c r="M81" s="4359"/>
      <c r="N81" s="4359"/>
      <c r="O81" s="4389"/>
      <c r="P81" s="4390"/>
      <c r="Q81"/>
      <c r="R81" s="4337"/>
      <c r="S81" s="4337"/>
      <c r="T81" s="654"/>
    </row>
    <row r="82" spans="2:20" s="815" customFormat="1" ht="15.5" customHeight="1" outlineLevel="1">
      <c r="B82" s="4345" t="s">
        <v>3100</v>
      </c>
      <c r="C82" s="4347" t="s">
        <v>3153</v>
      </c>
      <c r="D82" s="4349" t="s">
        <v>2162</v>
      </c>
      <c r="E82" s="4351" t="s">
        <v>3113</v>
      </c>
      <c r="F82" s="4351">
        <f>+F76+1</f>
        <v>28</v>
      </c>
      <c r="G82" s="4353" t="e">
        <f>+K82</f>
        <v>#REF!</v>
      </c>
      <c r="H82" s="4355">
        <v>1</v>
      </c>
      <c r="I82" s="4355">
        <v>0</v>
      </c>
      <c r="J82" s="888" t="e">
        <f>'8_MP'!#REF!</f>
        <v>#REF!</v>
      </c>
      <c r="K82" s="4364" t="e">
        <f>'8_MP'!#REF!</f>
        <v>#REF!</v>
      </c>
      <c r="L82" s="4366" t="s">
        <v>2265</v>
      </c>
      <c r="M82" s="4339" t="s">
        <v>3102</v>
      </c>
      <c r="N82" s="4339" t="s">
        <v>3103</v>
      </c>
      <c r="O82" s="4341"/>
      <c r="P82" s="4342"/>
      <c r="Q82"/>
      <c r="R82" s="4337" t="s">
        <v>3134</v>
      </c>
      <c r="S82" s="4337" t="s">
        <v>3115</v>
      </c>
      <c r="T82" s="654"/>
    </row>
    <row r="83" spans="2:20" s="815" customFormat="1" ht="15.5" customHeight="1" outlineLevel="1">
      <c r="B83" s="4346"/>
      <c r="C83" s="4348"/>
      <c r="D83" s="4350"/>
      <c r="E83" s="4352"/>
      <c r="F83" s="4352"/>
      <c r="G83" s="4354"/>
      <c r="H83" s="4356"/>
      <c r="I83" s="4356"/>
      <c r="J83" s="888" t="e">
        <f>'8_MP'!#REF!</f>
        <v>#REF!</v>
      </c>
      <c r="K83" s="4465"/>
      <c r="L83" s="4367"/>
      <c r="M83" s="4340"/>
      <c r="N83" s="4340"/>
      <c r="O83" s="4343"/>
      <c r="P83" s="4344"/>
      <c r="Q83"/>
      <c r="R83" s="4337"/>
      <c r="S83" s="4337"/>
      <c r="T83" s="654"/>
    </row>
    <row r="84" spans="2:20" s="815" customFormat="1" ht="15.5" customHeight="1" outlineLevel="1">
      <c r="B84" s="4346"/>
      <c r="C84" s="4348"/>
      <c r="D84" s="4350"/>
      <c r="E84" s="4352"/>
      <c r="F84" s="4352"/>
      <c r="G84" s="4354"/>
      <c r="H84" s="4356"/>
      <c r="I84" s="4356"/>
      <c r="J84" s="888" t="e">
        <f>'8_MP'!#REF!</f>
        <v>#REF!</v>
      </c>
      <c r="K84" s="4465"/>
      <c r="L84" s="4367"/>
      <c r="M84" s="4340"/>
      <c r="N84" s="4340"/>
      <c r="O84" s="4343"/>
      <c r="P84" s="4344"/>
      <c r="Q84"/>
      <c r="R84" s="4337"/>
      <c r="S84" s="4337"/>
      <c r="T84" s="654"/>
    </row>
    <row r="85" spans="2:20" s="815" customFormat="1" ht="15.5" customHeight="1" outlineLevel="1">
      <c r="B85" s="4346"/>
      <c r="C85" s="4348"/>
      <c r="D85" s="4350"/>
      <c r="E85" s="4352"/>
      <c r="F85" s="4352"/>
      <c r="G85" s="4354"/>
      <c r="H85" s="4356"/>
      <c r="I85" s="4356"/>
      <c r="J85" s="888" t="e">
        <f>'8_MP'!#REF!</f>
        <v>#REF!</v>
      </c>
      <c r="K85" s="4465"/>
      <c r="L85" s="4367"/>
      <c r="M85" s="4340"/>
      <c r="N85" s="4340"/>
      <c r="O85" s="4343"/>
      <c r="P85" s="4344"/>
      <c r="Q85"/>
      <c r="R85" s="4337"/>
      <c r="S85" s="4337"/>
      <c r="T85" s="654"/>
    </row>
    <row r="86" spans="2:20" s="815" customFormat="1" ht="15.5" customHeight="1" outlineLevel="1">
      <c r="B86" s="4346"/>
      <c r="C86" s="4348"/>
      <c r="D86" s="4350"/>
      <c r="E86" s="4352"/>
      <c r="F86" s="4352"/>
      <c r="G86" s="4354"/>
      <c r="H86" s="4356"/>
      <c r="I86" s="4356"/>
      <c r="J86" s="888" t="e">
        <f>'8_MP'!#REF!</f>
        <v>#REF!</v>
      </c>
      <c r="K86" s="4465"/>
      <c r="L86" s="4367"/>
      <c r="M86" s="4340"/>
      <c r="N86" s="4340"/>
      <c r="O86" s="4343"/>
      <c r="P86" s="4344"/>
      <c r="Q86"/>
      <c r="R86" s="4337"/>
      <c r="S86" s="4337"/>
      <c r="T86" s="654"/>
    </row>
    <row r="87" spans="2:20" s="815" customFormat="1" ht="15.5" customHeight="1" outlineLevel="1">
      <c r="B87" s="4346"/>
      <c r="C87" s="4348"/>
      <c r="D87" s="4350"/>
      <c r="E87" s="4352"/>
      <c r="F87" s="4352"/>
      <c r="G87" s="4354"/>
      <c r="H87" s="4356"/>
      <c r="I87" s="4356"/>
      <c r="J87" s="888" t="e">
        <f>'8_MP'!#REF!</f>
        <v>#REF!</v>
      </c>
      <c r="K87" s="4465"/>
      <c r="L87" s="4367"/>
      <c r="M87" s="4340"/>
      <c r="N87" s="4340"/>
      <c r="O87" s="4343"/>
      <c r="P87" s="4344"/>
      <c r="Q87"/>
      <c r="R87" s="4337"/>
      <c r="S87" s="4337"/>
      <c r="T87" s="654"/>
    </row>
    <row r="88" spans="2:20" s="815" customFormat="1" ht="15.5" customHeight="1" outlineLevel="1">
      <c r="B88" s="4346"/>
      <c r="C88" s="4348"/>
      <c r="D88" s="4350"/>
      <c r="E88" s="4352"/>
      <c r="F88" s="4352"/>
      <c r="G88" s="4354"/>
      <c r="H88" s="4356"/>
      <c r="I88" s="4356"/>
      <c r="J88" s="888" t="e">
        <f>'8_MP'!#REF!</f>
        <v>#REF!</v>
      </c>
      <c r="K88" s="4365"/>
      <c r="L88" s="4367"/>
      <c r="M88" s="4340"/>
      <c r="N88" s="4340"/>
      <c r="O88" s="4343"/>
      <c r="P88" s="4344"/>
      <c r="Q88"/>
      <c r="R88" s="4337"/>
      <c r="S88" s="4337"/>
      <c r="T88" s="654"/>
    </row>
    <row r="89" spans="2:20" s="815" customFormat="1" ht="38.5" customHeight="1" outlineLevel="1">
      <c r="B89" s="4345" t="s">
        <v>3100</v>
      </c>
      <c r="C89" s="4347" t="s">
        <v>3154</v>
      </c>
      <c r="D89" s="4349" t="s">
        <v>2168</v>
      </c>
      <c r="E89" s="4351" t="s">
        <v>3113</v>
      </c>
      <c r="F89" s="4351">
        <f>+F82+1</f>
        <v>29</v>
      </c>
      <c r="G89" s="4353" t="e">
        <f>SUM(K89:K91)</f>
        <v>#REF!</v>
      </c>
      <c r="H89" s="4355">
        <v>1</v>
      </c>
      <c r="I89" s="4355">
        <v>0</v>
      </c>
      <c r="J89" s="888" t="e">
        <f>'8_MP'!#REF!</f>
        <v>#REF!</v>
      </c>
      <c r="K89" s="4364" t="e">
        <f>+'8_MP'!#REF!</f>
        <v>#REF!</v>
      </c>
      <c r="L89" s="4366" t="s">
        <v>2265</v>
      </c>
      <c r="M89" s="4339" t="s">
        <v>3102</v>
      </c>
      <c r="N89" s="4339" t="s">
        <v>3103</v>
      </c>
      <c r="O89" s="4341"/>
      <c r="P89" s="4342"/>
      <c r="Q89"/>
      <c r="R89" s="4337" t="s">
        <v>3134</v>
      </c>
      <c r="S89" s="4337" t="s">
        <v>3115</v>
      </c>
      <c r="T89" s="654"/>
    </row>
    <row r="90" spans="2:20" s="815" customFormat="1" ht="38.5" customHeight="1" outlineLevel="1">
      <c r="B90" s="4346"/>
      <c r="C90" s="4348"/>
      <c r="D90" s="4350"/>
      <c r="E90" s="4352"/>
      <c r="F90" s="4352"/>
      <c r="G90" s="4354"/>
      <c r="H90" s="4356"/>
      <c r="I90" s="4356"/>
      <c r="J90" s="888" t="e">
        <f>'8_MP'!#REF!</f>
        <v>#REF!</v>
      </c>
      <c r="K90" s="4465"/>
      <c r="L90" s="4367"/>
      <c r="M90" s="4340"/>
      <c r="N90" s="4340"/>
      <c r="O90" s="4343"/>
      <c r="P90" s="4344"/>
      <c r="Q90"/>
      <c r="R90" s="4337"/>
      <c r="S90" s="4337"/>
      <c r="T90" s="654"/>
    </row>
    <row r="91" spans="2:20" s="815" customFormat="1" ht="38.5" customHeight="1" outlineLevel="1">
      <c r="B91" s="4424"/>
      <c r="C91" s="4425"/>
      <c r="D91" s="4463"/>
      <c r="E91" s="4368"/>
      <c r="F91" s="4368"/>
      <c r="G91" s="4430"/>
      <c r="H91" s="4432"/>
      <c r="I91" s="4432"/>
      <c r="J91" s="888" t="e">
        <f>'8_MP'!#REF!</f>
        <v>#REF!</v>
      </c>
      <c r="K91" s="4465"/>
      <c r="L91" s="4388"/>
      <c r="M91" s="4359"/>
      <c r="N91" s="4359"/>
      <c r="O91" s="4389"/>
      <c r="P91" s="4390"/>
      <c r="Q91"/>
      <c r="R91" s="4337"/>
      <c r="S91" s="4337"/>
      <c r="T91" s="654"/>
    </row>
    <row r="92" spans="2:20" s="815" customFormat="1" ht="52" outlineLevel="1">
      <c r="B92" s="629" t="s">
        <v>3100</v>
      </c>
      <c r="C92" s="902" t="s">
        <v>3155</v>
      </c>
      <c r="D92" s="669" t="s">
        <v>2165</v>
      </c>
      <c r="E92" s="642" t="s">
        <v>3113</v>
      </c>
      <c r="F92" s="642">
        <f>+F89+1</f>
        <v>30</v>
      </c>
      <c r="G92" s="662" t="e">
        <f>+K92</f>
        <v>#REF!</v>
      </c>
      <c r="H92" s="643">
        <v>1</v>
      </c>
      <c r="I92" s="643">
        <v>0</v>
      </c>
      <c r="J92" s="922" t="e">
        <f>'8_MP'!#REF!</f>
        <v>#REF!</v>
      </c>
      <c r="K92" s="914" t="e">
        <f>'8_MP'!#REF!</f>
        <v>#REF!</v>
      </c>
      <c r="L92" s="637" t="s">
        <v>2265</v>
      </c>
      <c r="M92" s="1167" t="s">
        <v>3114</v>
      </c>
      <c r="N92" s="1168" t="s">
        <v>3149</v>
      </c>
      <c r="O92" s="4362"/>
      <c r="P92" s="4363"/>
      <c r="Q92"/>
      <c r="R92" s="645" t="s">
        <v>3134</v>
      </c>
      <c r="S92" s="645" t="s">
        <v>3115</v>
      </c>
    </row>
    <row r="93" spans="2:20" s="815" customFormat="1" ht="52" outlineLevel="1">
      <c r="B93" s="629" t="s">
        <v>3100</v>
      </c>
      <c r="C93" s="903" t="s">
        <v>3156</v>
      </c>
      <c r="D93" s="749" t="s">
        <v>2883</v>
      </c>
      <c r="E93" s="642" t="s">
        <v>3113</v>
      </c>
      <c r="F93" s="631">
        <f>+F92+1</f>
        <v>31</v>
      </c>
      <c r="G93" s="657" t="e">
        <f>+K93</f>
        <v>#REF!</v>
      </c>
      <c r="H93" s="634">
        <v>1</v>
      </c>
      <c r="I93" s="634">
        <v>0</v>
      </c>
      <c r="J93" s="888" t="e">
        <f>'8_MP'!#REF!</f>
        <v>#REF!</v>
      </c>
      <c r="K93" s="752" t="e">
        <f>'8_MP'!#REF!</f>
        <v>#REF!</v>
      </c>
      <c r="L93" s="1146" t="s">
        <v>2265</v>
      </c>
      <c r="M93" s="1167" t="s">
        <v>3133</v>
      </c>
      <c r="N93" s="1168" t="s">
        <v>3130</v>
      </c>
      <c r="O93" s="4466"/>
      <c r="P93" s="4467"/>
      <c r="Q93"/>
      <c r="R93" s="645" t="s">
        <v>3134</v>
      </c>
      <c r="S93" s="645" t="s">
        <v>3115</v>
      </c>
      <c r="T93" s="654"/>
    </row>
    <row r="94" spans="2:20" s="815" customFormat="1" ht="12" customHeight="1" outlineLevel="1">
      <c r="B94" s="4345" t="s">
        <v>3100</v>
      </c>
      <c r="C94" s="4347" t="s">
        <v>3157</v>
      </c>
      <c r="D94" s="4349" t="s">
        <v>2883</v>
      </c>
      <c r="E94" s="4351" t="s">
        <v>3113</v>
      </c>
      <c r="F94" s="4351">
        <f>+F93+1</f>
        <v>32</v>
      </c>
      <c r="G94" s="4353" t="e">
        <f>SUM(K94:K101)</f>
        <v>#REF!</v>
      </c>
      <c r="H94" s="4355">
        <v>1</v>
      </c>
      <c r="I94" s="4355">
        <v>0</v>
      </c>
      <c r="J94" s="888" t="e">
        <f>'8_MP'!#REF!</f>
        <v>#REF!</v>
      </c>
      <c r="K94" s="767" t="e">
        <f>'8_MP'!#REF!</f>
        <v>#REF!</v>
      </c>
      <c r="L94" s="4366" t="s">
        <v>2265</v>
      </c>
      <c r="M94" s="4339" t="s">
        <v>3133</v>
      </c>
      <c r="N94" s="4339" t="s">
        <v>3130</v>
      </c>
      <c r="O94" s="4341"/>
      <c r="P94" s="4342"/>
      <c r="Q94"/>
      <c r="R94" s="4337" t="s">
        <v>3115</v>
      </c>
      <c r="S94" s="4337" t="s">
        <v>3131</v>
      </c>
      <c r="T94" s="654"/>
    </row>
    <row r="95" spans="2:20" s="815" customFormat="1" ht="12" customHeight="1" outlineLevel="1">
      <c r="B95" s="4346"/>
      <c r="C95" s="4348"/>
      <c r="D95" s="4350"/>
      <c r="E95" s="4352"/>
      <c r="F95" s="4352"/>
      <c r="G95" s="4354"/>
      <c r="H95" s="4356"/>
      <c r="I95" s="4356"/>
      <c r="J95" s="888" t="e">
        <f>'8_MP'!#REF!</f>
        <v>#REF!</v>
      </c>
      <c r="K95" s="767" t="e">
        <f>'8_MP'!#REF!</f>
        <v>#REF!</v>
      </c>
      <c r="L95" s="4367"/>
      <c r="M95" s="4340"/>
      <c r="N95" s="4340"/>
      <c r="O95" s="4343"/>
      <c r="P95" s="4344"/>
      <c r="Q95"/>
      <c r="R95" s="4337"/>
      <c r="S95" s="4337"/>
      <c r="T95" s="654"/>
    </row>
    <row r="96" spans="2:20" s="815" customFormat="1" ht="12" customHeight="1" outlineLevel="1">
      <c r="B96" s="4346"/>
      <c r="C96" s="4348"/>
      <c r="D96" s="4350"/>
      <c r="E96" s="4352"/>
      <c r="F96" s="4352"/>
      <c r="G96" s="4354"/>
      <c r="H96" s="4356"/>
      <c r="I96" s="4356"/>
      <c r="J96" s="888" t="e">
        <f>'8_MP'!#REF!</f>
        <v>#REF!</v>
      </c>
      <c r="K96" s="767" t="e">
        <f>'8_MP'!#REF!</f>
        <v>#REF!</v>
      </c>
      <c r="L96" s="4367"/>
      <c r="M96" s="4340"/>
      <c r="N96" s="4340"/>
      <c r="O96" s="4343"/>
      <c r="P96" s="4344"/>
      <c r="Q96"/>
      <c r="R96" s="4337"/>
      <c r="S96" s="4337"/>
      <c r="T96" s="654"/>
    </row>
    <row r="97" spans="2:20" s="815" customFormat="1" ht="12" customHeight="1" outlineLevel="1">
      <c r="B97" s="4346"/>
      <c r="C97" s="4348"/>
      <c r="D97" s="4350"/>
      <c r="E97" s="4352"/>
      <c r="F97" s="4352"/>
      <c r="G97" s="4354"/>
      <c r="H97" s="4356"/>
      <c r="I97" s="4356"/>
      <c r="J97" s="888" t="e">
        <f>'8_MP'!#REF!</f>
        <v>#REF!</v>
      </c>
      <c r="K97" s="767" t="e">
        <f>'8_MP'!#REF!</f>
        <v>#REF!</v>
      </c>
      <c r="L97" s="4367"/>
      <c r="M97" s="4340"/>
      <c r="N97" s="4340"/>
      <c r="O97" s="4343"/>
      <c r="P97" s="4344"/>
      <c r="Q97"/>
      <c r="R97" s="4337"/>
      <c r="S97" s="4337"/>
      <c r="T97" s="654"/>
    </row>
    <row r="98" spans="2:20" s="815" customFormat="1" ht="12" customHeight="1" outlineLevel="1">
      <c r="B98" s="4346"/>
      <c r="C98" s="4348"/>
      <c r="D98" s="4350"/>
      <c r="E98" s="4352"/>
      <c r="F98" s="4352"/>
      <c r="G98" s="4354"/>
      <c r="H98" s="4356"/>
      <c r="I98" s="4356"/>
      <c r="J98" s="888" t="e">
        <f>'8_MP'!#REF!</f>
        <v>#REF!</v>
      </c>
      <c r="K98" s="767" t="e">
        <f>'8_MP'!#REF!</f>
        <v>#REF!</v>
      </c>
      <c r="L98" s="4367"/>
      <c r="M98" s="4340"/>
      <c r="N98" s="4340"/>
      <c r="O98" s="4343"/>
      <c r="P98" s="4344"/>
      <c r="Q98"/>
      <c r="R98" s="4337"/>
      <c r="S98" s="4337"/>
      <c r="T98" s="654"/>
    </row>
    <row r="99" spans="2:20" s="815" customFormat="1" ht="12" customHeight="1" outlineLevel="1">
      <c r="B99" s="4346"/>
      <c r="C99" s="4348"/>
      <c r="D99" s="4350"/>
      <c r="E99" s="4352"/>
      <c r="F99" s="4352"/>
      <c r="G99" s="4354"/>
      <c r="H99" s="4356"/>
      <c r="I99" s="4356"/>
      <c r="J99" s="888" t="e">
        <f>'8_MP'!#REF!</f>
        <v>#REF!</v>
      </c>
      <c r="K99" s="767" t="e">
        <f>'8_MP'!#REF!</f>
        <v>#REF!</v>
      </c>
      <c r="L99" s="4367"/>
      <c r="M99" s="4340"/>
      <c r="N99" s="4340"/>
      <c r="O99" s="4343"/>
      <c r="P99" s="4344"/>
      <c r="Q99"/>
      <c r="R99" s="4337"/>
      <c r="S99" s="4337"/>
      <c r="T99" s="654"/>
    </row>
    <row r="100" spans="2:20" s="815" customFormat="1" ht="12" customHeight="1" outlineLevel="1">
      <c r="B100" s="4346"/>
      <c r="C100" s="4348"/>
      <c r="D100" s="4350"/>
      <c r="E100" s="4352"/>
      <c r="F100" s="4352"/>
      <c r="G100" s="4354"/>
      <c r="H100" s="4356"/>
      <c r="I100" s="4356"/>
      <c r="J100" s="888" t="e">
        <f>'8_MP'!#REF!</f>
        <v>#REF!</v>
      </c>
      <c r="K100" s="767" t="e">
        <f>'8_MP'!#REF!</f>
        <v>#REF!</v>
      </c>
      <c r="L100" s="4367"/>
      <c r="M100" s="4340"/>
      <c r="N100" s="4340"/>
      <c r="O100" s="4343"/>
      <c r="P100" s="4344"/>
      <c r="Q100"/>
      <c r="R100" s="4337"/>
      <c r="S100" s="4337"/>
      <c r="T100" s="654"/>
    </row>
    <row r="101" spans="2:20" s="815" customFormat="1" ht="12" customHeight="1" outlineLevel="1">
      <c r="B101" s="4346"/>
      <c r="C101" s="4348"/>
      <c r="D101" s="4350"/>
      <c r="E101" s="4368"/>
      <c r="F101" s="4352"/>
      <c r="G101" s="4354"/>
      <c r="H101" s="4356"/>
      <c r="I101" s="4356"/>
      <c r="J101" s="888" t="e">
        <f>'8_MP'!#REF!</f>
        <v>#REF!</v>
      </c>
      <c r="K101" s="767" t="e">
        <f>'8_MP'!#REF!</f>
        <v>#REF!</v>
      </c>
      <c r="L101" s="4367"/>
      <c r="M101" s="4359"/>
      <c r="N101" s="4359"/>
      <c r="O101" s="4343"/>
      <c r="P101" s="4344"/>
      <c r="Q101"/>
      <c r="R101" s="4337"/>
      <c r="S101" s="4337"/>
      <c r="T101" s="654"/>
    </row>
    <row r="102" spans="2:20" s="815" customFormat="1" ht="65" outlineLevel="1">
      <c r="B102" s="629" t="s">
        <v>3100</v>
      </c>
      <c r="C102" s="903" t="s">
        <v>3158</v>
      </c>
      <c r="D102" s="749" t="s">
        <v>3080</v>
      </c>
      <c r="E102" s="642" t="s">
        <v>3113</v>
      </c>
      <c r="F102" s="631">
        <f>+F94+1</f>
        <v>33</v>
      </c>
      <c r="G102" s="657" t="e">
        <f>+K102</f>
        <v>#REF!</v>
      </c>
      <c r="H102" s="634">
        <v>1</v>
      </c>
      <c r="I102" s="634">
        <v>0</v>
      </c>
      <c r="J102" s="888" t="e">
        <f>'8_MP'!#REF!</f>
        <v>#REF!</v>
      </c>
      <c r="K102" s="752" t="e">
        <f>'8_MP'!#REF!</f>
        <v>#REF!</v>
      </c>
      <c r="L102" s="1146" t="s">
        <v>2265</v>
      </c>
      <c r="M102" s="1167" t="s">
        <v>3088</v>
      </c>
      <c r="N102" s="1167" t="s">
        <v>3089</v>
      </c>
      <c r="O102" s="4466"/>
      <c r="P102" s="4467"/>
      <c r="Q102"/>
      <c r="R102" s="645" t="s">
        <v>3115</v>
      </c>
      <c r="S102" s="645" t="s">
        <v>3131</v>
      </c>
      <c r="T102" s="654"/>
    </row>
    <row r="103" spans="2:20" s="815" customFormat="1" ht="65" outlineLevel="1">
      <c r="B103" s="629" t="s">
        <v>3100</v>
      </c>
      <c r="C103" s="902" t="s">
        <v>3159</v>
      </c>
      <c r="D103" s="749" t="s">
        <v>3080</v>
      </c>
      <c r="E103" s="642" t="s">
        <v>3113</v>
      </c>
      <c r="F103" s="642">
        <f>+F102+1</f>
        <v>34</v>
      </c>
      <c r="G103" s="657" t="e">
        <f>+K103</f>
        <v>#REF!</v>
      </c>
      <c r="H103" s="634">
        <v>1</v>
      </c>
      <c r="I103" s="634">
        <v>0</v>
      </c>
      <c r="J103" s="922" t="e">
        <f>'8_MP'!#REF!</f>
        <v>#REF!</v>
      </c>
      <c r="K103" s="914" t="e">
        <f>'8_MP'!#REF!</f>
        <v>#REF!</v>
      </c>
      <c r="L103" s="637" t="s">
        <v>2265</v>
      </c>
      <c r="M103" s="1167" t="s">
        <v>3088</v>
      </c>
      <c r="N103" s="1167" t="s">
        <v>3089</v>
      </c>
      <c r="O103" s="4362"/>
      <c r="P103" s="4363"/>
      <c r="Q103"/>
      <c r="R103" s="645" t="s">
        <v>3115</v>
      </c>
      <c r="S103" s="645" t="s">
        <v>3131</v>
      </c>
    </row>
    <row r="104" spans="2:20" s="815" customFormat="1" ht="65" outlineLevel="1">
      <c r="B104" s="629" t="s">
        <v>3100</v>
      </c>
      <c r="C104" s="902" t="s">
        <v>3160</v>
      </c>
      <c r="D104" s="749" t="s">
        <v>3080</v>
      </c>
      <c r="E104" s="642" t="s">
        <v>3113</v>
      </c>
      <c r="F104" s="642">
        <f>+F103+1</f>
        <v>35</v>
      </c>
      <c r="G104" s="657" t="e">
        <f>+K104</f>
        <v>#REF!</v>
      </c>
      <c r="H104" s="634">
        <v>1</v>
      </c>
      <c r="I104" s="634">
        <v>0</v>
      </c>
      <c r="J104" s="922" t="e">
        <f>'8_MP'!#REF!</f>
        <v>#REF!</v>
      </c>
      <c r="K104" s="914" t="e">
        <f>'8_MP'!#REF!</f>
        <v>#REF!</v>
      </c>
      <c r="L104" s="637" t="s">
        <v>2265</v>
      </c>
      <c r="M104" s="1167" t="s">
        <v>3114</v>
      </c>
      <c r="N104" s="1167" t="s">
        <v>3088</v>
      </c>
      <c r="O104" s="4362"/>
      <c r="P104" s="4363"/>
      <c r="Q104"/>
      <c r="R104" s="645" t="s">
        <v>3138</v>
      </c>
      <c r="S104" s="645" t="s">
        <v>3146</v>
      </c>
    </row>
    <row r="105" spans="2:20" s="815" customFormat="1" ht="52" outlineLevel="1">
      <c r="B105" s="1091" t="s">
        <v>3100</v>
      </c>
      <c r="C105" s="902" t="s">
        <v>3161</v>
      </c>
      <c r="D105" s="928" t="s">
        <v>2848</v>
      </c>
      <c r="E105" s="642" t="s">
        <v>3113</v>
      </c>
      <c r="F105" s="642">
        <f>+F104+1</f>
        <v>36</v>
      </c>
      <c r="G105" s="662" t="e">
        <f>+K105</f>
        <v>#REF!</v>
      </c>
      <c r="H105" s="634">
        <v>1</v>
      </c>
      <c r="I105" s="634">
        <v>0</v>
      </c>
      <c r="J105" s="922" t="e">
        <f>'8_MP'!#REF!</f>
        <v>#REF!</v>
      </c>
      <c r="K105" s="914" t="e">
        <f>'8_MP'!#REF!</f>
        <v>#REF!</v>
      </c>
      <c r="L105" s="637" t="s">
        <v>2265</v>
      </c>
      <c r="M105" s="1167" t="s">
        <v>3089</v>
      </c>
      <c r="N105" s="1168" t="s">
        <v>3123</v>
      </c>
      <c r="O105" s="4362"/>
      <c r="P105" s="4363"/>
      <c r="Q105"/>
      <c r="R105" s="645" t="s">
        <v>3090</v>
      </c>
      <c r="S105" s="645" t="s">
        <v>3121</v>
      </c>
    </row>
    <row r="106" spans="2:20" s="815" customFormat="1" ht="52" outlineLevel="1">
      <c r="B106" s="629" t="s">
        <v>3100</v>
      </c>
      <c r="C106" s="903" t="s">
        <v>3162</v>
      </c>
      <c r="D106" s="929" t="s">
        <v>2850</v>
      </c>
      <c r="E106" s="642" t="s">
        <v>3113</v>
      </c>
      <c r="F106" s="631">
        <f>+F105+1</f>
        <v>37</v>
      </c>
      <c r="G106" s="657" t="e">
        <f>+K106</f>
        <v>#REF!</v>
      </c>
      <c r="H106" s="634">
        <v>1</v>
      </c>
      <c r="I106" s="634">
        <v>0</v>
      </c>
      <c r="J106" s="658" t="e">
        <f>'8_MP'!#REF!</f>
        <v>#REF!</v>
      </c>
      <c r="K106" s="905" t="e">
        <f>'8_MP'!#REF!</f>
        <v>#REF!</v>
      </c>
      <c r="L106" s="637" t="s">
        <v>2265</v>
      </c>
      <c r="M106" s="1167" t="s">
        <v>3114</v>
      </c>
      <c r="N106" s="1167" t="s">
        <v>3149</v>
      </c>
      <c r="O106" s="4362"/>
      <c r="P106" s="4363"/>
      <c r="Q106"/>
      <c r="R106" s="645" t="s">
        <v>3138</v>
      </c>
      <c r="S106" s="645" t="s">
        <v>3146</v>
      </c>
    </row>
    <row r="107" spans="2:20" s="815" customFormat="1" ht="23.5" customHeight="1" outlineLevel="1">
      <c r="B107" s="4345" t="s">
        <v>3100</v>
      </c>
      <c r="C107" s="4347" t="s">
        <v>3163</v>
      </c>
      <c r="D107" s="4349" t="s">
        <v>3164</v>
      </c>
      <c r="E107" s="4351" t="s">
        <v>3113</v>
      </c>
      <c r="F107" s="4351">
        <f>+F106+1</f>
        <v>38</v>
      </c>
      <c r="G107" s="4353" t="e">
        <f>SUM(K107:K108)</f>
        <v>#REF!</v>
      </c>
      <c r="H107" s="4355">
        <v>1</v>
      </c>
      <c r="I107" s="4355">
        <v>0</v>
      </c>
      <c r="J107" s="888" t="e">
        <f>'8_MP'!#REF!</f>
        <v>#REF!</v>
      </c>
      <c r="K107" s="767" t="e">
        <f>'8_MP'!#REF!</f>
        <v>#REF!</v>
      </c>
      <c r="L107" s="4366" t="s">
        <v>2265</v>
      </c>
      <c r="M107" s="4339" t="s">
        <v>3102</v>
      </c>
      <c r="N107" s="4339" t="s">
        <v>3103</v>
      </c>
      <c r="O107" s="4341"/>
      <c r="P107" s="4342"/>
      <c r="Q107"/>
      <c r="R107" s="4337" t="s">
        <v>3090</v>
      </c>
      <c r="S107" s="4337" t="s">
        <v>3121</v>
      </c>
      <c r="T107" s="654"/>
    </row>
    <row r="108" spans="2:20" s="815" customFormat="1" ht="23.5" customHeight="1" outlineLevel="1">
      <c r="B108" s="4346"/>
      <c r="C108" s="4348"/>
      <c r="D108" s="4350"/>
      <c r="E108" s="4352"/>
      <c r="F108" s="4352"/>
      <c r="G108" s="4354"/>
      <c r="H108" s="4356"/>
      <c r="I108" s="4356"/>
      <c r="J108" s="888" t="e">
        <f>'8_MP'!#REF!</f>
        <v>#REF!</v>
      </c>
      <c r="K108" s="767" t="e">
        <f>'8_MP'!#REF!</f>
        <v>#REF!</v>
      </c>
      <c r="L108" s="4367"/>
      <c r="M108" s="4359"/>
      <c r="N108" s="4359"/>
      <c r="O108" s="4343"/>
      <c r="P108" s="4344"/>
      <c r="Q108"/>
      <c r="R108" s="4337"/>
      <c r="S108" s="4337"/>
      <c r="T108" s="654"/>
    </row>
    <row r="109" spans="2:20" s="815" customFormat="1" ht="65" outlineLevel="1">
      <c r="B109" s="629" t="s">
        <v>1705</v>
      </c>
      <c r="C109" s="903" t="s">
        <v>3165</v>
      </c>
      <c r="D109" s="929" t="s">
        <v>3166</v>
      </c>
      <c r="E109" s="631" t="s">
        <v>3137</v>
      </c>
      <c r="F109" s="631">
        <f>+F107+1</f>
        <v>39</v>
      </c>
      <c r="G109" s="657" t="e">
        <f>+K109</f>
        <v>#REF!</v>
      </c>
      <c r="H109" s="634">
        <v>1</v>
      </c>
      <c r="I109" s="634">
        <v>0</v>
      </c>
      <c r="J109" s="658" t="e">
        <f>'8_MP'!#REF!</f>
        <v>#REF!</v>
      </c>
      <c r="K109" s="905" t="e">
        <f>'8_MP'!#REF!</f>
        <v>#REF!</v>
      </c>
      <c r="L109" s="637" t="s">
        <v>2265</v>
      </c>
      <c r="M109" s="1167" t="s">
        <v>3088</v>
      </c>
      <c r="N109" s="1167" t="s">
        <v>3103</v>
      </c>
      <c r="O109" s="4362"/>
      <c r="P109" s="4363"/>
      <c r="Q109"/>
      <c r="R109" s="645" t="s">
        <v>3115</v>
      </c>
      <c r="S109" s="645" t="s">
        <v>3131</v>
      </c>
    </row>
    <row r="110" spans="2:20" s="815" customFormat="1" outlineLevel="1">
      <c r="B110" s="4345" t="s">
        <v>1705</v>
      </c>
      <c r="C110" s="4347" t="s">
        <v>3167</v>
      </c>
      <c r="D110" s="4349" t="s">
        <v>3166</v>
      </c>
      <c r="E110" s="4351" t="s">
        <v>3113</v>
      </c>
      <c r="F110" s="4351">
        <f>+F109+1</f>
        <v>40</v>
      </c>
      <c r="G110" s="4353" t="e">
        <f>SUM(K110:K115)</f>
        <v>#REF!</v>
      </c>
      <c r="H110" s="4355">
        <v>1</v>
      </c>
      <c r="I110" s="4355">
        <v>0</v>
      </c>
      <c r="J110" s="888" t="str">
        <f>'8_MP'!D379</f>
        <v>3.1.1.2.1</v>
      </c>
      <c r="K110" s="767">
        <f>'8_MP'!AN379</f>
        <v>20000</v>
      </c>
      <c r="L110" s="4366" t="s">
        <v>2265</v>
      </c>
      <c r="M110" s="4339" t="s">
        <v>3096</v>
      </c>
      <c r="N110" s="4339" t="s">
        <v>3119</v>
      </c>
      <c r="O110" s="4341"/>
      <c r="P110" s="4342"/>
      <c r="Q110"/>
      <c r="R110" s="4337" t="s">
        <v>3104</v>
      </c>
      <c r="S110" s="4337" t="s">
        <v>3124</v>
      </c>
      <c r="T110" s="654"/>
    </row>
    <row r="111" spans="2:20" s="815" customFormat="1" outlineLevel="1">
      <c r="B111" s="4346"/>
      <c r="C111" s="4348"/>
      <c r="D111" s="4350"/>
      <c r="E111" s="4352"/>
      <c r="F111" s="4352"/>
      <c r="G111" s="4354"/>
      <c r="H111" s="4356"/>
      <c r="I111" s="4356"/>
      <c r="J111" s="888" t="str">
        <f>'8_MP'!D381</f>
        <v>3.1.1.2.3</v>
      </c>
      <c r="K111" s="767">
        <f>'8_MP'!AN381</f>
        <v>30000</v>
      </c>
      <c r="L111" s="4367"/>
      <c r="M111" s="4340"/>
      <c r="N111" s="4340"/>
      <c r="O111" s="4343"/>
      <c r="P111" s="4344"/>
      <c r="Q111"/>
      <c r="R111" s="4337"/>
      <c r="S111" s="4337"/>
      <c r="T111" s="654"/>
    </row>
    <row r="112" spans="2:20" s="815" customFormat="1" outlineLevel="1">
      <c r="B112" s="4346"/>
      <c r="C112" s="4348"/>
      <c r="D112" s="4350"/>
      <c r="E112" s="4352"/>
      <c r="F112" s="4352"/>
      <c r="G112" s="4354"/>
      <c r="H112" s="4356"/>
      <c r="I112" s="4356"/>
      <c r="J112" s="888" t="e">
        <f>'8_MP'!#REF!</f>
        <v>#REF!</v>
      </c>
      <c r="K112" s="767" t="e">
        <f>'8_MP'!#REF!</f>
        <v>#REF!</v>
      </c>
      <c r="L112" s="4367"/>
      <c r="M112" s="4340"/>
      <c r="N112" s="4340"/>
      <c r="O112" s="4343"/>
      <c r="P112" s="4344"/>
      <c r="Q112"/>
      <c r="R112" s="4337"/>
      <c r="S112" s="4337"/>
      <c r="T112" s="654"/>
    </row>
    <row r="113" spans="2:20" s="815" customFormat="1" outlineLevel="1">
      <c r="B113" s="4346"/>
      <c r="C113" s="4348"/>
      <c r="D113" s="4350"/>
      <c r="E113" s="4352"/>
      <c r="F113" s="4352"/>
      <c r="G113" s="4354"/>
      <c r="H113" s="4356"/>
      <c r="I113" s="4356"/>
      <c r="J113" s="888" t="e">
        <f>'8_MP'!#REF!</f>
        <v>#REF!</v>
      </c>
      <c r="K113" s="767" t="e">
        <f>'8_MP'!#REF!</f>
        <v>#REF!</v>
      </c>
      <c r="L113" s="4367"/>
      <c r="M113" s="4340"/>
      <c r="N113" s="4340"/>
      <c r="O113" s="4343"/>
      <c r="P113" s="4344"/>
      <c r="Q113"/>
      <c r="R113" s="4337"/>
      <c r="S113" s="4337"/>
      <c r="T113" s="654"/>
    </row>
    <row r="114" spans="2:20" s="815" customFormat="1" outlineLevel="1">
      <c r="B114" s="4346"/>
      <c r="C114" s="4348"/>
      <c r="D114" s="4350"/>
      <c r="E114" s="4352"/>
      <c r="F114" s="4352"/>
      <c r="G114" s="4354"/>
      <c r="H114" s="4356"/>
      <c r="I114" s="4356"/>
      <c r="J114" s="888" t="e">
        <f>'8_MP'!#REF!</f>
        <v>#REF!</v>
      </c>
      <c r="K114" s="767" t="e">
        <f>'8_MP'!#REF!</f>
        <v>#REF!</v>
      </c>
      <c r="L114" s="4367"/>
      <c r="M114" s="4340"/>
      <c r="N114" s="4340"/>
      <c r="O114" s="4343"/>
      <c r="P114" s="4344"/>
      <c r="Q114"/>
      <c r="R114" s="4337"/>
      <c r="S114" s="4337"/>
      <c r="T114" s="654"/>
    </row>
    <row r="115" spans="2:20" s="815" customFormat="1" outlineLevel="1">
      <c r="B115" s="4346"/>
      <c r="C115" s="4348"/>
      <c r="D115" s="4350"/>
      <c r="E115" s="4352"/>
      <c r="F115" s="4352"/>
      <c r="G115" s="4354"/>
      <c r="H115" s="4356"/>
      <c r="I115" s="4356"/>
      <c r="J115" s="888" t="e">
        <f>'8_MP'!#REF!</f>
        <v>#REF!</v>
      </c>
      <c r="K115" s="767" t="e">
        <f>'8_MP'!#REF!</f>
        <v>#REF!</v>
      </c>
      <c r="L115" s="4367"/>
      <c r="M115" s="4340"/>
      <c r="N115" s="4340"/>
      <c r="O115" s="4343"/>
      <c r="P115" s="4344"/>
      <c r="Q115"/>
      <c r="R115" s="4337"/>
      <c r="S115" s="4337"/>
      <c r="T115" s="654"/>
    </row>
    <row r="116" spans="2:20" s="815" customFormat="1" ht="12" customHeight="1" outlineLevel="1">
      <c r="B116" s="4345" t="s">
        <v>1705</v>
      </c>
      <c r="C116" s="4347" t="s">
        <v>3168</v>
      </c>
      <c r="D116" s="4349" t="s">
        <v>2734</v>
      </c>
      <c r="E116" s="4351" t="s">
        <v>3113</v>
      </c>
      <c r="F116" s="4351">
        <f>+F110+1</f>
        <v>41</v>
      </c>
      <c r="G116" s="4353" t="e">
        <f>SUM(K116:K121)</f>
        <v>#REF!</v>
      </c>
      <c r="H116" s="4355">
        <v>1</v>
      </c>
      <c r="I116" s="4355">
        <v>0</v>
      </c>
      <c r="J116" s="888" t="e">
        <f>'8_MP'!#REF!</f>
        <v>#REF!</v>
      </c>
      <c r="K116" s="767" t="e">
        <f>'8_MP'!#REF!</f>
        <v>#REF!</v>
      </c>
      <c r="L116" s="4366" t="s">
        <v>2265</v>
      </c>
      <c r="M116" s="4339" t="s">
        <v>3120</v>
      </c>
      <c r="N116" s="4339" t="s">
        <v>3169</v>
      </c>
      <c r="O116" s="4341"/>
      <c r="P116" s="4342"/>
      <c r="Q116"/>
      <c r="R116" s="4337" t="s">
        <v>3170</v>
      </c>
      <c r="S116" s="4337" t="s">
        <v>3171</v>
      </c>
      <c r="T116" s="654"/>
    </row>
    <row r="117" spans="2:20" s="815" customFormat="1" outlineLevel="1">
      <c r="B117" s="4346"/>
      <c r="C117" s="4348"/>
      <c r="D117" s="4350"/>
      <c r="E117" s="4352"/>
      <c r="F117" s="4352"/>
      <c r="G117" s="4354"/>
      <c r="H117" s="4356"/>
      <c r="I117" s="4356"/>
      <c r="J117" s="888" t="e">
        <f>'8_MP'!#REF!</f>
        <v>#REF!</v>
      </c>
      <c r="K117" s="767" t="e">
        <f>'8_MP'!#REF!</f>
        <v>#REF!</v>
      </c>
      <c r="L117" s="4367"/>
      <c r="M117" s="4340"/>
      <c r="N117" s="4340"/>
      <c r="O117" s="4343"/>
      <c r="P117" s="4344"/>
      <c r="Q117"/>
      <c r="R117" s="4337"/>
      <c r="S117" s="4337"/>
      <c r="T117" s="654"/>
    </row>
    <row r="118" spans="2:20" s="815" customFormat="1" outlineLevel="1">
      <c r="B118" s="4346"/>
      <c r="C118" s="4348"/>
      <c r="D118" s="4350"/>
      <c r="E118" s="4352"/>
      <c r="F118" s="4352"/>
      <c r="G118" s="4354"/>
      <c r="H118" s="4356"/>
      <c r="I118" s="4356"/>
      <c r="J118" s="888" t="e">
        <f>'8_MP'!#REF!</f>
        <v>#REF!</v>
      </c>
      <c r="K118" s="767" t="e">
        <f>'8_MP'!#REF!</f>
        <v>#REF!</v>
      </c>
      <c r="L118" s="4367"/>
      <c r="M118" s="4340"/>
      <c r="N118" s="4340"/>
      <c r="O118" s="4343"/>
      <c r="P118" s="4344"/>
      <c r="Q118"/>
      <c r="R118" s="4337"/>
      <c r="S118" s="4337"/>
      <c r="T118" s="654"/>
    </row>
    <row r="119" spans="2:20" s="815" customFormat="1" outlineLevel="1">
      <c r="B119" s="4346"/>
      <c r="C119" s="4348"/>
      <c r="D119" s="4350"/>
      <c r="E119" s="4352"/>
      <c r="F119" s="4352"/>
      <c r="G119" s="4354"/>
      <c r="H119" s="4356"/>
      <c r="I119" s="4356"/>
      <c r="J119" s="888" t="e">
        <f>'8_MP'!#REF!</f>
        <v>#REF!</v>
      </c>
      <c r="K119" s="767" t="e">
        <f>'8_MP'!#REF!</f>
        <v>#REF!</v>
      </c>
      <c r="L119" s="4367"/>
      <c r="M119" s="4340"/>
      <c r="N119" s="4340"/>
      <c r="O119" s="4343"/>
      <c r="P119" s="4344"/>
      <c r="Q119"/>
      <c r="R119" s="4337"/>
      <c r="S119" s="4337"/>
      <c r="T119" s="654"/>
    </row>
    <row r="120" spans="2:20" s="815" customFormat="1" outlineLevel="1">
      <c r="B120" s="4346"/>
      <c r="C120" s="4348"/>
      <c r="D120" s="4350"/>
      <c r="E120" s="4352"/>
      <c r="F120" s="4352"/>
      <c r="G120" s="4354"/>
      <c r="H120" s="4356"/>
      <c r="I120" s="4356"/>
      <c r="J120" s="888" t="e">
        <f>'8_MP'!#REF!</f>
        <v>#REF!</v>
      </c>
      <c r="K120" s="767" t="e">
        <f>'8_MP'!#REF!</f>
        <v>#REF!</v>
      </c>
      <c r="L120" s="4367"/>
      <c r="M120" s="4340"/>
      <c r="N120" s="4340"/>
      <c r="O120" s="4343"/>
      <c r="P120" s="4344"/>
      <c r="Q120"/>
      <c r="R120" s="4337"/>
      <c r="S120" s="4337"/>
      <c r="T120" s="654"/>
    </row>
    <row r="121" spans="2:20" s="815" customFormat="1" outlineLevel="1">
      <c r="B121" s="4346"/>
      <c r="C121" s="4348"/>
      <c r="D121" s="4350"/>
      <c r="E121" s="4352"/>
      <c r="F121" s="4352"/>
      <c r="G121" s="4354"/>
      <c r="H121" s="4356"/>
      <c r="I121" s="4356"/>
      <c r="J121" s="888" t="e">
        <f>'8_MP'!#REF!</f>
        <v>#REF!</v>
      </c>
      <c r="K121" s="767" t="e">
        <f>'8_MP'!#REF!</f>
        <v>#REF!</v>
      </c>
      <c r="L121" s="4367"/>
      <c r="M121" s="4359"/>
      <c r="N121" s="4359"/>
      <c r="O121" s="4343"/>
      <c r="P121" s="4344"/>
      <c r="Q121"/>
      <c r="R121" s="4337"/>
      <c r="S121" s="4337"/>
      <c r="T121" s="654"/>
    </row>
    <row r="122" spans="2:20" s="815" customFormat="1" outlineLevel="1">
      <c r="B122" s="4345" t="s">
        <v>1705</v>
      </c>
      <c r="C122" s="4347" t="s">
        <v>3172</v>
      </c>
      <c r="D122" s="4349" t="s">
        <v>2735</v>
      </c>
      <c r="E122" s="4351" t="s">
        <v>3113</v>
      </c>
      <c r="F122" s="4351">
        <f>+F116+1</f>
        <v>42</v>
      </c>
      <c r="G122" s="4353" t="e">
        <f>SUM(K122:K126)</f>
        <v>#REF!</v>
      </c>
      <c r="H122" s="4355">
        <v>1</v>
      </c>
      <c r="I122" s="4355">
        <v>0</v>
      </c>
      <c r="J122" s="888" t="str">
        <f>'8_MP'!D399</f>
        <v>3.1.3.1</v>
      </c>
      <c r="K122" s="767">
        <f>'8_MP'!AN399</f>
        <v>0</v>
      </c>
      <c r="L122" s="4366" t="s">
        <v>2265</v>
      </c>
      <c r="M122" s="4339" t="s">
        <v>3102</v>
      </c>
      <c r="N122" s="4339" t="s">
        <v>3127</v>
      </c>
      <c r="O122" s="4341"/>
      <c r="P122" s="4342"/>
      <c r="Q122"/>
      <c r="R122" s="4337" t="s">
        <v>3090</v>
      </c>
      <c r="S122" s="4337" t="s">
        <v>3091</v>
      </c>
      <c r="T122" s="654"/>
    </row>
    <row r="123" spans="2:20" s="815" customFormat="1" outlineLevel="1">
      <c r="B123" s="4346"/>
      <c r="C123" s="4348"/>
      <c r="D123" s="4350"/>
      <c r="E123" s="4352"/>
      <c r="F123" s="4352"/>
      <c r="G123" s="4354"/>
      <c r="H123" s="4356"/>
      <c r="I123" s="4356"/>
      <c r="J123" s="888" t="str">
        <f>'8_MP'!D400</f>
        <v>3.1.3.2</v>
      </c>
      <c r="K123" s="767">
        <f>'8_MP'!AN400</f>
        <v>63000</v>
      </c>
      <c r="L123" s="4367"/>
      <c r="M123" s="4340"/>
      <c r="N123" s="4340"/>
      <c r="O123" s="4343"/>
      <c r="P123" s="4344"/>
      <c r="Q123"/>
      <c r="R123" s="4337"/>
      <c r="S123" s="4337"/>
      <c r="T123" s="654"/>
    </row>
    <row r="124" spans="2:20" s="815" customFormat="1" outlineLevel="1">
      <c r="B124" s="4346"/>
      <c r="C124" s="4348"/>
      <c r="D124" s="4350"/>
      <c r="E124" s="4352"/>
      <c r="F124" s="4352"/>
      <c r="G124" s="4354"/>
      <c r="H124" s="4356"/>
      <c r="I124" s="4356"/>
      <c r="J124" s="888" t="e">
        <f>'8_MP'!#REF!</f>
        <v>#REF!</v>
      </c>
      <c r="K124" s="767" t="e">
        <f>'8_MP'!#REF!</f>
        <v>#REF!</v>
      </c>
      <c r="L124" s="4367"/>
      <c r="M124" s="4340"/>
      <c r="N124" s="4340"/>
      <c r="O124" s="4343"/>
      <c r="P124" s="4344"/>
      <c r="Q124"/>
      <c r="R124" s="4337"/>
      <c r="S124" s="4337"/>
      <c r="T124" s="654"/>
    </row>
    <row r="125" spans="2:20" s="815" customFormat="1" outlineLevel="1">
      <c r="B125" s="4346"/>
      <c r="C125" s="4348"/>
      <c r="D125" s="4350"/>
      <c r="E125" s="4352"/>
      <c r="F125" s="4352"/>
      <c r="G125" s="4354"/>
      <c r="H125" s="4356"/>
      <c r="I125" s="4356"/>
      <c r="J125" s="888" t="e">
        <f>'8_MP'!#REF!</f>
        <v>#REF!</v>
      </c>
      <c r="K125" s="767" t="e">
        <f>'8_MP'!#REF!</f>
        <v>#REF!</v>
      </c>
      <c r="L125" s="4367"/>
      <c r="M125" s="4340"/>
      <c r="N125" s="4340"/>
      <c r="O125" s="4343"/>
      <c r="P125" s="4344"/>
      <c r="Q125"/>
      <c r="R125" s="4337"/>
      <c r="S125" s="4337"/>
      <c r="T125" s="654"/>
    </row>
    <row r="126" spans="2:20" s="815" customFormat="1" outlineLevel="1">
      <c r="B126" s="4346"/>
      <c r="C126" s="4348"/>
      <c r="D126" s="4350"/>
      <c r="E126" s="4352"/>
      <c r="F126" s="4352"/>
      <c r="G126" s="4354"/>
      <c r="H126" s="4356"/>
      <c r="I126" s="4356"/>
      <c r="J126" s="888" t="str">
        <f>'8_MP'!D403</f>
        <v>3.1.3.5</v>
      </c>
      <c r="K126" s="767">
        <f>'8_MP'!AN403</f>
        <v>30000</v>
      </c>
      <c r="L126" s="4367"/>
      <c r="M126" s="4340"/>
      <c r="N126" s="4340"/>
      <c r="O126" s="4343"/>
      <c r="P126" s="4344"/>
      <c r="Q126"/>
      <c r="R126" s="4337"/>
      <c r="S126" s="4337"/>
      <c r="T126" s="654"/>
    </row>
    <row r="127" spans="2:20" s="815" customFormat="1" ht="41.5" customHeight="1" outlineLevel="1">
      <c r="B127" s="4345" t="s">
        <v>1705</v>
      </c>
      <c r="C127" s="4347" t="s">
        <v>3173</v>
      </c>
      <c r="D127" s="4349" t="s">
        <v>2736</v>
      </c>
      <c r="E127" s="4351" t="s">
        <v>3113</v>
      </c>
      <c r="F127" s="4351">
        <f>+F122+1</f>
        <v>43</v>
      </c>
      <c r="G127" s="4353">
        <f>+K127</f>
        <v>160000</v>
      </c>
      <c r="H127" s="4355">
        <v>1</v>
      </c>
      <c r="I127" s="4355">
        <v>0</v>
      </c>
      <c r="J127" s="888" t="str">
        <f>'8_MP'!D383</f>
        <v>3.1.1.3.1</v>
      </c>
      <c r="K127" s="4364">
        <f>'8_MP'!AN383</f>
        <v>160000</v>
      </c>
      <c r="L127" s="4366" t="s">
        <v>2265</v>
      </c>
      <c r="M127" s="4339" t="s">
        <v>3174</v>
      </c>
      <c r="N127" s="4339" t="s">
        <v>3175</v>
      </c>
      <c r="O127" s="4341"/>
      <c r="P127" s="4342"/>
      <c r="Q127"/>
      <c r="R127" s="4337" t="s">
        <v>3124</v>
      </c>
      <c r="S127" s="4337" t="s">
        <v>3176</v>
      </c>
      <c r="T127" s="654"/>
    </row>
    <row r="128" spans="2:20" s="815" customFormat="1" ht="41.5" customHeight="1" outlineLevel="1">
      <c r="B128" s="4346"/>
      <c r="C128" s="4348"/>
      <c r="D128" s="4350"/>
      <c r="E128" s="4352"/>
      <c r="F128" s="4352"/>
      <c r="G128" s="4354"/>
      <c r="H128" s="4356"/>
      <c r="I128" s="4356"/>
      <c r="J128" s="888" t="str">
        <f>'8_MP'!D386</f>
        <v>3.1.1.3.4</v>
      </c>
      <c r="K128" s="4365"/>
      <c r="L128" s="4367"/>
      <c r="M128" s="4340"/>
      <c r="N128" s="4340"/>
      <c r="O128" s="4343"/>
      <c r="P128" s="4344"/>
      <c r="Q128"/>
      <c r="R128" s="4337"/>
      <c r="S128" s="4337"/>
      <c r="T128" s="654"/>
    </row>
    <row r="129" spans="2:20" s="815" customFormat="1" ht="30" customHeight="1" outlineLevel="1">
      <c r="B129" s="4345" t="s">
        <v>1705</v>
      </c>
      <c r="C129" s="4347" t="s">
        <v>3177</v>
      </c>
      <c r="D129" s="4349" t="s">
        <v>2737</v>
      </c>
      <c r="E129" s="4351" t="s">
        <v>3113</v>
      </c>
      <c r="F129" s="4351">
        <f>+F127+1</f>
        <v>44</v>
      </c>
      <c r="G129" s="4353">
        <f>+K129</f>
        <v>30000</v>
      </c>
      <c r="H129" s="4355">
        <v>1</v>
      </c>
      <c r="I129" s="4355">
        <v>0</v>
      </c>
      <c r="J129" s="888" t="str">
        <f>'8_MP'!D408</f>
        <v>3.2.1.1.1</v>
      </c>
      <c r="K129" s="4364">
        <f>'8_MP'!AN408</f>
        <v>30000</v>
      </c>
      <c r="L129" s="4366" t="s">
        <v>2265</v>
      </c>
      <c r="M129" s="4339" t="s">
        <v>3096</v>
      </c>
      <c r="N129" s="4339" t="s">
        <v>3082</v>
      </c>
      <c r="O129" s="4341"/>
      <c r="P129" s="4342"/>
      <c r="Q129"/>
      <c r="R129" s="4337" t="s">
        <v>3090</v>
      </c>
      <c r="S129" s="4337" t="s">
        <v>3091</v>
      </c>
      <c r="T129" s="654"/>
    </row>
    <row r="130" spans="2:20" s="815" customFormat="1" ht="30" customHeight="1" outlineLevel="1">
      <c r="B130" s="4346"/>
      <c r="C130" s="4348"/>
      <c r="D130" s="4350"/>
      <c r="E130" s="4352"/>
      <c r="F130" s="4352"/>
      <c r="G130" s="4354"/>
      <c r="H130" s="4356"/>
      <c r="I130" s="4356"/>
      <c r="J130" s="888" t="str">
        <f>'8_MP'!D410</f>
        <v>3.2.1.3</v>
      </c>
      <c r="K130" s="4365"/>
      <c r="L130" s="4367"/>
      <c r="M130" s="4340"/>
      <c r="N130" s="4340"/>
      <c r="O130" s="4343"/>
      <c r="P130" s="4344"/>
      <c r="Q130"/>
      <c r="R130" s="4337"/>
      <c r="S130" s="4337"/>
      <c r="T130" s="654"/>
    </row>
    <row r="131" spans="2:20" s="815" customFormat="1" ht="52" outlineLevel="1">
      <c r="B131" s="629" t="s">
        <v>1705</v>
      </c>
      <c r="C131" s="903" t="s">
        <v>3178</v>
      </c>
      <c r="D131" s="929" t="s">
        <v>2738</v>
      </c>
      <c r="E131" s="637" t="s">
        <v>3137</v>
      </c>
      <c r="F131" s="631">
        <f>+F129+1</f>
        <v>45</v>
      </c>
      <c r="G131" s="657">
        <f>+K131</f>
        <v>180000</v>
      </c>
      <c r="H131" s="634">
        <v>1</v>
      </c>
      <c r="I131" s="634">
        <v>0</v>
      </c>
      <c r="J131" s="658" t="str">
        <f>'8_MP'!D412</f>
        <v>3.2.2.1</v>
      </c>
      <c r="K131" s="905">
        <f>'8_MP'!AN412</f>
        <v>180000</v>
      </c>
      <c r="L131" s="637" t="s">
        <v>2265</v>
      </c>
      <c r="M131" s="1167" t="s">
        <v>3102</v>
      </c>
      <c r="N131" s="1168" t="s">
        <v>3096</v>
      </c>
      <c r="O131" s="4362"/>
      <c r="P131" s="4363"/>
      <c r="Q131"/>
      <c r="R131" s="645" t="s">
        <v>3131</v>
      </c>
      <c r="S131" s="645" t="s">
        <v>3121</v>
      </c>
    </row>
    <row r="132" spans="2:20" s="815" customFormat="1" ht="39" outlineLevel="1">
      <c r="B132" s="629" t="s">
        <v>1705</v>
      </c>
      <c r="C132" s="903" t="s">
        <v>3179</v>
      </c>
      <c r="D132" s="929" t="s">
        <v>2738</v>
      </c>
      <c r="E132" s="637" t="s">
        <v>3113</v>
      </c>
      <c r="F132" s="631">
        <f>+F131+1</f>
        <v>46</v>
      </c>
      <c r="G132" s="657">
        <f>+K132</f>
        <v>0</v>
      </c>
      <c r="H132" s="634">
        <v>1</v>
      </c>
      <c r="I132" s="634">
        <v>0</v>
      </c>
      <c r="J132" s="658" t="str">
        <f>'8_MP'!D413</f>
        <v>3.2.2.1.1</v>
      </c>
      <c r="K132" s="905">
        <f>'8_MP'!AN413</f>
        <v>0</v>
      </c>
      <c r="L132" s="637" t="s">
        <v>2265</v>
      </c>
      <c r="M132" s="1167" t="s">
        <v>3102</v>
      </c>
      <c r="N132" s="1168" t="s">
        <v>3103</v>
      </c>
      <c r="O132" s="4362"/>
      <c r="P132" s="4363"/>
      <c r="Q132"/>
      <c r="R132" s="645" t="s">
        <v>3090</v>
      </c>
      <c r="S132" s="645" t="s">
        <v>3121</v>
      </c>
    </row>
    <row r="133" spans="2:20" s="815" customFormat="1" ht="30" customHeight="1" outlineLevel="1">
      <c r="B133" s="4345" t="s">
        <v>1705</v>
      </c>
      <c r="C133" s="4347" t="s">
        <v>3180</v>
      </c>
      <c r="D133" s="4349" t="s">
        <v>2738</v>
      </c>
      <c r="E133" s="4351" t="s">
        <v>3113</v>
      </c>
      <c r="F133" s="4351">
        <f>+F132+1</f>
        <v>47</v>
      </c>
      <c r="G133" s="4353" t="e">
        <f>SUM(K133:K134)</f>
        <v>#REF!</v>
      </c>
      <c r="H133" s="4355">
        <v>1</v>
      </c>
      <c r="I133" s="4355">
        <v>0</v>
      </c>
      <c r="J133" s="921" t="e">
        <f>'8_MP'!#REF!</f>
        <v>#REF!</v>
      </c>
      <c r="K133" s="767" t="e">
        <f>'8_MP'!#REF!</f>
        <v>#REF!</v>
      </c>
      <c r="L133" s="4357" t="s">
        <v>2265</v>
      </c>
      <c r="M133" s="4339" t="s">
        <v>3181</v>
      </c>
      <c r="N133" s="4339" t="s">
        <v>3182</v>
      </c>
      <c r="O133" s="4341"/>
      <c r="P133" s="4342"/>
      <c r="Q133"/>
      <c r="R133" s="4337" t="s">
        <v>3124</v>
      </c>
      <c r="S133" s="4337" t="s">
        <v>3176</v>
      </c>
      <c r="T133" s="654"/>
    </row>
    <row r="134" spans="2:20" s="815" customFormat="1" ht="30" customHeight="1" outlineLevel="1">
      <c r="B134" s="4346"/>
      <c r="C134" s="4348"/>
      <c r="D134" s="4350"/>
      <c r="E134" s="4368"/>
      <c r="F134" s="4368"/>
      <c r="G134" s="4354"/>
      <c r="H134" s="4356"/>
      <c r="I134" s="4356"/>
      <c r="J134" s="962" t="str">
        <f>'8_MP'!D417</f>
        <v>3.2.2.3</v>
      </c>
      <c r="K134" s="955">
        <f>'8_MP'!AN417</f>
        <v>135000</v>
      </c>
      <c r="L134" s="4358" t="s">
        <v>2265</v>
      </c>
      <c r="M134" s="4340"/>
      <c r="N134" s="4340"/>
      <c r="O134" s="4343"/>
      <c r="P134" s="4344"/>
      <c r="Q134"/>
      <c r="R134" s="4337"/>
      <c r="S134" s="4337"/>
      <c r="T134" s="654"/>
    </row>
    <row r="135" spans="2:20" s="815" customFormat="1" ht="65" outlineLevel="1">
      <c r="B135" s="629" t="s">
        <v>1705</v>
      </c>
      <c r="C135" s="903" t="s">
        <v>3183</v>
      </c>
      <c r="D135" s="929" t="s">
        <v>2738</v>
      </c>
      <c r="E135" s="637" t="s">
        <v>3113</v>
      </c>
      <c r="F135" s="631">
        <f>+F133+1</f>
        <v>48</v>
      </c>
      <c r="G135" s="657">
        <f>+K135</f>
        <v>150000</v>
      </c>
      <c r="H135" s="634">
        <v>1</v>
      </c>
      <c r="I135" s="961">
        <v>0</v>
      </c>
      <c r="J135" s="922" t="str">
        <f>'8_MP'!D418</f>
        <v>3.2.2.4</v>
      </c>
      <c r="K135" s="914">
        <f>'8_MP'!AN418</f>
        <v>150000</v>
      </c>
      <c r="L135" s="1147" t="s">
        <v>2265</v>
      </c>
      <c r="M135" s="1167" t="s">
        <v>3181</v>
      </c>
      <c r="N135" s="1168" t="s">
        <v>3182</v>
      </c>
      <c r="O135" s="4362"/>
      <c r="P135" s="4363"/>
      <c r="Q135"/>
      <c r="R135" s="645" t="s">
        <v>3124</v>
      </c>
      <c r="S135" s="645" t="s">
        <v>3176</v>
      </c>
    </row>
    <row r="136" spans="2:20" s="815" customFormat="1" ht="39" outlineLevel="1">
      <c r="B136" s="629" t="s">
        <v>1705</v>
      </c>
      <c r="C136" s="903" t="s">
        <v>3184</v>
      </c>
      <c r="D136" s="929" t="s">
        <v>2739</v>
      </c>
      <c r="E136" s="637" t="s">
        <v>3113</v>
      </c>
      <c r="F136" s="631">
        <f>+F135+1</f>
        <v>49</v>
      </c>
      <c r="G136" s="657">
        <f>+K136</f>
        <v>40000</v>
      </c>
      <c r="H136" s="634">
        <v>1</v>
      </c>
      <c r="I136" s="961">
        <v>0</v>
      </c>
      <c r="J136" s="922" t="str">
        <f>'8_MP'!$D$423</f>
        <v>3.3.1.1</v>
      </c>
      <c r="K136" s="914">
        <f>'8_MP'!$AN$423</f>
        <v>40000</v>
      </c>
      <c r="L136" s="1147" t="s">
        <v>2265</v>
      </c>
      <c r="M136" s="1167" t="s">
        <v>3114</v>
      </c>
      <c r="N136" s="1167" t="s">
        <v>3088</v>
      </c>
      <c r="O136" s="953"/>
      <c r="P136" s="954"/>
      <c r="Q136"/>
      <c r="R136" s="645" t="s">
        <v>3098</v>
      </c>
      <c r="S136" s="645" t="s">
        <v>3115</v>
      </c>
    </row>
    <row r="137" spans="2:20" s="815" customFormat="1" ht="24" customHeight="1" outlineLevel="1">
      <c r="B137" s="4360" t="s">
        <v>1705</v>
      </c>
      <c r="C137" s="4347" t="s">
        <v>3185</v>
      </c>
      <c r="D137" s="4349" t="s">
        <v>2739</v>
      </c>
      <c r="E137" s="4351" t="s">
        <v>3113</v>
      </c>
      <c r="F137" s="4351">
        <f>+F136+1</f>
        <v>50</v>
      </c>
      <c r="G137" s="4353" t="e">
        <f>SUM(K137:K144)</f>
        <v>#REF!</v>
      </c>
      <c r="H137" s="4355">
        <v>1</v>
      </c>
      <c r="I137" s="4355">
        <v>0</v>
      </c>
      <c r="J137" s="963" t="e">
        <f>'8_MP'!#REF!</f>
        <v>#REF!</v>
      </c>
      <c r="K137" s="964" t="e">
        <f>'8_MP'!#REF!</f>
        <v>#REF!</v>
      </c>
      <c r="L137" s="4357" t="s">
        <v>2265</v>
      </c>
      <c r="M137" s="4339" t="s">
        <v>3120</v>
      </c>
      <c r="N137" s="4339" t="s">
        <v>3186</v>
      </c>
      <c r="O137" s="4341"/>
      <c r="P137" s="4342"/>
      <c r="Q137"/>
      <c r="R137" s="4337" t="s">
        <v>3187</v>
      </c>
      <c r="S137" s="4337" t="s">
        <v>3171</v>
      </c>
      <c r="T137" s="654"/>
    </row>
    <row r="138" spans="2:20" s="815" customFormat="1" outlineLevel="1">
      <c r="B138" s="4361"/>
      <c r="C138" s="4348"/>
      <c r="D138" s="4350"/>
      <c r="E138" s="4352"/>
      <c r="F138" s="4352"/>
      <c r="G138" s="4354"/>
      <c r="H138" s="4356"/>
      <c r="I138" s="4356"/>
      <c r="J138" s="921" t="e">
        <f>'8_MP'!#REF!</f>
        <v>#REF!</v>
      </c>
      <c r="K138" s="767" t="e">
        <f>'8_MP'!#REF!</f>
        <v>#REF!</v>
      </c>
      <c r="L138" s="4358"/>
      <c r="M138" s="4340"/>
      <c r="N138" s="4340"/>
      <c r="O138" s="4343"/>
      <c r="P138" s="4344"/>
      <c r="Q138"/>
      <c r="R138" s="4337"/>
      <c r="S138" s="4337"/>
      <c r="T138" s="654"/>
    </row>
    <row r="139" spans="2:20" s="815" customFormat="1" outlineLevel="1">
      <c r="B139" s="4361"/>
      <c r="C139" s="4348"/>
      <c r="D139" s="4350"/>
      <c r="E139" s="4352"/>
      <c r="F139" s="4352"/>
      <c r="G139" s="4354"/>
      <c r="H139" s="4356"/>
      <c r="I139" s="4356"/>
      <c r="J139" s="921" t="e">
        <f>'8_MP'!#REF!</f>
        <v>#REF!</v>
      </c>
      <c r="K139" s="767" t="e">
        <f>'8_MP'!#REF!</f>
        <v>#REF!</v>
      </c>
      <c r="L139" s="4358"/>
      <c r="M139" s="4340"/>
      <c r="N139" s="4340"/>
      <c r="O139" s="4343"/>
      <c r="P139" s="4344"/>
      <c r="Q139"/>
      <c r="R139" s="4337"/>
      <c r="S139" s="4337"/>
      <c r="T139" s="654"/>
    </row>
    <row r="140" spans="2:20" s="815" customFormat="1" outlineLevel="1">
      <c r="B140" s="4361"/>
      <c r="C140" s="4348"/>
      <c r="D140" s="4350"/>
      <c r="E140" s="4352"/>
      <c r="F140" s="4352"/>
      <c r="G140" s="4354"/>
      <c r="H140" s="4356"/>
      <c r="I140" s="4356"/>
      <c r="J140" s="921" t="e">
        <f>'8_MP'!#REF!</f>
        <v>#REF!</v>
      </c>
      <c r="K140" s="767" t="e">
        <f>'8_MP'!#REF!</f>
        <v>#REF!</v>
      </c>
      <c r="L140" s="4358"/>
      <c r="M140" s="4340"/>
      <c r="N140" s="4340"/>
      <c r="O140" s="4343"/>
      <c r="P140" s="4344"/>
      <c r="Q140"/>
      <c r="R140" s="4337"/>
      <c r="S140" s="4337"/>
      <c r="T140" s="654"/>
    </row>
    <row r="141" spans="2:20" s="815" customFormat="1" outlineLevel="1">
      <c r="B141" s="4361"/>
      <c r="C141" s="4348"/>
      <c r="D141" s="4350"/>
      <c r="E141" s="4352"/>
      <c r="F141" s="4352"/>
      <c r="G141" s="4354"/>
      <c r="H141" s="4356"/>
      <c r="I141" s="4356"/>
      <c r="J141" s="921" t="e">
        <f>'8_MP'!#REF!</f>
        <v>#REF!</v>
      </c>
      <c r="K141" s="767" t="e">
        <f>'8_MP'!#REF!</f>
        <v>#REF!</v>
      </c>
      <c r="L141" s="4358"/>
      <c r="M141" s="4340"/>
      <c r="N141" s="4340"/>
      <c r="O141" s="4343"/>
      <c r="P141" s="4344"/>
      <c r="Q141"/>
      <c r="R141" s="4337"/>
      <c r="S141" s="4337"/>
      <c r="T141" s="654"/>
    </row>
    <row r="142" spans="2:20" s="815" customFormat="1" outlineLevel="1">
      <c r="B142" s="4361"/>
      <c r="C142" s="4348"/>
      <c r="D142" s="4350"/>
      <c r="E142" s="4352"/>
      <c r="F142" s="4352"/>
      <c r="G142" s="4354"/>
      <c r="H142" s="4356"/>
      <c r="I142" s="4356"/>
      <c r="J142" s="921" t="e">
        <f>'8_MP'!#REF!</f>
        <v>#REF!</v>
      </c>
      <c r="K142" s="767" t="e">
        <f>'8_MP'!#REF!</f>
        <v>#REF!</v>
      </c>
      <c r="L142" s="4358"/>
      <c r="M142" s="4340"/>
      <c r="N142" s="4340"/>
      <c r="O142" s="4343"/>
      <c r="P142" s="4344"/>
      <c r="Q142"/>
      <c r="R142" s="4337"/>
      <c r="S142" s="4337"/>
      <c r="T142" s="654"/>
    </row>
    <row r="143" spans="2:20" s="815" customFormat="1" outlineLevel="1">
      <c r="B143" s="4361"/>
      <c r="C143" s="4348"/>
      <c r="D143" s="4350"/>
      <c r="E143" s="4352"/>
      <c r="F143" s="4352"/>
      <c r="G143" s="4354"/>
      <c r="H143" s="4356"/>
      <c r="I143" s="4356"/>
      <c r="J143" s="921" t="e">
        <f>'8_MP'!#REF!</f>
        <v>#REF!</v>
      </c>
      <c r="K143" s="767" t="e">
        <f>'8_MP'!#REF!</f>
        <v>#REF!</v>
      </c>
      <c r="L143" s="4358"/>
      <c r="M143" s="4340"/>
      <c r="N143" s="4340"/>
      <c r="O143" s="4343"/>
      <c r="P143" s="4344"/>
      <c r="Q143"/>
      <c r="R143" s="4337"/>
      <c r="S143" s="4337"/>
      <c r="T143" s="654"/>
    </row>
    <row r="144" spans="2:20" s="815" customFormat="1" outlineLevel="1">
      <c r="B144" s="4361"/>
      <c r="C144" s="4348"/>
      <c r="D144" s="4350"/>
      <c r="E144" s="4352"/>
      <c r="F144" s="4352"/>
      <c r="G144" s="4354"/>
      <c r="H144" s="4356"/>
      <c r="I144" s="4356"/>
      <c r="J144" s="921" t="e">
        <f>'8_MP'!#REF!</f>
        <v>#REF!</v>
      </c>
      <c r="K144" s="767" t="e">
        <f>'8_MP'!#REF!</f>
        <v>#REF!</v>
      </c>
      <c r="L144" s="4358"/>
      <c r="M144" s="4359"/>
      <c r="N144" s="4359"/>
      <c r="O144" s="4343"/>
      <c r="P144" s="4344"/>
      <c r="Q144"/>
      <c r="R144" s="4337"/>
      <c r="S144" s="4337"/>
      <c r="T144" s="654"/>
    </row>
    <row r="145" spans="2:22" s="815" customFormat="1" ht="24" customHeight="1" outlineLevel="1">
      <c r="B145" s="4345" t="s">
        <v>1705</v>
      </c>
      <c r="C145" s="4347" t="s">
        <v>3188</v>
      </c>
      <c r="D145" s="4349" t="s">
        <v>2739</v>
      </c>
      <c r="E145" s="4351" t="s">
        <v>3113</v>
      </c>
      <c r="F145" s="4351">
        <f>+F137+1</f>
        <v>51</v>
      </c>
      <c r="G145" s="4353" t="e">
        <f>SUM(K145:K149)</f>
        <v>#REF!</v>
      </c>
      <c r="H145" s="4355">
        <v>1</v>
      </c>
      <c r="I145" s="4355">
        <v>0</v>
      </c>
      <c r="J145" s="921" t="e">
        <f>'8_MP'!#REF!</f>
        <v>#REF!</v>
      </c>
      <c r="K145" s="767" t="e">
        <f>'8_MP'!#REF!</f>
        <v>#REF!</v>
      </c>
      <c r="L145" s="4357" t="s">
        <v>2265</v>
      </c>
      <c r="M145" s="4339" t="s">
        <v>3120</v>
      </c>
      <c r="N145" s="4339" t="s">
        <v>3186</v>
      </c>
      <c r="O145" s="4341"/>
      <c r="P145" s="4342"/>
      <c r="Q145"/>
      <c r="R145" s="4337" t="s">
        <v>3187</v>
      </c>
      <c r="S145" s="4337" t="s">
        <v>3171</v>
      </c>
      <c r="T145" s="654"/>
    </row>
    <row r="146" spans="2:22" s="815" customFormat="1" outlineLevel="1">
      <c r="B146" s="4346"/>
      <c r="C146" s="4348"/>
      <c r="D146" s="4350"/>
      <c r="E146" s="4352"/>
      <c r="F146" s="4352"/>
      <c r="G146" s="4354"/>
      <c r="H146" s="4356"/>
      <c r="I146" s="4356"/>
      <c r="J146" s="921" t="e">
        <f>'8_MP'!#REF!</f>
        <v>#REF!</v>
      </c>
      <c r="K146" s="767" t="e">
        <f>'8_MP'!#REF!</f>
        <v>#REF!</v>
      </c>
      <c r="L146" s="4358"/>
      <c r="M146" s="4340"/>
      <c r="N146" s="4340"/>
      <c r="O146" s="4343"/>
      <c r="P146" s="4344"/>
      <c r="Q146"/>
      <c r="R146" s="4337"/>
      <c r="S146" s="4337"/>
      <c r="T146" s="654"/>
    </row>
    <row r="147" spans="2:22" s="815" customFormat="1" outlineLevel="1">
      <c r="B147" s="4346"/>
      <c r="C147" s="4348"/>
      <c r="D147" s="4350"/>
      <c r="E147" s="4352"/>
      <c r="F147" s="4352"/>
      <c r="G147" s="4354"/>
      <c r="H147" s="4356"/>
      <c r="I147" s="4356"/>
      <c r="J147" s="921" t="e">
        <f>'8_MP'!#REF!</f>
        <v>#REF!</v>
      </c>
      <c r="K147" s="767" t="e">
        <f>'8_MP'!#REF!</f>
        <v>#REF!</v>
      </c>
      <c r="L147" s="4358"/>
      <c r="M147" s="4340"/>
      <c r="N147" s="4340"/>
      <c r="O147" s="4343"/>
      <c r="P147" s="4344"/>
      <c r="Q147"/>
      <c r="R147" s="4337"/>
      <c r="S147" s="4337"/>
      <c r="T147" s="654"/>
    </row>
    <row r="148" spans="2:22" s="815" customFormat="1" outlineLevel="1">
      <c r="B148" s="4346"/>
      <c r="C148" s="4348"/>
      <c r="D148" s="4350"/>
      <c r="E148" s="4352"/>
      <c r="F148" s="4352"/>
      <c r="G148" s="4354"/>
      <c r="H148" s="4356"/>
      <c r="I148" s="4356"/>
      <c r="J148" s="921" t="e">
        <f>'8_MP'!#REF!</f>
        <v>#REF!</v>
      </c>
      <c r="K148" s="767" t="e">
        <f>'8_MP'!#REF!</f>
        <v>#REF!</v>
      </c>
      <c r="L148" s="4358"/>
      <c r="M148" s="4340"/>
      <c r="N148" s="4340"/>
      <c r="O148" s="4343"/>
      <c r="P148" s="4344"/>
      <c r="Q148"/>
      <c r="R148" s="4337"/>
      <c r="S148" s="4337"/>
      <c r="T148" s="654"/>
    </row>
    <row r="149" spans="2:22" s="815" customFormat="1" outlineLevel="1">
      <c r="B149" s="4346"/>
      <c r="C149" s="4348"/>
      <c r="D149" s="4350"/>
      <c r="E149" s="4352"/>
      <c r="F149" s="4352"/>
      <c r="G149" s="4354"/>
      <c r="H149" s="4356"/>
      <c r="I149" s="4356"/>
      <c r="J149" s="921" t="e">
        <f>'8_MP'!#REF!</f>
        <v>#REF!</v>
      </c>
      <c r="K149" s="767" t="e">
        <f>'8_MP'!#REF!</f>
        <v>#REF!</v>
      </c>
      <c r="L149" s="4358"/>
      <c r="M149" s="4359"/>
      <c r="N149" s="4359"/>
      <c r="O149" s="4343"/>
      <c r="P149" s="4344"/>
      <c r="Q149"/>
      <c r="R149" s="4337"/>
      <c r="S149" s="4337"/>
      <c r="T149" s="654"/>
    </row>
    <row r="150" spans="2:22" s="815" customFormat="1" ht="17.5" customHeight="1" outlineLevel="1">
      <c r="B150" s="4345" t="s">
        <v>1705</v>
      </c>
      <c r="C150" s="4347" t="s">
        <v>3189</v>
      </c>
      <c r="D150" s="4349" t="s">
        <v>2782</v>
      </c>
      <c r="E150" s="4351" t="s">
        <v>3113</v>
      </c>
      <c r="F150" s="4351">
        <f>+F145+1</f>
        <v>52</v>
      </c>
      <c r="G150" s="4353" t="e">
        <f>SUM(K150:K152)</f>
        <v>#REF!</v>
      </c>
      <c r="H150" s="4355">
        <v>1</v>
      </c>
      <c r="I150" s="4355">
        <v>0</v>
      </c>
      <c r="J150" s="921" t="str">
        <f>'8_MP'!D447</f>
        <v>3.4.1.2.3</v>
      </c>
      <c r="K150" s="767">
        <f>'8_MP'!AN447</f>
        <v>200000</v>
      </c>
      <c r="L150" s="4357" t="s">
        <v>2265</v>
      </c>
      <c r="M150" s="4339" t="s">
        <v>3109</v>
      </c>
      <c r="N150" s="4339" t="s">
        <v>3082</v>
      </c>
      <c r="O150" s="4341"/>
      <c r="P150" s="4342"/>
      <c r="Q150"/>
      <c r="R150" s="4337" t="s">
        <v>3115</v>
      </c>
      <c r="S150" s="4337" t="s">
        <v>3104</v>
      </c>
      <c r="T150" s="654"/>
    </row>
    <row r="151" spans="2:22" s="815" customFormat="1" ht="17.5" customHeight="1" outlineLevel="1">
      <c r="B151" s="4346"/>
      <c r="C151" s="4348"/>
      <c r="D151" s="4350"/>
      <c r="E151" s="4352"/>
      <c r="F151" s="4352"/>
      <c r="G151" s="4354"/>
      <c r="H151" s="4356"/>
      <c r="I151" s="4356"/>
      <c r="J151" s="921" t="str">
        <f>'8_MP'!D448</f>
        <v>3.4.1.2.4</v>
      </c>
      <c r="K151" s="767">
        <f>'8_MP'!AN448</f>
        <v>100000</v>
      </c>
      <c r="L151" s="4358"/>
      <c r="M151" s="4340"/>
      <c r="N151" s="4340"/>
      <c r="O151" s="4343"/>
      <c r="P151" s="4344"/>
      <c r="Q151"/>
      <c r="R151" s="4337"/>
      <c r="S151" s="4337"/>
      <c r="T151" s="654"/>
    </row>
    <row r="152" spans="2:22" s="815" customFormat="1" ht="17.5" customHeight="1" outlineLevel="1">
      <c r="B152" s="4346"/>
      <c r="C152" s="4348"/>
      <c r="D152" s="4350"/>
      <c r="E152" s="4352"/>
      <c r="F152" s="4352"/>
      <c r="G152" s="4354"/>
      <c r="H152" s="4356"/>
      <c r="I152" s="4356"/>
      <c r="J152" s="962" t="e">
        <f>'8_MP'!#REF!</f>
        <v>#REF!</v>
      </c>
      <c r="K152" s="955" t="e">
        <f>'8_MP'!#REF!</f>
        <v>#REF!</v>
      </c>
      <c r="L152" s="4358"/>
      <c r="M152" s="4340"/>
      <c r="N152" s="4340"/>
      <c r="O152" s="4343"/>
      <c r="P152" s="4344"/>
      <c r="Q152"/>
      <c r="R152" s="4337"/>
      <c r="S152" s="4337"/>
      <c r="T152" s="654"/>
    </row>
    <row r="153" spans="2:22" s="815" customFormat="1" ht="23" customHeight="1" outlineLevel="1">
      <c r="B153" s="4360" t="s">
        <v>1705</v>
      </c>
      <c r="C153" s="4347" t="s">
        <v>3190</v>
      </c>
      <c r="D153" s="4349" t="s">
        <v>3191</v>
      </c>
      <c r="E153" s="4351" t="s">
        <v>3113</v>
      </c>
      <c r="F153" s="4351">
        <f>+F150+1</f>
        <v>53</v>
      </c>
      <c r="G153" s="4353" t="e">
        <f>+K153+K154</f>
        <v>#REF!</v>
      </c>
      <c r="H153" s="4355">
        <v>1</v>
      </c>
      <c r="I153" s="4355">
        <v>0</v>
      </c>
      <c r="J153" s="921" t="e">
        <f>+'8_MP'!#REF!</f>
        <v>#REF!</v>
      </c>
      <c r="K153" s="905" t="e">
        <f>+'8_MP'!#REF!</f>
        <v>#REF!</v>
      </c>
      <c r="L153" s="4366" t="s">
        <v>2265</v>
      </c>
      <c r="M153" s="4339" t="s">
        <v>3114</v>
      </c>
      <c r="N153" s="4339" t="s">
        <v>3088</v>
      </c>
      <c r="O153" s="4341"/>
      <c r="P153" s="4342"/>
      <c r="Q153"/>
      <c r="R153" s="4337" t="s">
        <v>3134</v>
      </c>
      <c r="S153" s="4337" t="s">
        <v>3115</v>
      </c>
      <c r="T153" s="654"/>
    </row>
    <row r="154" spans="2:22" s="815" customFormat="1" ht="23" customHeight="1" outlineLevel="1">
      <c r="B154" s="4462"/>
      <c r="C154" s="4425"/>
      <c r="D154" s="4463"/>
      <c r="E154" s="4368"/>
      <c r="F154" s="4368"/>
      <c r="G154" s="4430"/>
      <c r="H154" s="4432"/>
      <c r="I154" s="4432"/>
      <c r="J154" s="921" t="e">
        <f>+'8_MP'!#REF!</f>
        <v>#REF!</v>
      </c>
      <c r="K154" s="905" t="e">
        <f>+'8_MP'!#REF!</f>
        <v>#REF!</v>
      </c>
      <c r="L154" s="4388"/>
      <c r="M154" s="4359"/>
      <c r="N154" s="4359"/>
      <c r="O154" s="4389"/>
      <c r="P154" s="4390"/>
      <c r="Q154"/>
      <c r="R154" s="4337"/>
      <c r="S154" s="4337"/>
      <c r="T154" s="654"/>
    </row>
    <row r="155" spans="2:22" s="815" customFormat="1" ht="26" outlineLevel="1">
      <c r="B155" s="629" t="s">
        <v>1705</v>
      </c>
      <c r="C155" s="903" t="s">
        <v>3192</v>
      </c>
      <c r="D155" s="929" t="s">
        <v>3191</v>
      </c>
      <c r="E155" s="637" t="s">
        <v>3113</v>
      </c>
      <c r="F155" s="631">
        <f>+F153+1</f>
        <v>54</v>
      </c>
      <c r="G155" s="657" t="e">
        <f>+K155</f>
        <v>#REF!</v>
      </c>
      <c r="H155" s="634">
        <v>1</v>
      </c>
      <c r="I155" s="634">
        <v>0</v>
      </c>
      <c r="J155" s="658" t="e">
        <f>'8_MP'!#REF!</f>
        <v>#REF!</v>
      </c>
      <c r="K155" s="905" t="e">
        <f>'8_MP'!#REF!</f>
        <v>#REF!</v>
      </c>
      <c r="L155" s="637" t="s">
        <v>2265</v>
      </c>
      <c r="M155" s="1167" t="s">
        <v>3114</v>
      </c>
      <c r="N155" s="1167" t="s">
        <v>3088</v>
      </c>
      <c r="O155" s="4466"/>
      <c r="P155" s="4467"/>
      <c r="Q155"/>
      <c r="R155" s="645" t="s">
        <v>3134</v>
      </c>
      <c r="S155" s="645" t="s">
        <v>3115</v>
      </c>
    </row>
    <row r="156" spans="2:22" s="815" customFormat="1" ht="40" outlineLevel="1" thickBot="1">
      <c r="B156" s="629" t="s">
        <v>1705</v>
      </c>
      <c r="C156" s="903" t="s">
        <v>3193</v>
      </c>
      <c r="D156" s="929" t="s">
        <v>3191</v>
      </c>
      <c r="E156" s="637" t="s">
        <v>3137</v>
      </c>
      <c r="F156" s="631">
        <f>+F155+1</f>
        <v>55</v>
      </c>
      <c r="G156" s="657" t="e">
        <f>+K156</f>
        <v>#REF!</v>
      </c>
      <c r="H156" s="634">
        <v>1</v>
      </c>
      <c r="I156" s="634">
        <v>0</v>
      </c>
      <c r="J156" s="904" t="e">
        <f>'8_MP'!#REF!</f>
        <v>#REF!</v>
      </c>
      <c r="K156" s="904" t="e">
        <f>'8_MP'!#REF!</f>
        <v>#REF!</v>
      </c>
      <c r="L156" s="1103" t="s">
        <v>2265</v>
      </c>
      <c r="M156" s="1167" t="s">
        <v>3182</v>
      </c>
      <c r="N156" s="1167" t="s">
        <v>3169</v>
      </c>
      <c r="O156" s="4371"/>
      <c r="P156" s="4372"/>
      <c r="Q156"/>
      <c r="R156" s="645" t="s">
        <v>3176</v>
      </c>
      <c r="S156" s="645" t="s">
        <v>3171</v>
      </c>
    </row>
    <row r="157" spans="2:22" ht="12.75" customHeight="1" thickBot="1">
      <c r="B157" s="4417" t="s">
        <v>3194</v>
      </c>
      <c r="C157" s="4418"/>
      <c r="D157" s="4418"/>
      <c r="E157" s="4418"/>
      <c r="F157" s="4418"/>
      <c r="G157" s="818" t="e">
        <f>SUM(G31:G156)</f>
        <v>#REF!</v>
      </c>
      <c r="H157" s="4436"/>
      <c r="I157" s="4437"/>
      <c r="J157" s="4437"/>
      <c r="K157" s="4437"/>
      <c r="L157" s="4437"/>
      <c r="M157" s="4437"/>
      <c r="N157" s="4437"/>
      <c r="O157" s="4437"/>
      <c r="P157" s="4438"/>
      <c r="R157"/>
      <c r="S157"/>
      <c r="T157" s="791"/>
    </row>
    <row r="158" spans="2:22" ht="16" thickBot="1">
      <c r="B158" s="810"/>
      <c r="C158" s="819"/>
      <c r="D158" s="820"/>
      <c r="E158" s="810"/>
      <c r="F158" s="811"/>
      <c r="G158" s="812"/>
      <c r="H158" s="821"/>
      <c r="I158" s="783"/>
      <c r="J158" s="784"/>
      <c r="K158" s="811"/>
      <c r="L158" s="813"/>
      <c r="M158" s="822"/>
      <c r="N158" s="823"/>
      <c r="O158" s="823"/>
    </row>
    <row r="159" spans="2:22" s="816" customFormat="1" ht="16" thickBot="1">
      <c r="B159" s="4383" t="s">
        <v>3195</v>
      </c>
      <c r="C159" s="4384"/>
      <c r="D159" s="4384"/>
      <c r="E159" s="4384"/>
      <c r="F159" s="4384"/>
      <c r="G159" s="4384"/>
      <c r="H159" s="4384"/>
      <c r="I159" s="4384"/>
      <c r="J159" s="4384"/>
      <c r="K159" s="4384"/>
      <c r="L159" s="4384"/>
      <c r="M159" s="4384"/>
      <c r="N159" s="4384"/>
      <c r="O159" s="4384"/>
      <c r="P159" s="4385"/>
      <c r="Q159"/>
      <c r="R159"/>
      <c r="S159"/>
      <c r="T159"/>
      <c r="U159" s="659"/>
      <c r="V159" s="659"/>
    </row>
    <row r="160" spans="2:22" s="817" customFormat="1" ht="38.25" customHeight="1">
      <c r="B160" s="4461" t="s">
        <v>3058</v>
      </c>
      <c r="C160" s="4419" t="s">
        <v>3059</v>
      </c>
      <c r="D160" s="4378" t="s">
        <v>3060</v>
      </c>
      <c r="E160" s="4378" t="s">
        <v>3061</v>
      </c>
      <c r="F160" s="4378" t="s">
        <v>3063</v>
      </c>
      <c r="G160" s="4419" t="s">
        <v>3064</v>
      </c>
      <c r="H160" s="4419"/>
      <c r="I160" s="4419"/>
      <c r="J160" s="4420" t="s">
        <v>3196</v>
      </c>
      <c r="K160" s="4378" t="s">
        <v>3065</v>
      </c>
      <c r="L160" s="4378" t="s">
        <v>610</v>
      </c>
      <c r="M160" s="4378" t="s">
        <v>3066</v>
      </c>
      <c r="N160" s="4404" t="s">
        <v>3067</v>
      </c>
      <c r="O160" s="4406"/>
      <c r="P160" s="4459" t="s">
        <v>3068</v>
      </c>
      <c r="Q160"/>
      <c r="R160" s="4338" t="s">
        <v>3067</v>
      </c>
      <c r="S160" s="4338"/>
      <c r="T160" s="655"/>
      <c r="U160" s="660"/>
      <c r="V160" s="660"/>
    </row>
    <row r="161" spans="2:22" s="817" customFormat="1" ht="46" thickBot="1">
      <c r="B161" s="4393"/>
      <c r="C161" s="4395"/>
      <c r="D161" s="4379"/>
      <c r="E161" s="4379"/>
      <c r="F161" s="4379"/>
      <c r="G161" s="754" t="s">
        <v>3069</v>
      </c>
      <c r="H161" s="626" t="s">
        <v>3070</v>
      </c>
      <c r="I161" s="755" t="s">
        <v>3071</v>
      </c>
      <c r="J161" s="4421"/>
      <c r="K161" s="4379"/>
      <c r="L161" s="4379"/>
      <c r="M161" s="4379"/>
      <c r="N161" s="754" t="s">
        <v>3197</v>
      </c>
      <c r="O161" s="754" t="s">
        <v>3198</v>
      </c>
      <c r="P161" s="4460"/>
      <c r="Q161"/>
      <c r="R161" s="1165" t="s">
        <v>3197</v>
      </c>
      <c r="S161" s="1165" t="s">
        <v>3198</v>
      </c>
      <c r="T161" s="655"/>
      <c r="U161" s="660"/>
      <c r="V161" s="660"/>
    </row>
    <row r="162" spans="2:22" s="815" customFormat="1" ht="18.5" customHeight="1" outlineLevel="1">
      <c r="B162" s="4346" t="s">
        <v>1705</v>
      </c>
      <c r="C162" s="4422" t="s">
        <v>3199</v>
      </c>
      <c r="D162" s="748" t="s">
        <v>1994</v>
      </c>
      <c r="E162" s="4352" t="s">
        <v>763</v>
      </c>
      <c r="F162" s="4352">
        <f>+F156+1</f>
        <v>56</v>
      </c>
      <c r="G162" s="4354">
        <f>SUM(L162:L163)</f>
        <v>30000</v>
      </c>
      <c r="H162" s="4356">
        <v>1</v>
      </c>
      <c r="I162" s="4356">
        <v>0</v>
      </c>
      <c r="J162" s="4426">
        <v>2</v>
      </c>
      <c r="K162" s="628" t="str">
        <f>'8_MP'!$D$11</f>
        <v>1.1.1.1.2</v>
      </c>
      <c r="L162" s="1100">
        <f>'8_MP'!$AN$11</f>
        <v>0</v>
      </c>
      <c r="M162" s="4428" t="s">
        <v>2265</v>
      </c>
      <c r="N162" s="4340" t="s">
        <v>3200</v>
      </c>
      <c r="O162" s="4340" t="s">
        <v>3148</v>
      </c>
      <c r="P162" s="4407"/>
      <c r="Q162"/>
      <c r="R162" s="4337" t="s">
        <v>3098</v>
      </c>
      <c r="S162" s="4337" t="s">
        <v>3098</v>
      </c>
      <c r="T162" s="654"/>
    </row>
    <row r="163" spans="2:22" s="815" customFormat="1" ht="24" customHeight="1" outlineLevel="1">
      <c r="B163" s="4424"/>
      <c r="C163" s="4423"/>
      <c r="D163" s="669" t="s">
        <v>2033</v>
      </c>
      <c r="E163" s="4368"/>
      <c r="F163" s="4368"/>
      <c r="G163" s="4430"/>
      <c r="H163" s="4432"/>
      <c r="I163" s="4432"/>
      <c r="J163" s="4427"/>
      <c r="K163" s="636" t="str">
        <f>'8_MP'!$D$40</f>
        <v>1.1.1.1.4.1</v>
      </c>
      <c r="L163" s="1101">
        <f>'8_MP'!$AN$40</f>
        <v>30000</v>
      </c>
      <c r="M163" s="4429"/>
      <c r="N163" s="4359"/>
      <c r="O163" s="4359"/>
      <c r="P163" s="4408"/>
      <c r="Q163"/>
      <c r="R163" s="4337"/>
      <c r="S163" s="4337"/>
      <c r="T163" s="654"/>
    </row>
    <row r="164" spans="2:22" s="815" customFormat="1" outlineLevel="1">
      <c r="B164" s="4346" t="s">
        <v>1705</v>
      </c>
      <c r="C164" s="4422" t="s">
        <v>3201</v>
      </c>
      <c r="D164" s="748" t="s">
        <v>1994</v>
      </c>
      <c r="E164" s="4352" t="s">
        <v>763</v>
      </c>
      <c r="F164" s="4352">
        <f>+F162+1</f>
        <v>57</v>
      </c>
      <c r="G164" s="4354">
        <f>SUM(L164:L165)</f>
        <v>30000</v>
      </c>
      <c r="H164" s="4356">
        <v>1</v>
      </c>
      <c r="I164" s="4356">
        <v>0</v>
      </c>
      <c r="J164" s="4426">
        <v>2</v>
      </c>
      <c r="K164" s="628" t="str">
        <f>'8_MP'!$D$12</f>
        <v>1.1.1.1.5</v>
      </c>
      <c r="L164" s="1100">
        <f>'8_MP'!$AN$12</f>
        <v>0</v>
      </c>
      <c r="M164" s="4428" t="s">
        <v>2265</v>
      </c>
      <c r="N164" s="4340" t="s">
        <v>3200</v>
      </c>
      <c r="O164" s="4340" t="s">
        <v>3148</v>
      </c>
      <c r="P164" s="4453"/>
      <c r="Q164"/>
      <c r="R164" s="4337" t="s">
        <v>3098</v>
      </c>
      <c r="S164" s="4337" t="s">
        <v>3098</v>
      </c>
      <c r="T164" s="654"/>
    </row>
    <row r="165" spans="2:22" s="815" customFormat="1" ht="24" customHeight="1" outlineLevel="1">
      <c r="B165" s="4424"/>
      <c r="C165" s="4423"/>
      <c r="D165" s="669" t="s">
        <v>2033</v>
      </c>
      <c r="E165" s="4368"/>
      <c r="F165" s="4368"/>
      <c r="G165" s="4430"/>
      <c r="H165" s="4432"/>
      <c r="I165" s="4432"/>
      <c r="J165" s="4427"/>
      <c r="K165" s="636" t="str">
        <f>'8_MP'!$D$41</f>
        <v>1.1.1.1.4.2</v>
      </c>
      <c r="L165" s="1101">
        <f>'8_MP'!$AN$41</f>
        <v>30000</v>
      </c>
      <c r="M165" s="4429"/>
      <c r="N165" s="4359"/>
      <c r="O165" s="4359"/>
      <c r="P165" s="4408"/>
      <c r="Q165"/>
      <c r="R165" s="4337"/>
      <c r="S165" s="4337"/>
      <c r="T165" s="654"/>
    </row>
    <row r="166" spans="2:22" s="815" customFormat="1" ht="20" customHeight="1" outlineLevel="1">
      <c r="B166" s="4346" t="s">
        <v>1705</v>
      </c>
      <c r="C166" s="4348" t="s">
        <v>3202</v>
      </c>
      <c r="D166" s="748" t="s">
        <v>1994</v>
      </c>
      <c r="E166" s="4351" t="s">
        <v>763</v>
      </c>
      <c r="F166" s="4352">
        <f>+F164+1</f>
        <v>58</v>
      </c>
      <c r="G166" s="4354" t="e">
        <f>SUM(L166:L167)</f>
        <v>#REF!</v>
      </c>
      <c r="H166" s="4356">
        <v>1</v>
      </c>
      <c r="I166" s="4356">
        <v>0</v>
      </c>
      <c r="J166" s="4426">
        <v>2</v>
      </c>
      <c r="K166" s="890" t="e">
        <f>'8_MP'!#REF!</f>
        <v>#REF!</v>
      </c>
      <c r="L166" s="1100" t="e">
        <f>'8_MP'!#REF!</f>
        <v>#REF!</v>
      </c>
      <c r="M166" s="4428" t="s">
        <v>2265</v>
      </c>
      <c r="N166" s="4340" t="s">
        <v>3200</v>
      </c>
      <c r="O166" s="4340" t="s">
        <v>3148</v>
      </c>
      <c r="P166" s="4453"/>
      <c r="Q166"/>
      <c r="R166" s="4337" t="s">
        <v>3098</v>
      </c>
      <c r="S166" s="4337" t="s">
        <v>3098</v>
      </c>
      <c r="T166" s="654"/>
    </row>
    <row r="167" spans="2:22" s="815" customFormat="1" ht="20" customHeight="1" outlineLevel="1">
      <c r="B167" s="4424"/>
      <c r="C167" s="4425"/>
      <c r="D167" s="669" t="s">
        <v>2033</v>
      </c>
      <c r="E167" s="4368"/>
      <c r="F167" s="4368"/>
      <c r="G167" s="4430"/>
      <c r="H167" s="4432"/>
      <c r="I167" s="4432"/>
      <c r="J167" s="4427"/>
      <c r="K167" s="888" t="e">
        <f>'8_MP'!#REF!</f>
        <v>#REF!</v>
      </c>
      <c r="L167" s="1101" t="e">
        <f>'8_MP'!#REF!</f>
        <v>#REF!</v>
      </c>
      <c r="M167" s="4429"/>
      <c r="N167" s="4359"/>
      <c r="O167" s="4359"/>
      <c r="P167" s="4408"/>
      <c r="Q167"/>
      <c r="R167" s="4337"/>
      <c r="S167" s="4337"/>
      <c r="T167" s="654"/>
    </row>
    <row r="168" spans="2:22" s="815" customFormat="1" ht="52" outlineLevel="1">
      <c r="B168" s="640" t="s">
        <v>1705</v>
      </c>
      <c r="C168" s="661" t="s">
        <v>3203</v>
      </c>
      <c r="D168" s="669" t="s">
        <v>2005</v>
      </c>
      <c r="E168" s="642" t="s">
        <v>763</v>
      </c>
      <c r="F168" s="642">
        <f>+F166+1</f>
        <v>59</v>
      </c>
      <c r="G168" s="662" t="e">
        <f t="shared" ref="G168:G179" si="0">+L168</f>
        <v>#REF!</v>
      </c>
      <c r="H168" s="643">
        <v>1</v>
      </c>
      <c r="I168" s="643">
        <v>0</v>
      </c>
      <c r="J168" s="663">
        <v>1</v>
      </c>
      <c r="K168" s="913" t="e">
        <f>'8_MP'!#REF!</f>
        <v>#REF!</v>
      </c>
      <c r="L168" s="1102" t="e">
        <f>'8_MP'!#REF!</f>
        <v>#REF!</v>
      </c>
      <c r="M168" s="645" t="s">
        <v>2265</v>
      </c>
      <c r="N168" s="1169" t="s">
        <v>3149</v>
      </c>
      <c r="O168" s="1169" t="s">
        <v>3096</v>
      </c>
      <c r="P168" s="664"/>
      <c r="Q168"/>
      <c r="R168" s="645" t="s">
        <v>3146</v>
      </c>
      <c r="S168" s="645" t="s">
        <v>3104</v>
      </c>
      <c r="T168" s="654"/>
    </row>
    <row r="169" spans="2:22" s="815" customFormat="1" ht="52" outlineLevel="1">
      <c r="B169" s="640" t="s">
        <v>1705</v>
      </c>
      <c r="C169" s="661" t="s">
        <v>3204</v>
      </c>
      <c r="D169" s="669" t="s">
        <v>2005</v>
      </c>
      <c r="E169" s="642" t="s">
        <v>763</v>
      </c>
      <c r="F169" s="642">
        <f t="shared" ref="F169:F177" si="1">+F168+1</f>
        <v>60</v>
      </c>
      <c r="G169" s="662" t="e">
        <f t="shared" si="0"/>
        <v>#REF!</v>
      </c>
      <c r="H169" s="643">
        <v>1</v>
      </c>
      <c r="I169" s="643">
        <v>0</v>
      </c>
      <c r="J169" s="663">
        <v>1</v>
      </c>
      <c r="K169" s="913" t="e">
        <f>'8_MP'!#REF!</f>
        <v>#REF!</v>
      </c>
      <c r="L169" s="1102" t="e">
        <f>'8_MP'!#REF!</f>
        <v>#REF!</v>
      </c>
      <c r="M169" s="645" t="s">
        <v>2265</v>
      </c>
      <c r="N169" s="1169" t="s">
        <v>3149</v>
      </c>
      <c r="O169" s="1169" t="s">
        <v>3096</v>
      </c>
      <c r="P169" s="664"/>
      <c r="Q169"/>
      <c r="R169" s="645" t="s">
        <v>3146</v>
      </c>
      <c r="S169" s="645" t="s">
        <v>3104</v>
      </c>
      <c r="T169" s="654"/>
    </row>
    <row r="170" spans="2:22" s="815" customFormat="1" ht="65" outlineLevel="1">
      <c r="B170" s="640" t="s">
        <v>1705</v>
      </c>
      <c r="C170" s="661" t="s">
        <v>3205</v>
      </c>
      <c r="D170" s="669" t="s">
        <v>2005</v>
      </c>
      <c r="E170" s="642" t="s">
        <v>763</v>
      </c>
      <c r="F170" s="642">
        <f t="shared" si="1"/>
        <v>61</v>
      </c>
      <c r="G170" s="662" t="e">
        <f t="shared" si="0"/>
        <v>#REF!</v>
      </c>
      <c r="H170" s="643">
        <v>1</v>
      </c>
      <c r="I170" s="643">
        <v>0</v>
      </c>
      <c r="J170" s="1093">
        <v>2</v>
      </c>
      <c r="K170" s="913" t="e">
        <f>'8_MP'!#REF!</f>
        <v>#REF!</v>
      </c>
      <c r="L170" s="1102" t="e">
        <f>'8_MP'!#REF!</f>
        <v>#REF!</v>
      </c>
      <c r="M170" s="645" t="s">
        <v>2265</v>
      </c>
      <c r="N170" s="1169" t="s">
        <v>3149</v>
      </c>
      <c r="O170" s="1169" t="s">
        <v>3096</v>
      </c>
      <c r="P170" s="664"/>
      <c r="Q170"/>
      <c r="R170" s="645" t="s">
        <v>3146</v>
      </c>
      <c r="S170" s="645" t="s">
        <v>3104</v>
      </c>
      <c r="T170" s="654"/>
    </row>
    <row r="171" spans="2:22" s="815" customFormat="1" ht="65" outlineLevel="1">
      <c r="B171" s="629" t="s">
        <v>1705</v>
      </c>
      <c r="C171" s="903" t="s">
        <v>3206</v>
      </c>
      <c r="D171" s="749" t="s">
        <v>2748</v>
      </c>
      <c r="E171" s="631" t="s">
        <v>763</v>
      </c>
      <c r="F171" s="631">
        <f>+F170+1</f>
        <v>62</v>
      </c>
      <c r="G171" s="657" t="e">
        <f t="shared" si="0"/>
        <v>#REF!</v>
      </c>
      <c r="H171" s="634">
        <v>1</v>
      </c>
      <c r="I171" s="961">
        <v>0</v>
      </c>
      <c r="J171" s="645">
        <v>1</v>
      </c>
      <c r="K171" s="1092" t="e">
        <f>'8_MP'!#REF!</f>
        <v>#REF!</v>
      </c>
      <c r="L171" s="1103" t="e">
        <f>'8_MP'!#REF!</f>
        <v>#REF!</v>
      </c>
      <c r="M171" s="637" t="s">
        <v>2265</v>
      </c>
      <c r="N171" s="1169" t="s">
        <v>3119</v>
      </c>
      <c r="O171" s="1169" t="s">
        <v>3123</v>
      </c>
      <c r="P171" s="846"/>
      <c r="Q171"/>
      <c r="R171" s="645" t="s">
        <v>3146</v>
      </c>
      <c r="S171" s="645" t="s">
        <v>3104</v>
      </c>
    </row>
    <row r="172" spans="2:22" s="815" customFormat="1" ht="39" outlineLevel="1">
      <c r="B172" s="629" t="s">
        <v>1705</v>
      </c>
      <c r="C172" s="661" t="s">
        <v>3207</v>
      </c>
      <c r="D172" s="669" t="s">
        <v>2731</v>
      </c>
      <c r="E172" s="642" t="s">
        <v>763</v>
      </c>
      <c r="F172" s="642">
        <f>+F171+1</f>
        <v>63</v>
      </c>
      <c r="G172" s="662">
        <f t="shared" si="0"/>
        <v>617600</v>
      </c>
      <c r="H172" s="643">
        <v>1</v>
      </c>
      <c r="I172" s="643">
        <v>0</v>
      </c>
      <c r="J172" s="1073">
        <v>1</v>
      </c>
      <c r="K172" s="892" t="str">
        <f>'8_MP'!D150</f>
        <v>1.3.1.3</v>
      </c>
      <c r="L172" s="1103">
        <f>'8_MP'!AN150</f>
        <v>617600</v>
      </c>
      <c r="M172" s="637" t="s">
        <v>2265</v>
      </c>
      <c r="N172" s="1169" t="s">
        <v>3088</v>
      </c>
      <c r="O172" s="1169" t="s">
        <v>3096</v>
      </c>
      <c r="P172" s="664"/>
      <c r="Q172"/>
      <c r="R172" s="645" t="s">
        <v>3146</v>
      </c>
      <c r="S172" s="645" t="s">
        <v>3104</v>
      </c>
      <c r="T172" s="654"/>
    </row>
    <row r="173" spans="2:22" s="815" customFormat="1" ht="52" outlineLevel="1">
      <c r="B173" s="629" t="s">
        <v>1705</v>
      </c>
      <c r="C173" s="661" t="s">
        <v>3208</v>
      </c>
      <c r="D173" s="669" t="s">
        <v>2731</v>
      </c>
      <c r="E173" s="642" t="s">
        <v>763</v>
      </c>
      <c r="F173" s="642">
        <f t="shared" si="1"/>
        <v>64</v>
      </c>
      <c r="G173" s="662">
        <f t="shared" si="0"/>
        <v>0</v>
      </c>
      <c r="H173" s="643">
        <v>1</v>
      </c>
      <c r="I173" s="643">
        <v>0</v>
      </c>
      <c r="J173" s="663">
        <v>1</v>
      </c>
      <c r="K173" s="892" t="str">
        <f>'8_MP'!D151</f>
        <v>1.3.1.3.1</v>
      </c>
      <c r="L173" s="1103">
        <f>'8_MP'!AN151</f>
        <v>0</v>
      </c>
      <c r="M173" s="637" t="s">
        <v>2265</v>
      </c>
      <c r="N173" s="1169" t="s">
        <v>3088</v>
      </c>
      <c r="O173" s="1169" t="s">
        <v>3096</v>
      </c>
      <c r="P173" s="664"/>
      <c r="Q173"/>
      <c r="R173" s="645" t="s">
        <v>3146</v>
      </c>
      <c r="S173" s="645" t="s">
        <v>3104</v>
      </c>
      <c r="T173" s="654"/>
    </row>
    <row r="174" spans="2:22" s="815" customFormat="1" ht="52" outlineLevel="1">
      <c r="B174" s="629" t="s">
        <v>1705</v>
      </c>
      <c r="C174" s="661" t="s">
        <v>3209</v>
      </c>
      <c r="D174" s="669" t="s">
        <v>2731</v>
      </c>
      <c r="E174" s="642" t="s">
        <v>763</v>
      </c>
      <c r="F174" s="642">
        <f t="shared" si="1"/>
        <v>65</v>
      </c>
      <c r="G174" s="662">
        <f t="shared" si="0"/>
        <v>0</v>
      </c>
      <c r="H174" s="643">
        <v>1</v>
      </c>
      <c r="I174" s="643">
        <v>0</v>
      </c>
      <c r="J174" s="663">
        <v>1</v>
      </c>
      <c r="K174" s="892" t="str">
        <f>'8_MP'!D152</f>
        <v>1.3.1.3.2</v>
      </c>
      <c r="L174" s="1103">
        <f>'8_MP'!AN152</f>
        <v>0</v>
      </c>
      <c r="M174" s="637" t="s">
        <v>2265</v>
      </c>
      <c r="N174" s="1169" t="s">
        <v>3088</v>
      </c>
      <c r="O174" s="1169" t="s">
        <v>3096</v>
      </c>
      <c r="P174" s="664"/>
      <c r="Q174"/>
      <c r="R174" s="645" t="s">
        <v>3146</v>
      </c>
      <c r="S174" s="645" t="s">
        <v>3104</v>
      </c>
      <c r="T174" s="654"/>
    </row>
    <row r="175" spans="2:22" s="815" customFormat="1" ht="52" outlineLevel="1">
      <c r="B175" s="629" t="s">
        <v>1705</v>
      </c>
      <c r="C175" s="661" t="s">
        <v>3210</v>
      </c>
      <c r="D175" s="669" t="s">
        <v>2731</v>
      </c>
      <c r="E175" s="642" t="s">
        <v>763</v>
      </c>
      <c r="F175" s="642">
        <f t="shared" si="1"/>
        <v>66</v>
      </c>
      <c r="G175" s="662">
        <f t="shared" si="0"/>
        <v>0</v>
      </c>
      <c r="H175" s="643">
        <v>1</v>
      </c>
      <c r="I175" s="643">
        <v>0</v>
      </c>
      <c r="J175" s="663">
        <v>2</v>
      </c>
      <c r="K175" s="892" t="str">
        <f>'8_MP'!D153</f>
        <v>1.3.1.3.3</v>
      </c>
      <c r="L175" s="1103">
        <f>'8_MP'!AN153</f>
        <v>0</v>
      </c>
      <c r="M175" s="637" t="s">
        <v>2265</v>
      </c>
      <c r="N175" s="1169" t="s">
        <v>3181</v>
      </c>
      <c r="O175" s="1169" t="s">
        <v>3120</v>
      </c>
      <c r="P175" s="664"/>
      <c r="Q175"/>
      <c r="R175" s="645" t="s">
        <v>3187</v>
      </c>
      <c r="S175" s="645" t="s">
        <v>3085</v>
      </c>
      <c r="T175" s="654"/>
    </row>
    <row r="176" spans="2:22" s="815" customFormat="1" ht="26" outlineLevel="1">
      <c r="B176" s="1094" t="s">
        <v>3100</v>
      </c>
      <c r="C176" s="661" t="s">
        <v>3211</v>
      </c>
      <c r="D176" s="669" t="s">
        <v>2732</v>
      </c>
      <c r="E176" s="642" t="s">
        <v>763</v>
      </c>
      <c r="F176" s="642">
        <f t="shared" si="1"/>
        <v>67</v>
      </c>
      <c r="G176" s="662" t="e">
        <f t="shared" si="0"/>
        <v>#REF!</v>
      </c>
      <c r="H176" s="643">
        <v>1</v>
      </c>
      <c r="I176" s="643">
        <v>0</v>
      </c>
      <c r="J176" s="663">
        <v>1</v>
      </c>
      <c r="K176" s="904" t="e">
        <f>'8_MP'!#REF!</f>
        <v>#REF!</v>
      </c>
      <c r="L176" s="1103" t="e">
        <f>'8_MP'!#REF!</f>
        <v>#REF!</v>
      </c>
      <c r="M176" s="637" t="s">
        <v>2265</v>
      </c>
      <c r="N176" s="1169" t="s">
        <v>3200</v>
      </c>
      <c r="O176" s="1169" t="s">
        <v>3148</v>
      </c>
      <c r="P176" s="664"/>
      <c r="Q176"/>
      <c r="R176" s="645" t="s">
        <v>3098</v>
      </c>
      <c r="S176" s="645" t="s">
        <v>3098</v>
      </c>
      <c r="T176" s="654"/>
    </row>
    <row r="177" spans="2:20" s="815" customFormat="1" ht="39" outlineLevel="1">
      <c r="B177" s="1094" t="s">
        <v>3100</v>
      </c>
      <c r="C177" s="661" t="s">
        <v>3212</v>
      </c>
      <c r="D177" s="669" t="s">
        <v>2157</v>
      </c>
      <c r="E177" s="642" t="s">
        <v>763</v>
      </c>
      <c r="F177" s="642">
        <f t="shared" si="1"/>
        <v>68</v>
      </c>
      <c r="G177" s="662" t="e">
        <f t="shared" si="0"/>
        <v>#REF!</v>
      </c>
      <c r="H177" s="643">
        <v>1</v>
      </c>
      <c r="I177" s="643">
        <v>0</v>
      </c>
      <c r="J177" s="663">
        <v>1</v>
      </c>
      <c r="K177" s="904" t="e">
        <f>'8_MP'!#REF!</f>
        <v>#REF!</v>
      </c>
      <c r="L177" s="1103" t="e">
        <f>'8_MP'!#REF!</f>
        <v>#REF!</v>
      </c>
      <c r="M177" s="637" t="s">
        <v>2265</v>
      </c>
      <c r="N177" s="1169" t="s">
        <v>3200</v>
      </c>
      <c r="O177" s="1169" t="s">
        <v>3148</v>
      </c>
      <c r="P177" s="664"/>
      <c r="Q177"/>
      <c r="R177" s="645" t="s">
        <v>3098</v>
      </c>
      <c r="S177" s="645" t="s">
        <v>3098</v>
      </c>
      <c r="T177" s="654"/>
    </row>
    <row r="178" spans="2:20" s="815" customFormat="1" ht="39" outlineLevel="1">
      <c r="B178" s="640" t="s">
        <v>3100</v>
      </c>
      <c r="C178" s="661" t="s">
        <v>3213</v>
      </c>
      <c r="D178" s="669" t="s">
        <v>2186</v>
      </c>
      <c r="E178" s="642" t="s">
        <v>763</v>
      </c>
      <c r="F178" s="642">
        <f t="shared" ref="F178:F206" si="2">+F177+1</f>
        <v>69</v>
      </c>
      <c r="G178" s="662" t="e">
        <f t="shared" si="0"/>
        <v>#REF!</v>
      </c>
      <c r="H178" s="643">
        <v>1</v>
      </c>
      <c r="I178" s="643">
        <v>0</v>
      </c>
      <c r="J178" s="663">
        <v>1</v>
      </c>
      <c r="K178" s="892" t="e">
        <f>'8_MP'!#REF!</f>
        <v>#REF!</v>
      </c>
      <c r="L178" s="1103" t="e">
        <f>'8_MP'!#REF!</f>
        <v>#REF!</v>
      </c>
      <c r="M178" s="637" t="s">
        <v>2265</v>
      </c>
      <c r="N178" s="1169" t="s">
        <v>3200</v>
      </c>
      <c r="O178" s="1169" t="s">
        <v>3148</v>
      </c>
      <c r="P178" s="664"/>
      <c r="Q178"/>
      <c r="R178" s="645" t="s">
        <v>3131</v>
      </c>
      <c r="S178" s="645" t="s">
        <v>3131</v>
      </c>
      <c r="T178" s="654"/>
    </row>
    <row r="179" spans="2:20" s="815" customFormat="1" ht="52" outlineLevel="1">
      <c r="B179" s="640" t="s">
        <v>3100</v>
      </c>
      <c r="C179" s="661" t="s">
        <v>3214</v>
      </c>
      <c r="D179" s="669" t="s">
        <v>2174</v>
      </c>
      <c r="E179" s="642" t="s">
        <v>763</v>
      </c>
      <c r="F179" s="642">
        <f t="shared" si="2"/>
        <v>70</v>
      </c>
      <c r="G179" s="662" t="e">
        <f t="shared" si="0"/>
        <v>#REF!</v>
      </c>
      <c r="H179" s="643">
        <v>1</v>
      </c>
      <c r="I179" s="643">
        <v>0</v>
      </c>
      <c r="J179" s="663">
        <v>2</v>
      </c>
      <c r="K179" s="892" t="e">
        <f>'8_MP'!#REF!</f>
        <v>#REF!</v>
      </c>
      <c r="L179" s="1103" t="e">
        <f>'8_MP'!#REF!</f>
        <v>#REF!</v>
      </c>
      <c r="M179" s="637" t="s">
        <v>2265</v>
      </c>
      <c r="N179" s="1169" t="s">
        <v>3109</v>
      </c>
      <c r="O179" s="1169" t="s">
        <v>3103</v>
      </c>
      <c r="P179" s="664"/>
      <c r="Q179"/>
      <c r="R179" s="645" t="s">
        <v>3146</v>
      </c>
      <c r="S179" s="645" t="s">
        <v>3104</v>
      </c>
      <c r="T179" s="654"/>
    </row>
    <row r="180" spans="2:20" s="815" customFormat="1" ht="39" outlineLevel="1">
      <c r="B180" s="640" t="s">
        <v>3100</v>
      </c>
      <c r="C180" s="661" t="s">
        <v>3215</v>
      </c>
      <c r="D180" s="669" t="s">
        <v>2883</v>
      </c>
      <c r="E180" s="642" t="s">
        <v>763</v>
      </c>
      <c r="F180" s="642">
        <f t="shared" si="2"/>
        <v>71</v>
      </c>
      <c r="G180" s="662" t="e">
        <f t="shared" ref="G180:G192" si="3">+L180</f>
        <v>#REF!</v>
      </c>
      <c r="H180" s="643">
        <v>1</v>
      </c>
      <c r="I180" s="643">
        <v>0</v>
      </c>
      <c r="J180" s="663">
        <v>1</v>
      </c>
      <c r="K180" s="892" t="e">
        <f>'8_MP'!#REF!</f>
        <v>#REF!</v>
      </c>
      <c r="L180" s="1103" t="e">
        <f>'8_MP'!#REF!</f>
        <v>#REF!</v>
      </c>
      <c r="M180" s="637" t="s">
        <v>2265</v>
      </c>
      <c r="N180" s="1169" t="s">
        <v>3088</v>
      </c>
      <c r="O180" s="1169" t="s">
        <v>3096</v>
      </c>
      <c r="P180" s="664"/>
      <c r="Q180"/>
      <c r="R180" s="645" t="s">
        <v>3146</v>
      </c>
      <c r="S180" s="645" t="s">
        <v>3104</v>
      </c>
      <c r="T180" s="654"/>
    </row>
    <row r="181" spans="2:20" s="815" customFormat="1" ht="39" outlineLevel="1">
      <c r="B181" s="640" t="s">
        <v>3100</v>
      </c>
      <c r="C181" s="661" t="s">
        <v>3216</v>
      </c>
      <c r="D181" s="669" t="s">
        <v>2883</v>
      </c>
      <c r="E181" s="642" t="s">
        <v>763</v>
      </c>
      <c r="F181" s="642">
        <f t="shared" si="2"/>
        <v>72</v>
      </c>
      <c r="G181" s="662" t="e">
        <f t="shared" si="3"/>
        <v>#REF!</v>
      </c>
      <c r="H181" s="643">
        <v>1</v>
      </c>
      <c r="I181" s="643">
        <v>0</v>
      </c>
      <c r="J181" s="663">
        <v>2</v>
      </c>
      <c r="K181" s="892" t="e">
        <f>'8_MP'!#REF!</f>
        <v>#REF!</v>
      </c>
      <c r="L181" s="1103" t="e">
        <f>'8_MP'!#REF!</f>
        <v>#REF!</v>
      </c>
      <c r="M181" s="637" t="s">
        <v>2265</v>
      </c>
      <c r="N181" s="1169" t="s">
        <v>3088</v>
      </c>
      <c r="O181" s="1169" t="s">
        <v>3096</v>
      </c>
      <c r="P181" s="664"/>
      <c r="Q181"/>
      <c r="R181" s="645" t="s">
        <v>3146</v>
      </c>
      <c r="S181" s="645" t="s">
        <v>3104</v>
      </c>
      <c r="T181" s="654"/>
    </row>
    <row r="182" spans="2:20" s="815" customFormat="1" ht="52" outlineLevel="1">
      <c r="B182" s="640" t="s">
        <v>3100</v>
      </c>
      <c r="C182" s="661" t="s">
        <v>3217</v>
      </c>
      <c r="D182" s="669" t="s">
        <v>2883</v>
      </c>
      <c r="E182" s="642" t="s">
        <v>763</v>
      </c>
      <c r="F182" s="642">
        <f t="shared" si="2"/>
        <v>73</v>
      </c>
      <c r="G182" s="662" t="e">
        <f t="shared" si="3"/>
        <v>#REF!</v>
      </c>
      <c r="H182" s="643">
        <v>1</v>
      </c>
      <c r="I182" s="643">
        <v>0</v>
      </c>
      <c r="J182" s="663">
        <v>1</v>
      </c>
      <c r="K182" s="892" t="e">
        <f>'8_MP'!#REF!</f>
        <v>#REF!</v>
      </c>
      <c r="L182" s="1103" t="e">
        <f>'8_MP'!#REF!</f>
        <v>#REF!</v>
      </c>
      <c r="M182" s="637" t="s">
        <v>2265</v>
      </c>
      <c r="N182" s="1169" t="s">
        <v>3088</v>
      </c>
      <c r="O182" s="1169" t="s">
        <v>3096</v>
      </c>
      <c r="P182" s="664"/>
      <c r="Q182"/>
      <c r="R182" s="645" t="s">
        <v>3146</v>
      </c>
      <c r="S182" s="645" t="s">
        <v>3104</v>
      </c>
      <c r="T182" s="654"/>
    </row>
    <row r="183" spans="2:20" s="815" customFormat="1" ht="52" outlineLevel="1">
      <c r="B183" s="640" t="s">
        <v>3100</v>
      </c>
      <c r="C183" s="661" t="s">
        <v>3218</v>
      </c>
      <c r="D183" s="669" t="s">
        <v>2883</v>
      </c>
      <c r="E183" s="642" t="s">
        <v>763</v>
      </c>
      <c r="F183" s="642">
        <f t="shared" si="2"/>
        <v>74</v>
      </c>
      <c r="G183" s="662" t="e">
        <f t="shared" si="3"/>
        <v>#REF!</v>
      </c>
      <c r="H183" s="643">
        <v>1</v>
      </c>
      <c r="I183" s="643">
        <v>0</v>
      </c>
      <c r="J183" s="663">
        <v>1</v>
      </c>
      <c r="K183" s="892" t="e">
        <f>'8_MP'!#REF!</f>
        <v>#REF!</v>
      </c>
      <c r="L183" s="1103" t="e">
        <f>'8_MP'!#REF!</f>
        <v>#REF!</v>
      </c>
      <c r="M183" s="637" t="s">
        <v>2265</v>
      </c>
      <c r="N183" s="1169" t="s">
        <v>3088</v>
      </c>
      <c r="O183" s="1169" t="s">
        <v>3096</v>
      </c>
      <c r="P183" s="664"/>
      <c r="Q183"/>
      <c r="R183" s="645" t="s">
        <v>3146</v>
      </c>
      <c r="S183" s="645" t="s">
        <v>3104</v>
      </c>
      <c r="T183" s="654"/>
    </row>
    <row r="184" spans="2:20" s="815" customFormat="1" ht="39" outlineLevel="1">
      <c r="B184" s="1094" t="s">
        <v>3100</v>
      </c>
      <c r="C184" s="661" t="s">
        <v>3219</v>
      </c>
      <c r="D184" s="669" t="s">
        <v>2883</v>
      </c>
      <c r="E184" s="642" t="s">
        <v>763</v>
      </c>
      <c r="F184" s="642">
        <f t="shared" si="2"/>
        <v>75</v>
      </c>
      <c r="G184" s="662" t="e">
        <f t="shared" si="3"/>
        <v>#REF!</v>
      </c>
      <c r="H184" s="643">
        <v>1</v>
      </c>
      <c r="I184" s="643">
        <v>0</v>
      </c>
      <c r="J184" s="663">
        <v>1</v>
      </c>
      <c r="K184" s="892" t="e">
        <f>'8_MP'!#REF!</f>
        <v>#REF!</v>
      </c>
      <c r="L184" s="1103" t="e">
        <f>'8_MP'!#REF!</f>
        <v>#REF!</v>
      </c>
      <c r="M184" s="637" t="s">
        <v>2265</v>
      </c>
      <c r="N184" s="1169" t="s">
        <v>3088</v>
      </c>
      <c r="O184" s="1169" t="s">
        <v>3096</v>
      </c>
      <c r="P184" s="664"/>
      <c r="Q184"/>
      <c r="R184" s="645" t="s">
        <v>3146</v>
      </c>
      <c r="S184" s="645" t="s">
        <v>3104</v>
      </c>
      <c r="T184" s="654"/>
    </row>
    <row r="185" spans="2:20" s="815" customFormat="1" ht="39" outlineLevel="1">
      <c r="B185" s="640" t="s">
        <v>3100</v>
      </c>
      <c r="C185" s="661" t="s">
        <v>3220</v>
      </c>
      <c r="D185" s="669" t="s">
        <v>3080</v>
      </c>
      <c r="E185" s="642" t="s">
        <v>763</v>
      </c>
      <c r="F185" s="642">
        <f t="shared" si="2"/>
        <v>76</v>
      </c>
      <c r="G185" s="662" t="e">
        <f t="shared" si="3"/>
        <v>#REF!</v>
      </c>
      <c r="H185" s="643">
        <v>1</v>
      </c>
      <c r="I185" s="643">
        <v>0</v>
      </c>
      <c r="J185" s="663">
        <v>1</v>
      </c>
      <c r="K185" s="892" t="e">
        <f>'8_MP'!#REF!</f>
        <v>#REF!</v>
      </c>
      <c r="L185" s="1103" t="e">
        <f>'8_MP'!#REF!</f>
        <v>#REF!</v>
      </c>
      <c r="M185" s="637" t="s">
        <v>2265</v>
      </c>
      <c r="N185" s="1169" t="s">
        <v>3114</v>
      </c>
      <c r="O185" s="1169" t="s">
        <v>3130</v>
      </c>
      <c r="P185" s="664"/>
      <c r="Q185"/>
      <c r="R185" s="645" t="s">
        <v>3121</v>
      </c>
      <c r="S185" s="645" t="s">
        <v>3121</v>
      </c>
      <c r="T185" s="654"/>
    </row>
    <row r="186" spans="2:20" s="815" customFormat="1" ht="39" outlineLevel="1">
      <c r="B186" s="640" t="s">
        <v>3100</v>
      </c>
      <c r="C186" s="661" t="s">
        <v>3221</v>
      </c>
      <c r="D186" s="669" t="s">
        <v>3080</v>
      </c>
      <c r="E186" s="642" t="s">
        <v>763</v>
      </c>
      <c r="F186" s="642">
        <f t="shared" si="2"/>
        <v>77</v>
      </c>
      <c r="G186" s="662" t="e">
        <f t="shared" si="3"/>
        <v>#REF!</v>
      </c>
      <c r="H186" s="643">
        <v>1</v>
      </c>
      <c r="I186" s="643">
        <v>0</v>
      </c>
      <c r="J186" s="663">
        <v>1</v>
      </c>
      <c r="K186" s="892" t="e">
        <f>'8_MP'!#REF!</f>
        <v>#REF!</v>
      </c>
      <c r="L186" s="1103" t="e">
        <f>'8_MP'!#REF!</f>
        <v>#REF!</v>
      </c>
      <c r="M186" s="637" t="s">
        <v>2265</v>
      </c>
      <c r="N186" s="1169" t="s">
        <v>3114</v>
      </c>
      <c r="O186" s="1169" t="s">
        <v>3130</v>
      </c>
      <c r="P186" s="664"/>
      <c r="Q186"/>
      <c r="R186" s="645" t="s">
        <v>3121</v>
      </c>
      <c r="S186" s="645" t="s">
        <v>3121</v>
      </c>
      <c r="T186" s="654"/>
    </row>
    <row r="187" spans="2:20" s="815" customFormat="1" ht="52" outlineLevel="1">
      <c r="B187" s="640" t="s">
        <v>1705</v>
      </c>
      <c r="C187" s="661" t="s">
        <v>3222</v>
      </c>
      <c r="D187" s="669" t="s">
        <v>2823</v>
      </c>
      <c r="E187" s="642" t="s">
        <v>763</v>
      </c>
      <c r="F187" s="642">
        <f t="shared" si="2"/>
        <v>78</v>
      </c>
      <c r="G187" s="662">
        <f t="shared" si="3"/>
        <v>30000</v>
      </c>
      <c r="H187" s="643">
        <v>1</v>
      </c>
      <c r="I187" s="643">
        <v>0</v>
      </c>
      <c r="J187" s="663">
        <v>1</v>
      </c>
      <c r="K187" s="892" t="str">
        <f>'8_MP'!D375</f>
        <v>3.1.1.1.4</v>
      </c>
      <c r="L187" s="1103">
        <f>'8_MP'!AN375</f>
        <v>30000</v>
      </c>
      <c r="M187" s="637" t="s">
        <v>2265</v>
      </c>
      <c r="N187" s="1169" t="s">
        <v>3149</v>
      </c>
      <c r="O187" s="1169" t="s">
        <v>3096</v>
      </c>
      <c r="P187" s="664"/>
      <c r="Q187"/>
      <c r="R187" s="645" t="s">
        <v>3131</v>
      </c>
      <c r="S187" s="645" t="s">
        <v>3121</v>
      </c>
      <c r="T187" s="654"/>
    </row>
    <row r="188" spans="2:20" s="815" customFormat="1" ht="52" outlineLevel="1">
      <c r="B188" s="640" t="s">
        <v>1705</v>
      </c>
      <c r="C188" s="661" t="s">
        <v>3223</v>
      </c>
      <c r="D188" s="669" t="s">
        <v>2823</v>
      </c>
      <c r="E188" s="642" t="s">
        <v>763</v>
      </c>
      <c r="F188" s="642">
        <f t="shared" si="2"/>
        <v>79</v>
      </c>
      <c r="G188" s="662">
        <f t="shared" si="3"/>
        <v>30000</v>
      </c>
      <c r="H188" s="643">
        <v>1</v>
      </c>
      <c r="I188" s="643">
        <v>0</v>
      </c>
      <c r="J188" s="663">
        <v>1</v>
      </c>
      <c r="K188" s="892" t="str">
        <f>'8_MP'!D376</f>
        <v>3.1.1.1.5</v>
      </c>
      <c r="L188" s="1103">
        <f>'8_MP'!AN376</f>
        <v>30000</v>
      </c>
      <c r="M188" s="637" t="s">
        <v>2265</v>
      </c>
      <c r="N188" s="1169" t="s">
        <v>3149</v>
      </c>
      <c r="O188" s="1169" t="s">
        <v>3096</v>
      </c>
      <c r="P188" s="664"/>
      <c r="Q188"/>
      <c r="R188" s="645" t="s">
        <v>3131</v>
      </c>
      <c r="S188" s="645" t="s">
        <v>3121</v>
      </c>
      <c r="T188" s="654"/>
    </row>
    <row r="189" spans="2:20" s="815" customFormat="1" ht="52" outlineLevel="1">
      <c r="B189" s="640" t="s">
        <v>1705</v>
      </c>
      <c r="C189" s="661" t="s">
        <v>3224</v>
      </c>
      <c r="D189" s="669" t="s">
        <v>2753</v>
      </c>
      <c r="E189" s="642" t="s">
        <v>763</v>
      </c>
      <c r="F189" s="642">
        <f t="shared" si="2"/>
        <v>80</v>
      </c>
      <c r="G189" s="662" t="e">
        <f t="shared" si="3"/>
        <v>#REF!</v>
      </c>
      <c r="H189" s="643">
        <v>1</v>
      </c>
      <c r="I189" s="643">
        <v>0</v>
      </c>
      <c r="J189" s="663">
        <v>1</v>
      </c>
      <c r="K189" s="892" t="e">
        <f>'8_MP'!#REF!</f>
        <v>#REF!</v>
      </c>
      <c r="L189" s="1103" t="e">
        <f>'8_MP'!#REF!</f>
        <v>#REF!</v>
      </c>
      <c r="M189" s="637" t="s">
        <v>2265</v>
      </c>
      <c r="N189" s="1169" t="s">
        <v>3149</v>
      </c>
      <c r="O189" s="1169" t="s">
        <v>3096</v>
      </c>
      <c r="P189" s="664"/>
      <c r="Q189"/>
      <c r="R189" s="645" t="s">
        <v>3131</v>
      </c>
      <c r="S189" s="645" t="s">
        <v>3121</v>
      </c>
      <c r="T189" s="654"/>
    </row>
    <row r="190" spans="2:20" s="815" customFormat="1" ht="52" outlineLevel="1">
      <c r="B190" s="640" t="s">
        <v>1705</v>
      </c>
      <c r="C190" s="661" t="s">
        <v>3225</v>
      </c>
      <c r="D190" s="669" t="s">
        <v>2753</v>
      </c>
      <c r="E190" s="642" t="s">
        <v>763</v>
      </c>
      <c r="F190" s="642">
        <f t="shared" si="2"/>
        <v>81</v>
      </c>
      <c r="G190" s="662" t="e">
        <f t="shared" si="3"/>
        <v>#REF!</v>
      </c>
      <c r="H190" s="643">
        <v>1</v>
      </c>
      <c r="I190" s="643">
        <v>0</v>
      </c>
      <c r="J190" s="663">
        <v>1</v>
      </c>
      <c r="K190" s="892" t="e">
        <f>'8_MP'!#REF!</f>
        <v>#REF!</v>
      </c>
      <c r="L190" s="1103" t="e">
        <f>'8_MP'!#REF!</f>
        <v>#REF!</v>
      </c>
      <c r="M190" s="637" t="s">
        <v>2265</v>
      </c>
      <c r="N190" s="1169" t="s">
        <v>3149</v>
      </c>
      <c r="O190" s="1169" t="s">
        <v>3096</v>
      </c>
      <c r="P190" s="664"/>
      <c r="Q190"/>
      <c r="R190" s="645" t="s">
        <v>3131</v>
      </c>
      <c r="S190" s="645" t="s">
        <v>3121</v>
      </c>
      <c r="T190" s="654"/>
    </row>
    <row r="191" spans="2:20" s="815" customFormat="1" ht="65" outlineLevel="1">
      <c r="B191" s="640" t="s">
        <v>1705</v>
      </c>
      <c r="C191" s="661" t="s">
        <v>3226</v>
      </c>
      <c r="D191" s="669" t="s">
        <v>3106</v>
      </c>
      <c r="E191" s="642" t="s">
        <v>763</v>
      </c>
      <c r="F191" s="642">
        <f t="shared" si="2"/>
        <v>82</v>
      </c>
      <c r="G191" s="662" t="e">
        <f t="shared" si="3"/>
        <v>#REF!</v>
      </c>
      <c r="H191" s="643">
        <v>1</v>
      </c>
      <c r="I191" s="643">
        <v>0</v>
      </c>
      <c r="J191" s="663">
        <v>1</v>
      </c>
      <c r="K191" s="892" t="e">
        <f>'8_MP'!#REF!</f>
        <v>#REF!</v>
      </c>
      <c r="L191" s="1103" t="e">
        <f>'8_MP'!#REF!</f>
        <v>#REF!</v>
      </c>
      <c r="M191" s="637" t="s">
        <v>2265</v>
      </c>
      <c r="N191" s="1169" t="s">
        <v>3149</v>
      </c>
      <c r="O191" s="1169" t="s">
        <v>3096</v>
      </c>
      <c r="P191" s="664"/>
      <c r="Q191"/>
      <c r="R191" s="645" t="s">
        <v>3146</v>
      </c>
      <c r="S191" s="645" t="s">
        <v>3131</v>
      </c>
      <c r="T191" s="654"/>
    </row>
    <row r="192" spans="2:20" s="815" customFormat="1" ht="65" outlineLevel="1">
      <c r="B192" s="640" t="s">
        <v>1705</v>
      </c>
      <c r="C192" s="661" t="s">
        <v>3227</v>
      </c>
      <c r="D192" s="669" t="s">
        <v>2782</v>
      </c>
      <c r="E192" s="642" t="s">
        <v>763</v>
      </c>
      <c r="F192" s="642">
        <f t="shared" si="2"/>
        <v>83</v>
      </c>
      <c r="G192" s="662">
        <f t="shared" si="3"/>
        <v>54000</v>
      </c>
      <c r="H192" s="643">
        <v>1</v>
      </c>
      <c r="I192" s="643">
        <v>0</v>
      </c>
      <c r="J192" s="663">
        <v>1</v>
      </c>
      <c r="K192" s="892" t="str">
        <f>'8_MP'!$D$445</f>
        <v>3.4.1.2.1</v>
      </c>
      <c r="L192" s="1103">
        <f>'8_MP'!$AN$445</f>
        <v>54000</v>
      </c>
      <c r="M192" s="637" t="s">
        <v>2265</v>
      </c>
      <c r="N192" s="1169" t="s">
        <v>3149</v>
      </c>
      <c r="O192" s="1169" t="s">
        <v>3096</v>
      </c>
      <c r="P192" s="664"/>
      <c r="Q192"/>
      <c r="R192" s="645" t="s">
        <v>3146</v>
      </c>
      <c r="S192" s="645" t="s">
        <v>3131</v>
      </c>
      <c r="T192" s="654"/>
    </row>
    <row r="193" spans="2:20" s="815" customFormat="1" ht="26" outlineLevel="1">
      <c r="B193" s="1094" t="s">
        <v>1705</v>
      </c>
      <c r="C193" s="661" t="s">
        <v>3228</v>
      </c>
      <c r="D193" s="669" t="s">
        <v>3191</v>
      </c>
      <c r="E193" s="642" t="s">
        <v>763</v>
      </c>
      <c r="F193" s="642">
        <f>+F192+1</f>
        <v>84</v>
      </c>
      <c r="G193" s="662" t="e">
        <f t="shared" ref="G193:G206" si="4">+L193</f>
        <v>#REF!</v>
      </c>
      <c r="H193" s="643">
        <v>1</v>
      </c>
      <c r="I193" s="643">
        <v>0</v>
      </c>
      <c r="J193" s="663">
        <v>1</v>
      </c>
      <c r="K193" s="892" t="e">
        <f>'8_MP'!#REF!</f>
        <v>#REF!</v>
      </c>
      <c r="L193" s="1103" t="e">
        <f>'8_MP'!#REF!</f>
        <v>#REF!</v>
      </c>
      <c r="M193" s="637" t="s">
        <v>2265</v>
      </c>
      <c r="N193" s="1169" t="s">
        <v>3200</v>
      </c>
      <c r="O193" s="1169" t="s">
        <v>3148</v>
      </c>
      <c r="P193" s="664"/>
      <c r="Q193"/>
      <c r="R193" s="645" t="s">
        <v>3098</v>
      </c>
      <c r="S193" s="645" t="s">
        <v>3098</v>
      </c>
      <c r="T193" s="654"/>
    </row>
    <row r="194" spans="2:20" s="815" customFormat="1" ht="26" outlineLevel="1">
      <c r="B194" s="1094" t="s">
        <v>1705</v>
      </c>
      <c r="C194" s="661" t="s">
        <v>3229</v>
      </c>
      <c r="D194" s="669" t="s">
        <v>3191</v>
      </c>
      <c r="E194" s="642" t="s">
        <v>763</v>
      </c>
      <c r="F194" s="642">
        <f t="shared" si="2"/>
        <v>85</v>
      </c>
      <c r="G194" s="662" t="e">
        <f t="shared" si="4"/>
        <v>#REF!</v>
      </c>
      <c r="H194" s="643">
        <v>1</v>
      </c>
      <c r="I194" s="643">
        <v>0</v>
      </c>
      <c r="J194" s="663">
        <v>1</v>
      </c>
      <c r="K194" s="892" t="e">
        <f>'8_MP'!#REF!</f>
        <v>#REF!</v>
      </c>
      <c r="L194" s="1103" t="e">
        <f>'8_MP'!#REF!</f>
        <v>#REF!</v>
      </c>
      <c r="M194" s="637" t="s">
        <v>2265</v>
      </c>
      <c r="N194" s="1169" t="s">
        <v>3200</v>
      </c>
      <c r="O194" s="1169" t="s">
        <v>3148</v>
      </c>
      <c r="P194" s="664"/>
      <c r="Q194"/>
      <c r="R194" s="645" t="s">
        <v>3098</v>
      </c>
      <c r="S194" s="645" t="s">
        <v>3098</v>
      </c>
      <c r="T194" s="654"/>
    </row>
    <row r="195" spans="2:20" s="815" customFormat="1" ht="26" outlineLevel="1">
      <c r="B195" s="1094" t="s">
        <v>1705</v>
      </c>
      <c r="C195" s="661" t="s">
        <v>3230</v>
      </c>
      <c r="D195" s="669" t="s">
        <v>3191</v>
      </c>
      <c r="E195" s="642" t="s">
        <v>763</v>
      </c>
      <c r="F195" s="642">
        <f t="shared" si="2"/>
        <v>86</v>
      </c>
      <c r="G195" s="662" t="e">
        <f t="shared" si="4"/>
        <v>#REF!</v>
      </c>
      <c r="H195" s="643">
        <v>1</v>
      </c>
      <c r="I195" s="643">
        <v>0</v>
      </c>
      <c r="J195" s="663">
        <v>1</v>
      </c>
      <c r="K195" s="892" t="e">
        <f>'8_MP'!#REF!</f>
        <v>#REF!</v>
      </c>
      <c r="L195" s="1103" t="e">
        <f>'8_MP'!#REF!</f>
        <v>#REF!</v>
      </c>
      <c r="M195" s="637" t="s">
        <v>2265</v>
      </c>
      <c r="N195" s="1169" t="s">
        <v>3200</v>
      </c>
      <c r="O195" s="1169" t="s">
        <v>3148</v>
      </c>
      <c r="P195" s="664"/>
      <c r="Q195"/>
      <c r="R195" s="645" t="s">
        <v>3098</v>
      </c>
      <c r="S195" s="645" t="s">
        <v>3098</v>
      </c>
      <c r="T195" s="654"/>
    </row>
    <row r="196" spans="2:20" s="815" customFormat="1" ht="26" outlineLevel="1">
      <c r="B196" s="1094" t="s">
        <v>1705</v>
      </c>
      <c r="C196" s="661" t="s">
        <v>3231</v>
      </c>
      <c r="D196" s="669" t="s">
        <v>3191</v>
      </c>
      <c r="E196" s="642" t="s">
        <v>763</v>
      </c>
      <c r="F196" s="642">
        <f t="shared" si="2"/>
        <v>87</v>
      </c>
      <c r="G196" s="662" t="e">
        <f t="shared" si="4"/>
        <v>#REF!</v>
      </c>
      <c r="H196" s="643">
        <v>1</v>
      </c>
      <c r="I196" s="643">
        <v>0</v>
      </c>
      <c r="J196" s="663">
        <v>1</v>
      </c>
      <c r="K196" s="892" t="e">
        <f>'8_MP'!#REF!</f>
        <v>#REF!</v>
      </c>
      <c r="L196" s="1103" t="e">
        <f>'8_MP'!#REF!</f>
        <v>#REF!</v>
      </c>
      <c r="M196" s="637" t="s">
        <v>2265</v>
      </c>
      <c r="N196" s="1169" t="s">
        <v>3200</v>
      </c>
      <c r="O196" s="1169" t="s">
        <v>3148</v>
      </c>
      <c r="P196" s="664"/>
      <c r="Q196"/>
      <c r="R196" s="645" t="s">
        <v>3098</v>
      </c>
      <c r="S196" s="645" t="s">
        <v>3098</v>
      </c>
      <c r="T196" s="654"/>
    </row>
    <row r="197" spans="2:20" s="815" customFormat="1" ht="26" outlineLevel="1">
      <c r="B197" s="1094" t="s">
        <v>1705</v>
      </c>
      <c r="C197" s="661" t="s">
        <v>3232</v>
      </c>
      <c r="D197" s="669" t="s">
        <v>3191</v>
      </c>
      <c r="E197" s="642" t="s">
        <v>763</v>
      </c>
      <c r="F197" s="642">
        <f t="shared" si="2"/>
        <v>88</v>
      </c>
      <c r="G197" s="662" t="e">
        <f t="shared" si="4"/>
        <v>#REF!</v>
      </c>
      <c r="H197" s="643">
        <v>1</v>
      </c>
      <c r="I197" s="643">
        <v>0</v>
      </c>
      <c r="J197" s="663">
        <v>2</v>
      </c>
      <c r="K197" s="892" t="e">
        <f>'8_MP'!#REF!</f>
        <v>#REF!</v>
      </c>
      <c r="L197" s="1103" t="e">
        <f>'8_MP'!#REF!</f>
        <v>#REF!</v>
      </c>
      <c r="M197" s="637" t="s">
        <v>2265</v>
      </c>
      <c r="N197" s="1169" t="s">
        <v>3200</v>
      </c>
      <c r="O197" s="1169" t="s">
        <v>3148</v>
      </c>
      <c r="P197" s="664"/>
      <c r="Q197"/>
      <c r="R197" s="645" t="s">
        <v>3138</v>
      </c>
      <c r="S197" s="645" t="s">
        <v>3138</v>
      </c>
      <c r="T197" s="654"/>
    </row>
    <row r="198" spans="2:20" s="815" customFormat="1" ht="26" outlineLevel="1">
      <c r="B198" s="1094" t="s">
        <v>1705</v>
      </c>
      <c r="C198" s="661" t="s">
        <v>3233</v>
      </c>
      <c r="D198" s="669" t="s">
        <v>3191</v>
      </c>
      <c r="E198" s="642" t="s">
        <v>763</v>
      </c>
      <c r="F198" s="642">
        <f t="shared" si="2"/>
        <v>89</v>
      </c>
      <c r="G198" s="662" t="e">
        <f t="shared" si="4"/>
        <v>#REF!</v>
      </c>
      <c r="H198" s="643">
        <v>1</v>
      </c>
      <c r="I198" s="643">
        <v>0</v>
      </c>
      <c r="J198" s="663">
        <v>2</v>
      </c>
      <c r="K198" s="892" t="e">
        <f>'8_MP'!#REF!</f>
        <v>#REF!</v>
      </c>
      <c r="L198" s="1103" t="e">
        <f>'8_MP'!#REF!</f>
        <v>#REF!</v>
      </c>
      <c r="M198" s="637" t="s">
        <v>2265</v>
      </c>
      <c r="N198" s="1169" t="s">
        <v>3107</v>
      </c>
      <c r="O198" s="1169" t="s">
        <v>3088</v>
      </c>
      <c r="P198" s="664"/>
      <c r="Q198"/>
      <c r="R198" s="645" t="s">
        <v>3138</v>
      </c>
      <c r="S198" s="645" t="s">
        <v>3138</v>
      </c>
      <c r="T198" s="654"/>
    </row>
    <row r="199" spans="2:20" s="815" customFormat="1" ht="26" outlineLevel="1">
      <c r="B199" s="1094" t="s">
        <v>1705</v>
      </c>
      <c r="C199" s="661" t="s">
        <v>3234</v>
      </c>
      <c r="D199" s="669" t="s">
        <v>3191</v>
      </c>
      <c r="E199" s="642" t="s">
        <v>763</v>
      </c>
      <c r="F199" s="642">
        <f t="shared" si="2"/>
        <v>90</v>
      </c>
      <c r="G199" s="662" t="e">
        <f t="shared" si="4"/>
        <v>#REF!</v>
      </c>
      <c r="H199" s="643">
        <v>1</v>
      </c>
      <c r="I199" s="643">
        <v>0</v>
      </c>
      <c r="J199" s="663">
        <v>1</v>
      </c>
      <c r="K199" s="892" t="e">
        <f>'8_MP'!#REF!</f>
        <v>#REF!</v>
      </c>
      <c r="L199" s="1103" t="e">
        <f>'8_MP'!#REF!</f>
        <v>#REF!</v>
      </c>
      <c r="M199" s="637" t="s">
        <v>2265</v>
      </c>
      <c r="N199" s="1169" t="s">
        <v>3107</v>
      </c>
      <c r="O199" s="1169" t="s">
        <v>3088</v>
      </c>
      <c r="P199" s="664"/>
      <c r="Q199"/>
      <c r="R199" s="645" t="s">
        <v>3138</v>
      </c>
      <c r="S199" s="645" t="s">
        <v>3138</v>
      </c>
      <c r="T199" s="654"/>
    </row>
    <row r="200" spans="2:20" s="815" customFormat="1" ht="26" outlineLevel="1">
      <c r="B200" s="1094" t="s">
        <v>3100</v>
      </c>
      <c r="C200" s="661" t="s">
        <v>3235</v>
      </c>
      <c r="D200" s="669" t="s">
        <v>3236</v>
      </c>
      <c r="E200" s="642" t="s">
        <v>763</v>
      </c>
      <c r="F200" s="642">
        <f>+F199+1</f>
        <v>91</v>
      </c>
      <c r="G200" s="662" t="e">
        <f t="shared" si="4"/>
        <v>#REF!</v>
      </c>
      <c r="H200" s="643">
        <v>1</v>
      </c>
      <c r="I200" s="643">
        <v>0</v>
      </c>
      <c r="J200" s="663">
        <v>1</v>
      </c>
      <c r="K200" s="892" t="e">
        <f>'8_MP'!#REF!</f>
        <v>#REF!</v>
      </c>
      <c r="L200" s="1103" t="e">
        <f>'8_MP'!#REF!</f>
        <v>#REF!</v>
      </c>
      <c r="M200" s="637" t="s">
        <v>2265</v>
      </c>
      <c r="N200" s="1169" t="s">
        <v>3200</v>
      </c>
      <c r="O200" s="1169" t="s">
        <v>3148</v>
      </c>
      <c r="P200" s="664"/>
      <c r="Q200"/>
      <c r="R200" s="645" t="s">
        <v>3098</v>
      </c>
      <c r="S200" s="645" t="s">
        <v>3098</v>
      </c>
      <c r="T200" s="654"/>
    </row>
    <row r="201" spans="2:20" s="815" customFormat="1" ht="26" outlineLevel="1">
      <c r="B201" s="1094" t="s">
        <v>3100</v>
      </c>
      <c r="C201" s="661" t="s">
        <v>3237</v>
      </c>
      <c r="D201" s="669" t="s">
        <v>3236</v>
      </c>
      <c r="E201" s="642" t="s">
        <v>763</v>
      </c>
      <c r="F201" s="642">
        <f t="shared" si="2"/>
        <v>92</v>
      </c>
      <c r="G201" s="662" t="e">
        <f t="shared" si="4"/>
        <v>#REF!</v>
      </c>
      <c r="H201" s="643">
        <v>1</v>
      </c>
      <c r="I201" s="643">
        <v>0</v>
      </c>
      <c r="J201" s="663">
        <v>1</v>
      </c>
      <c r="K201" s="892" t="e">
        <f>'8_MP'!#REF!</f>
        <v>#REF!</v>
      </c>
      <c r="L201" s="1103" t="e">
        <f>'8_MP'!#REF!</f>
        <v>#REF!</v>
      </c>
      <c r="M201" s="637" t="s">
        <v>2265</v>
      </c>
      <c r="N201" s="1169" t="s">
        <v>3200</v>
      </c>
      <c r="O201" s="1169" t="s">
        <v>3148</v>
      </c>
      <c r="P201" s="664"/>
      <c r="Q201"/>
      <c r="R201" s="645" t="s">
        <v>3098</v>
      </c>
      <c r="S201" s="645" t="s">
        <v>3098</v>
      </c>
      <c r="T201" s="654"/>
    </row>
    <row r="202" spans="2:20" s="815" customFormat="1" ht="26" outlineLevel="1">
      <c r="B202" s="1094" t="s">
        <v>3100</v>
      </c>
      <c r="C202" s="661" t="s">
        <v>3238</v>
      </c>
      <c r="D202" s="669" t="s">
        <v>3236</v>
      </c>
      <c r="E202" s="642" t="s">
        <v>763</v>
      </c>
      <c r="F202" s="642">
        <f t="shared" si="2"/>
        <v>93</v>
      </c>
      <c r="G202" s="662" t="e">
        <f t="shared" si="4"/>
        <v>#REF!</v>
      </c>
      <c r="H202" s="643">
        <v>1</v>
      </c>
      <c r="I202" s="643">
        <v>0</v>
      </c>
      <c r="J202" s="663">
        <v>1</v>
      </c>
      <c r="K202" s="892" t="e">
        <f>'8_MP'!#REF!</f>
        <v>#REF!</v>
      </c>
      <c r="L202" s="1103" t="e">
        <f>'8_MP'!#REF!</f>
        <v>#REF!</v>
      </c>
      <c r="M202" s="637" t="s">
        <v>2265</v>
      </c>
      <c r="N202" s="1169" t="s">
        <v>3200</v>
      </c>
      <c r="O202" s="1169" t="s">
        <v>3148</v>
      </c>
      <c r="P202" s="664"/>
      <c r="Q202"/>
      <c r="R202" s="645" t="s">
        <v>3098</v>
      </c>
      <c r="S202" s="645" t="s">
        <v>3098</v>
      </c>
      <c r="T202" s="654"/>
    </row>
    <row r="203" spans="2:20" s="815" customFormat="1" ht="26" outlineLevel="1">
      <c r="B203" s="1094" t="s">
        <v>3100</v>
      </c>
      <c r="C203" s="661" t="s">
        <v>3239</v>
      </c>
      <c r="D203" s="669" t="s">
        <v>3236</v>
      </c>
      <c r="E203" s="642" t="s">
        <v>763</v>
      </c>
      <c r="F203" s="642">
        <f t="shared" si="2"/>
        <v>94</v>
      </c>
      <c r="G203" s="662" t="e">
        <f t="shared" si="4"/>
        <v>#REF!</v>
      </c>
      <c r="H203" s="643">
        <v>1</v>
      </c>
      <c r="I203" s="643">
        <v>0</v>
      </c>
      <c r="J203" s="663">
        <v>1</v>
      </c>
      <c r="K203" s="892" t="e">
        <f>'8_MP'!#REF!</f>
        <v>#REF!</v>
      </c>
      <c r="L203" s="1103" t="e">
        <f>'8_MP'!#REF!</f>
        <v>#REF!</v>
      </c>
      <c r="M203" s="637" t="s">
        <v>2265</v>
      </c>
      <c r="N203" s="1169" t="s">
        <v>3200</v>
      </c>
      <c r="O203" s="1169" t="s">
        <v>3148</v>
      </c>
      <c r="P203" s="664"/>
      <c r="Q203"/>
      <c r="R203" s="645" t="s">
        <v>3098</v>
      </c>
      <c r="S203" s="645" t="s">
        <v>3098</v>
      </c>
      <c r="T203" s="654"/>
    </row>
    <row r="204" spans="2:20" s="815" customFormat="1" ht="26" outlineLevel="1">
      <c r="B204" s="1094" t="s">
        <v>3100</v>
      </c>
      <c r="C204" s="661" t="s">
        <v>3240</v>
      </c>
      <c r="D204" s="669" t="s">
        <v>3236</v>
      </c>
      <c r="E204" s="642" t="s">
        <v>763</v>
      </c>
      <c r="F204" s="642">
        <f t="shared" si="2"/>
        <v>95</v>
      </c>
      <c r="G204" s="662" t="e">
        <f t="shared" si="4"/>
        <v>#REF!</v>
      </c>
      <c r="H204" s="643">
        <v>1</v>
      </c>
      <c r="I204" s="643">
        <v>0</v>
      </c>
      <c r="J204" s="663">
        <v>1</v>
      </c>
      <c r="K204" s="892" t="e">
        <f>'8_MP'!#REF!</f>
        <v>#REF!</v>
      </c>
      <c r="L204" s="1103" t="e">
        <f>'8_MP'!#REF!</f>
        <v>#REF!</v>
      </c>
      <c r="M204" s="637" t="s">
        <v>2265</v>
      </c>
      <c r="N204" s="1169" t="s">
        <v>3200</v>
      </c>
      <c r="O204" s="1169" t="s">
        <v>3148</v>
      </c>
      <c r="P204" s="664"/>
      <c r="Q204"/>
      <c r="R204" s="645" t="s">
        <v>3138</v>
      </c>
      <c r="S204" s="645" t="s">
        <v>3138</v>
      </c>
      <c r="T204" s="654"/>
    </row>
    <row r="205" spans="2:20" s="815" customFormat="1" ht="26" outlineLevel="1">
      <c r="B205" s="1094" t="s">
        <v>3100</v>
      </c>
      <c r="C205" s="661" t="s">
        <v>3241</v>
      </c>
      <c r="D205" s="669" t="s">
        <v>3236</v>
      </c>
      <c r="E205" s="642" t="s">
        <v>763</v>
      </c>
      <c r="F205" s="642">
        <f t="shared" si="2"/>
        <v>96</v>
      </c>
      <c r="G205" s="662" t="e">
        <f t="shared" si="4"/>
        <v>#REF!</v>
      </c>
      <c r="H205" s="643">
        <v>1</v>
      </c>
      <c r="I205" s="643">
        <v>0</v>
      </c>
      <c r="J205" s="663">
        <v>2</v>
      </c>
      <c r="K205" s="892" t="e">
        <f>'8_MP'!#REF!</f>
        <v>#REF!</v>
      </c>
      <c r="L205" s="1103" t="e">
        <f>'8_MP'!#REF!</f>
        <v>#REF!</v>
      </c>
      <c r="M205" s="637" t="s">
        <v>2265</v>
      </c>
      <c r="N205" s="1169" t="s">
        <v>3107</v>
      </c>
      <c r="O205" s="1169" t="s">
        <v>3088</v>
      </c>
      <c r="P205" s="664"/>
      <c r="Q205"/>
      <c r="R205" s="645" t="s">
        <v>3138</v>
      </c>
      <c r="S205" s="645" t="s">
        <v>3138</v>
      </c>
      <c r="T205" s="654"/>
    </row>
    <row r="206" spans="2:20" s="815" customFormat="1" ht="27" outlineLevel="1" thickBot="1">
      <c r="B206" s="1094" t="s">
        <v>3100</v>
      </c>
      <c r="C206" s="661" t="s">
        <v>3242</v>
      </c>
      <c r="D206" s="669" t="s">
        <v>3236</v>
      </c>
      <c r="E206" s="642" t="s">
        <v>763</v>
      </c>
      <c r="F206" s="642">
        <f t="shared" si="2"/>
        <v>97</v>
      </c>
      <c r="G206" s="662" t="e">
        <f t="shared" si="4"/>
        <v>#REF!</v>
      </c>
      <c r="H206" s="643">
        <v>1</v>
      </c>
      <c r="I206" s="643">
        <v>0</v>
      </c>
      <c r="J206" s="663">
        <v>1</v>
      </c>
      <c r="K206" s="892" t="e">
        <f>'8_MP'!#REF!</f>
        <v>#REF!</v>
      </c>
      <c r="L206" s="1103" t="e">
        <f>'8_MP'!#REF!</f>
        <v>#REF!</v>
      </c>
      <c r="M206" s="637" t="s">
        <v>2265</v>
      </c>
      <c r="N206" s="1169" t="s">
        <v>3200</v>
      </c>
      <c r="O206" s="1169" t="s">
        <v>3148</v>
      </c>
      <c r="P206" s="664"/>
      <c r="Q206"/>
      <c r="R206" s="645" t="s">
        <v>3138</v>
      </c>
      <c r="S206" s="645" t="s">
        <v>3138</v>
      </c>
      <c r="T206" s="654"/>
    </row>
    <row r="207" spans="2:20" ht="16" thickBot="1">
      <c r="B207" s="4417" t="s">
        <v>3243</v>
      </c>
      <c r="C207" s="4418"/>
      <c r="D207" s="4418"/>
      <c r="E207" s="4418"/>
      <c r="F207" s="4418"/>
      <c r="G207" s="818" t="e">
        <f>SUM(G162:G206)</f>
        <v>#REF!</v>
      </c>
      <c r="H207" s="4436"/>
      <c r="I207" s="4437"/>
      <c r="J207" s="4437"/>
      <c r="K207" s="4437"/>
      <c r="L207" s="4437"/>
      <c r="M207" s="4437"/>
      <c r="N207" s="4437"/>
      <c r="O207" s="4437"/>
      <c r="P207" s="4438"/>
      <c r="R207"/>
      <c r="S207"/>
    </row>
    <row r="208" spans="2:20" ht="16" thickBot="1"/>
    <row r="209" spans="2:25" ht="45" customHeight="1" thickBot="1">
      <c r="B209" s="4414" t="s">
        <v>3244</v>
      </c>
      <c r="C209" s="4415"/>
      <c r="D209" s="4415"/>
      <c r="E209" s="4415"/>
      <c r="F209" s="4415"/>
      <c r="G209" s="4415"/>
      <c r="H209" s="4415"/>
      <c r="I209" s="4415"/>
      <c r="J209" s="4415"/>
      <c r="K209" s="4415"/>
      <c r="L209" s="4415"/>
      <c r="M209" s="4415"/>
      <c r="N209" s="4415"/>
      <c r="O209" s="4415"/>
      <c r="P209" s="4416"/>
      <c r="R209"/>
      <c r="S209"/>
      <c r="T209"/>
      <c r="U209" s="627"/>
    </row>
    <row r="210" spans="2:25" s="665" customFormat="1">
      <c r="B210" s="4451" t="s">
        <v>3058</v>
      </c>
      <c r="C210" s="4373"/>
      <c r="D210" s="4373" t="s">
        <v>3060</v>
      </c>
      <c r="E210" s="4373"/>
      <c r="F210" s="4373" t="s">
        <v>3063</v>
      </c>
      <c r="G210" s="4373"/>
      <c r="H210" s="4377" t="s">
        <v>3064</v>
      </c>
      <c r="I210" s="4377"/>
      <c r="J210" s="4377"/>
      <c r="K210" s="4373" t="s">
        <v>3065</v>
      </c>
      <c r="L210" s="4443" t="s">
        <v>3245</v>
      </c>
      <c r="M210" s="4445" t="s">
        <v>3246</v>
      </c>
      <c r="N210" s="4447" t="s">
        <v>3067</v>
      </c>
      <c r="O210" s="4448"/>
      <c r="P210" s="4449" t="s">
        <v>151</v>
      </c>
      <c r="Q210"/>
      <c r="R210"/>
      <c r="S210"/>
      <c r="T210"/>
      <c r="U210" s="627"/>
      <c r="V210" s="791"/>
      <c r="W210" s="791"/>
      <c r="X210" s="791"/>
      <c r="Y210" s="791"/>
    </row>
    <row r="211" spans="2:25" s="665" customFormat="1" ht="46" thickBot="1">
      <c r="B211" s="4452"/>
      <c r="C211" s="4374"/>
      <c r="D211" s="4374"/>
      <c r="E211" s="4374"/>
      <c r="F211" s="4374"/>
      <c r="G211" s="4374"/>
      <c r="H211" s="753" t="s">
        <v>3069</v>
      </c>
      <c r="I211" s="753" t="s">
        <v>3070</v>
      </c>
      <c r="J211" s="670" t="s">
        <v>3247</v>
      </c>
      <c r="K211" s="4374"/>
      <c r="L211" s="4444"/>
      <c r="M211" s="4446"/>
      <c r="N211" s="753" t="s">
        <v>3248</v>
      </c>
      <c r="O211" s="753" t="s">
        <v>3249</v>
      </c>
      <c r="P211" s="4450"/>
      <c r="Q211"/>
      <c r="R211"/>
      <c r="S211"/>
      <c r="T211"/>
      <c r="U211" s="627"/>
      <c r="V211" s="791"/>
      <c r="W211" s="791"/>
      <c r="X211" s="791"/>
      <c r="Y211" s="791"/>
    </row>
    <row r="212" spans="2:25" s="665" customFormat="1" ht="16" thickBot="1">
      <c r="B212" s="1085"/>
      <c r="C212" s="653"/>
      <c r="D212" s="4352"/>
      <c r="E212" s="4352"/>
      <c r="F212" s="4352"/>
      <c r="G212" s="4352"/>
      <c r="H212" s="671"/>
      <c r="I212" s="750"/>
      <c r="J212" s="750"/>
      <c r="K212" s="893"/>
      <c r="L212" s="672"/>
      <c r="M212" s="751"/>
      <c r="N212" s="751"/>
      <c r="O212" s="673"/>
      <c r="P212" s="674"/>
      <c r="Q212"/>
      <c r="R212"/>
      <c r="S212"/>
      <c r="T212"/>
      <c r="U212" s="627"/>
      <c r="V212" s="791"/>
      <c r="W212" s="791"/>
      <c r="X212" s="791"/>
      <c r="Y212" s="791"/>
    </row>
    <row r="213" spans="2:25" ht="16" thickBot="1">
      <c r="B213" s="4439" t="s">
        <v>3250</v>
      </c>
      <c r="C213" s="4440"/>
      <c r="D213" s="4440"/>
      <c r="E213" s="4440"/>
      <c r="F213" s="4440"/>
      <c r="G213" s="4441"/>
      <c r="H213" s="825">
        <f>SUM(H212:H212)</f>
        <v>0</v>
      </c>
      <c r="I213" s="4433"/>
      <c r="J213" s="4434"/>
      <c r="K213" s="4434"/>
      <c r="L213" s="4434"/>
      <c r="M213" s="4434"/>
      <c r="N213" s="4434"/>
      <c r="O213" s="4434"/>
      <c r="P213" s="4435"/>
      <c r="R213"/>
      <c r="S213"/>
      <c r="T213"/>
    </row>
    <row r="214" spans="2:25">
      <c r="B214" s="823"/>
      <c r="C214" s="823"/>
      <c r="D214" s="826"/>
      <c r="E214" s="823"/>
      <c r="F214" s="791"/>
      <c r="G214" s="791"/>
      <c r="H214" s="667"/>
      <c r="I214" s="666"/>
      <c r="J214" s="667"/>
      <c r="K214" s="827"/>
      <c r="L214" s="828"/>
      <c r="M214" s="829"/>
      <c r="N214" s="823"/>
      <c r="O214" s="823"/>
    </row>
    <row r="215" spans="2:25" s="665" customFormat="1">
      <c r="B215" s="4442"/>
      <c r="C215" s="4442"/>
      <c r="D215" s="816"/>
      <c r="E215" s="791"/>
      <c r="G215" s="4375" t="s">
        <v>1112</v>
      </c>
      <c r="H215" s="4375"/>
      <c r="I215" s="834" t="e">
        <f>+G207+G157+H17+H9+H213+H26</f>
        <v>#REF!</v>
      </c>
      <c r="K215" s="824"/>
      <c r="L215" s="824"/>
      <c r="N215" s="791"/>
      <c r="O215" s="791"/>
      <c r="P215" s="791"/>
      <c r="Q215"/>
      <c r="R215" s="791"/>
      <c r="S215" s="791"/>
      <c r="T215" s="627"/>
      <c r="U215" s="791"/>
      <c r="V215" s="791"/>
      <c r="W215" s="791"/>
      <c r="X215" s="791"/>
    </row>
    <row r="216" spans="2:25" ht="12" customHeight="1">
      <c r="B216" s="4376" t="s">
        <v>723</v>
      </c>
      <c r="C216" s="4376"/>
      <c r="D216" s="4376"/>
      <c r="E216" s="830"/>
      <c r="F216" s="791"/>
      <c r="G216" s="4375" t="s">
        <v>2256</v>
      </c>
      <c r="H216" s="4375"/>
      <c r="I216" s="835" t="e">
        <f>+D269</f>
        <v>#REF!</v>
      </c>
    </row>
    <row r="217" spans="2:25">
      <c r="B217" s="1086" t="s">
        <v>484</v>
      </c>
      <c r="C217" s="930" t="s">
        <v>1300</v>
      </c>
      <c r="D217" s="930" t="s">
        <v>610</v>
      </c>
      <c r="F217" s="791"/>
      <c r="G217" s="4431" t="s">
        <v>2258</v>
      </c>
      <c r="H217" s="4431"/>
      <c r="I217" s="836" t="e">
        <f>+I216+I215</f>
        <v>#REF!</v>
      </c>
    </row>
    <row r="218" spans="2:25" s="815" customFormat="1" ht="26">
      <c r="B218" s="923" t="str">
        <f>'8_MP'!D59</f>
        <v>1.1.2.1.6</v>
      </c>
      <c r="C218" s="831" t="str">
        <f>'8_MP'!H59</f>
        <v>Piloto para inclusión de información de gobiernos locales</v>
      </c>
      <c r="D218" s="924">
        <f>'8_MP'!AN59</f>
        <v>0</v>
      </c>
      <c r="I218" s="925"/>
      <c r="J218" s="925"/>
      <c r="K218" s="926"/>
      <c r="L218" s="926"/>
      <c r="M218" s="925"/>
      <c r="Q218"/>
      <c r="T218" s="1075"/>
    </row>
    <row r="219" spans="2:25" s="815" customFormat="1" ht="26">
      <c r="B219" s="923" t="str">
        <f>'8_MP'!D60</f>
        <v>1.1.2.1.7</v>
      </c>
      <c r="C219" s="831" t="str">
        <f>'8_MP'!H60</f>
        <v>Piloto para inclusión de información de empresas públicas</v>
      </c>
      <c r="D219" s="924">
        <f>'8_MP'!AN60</f>
        <v>0</v>
      </c>
      <c r="I219" s="925"/>
      <c r="J219" s="925"/>
      <c r="K219" s="926"/>
      <c r="L219" s="926"/>
      <c r="M219" s="925"/>
      <c r="Q219"/>
      <c r="T219" s="1075"/>
    </row>
    <row r="220" spans="2:25" s="815" customFormat="1" ht="26">
      <c r="B220" s="923" t="str">
        <f>+'8_MP'!D75</f>
        <v>1.2.1.1</v>
      </c>
      <c r="C220" s="831" t="str">
        <f>+'8_MP'!H75</f>
        <v>Nuevo sistema de compras públicas electrónicas, diseñado</v>
      </c>
      <c r="D220" s="924">
        <f>+'8_MP'!AI75</f>
        <v>535000</v>
      </c>
      <c r="I220" s="925"/>
      <c r="J220" s="925"/>
      <c r="K220" s="926"/>
      <c r="L220" s="926"/>
      <c r="M220" s="925"/>
      <c r="Q220"/>
      <c r="T220" s="1075"/>
    </row>
    <row r="221" spans="2:25" s="815" customFormat="1" ht="26">
      <c r="B221" s="923" t="str">
        <f>+'8_MP'!D79</f>
        <v>1.2.1.2.1</v>
      </c>
      <c r="C221" s="831" t="str">
        <f>+'8_MP'!H79</f>
        <v>Adquisición y configuración de una herramienta de planeación y gestión de proyectos.</v>
      </c>
      <c r="D221" s="924">
        <f>+'8_MP'!AN79</f>
        <v>25000</v>
      </c>
      <c r="I221" s="925"/>
      <c r="J221" s="925"/>
      <c r="K221" s="926"/>
      <c r="L221" s="926"/>
      <c r="M221" s="925"/>
      <c r="Q221"/>
      <c r="T221" s="1075"/>
    </row>
    <row r="222" spans="2:25" s="815" customFormat="1" ht="52">
      <c r="B222" s="923" t="str">
        <f>'8_MP'!$D$80</f>
        <v>1.2.1.2.2</v>
      </c>
      <c r="C222" s="831" t="str">
        <f>'8_MP'!$H$80</f>
        <v>Equipo técnico para la Oficina de Gestión de Proyectos (PMO) encargada de administrar los proyectos de TI del nuevo sistema y especialista Técnico.</v>
      </c>
      <c r="D222" s="924">
        <f>'8_MP'!$AN$80</f>
        <v>400000</v>
      </c>
      <c r="I222" s="925"/>
      <c r="J222" s="925"/>
      <c r="K222" s="926"/>
      <c r="L222" s="926"/>
      <c r="M222" s="925"/>
      <c r="Q222"/>
      <c r="T222" s="1075"/>
    </row>
    <row r="223" spans="2:25" s="815" customFormat="1" ht="39">
      <c r="B223" s="923" t="str">
        <f>'8_MP'!D82</f>
        <v>1.2.1.3.1</v>
      </c>
      <c r="C223" s="831" t="str">
        <f>'8_MP'!H82</f>
        <v>Adquisición y/o construcción e implementación del Sistema de contrataciones públicas electrónicas con Acceso Universal en todos sus módulos</v>
      </c>
      <c r="D223" s="924">
        <f>'8_MP'!AN82</f>
        <v>3800000</v>
      </c>
      <c r="I223" s="925"/>
      <c r="J223" s="925"/>
      <c r="K223" s="926"/>
      <c r="L223" s="926"/>
      <c r="M223" s="925"/>
      <c r="Q223"/>
      <c r="T223" s="654"/>
    </row>
    <row r="224" spans="2:25" s="815" customFormat="1" ht="39">
      <c r="B224" s="923" t="str">
        <f>'8_MP'!D83</f>
        <v>1.2.1.3.2</v>
      </c>
      <c r="C224" s="831" t="str">
        <f>'8_MP'!H83</f>
        <v>Adquisicion y configuración de un software para la gestión del expediente electrónico del sistema de compras públicas electrónicas</v>
      </c>
      <c r="D224" s="924">
        <f>'8_MP'!AN83</f>
        <v>200000</v>
      </c>
      <c r="F224" s="926"/>
      <c r="G224" s="925"/>
      <c r="H224" s="925"/>
      <c r="I224" s="950"/>
      <c r="J224" s="925"/>
      <c r="K224" s="926"/>
      <c r="L224" s="926"/>
      <c r="M224" s="925"/>
      <c r="Q224"/>
      <c r="T224" s="654"/>
    </row>
    <row r="225" spans="2:20" s="815" customFormat="1" ht="52">
      <c r="B225" s="923" t="str">
        <f>'8_MP'!D84</f>
        <v>1.2.1.3.3</v>
      </c>
      <c r="C225" s="831" t="str">
        <f>'8_MP'!H84</f>
        <v>Adquisición y/o construcción e implementación de funcionalidades para la realización de compras sostenibles (dimensiones social, económica y ambiental)</v>
      </c>
      <c r="D225" s="924">
        <f>'8_MP'!AN84</f>
        <v>100000</v>
      </c>
      <c r="F225" s="926"/>
      <c r="G225" s="925"/>
      <c r="H225" s="925"/>
      <c r="I225" s="925"/>
      <c r="J225" s="925"/>
      <c r="K225" s="926"/>
      <c r="L225" s="926"/>
      <c r="M225" s="925"/>
      <c r="Q225"/>
      <c r="T225" s="654"/>
    </row>
    <row r="226" spans="2:20" s="815" customFormat="1" ht="39">
      <c r="B226" s="923" t="str">
        <f>'8_MP'!D85</f>
        <v>1.2.1.3.4</v>
      </c>
      <c r="C226" s="831" t="str">
        <f>'8_MP'!H85</f>
        <v>Construcción de los componentes de software para automatizar las compras por debajo del umbral y compras menores  (Fase 1)</v>
      </c>
      <c r="D226" s="924">
        <f>'8_MP'!AN85</f>
        <v>1000000</v>
      </c>
      <c r="F226" s="926"/>
      <c r="G226" s="925"/>
      <c r="H226" s="925"/>
      <c r="I226" s="925"/>
      <c r="J226" s="925"/>
      <c r="K226" s="926"/>
      <c r="L226" s="926"/>
      <c r="M226" s="925"/>
      <c r="Q226"/>
      <c r="T226" s="654"/>
    </row>
    <row r="227" spans="2:20" s="815" customFormat="1">
      <c r="B227" s="923" t="e">
        <f>'8_MP'!#REF!</f>
        <v>#REF!</v>
      </c>
      <c r="C227" s="831" t="e">
        <f>'8_MP'!#REF!</f>
        <v>#REF!</v>
      </c>
      <c r="D227" s="924" t="e">
        <f>'8_MP'!#REF!</f>
        <v>#REF!</v>
      </c>
      <c r="F227" s="926"/>
      <c r="G227" s="925"/>
      <c r="H227" s="925"/>
      <c r="I227" s="925"/>
      <c r="J227" s="925"/>
      <c r="K227" s="926"/>
      <c r="L227" s="926"/>
      <c r="M227" s="925"/>
      <c r="Q227"/>
      <c r="T227" s="654"/>
    </row>
    <row r="228" spans="2:20" s="815" customFormat="1">
      <c r="B228" s="923" t="e">
        <f>'8_MP'!#REF!</f>
        <v>#REF!</v>
      </c>
      <c r="C228" s="831" t="e">
        <f>'8_MP'!#REF!</f>
        <v>#REF!</v>
      </c>
      <c r="D228" s="924" t="e">
        <f>'8_MP'!#REF!</f>
        <v>#REF!</v>
      </c>
      <c r="F228" s="926"/>
      <c r="G228" s="925"/>
      <c r="H228" s="925"/>
      <c r="I228" s="925"/>
      <c r="J228" s="925"/>
      <c r="K228" s="926"/>
      <c r="L228" s="926"/>
      <c r="M228" s="925"/>
      <c r="Q228"/>
      <c r="T228" s="654"/>
    </row>
    <row r="229" spans="2:20" s="815" customFormat="1">
      <c r="B229" s="923" t="e">
        <f>'8_MP'!#REF!</f>
        <v>#REF!</v>
      </c>
      <c r="C229" s="831" t="e">
        <f>'8_MP'!#REF!</f>
        <v>#REF!</v>
      </c>
      <c r="D229" s="924" t="e">
        <f>'8_MP'!#REF!</f>
        <v>#REF!</v>
      </c>
      <c r="F229" s="926"/>
      <c r="G229" s="925"/>
      <c r="H229" s="925"/>
      <c r="I229" s="925"/>
      <c r="J229" s="925"/>
      <c r="K229" s="926"/>
      <c r="L229" s="926"/>
      <c r="M229" s="925"/>
      <c r="Q229"/>
      <c r="T229" s="654"/>
    </row>
    <row r="230" spans="2:20" s="815" customFormat="1" ht="26">
      <c r="B230" s="923" t="str">
        <f>'8_MP'!D87</f>
        <v>1.2.1.4.1</v>
      </c>
      <c r="C230" s="831" t="str">
        <f>'8_MP'!H87</f>
        <v>Adquisión de Infraestructura tecnológica,  de ciberseguridad, DRP y servicios de TI.</v>
      </c>
      <c r="D230" s="924">
        <f>'8_MP'!AN87</f>
        <v>1400000</v>
      </c>
      <c r="F230" s="926"/>
      <c r="G230" s="925"/>
      <c r="H230" s="925"/>
      <c r="I230" s="925"/>
      <c r="J230" s="925"/>
      <c r="K230" s="926"/>
      <c r="L230" s="926"/>
      <c r="M230" s="925"/>
      <c r="Q230"/>
      <c r="T230" s="654"/>
    </row>
    <row r="231" spans="2:20" s="815" customFormat="1" ht="39">
      <c r="B231" s="923" t="str">
        <f>'8_MP'!D88</f>
        <v>1.2.1.4.2</v>
      </c>
      <c r="C231" s="831" t="str">
        <f>'8_MP'!H88</f>
        <v>Diseño e implementación del plan de continuidad de negocio y el plan de recuperación ante desastres para la operación del nuevo sistema.</v>
      </c>
      <c r="D231" s="924">
        <f>'8_MP'!AN88</f>
        <v>600000</v>
      </c>
      <c r="F231" s="926"/>
      <c r="G231" s="925"/>
      <c r="H231" s="925"/>
      <c r="I231" s="925"/>
      <c r="J231" s="925"/>
      <c r="K231" s="926"/>
      <c r="L231" s="926"/>
      <c r="M231" s="925"/>
      <c r="Q231"/>
      <c r="T231" s="654"/>
    </row>
    <row r="232" spans="2:20" s="815" customFormat="1" ht="39">
      <c r="B232" s="923" t="str">
        <f>'8_MP'!D89</f>
        <v>1.2.1.4.3</v>
      </c>
      <c r="C232" s="831" t="str">
        <f>'8_MP'!H89</f>
        <v>Diagnóstico de seguridad informática del sistema mediante análisis de vulnerabilidades y ethical hacking.</v>
      </c>
      <c r="D232" s="924">
        <f>'8_MP'!AN89</f>
        <v>100000</v>
      </c>
      <c r="F232" s="926"/>
      <c r="G232" s="925"/>
      <c r="H232" s="925"/>
      <c r="I232" s="925"/>
      <c r="J232" s="925"/>
      <c r="K232" s="926"/>
      <c r="L232" s="926"/>
      <c r="M232" s="925"/>
      <c r="Q232"/>
      <c r="T232" s="654"/>
    </row>
    <row r="233" spans="2:20" s="815" customFormat="1" ht="26">
      <c r="B233" s="923" t="str">
        <f>'8_MP'!D90</f>
        <v>1.2.1.4.4</v>
      </c>
      <c r="C233" s="831" t="str">
        <f>'8_MP'!H90</f>
        <v>Diseño e implementación del sistema de gestión de seguridad de la información (SGSI)</v>
      </c>
      <c r="D233" s="924">
        <f>'8_MP'!AN90</f>
        <v>300000</v>
      </c>
      <c r="F233" s="926"/>
      <c r="G233" s="925"/>
      <c r="H233" s="925"/>
      <c r="I233" s="925"/>
      <c r="J233" s="925"/>
      <c r="K233" s="926"/>
      <c r="L233" s="926"/>
      <c r="M233" s="925"/>
      <c r="Q233"/>
      <c r="T233" s="654"/>
    </row>
    <row r="234" spans="2:20" s="815" customFormat="1">
      <c r="B234" s="923" t="e">
        <f>'8_MP'!#REF!</f>
        <v>#REF!</v>
      </c>
      <c r="C234" s="831" t="e">
        <f>'8_MP'!#REF!</f>
        <v>#REF!</v>
      </c>
      <c r="D234" s="924" t="e">
        <f>'8_MP'!#REF!</f>
        <v>#REF!</v>
      </c>
      <c r="F234" s="926"/>
      <c r="G234" s="925"/>
      <c r="H234" s="925"/>
      <c r="I234" s="925"/>
      <c r="J234" s="925"/>
      <c r="K234" s="926"/>
      <c r="L234" s="926"/>
      <c r="M234" s="925"/>
      <c r="Q234"/>
      <c r="T234" s="654"/>
    </row>
    <row r="235" spans="2:20" s="815" customFormat="1">
      <c r="B235" s="923" t="e">
        <f>'8_MP'!#REF!</f>
        <v>#REF!</v>
      </c>
      <c r="C235" s="831" t="e">
        <f>'8_MP'!#REF!</f>
        <v>#REF!</v>
      </c>
      <c r="D235" s="924" t="e">
        <f>'8_MP'!#REF!</f>
        <v>#REF!</v>
      </c>
      <c r="F235" s="926"/>
      <c r="G235" s="925"/>
      <c r="H235" s="925"/>
      <c r="I235" s="925"/>
      <c r="J235" s="925"/>
      <c r="K235" s="926"/>
      <c r="L235" s="926"/>
      <c r="M235" s="925"/>
      <c r="Q235"/>
      <c r="T235" s="654"/>
    </row>
    <row r="236" spans="2:20" s="815" customFormat="1" ht="39">
      <c r="B236" s="923" t="str">
        <f>'8_MP'!D92</f>
        <v>1.2.1.5.1</v>
      </c>
      <c r="C236" s="831" t="str">
        <f>'8_MP'!H92</f>
        <v>Diseño e implementación del modelo de gestión para la administración, operación y soporte del nuevo sistema y caraterización de procesos (ITIL).</v>
      </c>
      <c r="D236" s="924">
        <f>'8_MP'!AN92</f>
        <v>1496282</v>
      </c>
      <c r="F236" s="926"/>
      <c r="G236" s="925"/>
      <c r="H236" s="925"/>
      <c r="I236" s="925"/>
      <c r="J236" s="925"/>
      <c r="K236" s="926"/>
      <c r="L236" s="926"/>
      <c r="M236" s="925"/>
      <c r="Q236"/>
      <c r="T236" s="654"/>
    </row>
    <row r="237" spans="2:20" s="815" customFormat="1" ht="39">
      <c r="B237" s="923" t="str">
        <f>'8_MP'!D93</f>
        <v>1.2.1.5.2</v>
      </c>
      <c r="C237" s="831" t="str">
        <f>'8_MP'!H93</f>
        <v>Adquisición y configuración de un software para el centro de contacto para gestionar las interacciones multicanal con los usuarios del sistema.</v>
      </c>
      <c r="D237" s="924">
        <f>'8_MP'!AN93</f>
        <v>500000</v>
      </c>
      <c r="F237" s="926"/>
      <c r="G237" s="925"/>
      <c r="H237" s="925"/>
      <c r="I237" s="925"/>
      <c r="J237" s="925"/>
      <c r="K237" s="926"/>
      <c r="L237" s="926"/>
      <c r="M237" s="925"/>
      <c r="Q237"/>
      <c r="T237" s="654"/>
    </row>
    <row r="238" spans="2:20" s="815" customFormat="1">
      <c r="B238" s="923" t="e">
        <f>'8_MP'!#REF!</f>
        <v>#REF!</v>
      </c>
      <c r="C238" s="831" t="e">
        <f>'8_MP'!#REF!</f>
        <v>#REF!</v>
      </c>
      <c r="D238" s="924" t="e">
        <f>'8_MP'!#REF!</f>
        <v>#REF!</v>
      </c>
      <c r="F238" s="926"/>
      <c r="G238" s="925"/>
      <c r="H238" s="925"/>
      <c r="I238" s="925"/>
      <c r="J238" s="925"/>
      <c r="K238" s="926"/>
      <c r="L238" s="926"/>
      <c r="M238" s="925"/>
      <c r="Q238"/>
      <c r="T238" s="654"/>
    </row>
    <row r="239" spans="2:20" s="815" customFormat="1">
      <c r="B239" s="923" t="e">
        <f>'8_MP'!#REF!</f>
        <v>#REF!</v>
      </c>
      <c r="C239" s="831" t="e">
        <f>'8_MP'!#REF!</f>
        <v>#REF!</v>
      </c>
      <c r="D239" s="924" t="e">
        <f>'8_MP'!#REF!</f>
        <v>#REF!</v>
      </c>
      <c r="F239" s="926"/>
      <c r="G239" s="925"/>
      <c r="H239" s="925"/>
      <c r="I239" s="925"/>
      <c r="J239" s="925"/>
      <c r="K239" s="926"/>
      <c r="L239" s="926"/>
      <c r="M239" s="925"/>
      <c r="Q239"/>
      <c r="T239" s="654"/>
    </row>
    <row r="240" spans="2:20" s="815" customFormat="1">
      <c r="B240" s="923" t="e">
        <f>'8_MP'!#REF!</f>
        <v>#REF!</v>
      </c>
      <c r="C240" s="831" t="e">
        <f>'8_MP'!#REF!</f>
        <v>#REF!</v>
      </c>
      <c r="D240" s="924" t="e">
        <f>'8_MP'!#REF!</f>
        <v>#REF!</v>
      </c>
      <c r="F240" s="926"/>
      <c r="G240" s="925"/>
      <c r="H240" s="925"/>
      <c r="I240" s="925"/>
      <c r="J240" s="925"/>
      <c r="K240" s="926"/>
      <c r="L240" s="926"/>
      <c r="M240" s="925"/>
      <c r="Q240"/>
      <c r="T240" s="654"/>
    </row>
    <row r="241" spans="2:20" s="815" customFormat="1">
      <c r="B241" s="923" t="e">
        <f>'8_MP'!#REF!</f>
        <v>#REF!</v>
      </c>
      <c r="C241" s="831" t="e">
        <f>'8_MP'!#REF!</f>
        <v>#REF!</v>
      </c>
      <c r="D241" s="924" t="e">
        <f>'8_MP'!#REF!</f>
        <v>#REF!</v>
      </c>
      <c r="F241" s="926"/>
      <c r="G241" s="925"/>
      <c r="H241" s="925"/>
      <c r="I241" s="925"/>
      <c r="J241" s="925"/>
      <c r="K241" s="926"/>
      <c r="L241" s="926"/>
      <c r="M241" s="925"/>
      <c r="Q241"/>
      <c r="T241" s="654"/>
    </row>
    <row r="242" spans="2:20" s="815" customFormat="1">
      <c r="B242" s="923" t="e">
        <f>'8_MP'!#REF!</f>
        <v>#REF!</v>
      </c>
      <c r="C242" s="831" t="e">
        <f>'8_MP'!#REF!</f>
        <v>#REF!</v>
      </c>
      <c r="D242" s="924" t="e">
        <f>'8_MP'!#REF!</f>
        <v>#REF!</v>
      </c>
      <c r="F242" s="926"/>
      <c r="G242" s="925"/>
      <c r="H242" s="925"/>
      <c r="I242" s="925"/>
      <c r="J242" s="925"/>
      <c r="K242" s="926"/>
      <c r="L242" s="926"/>
      <c r="M242" s="925"/>
      <c r="Q242"/>
      <c r="T242" s="654"/>
    </row>
    <row r="243" spans="2:20" s="815" customFormat="1" ht="39">
      <c r="B243" s="923" t="str">
        <f>'8_MP'!D95</f>
        <v>1.2.1.6.1</v>
      </c>
      <c r="C243" s="831" t="str">
        <f>'8_MP'!H95</f>
        <v>Diseño de las estrategias de despliegue y de gestión del cambio para la modernización del sistema de compras públicas electrónicas</v>
      </c>
      <c r="D243" s="924">
        <f>'8_MP'!AN95</f>
        <v>100000</v>
      </c>
      <c r="F243" s="926"/>
      <c r="G243" s="925"/>
      <c r="H243" s="925"/>
      <c r="I243" s="925"/>
      <c r="J243" s="925"/>
      <c r="K243" s="926"/>
      <c r="L243" s="926"/>
      <c r="M243" s="925"/>
      <c r="Q243"/>
      <c r="T243" s="654"/>
    </row>
    <row r="244" spans="2:20" s="815" customFormat="1" ht="39">
      <c r="B244" s="923" t="str">
        <f>'8_MP'!D96</f>
        <v>1.2.1.6.2</v>
      </c>
      <c r="C244" s="831" t="str">
        <f>'8_MP'!H96</f>
        <v>Despliegue de la plataforma e implementacion de la estrategia de gestion del cambio (incluye el personal de gestión del cambio)</v>
      </c>
      <c r="D244" s="924">
        <f>'8_MP'!AN96</f>
        <v>400000</v>
      </c>
      <c r="F244" s="926"/>
      <c r="G244" s="925"/>
      <c r="H244" s="925"/>
      <c r="I244" s="925"/>
      <c r="J244" s="925"/>
      <c r="K244" s="926"/>
      <c r="L244" s="926"/>
      <c r="M244" s="925"/>
      <c r="Q244"/>
      <c r="T244" s="654"/>
    </row>
    <row r="245" spans="2:20" s="815" customFormat="1">
      <c r="B245" s="923" t="e">
        <f>'8_MP'!#REF!</f>
        <v>#REF!</v>
      </c>
      <c r="C245" s="831" t="e">
        <f>'8_MP'!#REF!</f>
        <v>#REF!</v>
      </c>
      <c r="D245" s="924" t="e">
        <f>'8_MP'!#REF!</f>
        <v>#REF!</v>
      </c>
      <c r="F245" s="926"/>
      <c r="G245" s="925"/>
      <c r="H245" s="925"/>
      <c r="I245" s="925"/>
      <c r="J245" s="925"/>
      <c r="K245" s="926"/>
      <c r="L245" s="926"/>
      <c r="M245" s="925"/>
      <c r="Q245"/>
      <c r="T245" s="654"/>
    </row>
    <row r="246" spans="2:20" s="815" customFormat="1">
      <c r="B246" s="923" t="e">
        <f>'8_MP'!#REF!</f>
        <v>#REF!</v>
      </c>
      <c r="C246" s="831" t="e">
        <f>'8_MP'!#REF!</f>
        <v>#REF!</v>
      </c>
      <c r="D246" s="924" t="e">
        <f>'8_MP'!#REF!</f>
        <v>#REF!</v>
      </c>
      <c r="F246" s="926"/>
      <c r="G246" s="925"/>
      <c r="H246" s="925"/>
      <c r="I246" s="925"/>
      <c r="J246" s="925"/>
      <c r="K246" s="926"/>
      <c r="L246" s="926"/>
      <c r="M246" s="925"/>
      <c r="Q246"/>
      <c r="T246" s="654"/>
    </row>
    <row r="247" spans="2:20" s="815" customFormat="1">
      <c r="B247" s="923" t="e">
        <f>'8_MP'!#REF!</f>
        <v>#REF!</v>
      </c>
      <c r="C247" s="831" t="e">
        <f>'8_MP'!#REF!</f>
        <v>#REF!</v>
      </c>
      <c r="D247" s="924" t="e">
        <f>'8_MP'!#REF!</f>
        <v>#REF!</v>
      </c>
      <c r="F247" s="926"/>
      <c r="G247" s="925"/>
      <c r="H247" s="925"/>
      <c r="I247" s="925"/>
      <c r="J247" s="925"/>
      <c r="K247" s="926"/>
      <c r="L247" s="926"/>
      <c r="M247" s="925"/>
      <c r="Q247"/>
      <c r="T247" s="654"/>
    </row>
    <row r="248" spans="2:20" s="815" customFormat="1">
      <c r="B248" s="923">
        <f>+'8_MP'!D164</f>
        <v>0</v>
      </c>
      <c r="C248" s="831" t="str">
        <f>+'8_MP'!H164</f>
        <v xml:space="preserve">2 Desarrolladores Senior </v>
      </c>
      <c r="D248" s="924" t="e">
        <f>+'8_MP'!#REF!</f>
        <v>#REF!</v>
      </c>
      <c r="F248" s="926"/>
      <c r="G248" s="925"/>
      <c r="H248" s="925"/>
      <c r="I248" s="925"/>
      <c r="J248" s="925"/>
      <c r="K248" s="926"/>
      <c r="L248" s="926"/>
      <c r="M248" s="925"/>
      <c r="Q248"/>
      <c r="T248" s="1075"/>
    </row>
    <row r="249" spans="2:20" s="815" customFormat="1">
      <c r="B249" s="923" t="e">
        <f>'8_MP'!#REF!</f>
        <v>#REF!</v>
      </c>
      <c r="C249" s="831" t="e">
        <f>'8_MP'!#REF!</f>
        <v>#REF!</v>
      </c>
      <c r="D249" s="924" t="e">
        <f>'8_MP'!#REF!</f>
        <v>#REF!</v>
      </c>
      <c r="F249" s="926"/>
      <c r="G249" s="925"/>
      <c r="H249" s="925"/>
      <c r="I249" s="925"/>
      <c r="J249" s="925"/>
      <c r="K249" s="926"/>
      <c r="L249" s="926"/>
      <c r="M249" s="925"/>
      <c r="Q249"/>
      <c r="T249" s="654"/>
    </row>
    <row r="250" spans="2:20" s="815" customFormat="1">
      <c r="B250" s="923" t="e">
        <f>'8_MP'!#REF!</f>
        <v>#REF!</v>
      </c>
      <c r="C250" s="831" t="e">
        <f>'8_MP'!#REF!</f>
        <v>#REF!</v>
      </c>
      <c r="D250" s="924" t="e">
        <f>'8_MP'!#REF!</f>
        <v>#REF!</v>
      </c>
      <c r="F250" s="926"/>
      <c r="G250" s="924"/>
      <c r="H250" s="925"/>
      <c r="I250" s="925"/>
      <c r="J250" s="925"/>
      <c r="K250" s="926"/>
      <c r="L250" s="926"/>
      <c r="M250" s="925"/>
      <c r="Q250"/>
      <c r="T250" s="654"/>
    </row>
    <row r="251" spans="2:20" s="815" customFormat="1">
      <c r="B251" s="923" t="e">
        <f>'8_MP'!#REF!</f>
        <v>#REF!</v>
      </c>
      <c r="C251" s="831" t="e">
        <f>'8_MP'!#REF!</f>
        <v>#REF!</v>
      </c>
      <c r="D251" s="924" t="e">
        <f>'8_MP'!#REF!</f>
        <v>#REF!</v>
      </c>
      <c r="F251" s="926"/>
      <c r="G251" s="925"/>
      <c r="H251" s="925"/>
      <c r="I251" s="925"/>
      <c r="J251" s="925"/>
      <c r="K251" s="926"/>
      <c r="L251" s="926"/>
      <c r="M251" s="925"/>
      <c r="Q251"/>
      <c r="T251" s="654"/>
    </row>
    <row r="252" spans="2:20" s="815" customFormat="1">
      <c r="B252" s="923" t="e">
        <f>'8_MP'!#REF!</f>
        <v>#REF!</v>
      </c>
      <c r="C252" s="831" t="e">
        <f>'8_MP'!#REF!</f>
        <v>#REF!</v>
      </c>
      <c r="D252" s="924" t="e">
        <f>'8_MP'!#REF!</f>
        <v>#REF!</v>
      </c>
      <c r="F252" s="926"/>
      <c r="G252" s="925"/>
      <c r="H252" s="925"/>
      <c r="I252" s="925"/>
      <c r="J252" s="925"/>
      <c r="K252" s="926"/>
      <c r="L252" s="926"/>
      <c r="M252" s="925"/>
      <c r="Q252"/>
      <c r="T252" s="654"/>
    </row>
    <row r="253" spans="2:20" s="815" customFormat="1">
      <c r="B253" s="923" t="e">
        <f>'8_MP'!#REF!</f>
        <v>#REF!</v>
      </c>
      <c r="C253" s="831" t="e">
        <f>'8_MP'!#REF!</f>
        <v>#REF!</v>
      </c>
      <c r="D253" s="924" t="e">
        <f>'8_MP'!#REF!</f>
        <v>#REF!</v>
      </c>
      <c r="F253" s="926"/>
      <c r="G253" s="925"/>
      <c r="H253" s="925"/>
      <c r="I253" s="925"/>
      <c r="J253" s="925"/>
      <c r="K253" s="926"/>
      <c r="L253" s="926"/>
      <c r="M253" s="925"/>
      <c r="Q253"/>
      <c r="T253" s="654"/>
    </row>
    <row r="254" spans="2:20">
      <c r="B254" s="886" t="e">
        <f>'8_MP'!#REF!</f>
        <v>#REF!</v>
      </c>
      <c r="C254" s="831" t="e">
        <f>'8_MP'!#REF!</f>
        <v>#REF!</v>
      </c>
      <c r="D254" s="832" t="e">
        <f>'8_MP'!#REF!</f>
        <v>#REF!</v>
      </c>
    </row>
    <row r="255" spans="2:20">
      <c r="B255" s="886" t="e">
        <f>'8_MP'!#REF!</f>
        <v>#REF!</v>
      </c>
      <c r="C255" s="831" t="e">
        <f>'8_MP'!#REF!</f>
        <v>#REF!</v>
      </c>
      <c r="D255" s="4369" t="e">
        <f>'8_MP'!#REF!</f>
        <v>#REF!</v>
      </c>
    </row>
    <row r="256" spans="2:20">
      <c r="B256" s="886" t="e">
        <f>'8_MP'!#REF!</f>
        <v>#REF!</v>
      </c>
      <c r="C256" s="831" t="e">
        <f>'8_MP'!#REF!</f>
        <v>#REF!</v>
      </c>
      <c r="D256" s="4370"/>
    </row>
    <row r="257" spans="2:4">
      <c r="B257" s="886" t="e">
        <f>'8_MP'!#REF!</f>
        <v>#REF!</v>
      </c>
      <c r="C257" s="831" t="e">
        <f>'8_MP'!#REF!</f>
        <v>#REF!</v>
      </c>
      <c r="D257" s="952" t="e">
        <f>'8_MP'!#REF!</f>
        <v>#REF!</v>
      </c>
    </row>
    <row r="258" spans="2:4">
      <c r="B258" s="886" t="e">
        <f>'8_MP'!#REF!</f>
        <v>#REF!</v>
      </c>
      <c r="C258" s="831" t="e">
        <f>'8_MP'!#REF!</f>
        <v>#REF!</v>
      </c>
      <c r="D258" s="952" t="e">
        <f>'8_MP'!#REF!</f>
        <v>#REF!</v>
      </c>
    </row>
    <row r="259" spans="2:4">
      <c r="B259" s="886" t="e">
        <f>'8_MP'!#REF!</f>
        <v>#REF!</v>
      </c>
      <c r="C259" s="831" t="e">
        <f>'8_MP'!#REF!</f>
        <v>#REF!</v>
      </c>
      <c r="D259" s="952" t="e">
        <f>'8_MP'!#REF!</f>
        <v>#REF!</v>
      </c>
    </row>
    <row r="260" spans="2:4">
      <c r="B260" s="886" t="e">
        <f>'8_MP'!#REF!</f>
        <v>#REF!</v>
      </c>
      <c r="C260" s="831" t="e">
        <f>'8_MP'!#REF!</f>
        <v>#REF!</v>
      </c>
      <c r="D260" s="952" t="e">
        <f>'8_MP'!#REF!</f>
        <v>#REF!</v>
      </c>
    </row>
    <row r="261" spans="2:4">
      <c r="B261" s="886" t="e">
        <f>'8_MP'!#REF!</f>
        <v>#REF!</v>
      </c>
      <c r="C261" s="831" t="e">
        <f>'8_MP'!#REF!</f>
        <v>#REF!</v>
      </c>
      <c r="D261" s="952" t="e">
        <f>'8_MP'!#REF!</f>
        <v>#REF!</v>
      </c>
    </row>
    <row r="262" spans="2:4">
      <c r="B262" s="886" t="e">
        <f>'8_MP'!#REF!</f>
        <v>#REF!</v>
      </c>
      <c r="C262" s="831" t="e">
        <f>'8_MP'!#REF!</f>
        <v>#REF!</v>
      </c>
      <c r="D262" s="952" t="e">
        <f>'8_MP'!#REF!</f>
        <v>#REF!</v>
      </c>
    </row>
    <row r="263" spans="2:4">
      <c r="B263" s="886" t="e">
        <f>'8_MP'!#REF!</f>
        <v>#REF!</v>
      </c>
      <c r="C263" s="831" t="e">
        <f>'8_MP'!#REF!</f>
        <v>#REF!</v>
      </c>
      <c r="D263" s="832" t="e">
        <f>'8_MP'!#REF!</f>
        <v>#REF!</v>
      </c>
    </row>
    <row r="264" spans="2:4">
      <c r="B264" s="886" t="e">
        <f>'8_MP'!#REF!</f>
        <v>#REF!</v>
      </c>
      <c r="C264" s="831" t="e">
        <f>'8_MP'!#REF!</f>
        <v>#REF!</v>
      </c>
      <c r="D264" s="832" t="e">
        <f>'8_MP'!#REF!</f>
        <v>#REF!</v>
      </c>
    </row>
    <row r="265" spans="2:4">
      <c r="B265" s="886" t="e">
        <f>'8_MP'!#REF!</f>
        <v>#REF!</v>
      </c>
      <c r="C265" s="919" t="e">
        <f>'8_MP'!#REF!</f>
        <v>#REF!</v>
      </c>
      <c r="D265" s="832" t="e">
        <f>'8_MP'!#REF!</f>
        <v>#REF!</v>
      </c>
    </row>
    <row r="266" spans="2:4">
      <c r="B266" s="886" t="e">
        <f>'8_MP'!#REF!</f>
        <v>#REF!</v>
      </c>
      <c r="C266" s="919" t="e">
        <f>'8_MP'!#REF!</f>
        <v>#REF!</v>
      </c>
      <c r="D266" s="832" t="e">
        <f>'8_MP'!#REF!</f>
        <v>#REF!</v>
      </c>
    </row>
    <row r="267" spans="2:4">
      <c r="B267" s="886" t="e">
        <f>'8_MP'!#REF!</f>
        <v>#REF!</v>
      </c>
      <c r="C267" s="919" t="e">
        <f>'8_MP'!#REF!</f>
        <v>#REF!</v>
      </c>
      <c r="D267" s="832" t="e">
        <f>'8_MP'!#REF!</f>
        <v>#REF!</v>
      </c>
    </row>
    <row r="268" spans="2:4">
      <c r="B268" s="886" t="e">
        <f>'8_MP'!#REF!</f>
        <v>#REF!</v>
      </c>
      <c r="C268" s="919" t="e">
        <f>'8_MP'!#REF!</f>
        <v>#REF!</v>
      </c>
      <c r="D268" s="832" t="e">
        <f>'8_MP'!#REF!</f>
        <v>#REF!</v>
      </c>
    </row>
    <row r="269" spans="2:4">
      <c r="B269" s="4375" t="s">
        <v>2256</v>
      </c>
      <c r="C269" s="4375"/>
      <c r="D269" s="833" t="e">
        <f>SUM(D218:D268)</f>
        <v>#REF!</v>
      </c>
    </row>
  </sheetData>
  <mergeCells count="534">
    <mergeCell ref="H164:H165"/>
    <mergeCell ref="I164:I165"/>
    <mergeCell ref="J164:J165"/>
    <mergeCell ref="M164:M165"/>
    <mergeCell ref="N164:N165"/>
    <mergeCell ref="O164:O165"/>
    <mergeCell ref="P164:P165"/>
    <mergeCell ref="B153:B154"/>
    <mergeCell ref="C153:C154"/>
    <mergeCell ref="D153:D154"/>
    <mergeCell ref="E153:E154"/>
    <mergeCell ref="F153:F154"/>
    <mergeCell ref="G153:G154"/>
    <mergeCell ref="H153:H154"/>
    <mergeCell ref="I153:I154"/>
    <mergeCell ref="O153:P154"/>
    <mergeCell ref="N153:N154"/>
    <mergeCell ref="M153:M154"/>
    <mergeCell ref="L153:L154"/>
    <mergeCell ref="H157:P157"/>
    <mergeCell ref="M162:M163"/>
    <mergeCell ref="O155:P155"/>
    <mergeCell ref="L94:L101"/>
    <mergeCell ref="M94:M101"/>
    <mergeCell ref="N94:N101"/>
    <mergeCell ref="O94:P101"/>
    <mergeCell ref="B94:B101"/>
    <mergeCell ref="C94:C101"/>
    <mergeCell ref="D94:D101"/>
    <mergeCell ref="E94:E101"/>
    <mergeCell ref="F94:F101"/>
    <mergeCell ref="G94:G101"/>
    <mergeCell ref="H94:H101"/>
    <mergeCell ref="I94:I101"/>
    <mergeCell ref="O82:P88"/>
    <mergeCell ref="B89:B91"/>
    <mergeCell ref="C89:C91"/>
    <mergeCell ref="D89:D91"/>
    <mergeCell ref="E89:E91"/>
    <mergeCell ref="F89:F91"/>
    <mergeCell ref="G89:G91"/>
    <mergeCell ref="H89:H91"/>
    <mergeCell ref="I89:I91"/>
    <mergeCell ref="K89:K91"/>
    <mergeCell ref="L89:L91"/>
    <mergeCell ref="M89:M91"/>
    <mergeCell ref="N89:N91"/>
    <mergeCell ref="O89:P91"/>
    <mergeCell ref="G82:G88"/>
    <mergeCell ref="H82:H88"/>
    <mergeCell ref="F82:F88"/>
    <mergeCell ref="L82:L88"/>
    <mergeCell ref="M82:M88"/>
    <mergeCell ref="N82:N88"/>
    <mergeCell ref="O102:P102"/>
    <mergeCell ref="O103:P103"/>
    <mergeCell ref="O104:P104"/>
    <mergeCell ref="K76:K81"/>
    <mergeCell ref="B76:B81"/>
    <mergeCell ref="C76:C81"/>
    <mergeCell ref="D76:D81"/>
    <mergeCell ref="E76:E81"/>
    <mergeCell ref="F76:F81"/>
    <mergeCell ref="G76:G81"/>
    <mergeCell ref="H76:H81"/>
    <mergeCell ref="I76:I81"/>
    <mergeCell ref="L76:L81"/>
    <mergeCell ref="M76:M81"/>
    <mergeCell ref="N76:N81"/>
    <mergeCell ref="O76:P81"/>
    <mergeCell ref="B82:B88"/>
    <mergeCell ref="C82:C88"/>
    <mergeCell ref="D82:D88"/>
    <mergeCell ref="E82:E88"/>
    <mergeCell ref="O92:P92"/>
    <mergeCell ref="O93:P93"/>
    <mergeCell ref="I82:I88"/>
    <mergeCell ref="K82:K88"/>
    <mergeCell ref="L68:L75"/>
    <mergeCell ref="M68:M75"/>
    <mergeCell ref="N68:N75"/>
    <mergeCell ref="O68:P75"/>
    <mergeCell ref="L43:L44"/>
    <mergeCell ref="M43:M44"/>
    <mergeCell ref="N43:N44"/>
    <mergeCell ref="O43:P44"/>
    <mergeCell ref="F65:F67"/>
    <mergeCell ref="G65:G67"/>
    <mergeCell ref="H65:H67"/>
    <mergeCell ref="I65:I67"/>
    <mergeCell ref="K65:K67"/>
    <mergeCell ref="L65:L67"/>
    <mergeCell ref="M65:M67"/>
    <mergeCell ref="N65:N67"/>
    <mergeCell ref="O65:P67"/>
    <mergeCell ref="K56:K58"/>
    <mergeCell ref="I43:I44"/>
    <mergeCell ref="I56:I58"/>
    <mergeCell ref="G56:G58"/>
    <mergeCell ref="H56:H58"/>
    <mergeCell ref="O55:P55"/>
    <mergeCell ref="L59:L61"/>
    <mergeCell ref="B43:B44"/>
    <mergeCell ref="C43:C44"/>
    <mergeCell ref="D43:D44"/>
    <mergeCell ref="E43:E44"/>
    <mergeCell ref="F43:F44"/>
    <mergeCell ref="G43:G44"/>
    <mergeCell ref="H43:H44"/>
    <mergeCell ref="B68:B75"/>
    <mergeCell ref="C68:C75"/>
    <mergeCell ref="D68:D75"/>
    <mergeCell ref="E68:E75"/>
    <mergeCell ref="F68:F75"/>
    <mergeCell ref="G68:G75"/>
    <mergeCell ref="H68:H75"/>
    <mergeCell ref="H45:H49"/>
    <mergeCell ref="B65:B67"/>
    <mergeCell ref="C65:C67"/>
    <mergeCell ref="D65:D67"/>
    <mergeCell ref="E65:E67"/>
    <mergeCell ref="B56:B58"/>
    <mergeCell ref="C56:C58"/>
    <mergeCell ref="D56:D58"/>
    <mergeCell ref="E56:E58"/>
    <mergeCell ref="F56:F58"/>
    <mergeCell ref="I68:I75"/>
    <mergeCell ref="B62:B64"/>
    <mergeCell ref="C62:C64"/>
    <mergeCell ref="D62:D64"/>
    <mergeCell ref="E62:E64"/>
    <mergeCell ref="F62:F64"/>
    <mergeCell ref="G62:G64"/>
    <mergeCell ref="H62:H64"/>
    <mergeCell ref="I62:I64"/>
    <mergeCell ref="M59:M61"/>
    <mergeCell ref="N59:N61"/>
    <mergeCell ref="O59:P61"/>
    <mergeCell ref="L56:L58"/>
    <mergeCell ref="M56:M58"/>
    <mergeCell ref="N56:N58"/>
    <mergeCell ref="O56:P58"/>
    <mergeCell ref="B50:B51"/>
    <mergeCell ref="C50:C51"/>
    <mergeCell ref="D50:D51"/>
    <mergeCell ref="E50:E51"/>
    <mergeCell ref="F50:F51"/>
    <mergeCell ref="G50:G51"/>
    <mergeCell ref="H50:H51"/>
    <mergeCell ref="I50:I51"/>
    <mergeCell ref="L50:L51"/>
    <mergeCell ref="B59:B61"/>
    <mergeCell ref="C59:C61"/>
    <mergeCell ref="D59:D61"/>
    <mergeCell ref="E59:E61"/>
    <mergeCell ref="F59:F61"/>
    <mergeCell ref="G59:G61"/>
    <mergeCell ref="H59:H61"/>
    <mergeCell ref="I59:I61"/>
    <mergeCell ref="I36:I37"/>
    <mergeCell ref="L36:L37"/>
    <mergeCell ref="M36:M37"/>
    <mergeCell ref="N36:N37"/>
    <mergeCell ref="O36:P37"/>
    <mergeCell ref="O38:P40"/>
    <mergeCell ref="O42:P42"/>
    <mergeCell ref="O52:P52"/>
    <mergeCell ref="O53:P53"/>
    <mergeCell ref="I45:I49"/>
    <mergeCell ref="L45:L49"/>
    <mergeCell ref="M45:M49"/>
    <mergeCell ref="N45:N49"/>
    <mergeCell ref="O45:P49"/>
    <mergeCell ref="M50:M51"/>
    <mergeCell ref="N50:N51"/>
    <mergeCell ref="O50:P51"/>
    <mergeCell ref="C45:C49"/>
    <mergeCell ref="D45:D49"/>
    <mergeCell ref="E45:E49"/>
    <mergeCell ref="F45:F49"/>
    <mergeCell ref="G45:G49"/>
    <mergeCell ref="E36:E37"/>
    <mergeCell ref="F36:F37"/>
    <mergeCell ref="G36:G37"/>
    <mergeCell ref="H36:H37"/>
    <mergeCell ref="B269:C269"/>
    <mergeCell ref="O33:P35"/>
    <mergeCell ref="N33:N35"/>
    <mergeCell ref="M33:M35"/>
    <mergeCell ref="L33:L35"/>
    <mergeCell ref="I33:I35"/>
    <mergeCell ref="H33:H35"/>
    <mergeCell ref="G33:G35"/>
    <mergeCell ref="F33:F35"/>
    <mergeCell ref="E33:E35"/>
    <mergeCell ref="C33:C35"/>
    <mergeCell ref="B33:B35"/>
    <mergeCell ref="B38:B40"/>
    <mergeCell ref="C38:C40"/>
    <mergeCell ref="D38:D40"/>
    <mergeCell ref="E38:E40"/>
    <mergeCell ref="F38:F40"/>
    <mergeCell ref="G38:G40"/>
    <mergeCell ref="H38:H40"/>
    <mergeCell ref="I38:I40"/>
    <mergeCell ref="L38:L40"/>
    <mergeCell ref="M38:M40"/>
    <mergeCell ref="N38:N40"/>
    <mergeCell ref="D33:D35"/>
    <mergeCell ref="J29:J30"/>
    <mergeCell ref="K29:K30"/>
    <mergeCell ref="K20:K21"/>
    <mergeCell ref="L20:L21"/>
    <mergeCell ref="O29:P30"/>
    <mergeCell ref="P160:P161"/>
    <mergeCell ref="B28:P28"/>
    <mergeCell ref="B157:F157"/>
    <mergeCell ref="B159:P159"/>
    <mergeCell ref="M29:N29"/>
    <mergeCell ref="B29:B30"/>
    <mergeCell ref="C29:C30"/>
    <mergeCell ref="D29:D30"/>
    <mergeCell ref="E29:E30"/>
    <mergeCell ref="I26:P26"/>
    <mergeCell ref="B36:B37"/>
    <mergeCell ref="C36:C37"/>
    <mergeCell ref="D36:D37"/>
    <mergeCell ref="B160:B161"/>
    <mergeCell ref="B26:G26"/>
    <mergeCell ref="O106:P106"/>
    <mergeCell ref="L29:L30"/>
    <mergeCell ref="O54:P54"/>
    <mergeCell ref="B45:B49"/>
    <mergeCell ref="G217:H217"/>
    <mergeCell ref="J162:J163"/>
    <mergeCell ref="I162:I163"/>
    <mergeCell ref="H162:H163"/>
    <mergeCell ref="G162:G163"/>
    <mergeCell ref="F162:F163"/>
    <mergeCell ref="I213:P213"/>
    <mergeCell ref="H207:P207"/>
    <mergeCell ref="F166:F167"/>
    <mergeCell ref="G166:G167"/>
    <mergeCell ref="H166:H167"/>
    <mergeCell ref="I166:I167"/>
    <mergeCell ref="B213:G213"/>
    <mergeCell ref="B215:C215"/>
    <mergeCell ref="L210:L211"/>
    <mergeCell ref="M210:M211"/>
    <mergeCell ref="N210:O210"/>
    <mergeCell ref="P210:P211"/>
    <mergeCell ref="D212:E212"/>
    <mergeCell ref="F212:G212"/>
    <mergeCell ref="B210:B211"/>
    <mergeCell ref="C210:C211"/>
    <mergeCell ref="P166:P167"/>
    <mergeCell ref="N162:N163"/>
    <mergeCell ref="B209:P209"/>
    <mergeCell ref="K160:K161"/>
    <mergeCell ref="L160:L161"/>
    <mergeCell ref="N166:N167"/>
    <mergeCell ref="O166:O167"/>
    <mergeCell ref="M160:M161"/>
    <mergeCell ref="B207:F207"/>
    <mergeCell ref="G160:I160"/>
    <mergeCell ref="J160:J161"/>
    <mergeCell ref="E162:E163"/>
    <mergeCell ref="C162:C163"/>
    <mergeCell ref="B162:B163"/>
    <mergeCell ref="B166:B167"/>
    <mergeCell ref="C166:C167"/>
    <mergeCell ref="E166:E167"/>
    <mergeCell ref="J166:J167"/>
    <mergeCell ref="M166:M167"/>
    <mergeCell ref="C160:C161"/>
    <mergeCell ref="N160:O160"/>
    <mergeCell ref="B164:B165"/>
    <mergeCell ref="C164:C165"/>
    <mergeCell ref="E164:E165"/>
    <mergeCell ref="F164:F165"/>
    <mergeCell ref="G164:G165"/>
    <mergeCell ref="M12:M13"/>
    <mergeCell ref="N12:O12"/>
    <mergeCell ref="P12:P13"/>
    <mergeCell ref="B19:P19"/>
    <mergeCell ref="B20:B21"/>
    <mergeCell ref="C20:C21"/>
    <mergeCell ref="D20:D21"/>
    <mergeCell ref="E20:E21"/>
    <mergeCell ref="F20:F21"/>
    <mergeCell ref="G20:G21"/>
    <mergeCell ref="H20:J20"/>
    <mergeCell ref="M20:M21"/>
    <mergeCell ref="N20:O20"/>
    <mergeCell ref="P20:P21"/>
    <mergeCell ref="K12:K13"/>
    <mergeCell ref="L12:L13"/>
    <mergeCell ref="C12:C13"/>
    <mergeCell ref="D12:D13"/>
    <mergeCell ref="E12:E13"/>
    <mergeCell ref="H12:J12"/>
    <mergeCell ref="I17:P17"/>
    <mergeCell ref="O105:P105"/>
    <mergeCell ref="O41:P41"/>
    <mergeCell ref="O32:P32"/>
    <mergeCell ref="O31:P31"/>
    <mergeCell ref="F29:F30"/>
    <mergeCell ref="C116:C121"/>
    <mergeCell ref="G29:I29"/>
    <mergeCell ref="K210:K211"/>
    <mergeCell ref="P162:P163"/>
    <mergeCell ref="O162:O163"/>
    <mergeCell ref="M110:M115"/>
    <mergeCell ref="G110:G115"/>
    <mergeCell ref="H110:H115"/>
    <mergeCell ref="I110:I115"/>
    <mergeCell ref="L110:L115"/>
    <mergeCell ref="H127:H128"/>
    <mergeCell ref="D116:D121"/>
    <mergeCell ref="E116:E121"/>
    <mergeCell ref="F116:F121"/>
    <mergeCell ref="G116:G121"/>
    <mergeCell ref="H116:H121"/>
    <mergeCell ref="I116:I121"/>
    <mergeCell ref="L127:L128"/>
    <mergeCell ref="L129:L130"/>
    <mergeCell ref="B4:P4"/>
    <mergeCell ref="B5:B6"/>
    <mergeCell ref="C5:C6"/>
    <mergeCell ref="D5:D6"/>
    <mergeCell ref="E5:E6"/>
    <mergeCell ref="F5:F6"/>
    <mergeCell ref="G5:G6"/>
    <mergeCell ref="H5:J5"/>
    <mergeCell ref="M5:M6"/>
    <mergeCell ref="N5:O5"/>
    <mergeCell ref="P5:P6"/>
    <mergeCell ref="K5:K6"/>
    <mergeCell ref="L5:L6"/>
    <mergeCell ref="B116:B121"/>
    <mergeCell ref="B3:P3"/>
    <mergeCell ref="B17:G17"/>
    <mergeCell ref="B9:G9"/>
    <mergeCell ref="B11:P11"/>
    <mergeCell ref="B12:B13"/>
    <mergeCell ref="B107:B108"/>
    <mergeCell ref="C107:C108"/>
    <mergeCell ref="D107:D108"/>
    <mergeCell ref="E107:E108"/>
    <mergeCell ref="F107:F108"/>
    <mergeCell ref="G107:G108"/>
    <mergeCell ref="H107:H108"/>
    <mergeCell ref="I107:I108"/>
    <mergeCell ref="L107:L108"/>
    <mergeCell ref="L62:L64"/>
    <mergeCell ref="M62:M64"/>
    <mergeCell ref="N62:N64"/>
    <mergeCell ref="O62:P64"/>
    <mergeCell ref="M107:M108"/>
    <mergeCell ref="N107:N108"/>
    <mergeCell ref="O107:P108"/>
    <mergeCell ref="F12:F13"/>
    <mergeCell ref="G12:G13"/>
    <mergeCell ref="D255:D256"/>
    <mergeCell ref="N110:N115"/>
    <mergeCell ref="O110:P115"/>
    <mergeCell ref="M116:M121"/>
    <mergeCell ref="N116:N121"/>
    <mergeCell ref="O116:P121"/>
    <mergeCell ref="K127:K128"/>
    <mergeCell ref="O109:P109"/>
    <mergeCell ref="O156:P156"/>
    <mergeCell ref="D210:E211"/>
    <mergeCell ref="F210:G211"/>
    <mergeCell ref="G216:H216"/>
    <mergeCell ref="G215:H215"/>
    <mergeCell ref="B216:D216"/>
    <mergeCell ref="H210:J210"/>
    <mergeCell ref="D160:D161"/>
    <mergeCell ref="E160:E161"/>
    <mergeCell ref="F160:F161"/>
    <mergeCell ref="B110:B115"/>
    <mergeCell ref="L116:L121"/>
    <mergeCell ref="C110:C115"/>
    <mergeCell ref="D110:D115"/>
    <mergeCell ref="E110:E115"/>
    <mergeCell ref="F110:F115"/>
    <mergeCell ref="B122:B126"/>
    <mergeCell ref="C122:C126"/>
    <mergeCell ref="D122:D126"/>
    <mergeCell ref="E122:E126"/>
    <mergeCell ref="F122:F126"/>
    <mergeCell ref="G122:G126"/>
    <mergeCell ref="H122:H126"/>
    <mergeCell ref="I122:I126"/>
    <mergeCell ref="B129:B130"/>
    <mergeCell ref="C129:C130"/>
    <mergeCell ref="D129:D130"/>
    <mergeCell ref="E129:E130"/>
    <mergeCell ref="F129:F130"/>
    <mergeCell ref="G129:G130"/>
    <mergeCell ref="H129:H130"/>
    <mergeCell ref="I129:I130"/>
    <mergeCell ref="B127:B128"/>
    <mergeCell ref="C127:C128"/>
    <mergeCell ref="D127:D128"/>
    <mergeCell ref="E127:E128"/>
    <mergeCell ref="F127:F128"/>
    <mergeCell ref="G127:G128"/>
    <mergeCell ref="I127:I128"/>
    <mergeCell ref="B133:B134"/>
    <mergeCell ref="C133:C134"/>
    <mergeCell ref="D133:D134"/>
    <mergeCell ref="E133:E134"/>
    <mergeCell ref="F133:F134"/>
    <mergeCell ref="G133:G134"/>
    <mergeCell ref="H133:H134"/>
    <mergeCell ref="I133:I134"/>
    <mergeCell ref="L133:L134"/>
    <mergeCell ref="M129:M130"/>
    <mergeCell ref="N129:N130"/>
    <mergeCell ref="O129:P130"/>
    <mergeCell ref="O132:P132"/>
    <mergeCell ref="O135:P135"/>
    <mergeCell ref="K129:K130"/>
    <mergeCell ref="L122:L126"/>
    <mergeCell ref="M122:M126"/>
    <mergeCell ref="N122:N126"/>
    <mergeCell ref="O122:P126"/>
    <mergeCell ref="M127:M128"/>
    <mergeCell ref="N127:N128"/>
    <mergeCell ref="O127:P128"/>
    <mergeCell ref="M133:M134"/>
    <mergeCell ref="N133:N134"/>
    <mergeCell ref="O133:P134"/>
    <mergeCell ref="O131:P131"/>
    <mergeCell ref="I137:I144"/>
    <mergeCell ref="L137:L144"/>
    <mergeCell ref="M137:M144"/>
    <mergeCell ref="N137:N144"/>
    <mergeCell ref="O137:P144"/>
    <mergeCell ref="B145:B149"/>
    <mergeCell ref="C145:C149"/>
    <mergeCell ref="D145:D149"/>
    <mergeCell ref="E145:E149"/>
    <mergeCell ref="F145:F149"/>
    <mergeCell ref="G145:G149"/>
    <mergeCell ref="H145:H149"/>
    <mergeCell ref="I145:I149"/>
    <mergeCell ref="L145:L149"/>
    <mergeCell ref="M145:M149"/>
    <mergeCell ref="N145:N149"/>
    <mergeCell ref="O145:P149"/>
    <mergeCell ref="B137:B144"/>
    <mergeCell ref="C137:C144"/>
    <mergeCell ref="D137:D144"/>
    <mergeCell ref="E137:E144"/>
    <mergeCell ref="F137:F144"/>
    <mergeCell ref="G137:G144"/>
    <mergeCell ref="H137:H144"/>
    <mergeCell ref="M150:M152"/>
    <mergeCell ref="N150:N152"/>
    <mergeCell ref="O150:P152"/>
    <mergeCell ref="B150:B152"/>
    <mergeCell ref="C150:C152"/>
    <mergeCell ref="D150:D152"/>
    <mergeCell ref="E150:E152"/>
    <mergeCell ref="F150:F152"/>
    <mergeCell ref="G150:G152"/>
    <mergeCell ref="H150:H152"/>
    <mergeCell ref="I150:I152"/>
    <mergeCell ref="L150:L152"/>
    <mergeCell ref="R12:S12"/>
    <mergeCell ref="R20:S20"/>
    <mergeCell ref="R29:S29"/>
    <mergeCell ref="R33:R35"/>
    <mergeCell ref="S33:S35"/>
    <mergeCell ref="R36:R37"/>
    <mergeCell ref="S36:S37"/>
    <mergeCell ref="R38:R40"/>
    <mergeCell ref="S38:S40"/>
    <mergeCell ref="R43:R44"/>
    <mergeCell ref="S43:S44"/>
    <mergeCell ref="R45:R49"/>
    <mergeCell ref="S45:S49"/>
    <mergeCell ref="R50:R51"/>
    <mergeCell ref="S50:S51"/>
    <mergeCell ref="R56:R58"/>
    <mergeCell ref="S56:S58"/>
    <mergeCell ref="R59:R61"/>
    <mergeCell ref="S59:S61"/>
    <mergeCell ref="R62:R64"/>
    <mergeCell ref="S62:S64"/>
    <mergeCell ref="R65:R67"/>
    <mergeCell ref="S65:S67"/>
    <mergeCell ref="R68:R75"/>
    <mergeCell ref="S68:S75"/>
    <mergeCell ref="R76:R81"/>
    <mergeCell ref="S76:S81"/>
    <mergeCell ref="R82:R88"/>
    <mergeCell ref="S82:S88"/>
    <mergeCell ref="R89:R91"/>
    <mergeCell ref="S89:S91"/>
    <mergeCell ref="R94:R101"/>
    <mergeCell ref="S94:S101"/>
    <mergeCell ref="R107:R108"/>
    <mergeCell ref="S107:S108"/>
    <mergeCell ref="R110:R115"/>
    <mergeCell ref="S110:S115"/>
    <mergeCell ref="R116:R121"/>
    <mergeCell ref="S116:S121"/>
    <mergeCell ref="R122:R126"/>
    <mergeCell ref="S122:S126"/>
    <mergeCell ref="R127:R128"/>
    <mergeCell ref="S127:S128"/>
    <mergeCell ref="R129:R130"/>
    <mergeCell ref="S129:S130"/>
    <mergeCell ref="R133:R134"/>
    <mergeCell ref="S133:S134"/>
    <mergeCell ref="R137:R144"/>
    <mergeCell ref="S137:S144"/>
    <mergeCell ref="R164:R165"/>
    <mergeCell ref="S164:S165"/>
    <mergeCell ref="R166:R167"/>
    <mergeCell ref="S166:S167"/>
    <mergeCell ref="R145:R149"/>
    <mergeCell ref="S145:S149"/>
    <mergeCell ref="R150:R152"/>
    <mergeCell ref="S150:S152"/>
    <mergeCell ref="R153:R154"/>
    <mergeCell ref="S153:S154"/>
    <mergeCell ref="R160:S160"/>
    <mergeCell ref="R162:R163"/>
    <mergeCell ref="S162:S163"/>
  </mergeCells>
  <phoneticPr fontId="9" type="noConversion"/>
  <dataValidations disablePrompts="1" count="3">
    <dataValidation type="list" allowBlank="1" showInputMessage="1" showErrorMessage="1" sqref="L27 M9 K158 L18" xr:uid="{00000000-0002-0000-3300-000000000000}">
      <formula1>#REF!</formula1>
    </dataValidation>
    <dataValidation type="list" allowBlank="1" showInputMessage="1" showErrorMessage="1" sqref="E18 E27" xr:uid="{00000000-0002-0000-3300-000001000000}">
      <formula1>$V$9:$V$12</formula1>
    </dataValidation>
    <dataValidation type="list" allowBlank="1" showInputMessage="1" showErrorMessage="1" sqref="E158" xr:uid="{00000000-0002-0000-3300-000002000000}">
      <formula1>$V$17:$V$29</formula1>
    </dataValidation>
  </dataValidations>
  <pageMargins left="0.70866141732283472" right="0.70866141732283472" top="0.74803149606299213" bottom="0.74803149606299213" header="0.31496062992125984" footer="0.31496062992125984"/>
  <pageSetup paperSize="5" scale="70" orientation="landscape" r:id="rId1"/>
  <ignoredErrors>
    <ignoredError sqref="H224" evalError="1"/>
    <ignoredError sqref="K162:L163"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B1:F23"/>
  <sheetViews>
    <sheetView workbookViewId="0">
      <selection activeCell="H11" sqref="H11"/>
    </sheetView>
  </sheetViews>
  <sheetFormatPr baseColWidth="10" defaultColWidth="11.5" defaultRowHeight="15"/>
  <cols>
    <col min="1" max="1" width="1.5" customWidth="1"/>
    <col min="2" max="2" width="47.5" customWidth="1"/>
    <col min="3" max="3" width="14.5" customWidth="1"/>
    <col min="4" max="4" width="18.5" customWidth="1"/>
    <col min="5" max="5" width="15.5" customWidth="1"/>
    <col min="6" max="6" width="17.5" style="1088" customWidth="1"/>
  </cols>
  <sheetData>
    <row r="1" spans="2:6" ht="8.5" customHeight="1"/>
    <row r="2" spans="2:6" ht="42">
      <c r="B2" s="1067" t="s">
        <v>3251</v>
      </c>
      <c r="C2" s="1067" t="s">
        <v>2724</v>
      </c>
      <c r="D2" s="1067" t="s">
        <v>3252</v>
      </c>
      <c r="E2" s="1067" t="s">
        <v>3253</v>
      </c>
      <c r="F2" s="1089" t="s">
        <v>3254</v>
      </c>
    </row>
    <row r="3" spans="2:6">
      <c r="B3" s="1068" t="s">
        <v>1340</v>
      </c>
      <c r="C3" s="1068"/>
      <c r="D3" s="1068"/>
      <c r="E3" s="1068"/>
      <c r="F3" s="1090"/>
    </row>
    <row r="4" spans="2:6" ht="56">
      <c r="B4" s="1083" t="str">
        <f>+'9.3_PA_Det'!C14</f>
        <v>Adquisición de licencias para uso de software SIEM (Security Information and Event Management), que incluye servicio de implementación, configuración y soporte para los controles de ciberseguridad de la CGR</v>
      </c>
      <c r="C4" s="1069" t="str">
        <f>+'9.3_PA_Det'!E14</f>
        <v>Licitación Pública Internacional</v>
      </c>
      <c r="D4" s="1069"/>
      <c r="E4" s="1134" t="str">
        <f>+'9.3_PA_Det'!O14</f>
        <v>Mayo 2024</v>
      </c>
      <c r="F4" s="1084" t="e">
        <f>+'9.3_PA_Det'!H14</f>
        <v>#REF!</v>
      </c>
    </row>
    <row r="5" spans="2:6">
      <c r="B5" s="1068" t="s">
        <v>2292</v>
      </c>
      <c r="C5" s="1068"/>
      <c r="D5" s="1068"/>
      <c r="E5" s="1150"/>
      <c r="F5" s="1090"/>
    </row>
    <row r="6" spans="2:6" s="1097" customFormat="1">
      <c r="B6" s="1095" t="s">
        <v>876</v>
      </c>
      <c r="C6" s="1095" t="s">
        <v>3074</v>
      </c>
      <c r="D6" s="1095" t="s">
        <v>3074</v>
      </c>
      <c r="E6" s="1135" t="s">
        <v>3074</v>
      </c>
      <c r="F6" s="1096" t="s">
        <v>3074</v>
      </c>
    </row>
    <row r="7" spans="2:6">
      <c r="B7" s="1068" t="s">
        <v>3255</v>
      </c>
      <c r="C7" s="1068"/>
      <c r="D7" s="1068"/>
      <c r="E7" s="1150"/>
      <c r="F7" s="1090"/>
    </row>
    <row r="8" spans="2:6" ht="56">
      <c r="B8" s="1083" t="str">
        <f>+'9.3_PA_Det'!C22</f>
        <v>Contratación de servicios de tecnología en la nube y licenciamiento para el Tablero de Control y Funcionalidades Analíticas para soportar la toma de decisiones en la trazabilidad de los recursos públicos</v>
      </c>
      <c r="C8" s="1069" t="str">
        <f>+'9.3_PA_Det'!E22</f>
        <v>Licitación Pública Nacional</v>
      </c>
      <c r="D8" s="1069"/>
      <c r="E8" s="1136" t="str">
        <f>+'9.3_PA_Det'!O22</f>
        <v>Octubre 2023</v>
      </c>
      <c r="F8" s="1084">
        <f>+'9.3_PA_Det'!H22</f>
        <v>0</v>
      </c>
    </row>
    <row r="9" spans="2:6" ht="70">
      <c r="B9" s="1083" t="str">
        <f>+'9.3_PA_Det'!C25</f>
        <v>Contratación de servicios para el diseño y desarrollo de contenidos multimedia para el Programa de capacitación para las nuevas modalidades de gestión de la DGEIG dirigidas a las CEP y a los responsables de acceso a la información pública desarrollado</v>
      </c>
      <c r="C9" s="1069" t="str">
        <f>+'9.3_PA_Det'!E25</f>
        <v>Licitación Pública Nacional</v>
      </c>
      <c r="D9" s="1069"/>
      <c r="E9" s="1134" t="str">
        <f>+'9.3_PA_Det'!O25</f>
        <v>Septiembre 2023</v>
      </c>
      <c r="F9" s="1084">
        <f>+'9.3_PA_Det'!H25</f>
        <v>80000</v>
      </c>
    </row>
    <row r="10" spans="2:6">
      <c r="B10" s="1068" t="s">
        <v>3256</v>
      </c>
      <c r="C10" s="1068"/>
      <c r="D10" s="1068"/>
      <c r="E10" s="1150"/>
      <c r="F10" s="1090"/>
    </row>
    <row r="11" spans="2:6" ht="70">
      <c r="B11" s="1083" t="str">
        <f>+'9.3_PA_Det'!C31</f>
        <v>Contratación de firma consultora para la construcción de servicios web y ajustes prioritarios a sistemas para la interoperabilidad entre sistemas de presupuesto, proyectos de inversión, procesos de contratación y contratos</v>
      </c>
      <c r="C11" s="1069" t="str">
        <f>+'9.3_PA_Det'!E31</f>
        <v>Selección Basada en Calidad y Costo</v>
      </c>
      <c r="D11" s="1069"/>
      <c r="E11" s="1134" t="str">
        <f>+'9.3_PA_Det'!N31</f>
        <v>Marzo 2023</v>
      </c>
      <c r="F11" s="1084" t="e">
        <f>+'9.3_PA_Det'!G31</f>
        <v>#REF!</v>
      </c>
    </row>
    <row r="12" spans="2:6" ht="70">
      <c r="B12" s="1083" t="str">
        <f>+'9.3_PA_Det'!C33</f>
        <v>Contratación de firma consultora para la implementación de procesos priorizados según el diseño de la arquitectura para implementar los procesos de interoperabilidad en MH, MEPYD, DGCP y CGRD, incluyendo nodos X-Road y servicios de ciberseguridad</v>
      </c>
      <c r="C12" s="1069" t="str">
        <f>+'9.3_PA_Det'!E33</f>
        <v>Selección Basada en Calidad y Costo</v>
      </c>
      <c r="D12" s="1069"/>
      <c r="E12" s="1134" t="str">
        <f>+'9.3_PA_Det'!N33</f>
        <v>Junio 2024</v>
      </c>
      <c r="F12" s="1084">
        <f>+'9.3_PA_Det'!G33</f>
        <v>108000</v>
      </c>
    </row>
    <row r="13" spans="2:6" ht="70">
      <c r="B13" s="1083" t="str">
        <f>+'9.3_PA_Det'!C38</f>
        <v>Contratación de firma consultora para la realización de la Arquitectura de analítica, hoja de ruta y diseño, construcción, pruebas e implementación del Tablero de Control y Funcionalidades Analíticas para soportar la toma de decisiones en la trazabilidad de los recursos públicos</v>
      </c>
      <c r="C13" s="1069" t="str">
        <f>+'9.3_PA_Det'!E38</f>
        <v>Selección Basada en Calidad y Costo</v>
      </c>
      <c r="D13" s="1069"/>
      <c r="E13" s="1134" t="str">
        <f>+'9.3_PA_Det'!N38</f>
        <v>Noviembre 2023</v>
      </c>
      <c r="F13" s="1084">
        <f>+'9.3_PA_Det'!G38</f>
        <v>1000000</v>
      </c>
    </row>
    <row r="14" spans="2:6" ht="56">
      <c r="B14" s="1083" t="str">
        <f>+'9.3_PA_Det'!C42</f>
        <v>Contratación de firma consultora para la realización de ajustes mínimos al Sistema de  información de Contrataciones Públicas actual para interoperar con el sistema electrónico del MH, MEPYD y CGRD</v>
      </c>
      <c r="C14" s="1069" t="str">
        <f>+'9.3_PA_Det'!E42</f>
        <v>Selección Basada en Calidad y Costo</v>
      </c>
      <c r="D14" s="1069"/>
      <c r="E14" s="1134" t="str">
        <f>+'9.3_PA_Det'!N42</f>
        <v>Mayo 2023</v>
      </c>
      <c r="F14" s="1084">
        <f>+'9.3_PA_Det'!G42</f>
        <v>2525070.9</v>
      </c>
    </row>
    <row r="15" spans="2:6" ht="42">
      <c r="B15" s="1083" t="str">
        <f>+'9.3_PA_Det'!C55</f>
        <v xml:space="preserve">Contratación de firma consultora para la realización de ajustes mínimos al Sistema de información de Inversión Pública (SNIP) actual </v>
      </c>
      <c r="C15" s="1069" t="str">
        <f>+'9.3_PA_Det'!E55</f>
        <v>Selección Basada en Calidad y Costo</v>
      </c>
      <c r="D15" s="1069"/>
      <c r="E15" s="1134" t="str">
        <f>+'9.3_PA_Det'!N55</f>
        <v>Febrero 2024</v>
      </c>
      <c r="F15" s="1084" t="e">
        <f>+'9.3_PA_Det'!G55</f>
        <v>#REF!</v>
      </c>
    </row>
    <row r="16" spans="2:6" ht="56">
      <c r="B16" s="1083" t="str">
        <f>+'9.3_PA_Det'!C59</f>
        <v>Contratación de firma para el diseño, desarrollo, implementación y despliegue del Sistema tecnológico para el Registro de Beneficiarios Finales de personas y estructuras jurídicas</v>
      </c>
      <c r="C16" s="1069" t="str">
        <f>+'9.3_PA_Det'!E59</f>
        <v>Selección Basada en Calidad y Costo</v>
      </c>
      <c r="D16" s="1069"/>
      <c r="E16" s="1134" t="str">
        <f>+'9.3_PA_Det'!N59</f>
        <v>Marzo 2023</v>
      </c>
      <c r="F16" s="1084">
        <f>+'9.3_PA_Det'!G59</f>
        <v>5080000</v>
      </c>
    </row>
    <row r="17" spans="2:6" ht="70">
      <c r="B17" s="1083" t="str">
        <f>+'9.3_PA_Det'!C65</f>
        <v>Contratación de firma para el diseño del Modelo de Gestión de la Contraloría General de la República Dominicana, incluyendo el levantamiento de información del método existente e identificación de brechas de competencias normativas, organizacionales y tecnológicas</v>
      </c>
      <c r="C17" s="1069" t="str">
        <f>+'9.3_PA_Det'!E65</f>
        <v>Selección Basada en Calidad y Costo</v>
      </c>
      <c r="D17" s="1069"/>
      <c r="E17" s="1134" t="str">
        <f>+'9.3_PA_Det'!N65</f>
        <v>Abril 2023</v>
      </c>
      <c r="F17" s="1084" t="e">
        <f>+'9.3_PA_Det'!G65</f>
        <v>#REF!</v>
      </c>
    </row>
    <row r="18" spans="2:6" ht="56">
      <c r="B18" s="1083" t="str">
        <f>+'9.3_PA_Det'!C68</f>
        <v>Contratación de firma para la transformación de procesos misionales actuales priorizados y el desarrollo de nuevos procesos en la Contraloría General de la República, en el marco de su transformación digital</v>
      </c>
      <c r="C18" s="1069" t="str">
        <f>+'9.3_PA_Det'!E68</f>
        <v>Selección Basada en Calidad y Costo</v>
      </c>
      <c r="D18" s="1069"/>
      <c r="E18" s="1134" t="str">
        <f>+'9.3_PA_Det'!N68</f>
        <v>Abril 2023</v>
      </c>
      <c r="F18" s="1084" t="e">
        <f>+'9.3_PA_Det'!G68</f>
        <v>#REF!</v>
      </c>
    </row>
    <row r="19" spans="2:6" ht="57.5" customHeight="1">
      <c r="B19" s="1083" t="str">
        <f>+'9.3_PA_Det'!C105</f>
        <v>Contratación de fábrica de software para la construcción de servicios web para consumo, conforme al modelo de interoperabilidad  que integre los sistemas del MH, el MEPYD, la DGCP y la CGR</v>
      </c>
      <c r="C19" s="1069" t="str">
        <f>+'9.3_PA_Det'!E105</f>
        <v>Selección Basada en Calidad y Costo</v>
      </c>
      <c r="D19" s="1069"/>
      <c r="E19" s="1134" t="str">
        <f>+'9.3_PA_Det'!N105</f>
        <v>Febrero 2024</v>
      </c>
      <c r="F19" s="1084" t="e">
        <f>+'9.3_PA_Det'!G105</f>
        <v>#REF!</v>
      </c>
    </row>
    <row r="20" spans="2:6" ht="85.25" customHeight="1">
      <c r="B20" s="1083" t="str">
        <f>+'9.3_PA_Det'!C137</f>
        <v>Contratación de firma para el diseño, construcción y ajustes del Portal Único de Transparencia y el Portal de Solicitud de Acceso a la Información Pública de la DIGEIG, incluye desarrollo de interoperabilidad, servicios TICs e incorporación de funcionalidades para garantizar el acceso para personas con discapacidad</v>
      </c>
      <c r="C20" s="1069" t="str">
        <f>+'9.3_PA_Det'!E137</f>
        <v>Selección Basada en Calidad y Costo</v>
      </c>
      <c r="D20" s="1069"/>
      <c r="E20" s="1134" t="str">
        <f>+'9.3_PA_Det'!N137</f>
        <v>Noviembre 2024</v>
      </c>
      <c r="F20" s="1084" t="e">
        <f>+'9.3_PA_Det'!G137</f>
        <v>#REF!</v>
      </c>
    </row>
    <row r="21" spans="2:6" ht="42.5" customHeight="1">
      <c r="B21" s="1083" t="str">
        <f>+'9.3_PA_Det'!C153</f>
        <v>Contratación de una firma especializada para para brindar asistencia técnica en Project Management</v>
      </c>
      <c r="C21" s="1069" t="str">
        <f>+'9.3_PA_Det'!E153</f>
        <v>Selección Basada en Calidad y Costo</v>
      </c>
      <c r="D21" s="1069"/>
      <c r="E21" s="1134" t="str">
        <f>+'9.3_PA_Det'!N153</f>
        <v>Marzo 2023</v>
      </c>
      <c r="F21" s="1084" t="e">
        <f>+'9.3_PA_Det'!G153</f>
        <v>#REF!</v>
      </c>
    </row>
    <row r="22" spans="2:6">
      <c r="B22" s="1068" t="s">
        <v>3257</v>
      </c>
      <c r="C22" s="1068"/>
      <c r="D22" s="1068"/>
      <c r="E22" s="1068"/>
      <c r="F22" s="1090"/>
    </row>
    <row r="23" spans="2:6" ht="42">
      <c r="B23" s="1069" t="s">
        <v>3258</v>
      </c>
      <c r="C23" s="1069" t="str">
        <f>+'9.3_PA_Det'!E193</f>
        <v>3CV</v>
      </c>
      <c r="D23" s="1069"/>
      <c r="E23" s="1134" t="s">
        <v>3259</v>
      </c>
      <c r="F23" s="1084" t="e">
        <f>+'9.3_PA_Det'!L193+'9.3_PA_Det'!L194+'9.3_PA_Det'!L195+'9.3_PA_Det'!L196+'9.3_PA_Det'!L197+'9.3_PA_Det'!L198+'9.3_PA_Det'!L199++'9.3_PA_Det'!L200+'9.3_PA_Det'!L201+'9.3_PA_Det'!L202+'9.3_PA_Det'!L203+'9.3_PA_Det'!L204+'9.3_PA_Det'!L205+'9.3_PA_Det'!L206+'9.3_PA_Det'!L176+'9.3_PA_Det'!L177+'9.3_PA_Det'!L184</f>
        <v>#REF!</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B1:P213"/>
  <sheetViews>
    <sheetView showGridLines="0" zoomScale="130" zoomScaleNormal="130" zoomScalePageLayoutView="125" workbookViewId="0">
      <selection sqref="A1:I1"/>
    </sheetView>
  </sheetViews>
  <sheetFormatPr baseColWidth="10" defaultColWidth="85.5" defaultRowHeight="12" outlineLevelRow="3"/>
  <cols>
    <col min="1" max="1" width="0.5" style="56" customWidth="1"/>
    <col min="2" max="2" width="34.5" style="213" customWidth="1"/>
    <col min="3" max="3" width="12.5" style="214" customWidth="1"/>
    <col min="4" max="4" width="7" style="56" customWidth="1"/>
    <col min="5" max="7" width="7" style="214" customWidth="1"/>
    <col min="8" max="11" width="6.5" style="214" customWidth="1"/>
    <col min="12" max="12" width="7.5" style="214" customWidth="1"/>
    <col min="13" max="13" width="10.5" style="56" customWidth="1"/>
    <col min="14" max="14" width="13.1640625" style="56" customWidth="1"/>
    <col min="15" max="15" width="27.5" style="386" customWidth="1"/>
    <col min="16" max="16" width="26" style="56" customWidth="1"/>
    <col min="17" max="18" width="18.83203125" style="56" customWidth="1"/>
    <col min="19" max="16384" width="85.5" style="56"/>
  </cols>
  <sheetData>
    <row r="1" spans="2:16" ht="6" customHeight="1"/>
    <row r="2" spans="2:16">
      <c r="B2" s="3598" t="s">
        <v>136</v>
      </c>
      <c r="C2" s="3598"/>
      <c r="D2" s="3598"/>
      <c r="E2" s="3598"/>
      <c r="F2" s="3598"/>
      <c r="G2" s="3598"/>
      <c r="H2" s="3598"/>
      <c r="I2" s="3598"/>
      <c r="J2" s="3598"/>
      <c r="K2" s="3598"/>
      <c r="L2" s="3598"/>
      <c r="M2" s="3598"/>
      <c r="N2" s="3598"/>
      <c r="O2" s="3598"/>
    </row>
    <row r="3" spans="2:16" ht="13" outlineLevel="2">
      <c r="B3" s="771" t="s">
        <v>137</v>
      </c>
      <c r="C3" s="3600" t="s">
        <v>138</v>
      </c>
      <c r="D3" s="3600"/>
      <c r="E3" s="3600"/>
      <c r="F3" s="3600"/>
      <c r="G3" s="3600"/>
      <c r="H3" s="3600"/>
      <c r="I3" s="3600"/>
      <c r="J3" s="3600"/>
      <c r="K3" s="3600"/>
      <c r="L3" s="3600"/>
      <c r="M3" s="3600"/>
      <c r="N3" s="3600"/>
      <c r="O3" s="3600"/>
    </row>
    <row r="4" spans="2:16" ht="13" outlineLevel="2">
      <c r="B4" s="771" t="s">
        <v>139</v>
      </c>
      <c r="C4" s="3599" t="s">
        <v>140</v>
      </c>
      <c r="D4" s="3599"/>
      <c r="E4" s="3599"/>
      <c r="F4" s="3599"/>
      <c r="G4" s="3599"/>
      <c r="H4" s="3599"/>
      <c r="I4" s="3599"/>
      <c r="J4" s="3599"/>
      <c r="K4" s="3599"/>
      <c r="L4" s="3599"/>
      <c r="M4" s="3599"/>
      <c r="N4" s="3599"/>
      <c r="O4" s="3599"/>
    </row>
    <row r="5" spans="2:16" ht="39.5" customHeight="1" outlineLevel="2">
      <c r="B5" s="771" t="s">
        <v>141</v>
      </c>
      <c r="C5" s="3599" t="s">
        <v>142</v>
      </c>
      <c r="D5" s="3599"/>
      <c r="E5" s="3599"/>
      <c r="F5" s="3599"/>
      <c r="G5" s="3599"/>
      <c r="H5" s="3599"/>
      <c r="I5" s="3599"/>
      <c r="J5" s="3599"/>
      <c r="K5" s="3599"/>
      <c r="L5" s="3599"/>
      <c r="M5" s="3599"/>
      <c r="N5" s="3599"/>
      <c r="O5" s="3599"/>
    </row>
    <row r="6" spans="2:16" ht="12" customHeight="1" outlineLevel="1">
      <c r="B6" s="215"/>
      <c r="C6" s="215"/>
      <c r="D6" s="216"/>
      <c r="E6" s="216"/>
      <c r="F6" s="216"/>
      <c r="G6" s="216"/>
      <c r="H6" s="216"/>
      <c r="I6" s="216"/>
      <c r="J6" s="217"/>
      <c r="K6" s="217"/>
      <c r="L6" s="217"/>
      <c r="M6" s="217"/>
      <c r="N6" s="218"/>
      <c r="O6" s="387"/>
      <c r="P6" s="212"/>
    </row>
    <row r="7" spans="2:16" outlineLevel="1">
      <c r="B7" s="3595" t="s">
        <v>143</v>
      </c>
      <c r="C7" s="3595"/>
      <c r="D7" s="3595"/>
      <c r="E7" s="3595"/>
      <c r="F7" s="3595"/>
      <c r="G7" s="3595"/>
      <c r="H7" s="3595"/>
      <c r="I7" s="3595"/>
      <c r="J7" s="3595"/>
      <c r="K7" s="3595"/>
      <c r="L7" s="3595"/>
      <c r="M7" s="3595"/>
      <c r="N7" s="3595"/>
      <c r="O7" s="3595"/>
      <c r="P7" s="212"/>
    </row>
    <row r="8" spans="2:16" ht="17.5" customHeight="1" outlineLevel="2">
      <c r="B8" s="3607" t="s">
        <v>144</v>
      </c>
      <c r="C8" s="3607"/>
      <c r="D8" s="3601" t="s">
        <v>145</v>
      </c>
      <c r="E8" s="3601" t="s">
        <v>146</v>
      </c>
      <c r="F8" s="772"/>
      <c r="G8" s="3601" t="s">
        <v>147</v>
      </c>
      <c r="H8" s="3601" t="s">
        <v>148</v>
      </c>
      <c r="I8" s="3601"/>
      <c r="J8" s="3601" t="s">
        <v>149</v>
      </c>
      <c r="K8" s="3601"/>
      <c r="L8" s="3601" t="s">
        <v>150</v>
      </c>
      <c r="M8" s="3601"/>
      <c r="N8" s="3601" t="s">
        <v>151</v>
      </c>
      <c r="O8" s="3601"/>
      <c r="P8" s="212"/>
    </row>
    <row r="9" spans="2:16" ht="17.5" customHeight="1" outlineLevel="2">
      <c r="B9" s="3607"/>
      <c r="C9" s="3607"/>
      <c r="D9" s="3601"/>
      <c r="E9" s="3601"/>
      <c r="F9" s="772"/>
      <c r="G9" s="3601"/>
      <c r="H9" s="772" t="s">
        <v>152</v>
      </c>
      <c r="I9" s="772" t="s">
        <v>153</v>
      </c>
      <c r="J9" s="772" t="s">
        <v>152</v>
      </c>
      <c r="K9" s="772" t="s">
        <v>153</v>
      </c>
      <c r="L9" s="3601"/>
      <c r="M9" s="3601"/>
      <c r="N9" s="3601"/>
      <c r="O9" s="3601"/>
      <c r="P9" s="212"/>
    </row>
    <row r="10" spans="2:16" s="1108" customFormat="1" ht="17" customHeight="1" outlineLevel="2">
      <c r="B10" s="3590" t="s">
        <v>154</v>
      </c>
      <c r="C10" s="3590"/>
      <c r="D10" s="3590"/>
      <c r="E10" s="3590"/>
      <c r="F10" s="3590"/>
      <c r="G10" s="3590"/>
      <c r="H10" s="3590"/>
      <c r="I10" s="3590"/>
      <c r="J10" s="3590"/>
      <c r="K10" s="3590"/>
      <c r="L10" s="3590"/>
      <c r="M10" s="3590"/>
      <c r="N10" s="3590"/>
      <c r="O10" s="3590"/>
      <c r="P10" s="1107"/>
    </row>
    <row r="11" spans="2:16" ht="42.75" customHeight="1" outlineLevel="3">
      <c r="B11" s="4468" t="s">
        <v>155</v>
      </c>
      <c r="C11" s="4469"/>
      <c r="D11" s="773" t="s">
        <v>156</v>
      </c>
      <c r="E11" s="1208">
        <v>0</v>
      </c>
      <c r="F11" s="773"/>
      <c r="G11" s="1208">
        <v>2020</v>
      </c>
      <c r="H11" s="773" t="s">
        <v>157</v>
      </c>
      <c r="I11" s="773" t="s">
        <v>157</v>
      </c>
      <c r="J11" s="773">
        <v>60</v>
      </c>
      <c r="K11" s="773">
        <v>2028</v>
      </c>
      <c r="L11" s="3589" t="s">
        <v>158</v>
      </c>
      <c r="M11" s="3589"/>
      <c r="N11" s="3599"/>
      <c r="O11" s="3599"/>
      <c r="P11" s="212" t="s">
        <v>159</v>
      </c>
    </row>
    <row r="12" spans="2:16" ht="42.75" customHeight="1" outlineLevel="3">
      <c r="B12" s="4470"/>
      <c r="C12" s="4471"/>
      <c r="D12" s="1290"/>
      <c r="E12" s="1290"/>
      <c r="F12" s="1290"/>
      <c r="G12" s="1290"/>
      <c r="H12" s="1290"/>
      <c r="I12" s="1290"/>
      <c r="J12" s="1290"/>
      <c r="K12" s="1290">
        <v>2028</v>
      </c>
      <c r="L12" s="3589" t="s">
        <v>158</v>
      </c>
      <c r="M12" s="3589"/>
      <c r="N12" s="3589"/>
      <c r="O12" s="3589"/>
      <c r="P12" s="212"/>
    </row>
    <row r="13" spans="2:16" ht="42" customHeight="1" outlineLevel="3">
      <c r="B13" s="4468" t="s">
        <v>160</v>
      </c>
      <c r="C13" s="4469"/>
      <c r="D13" s="773" t="s">
        <v>156</v>
      </c>
      <c r="E13" s="1208">
        <v>61</v>
      </c>
      <c r="F13" s="773"/>
      <c r="G13" s="1208">
        <v>2020</v>
      </c>
      <c r="H13" s="773" t="s">
        <v>157</v>
      </c>
      <c r="I13" s="773" t="s">
        <v>157</v>
      </c>
      <c r="J13" s="773">
        <v>45</v>
      </c>
      <c r="K13" s="773">
        <v>2028</v>
      </c>
      <c r="L13" s="3589" t="s">
        <v>158</v>
      </c>
      <c r="M13" s="3589"/>
      <c r="N13" s="3589" t="s">
        <v>161</v>
      </c>
      <c r="O13" s="3589"/>
      <c r="P13" s="212" t="s">
        <v>162</v>
      </c>
    </row>
    <row r="14" spans="2:16" ht="42" customHeight="1" outlineLevel="3">
      <c r="B14" s="4470"/>
      <c r="C14" s="4471"/>
      <c r="D14" s="1290" t="s">
        <v>156</v>
      </c>
      <c r="E14" s="1290">
        <v>58.43</v>
      </c>
      <c r="F14" s="1290"/>
      <c r="G14" s="1290">
        <v>2022</v>
      </c>
      <c r="H14" s="1290" t="s">
        <v>157</v>
      </c>
      <c r="I14" s="1290" t="s">
        <v>157</v>
      </c>
      <c r="J14" s="1290">
        <v>45</v>
      </c>
      <c r="K14" s="1290">
        <v>2028</v>
      </c>
      <c r="L14" s="3589" t="s">
        <v>158</v>
      </c>
      <c r="M14" s="3589"/>
      <c r="N14" s="3589"/>
      <c r="O14" s="3589"/>
      <c r="P14" s="212"/>
    </row>
    <row r="15" spans="2:16" ht="39" customHeight="1" outlineLevel="3">
      <c r="B15" s="4468" t="s">
        <v>163</v>
      </c>
      <c r="C15" s="4469"/>
      <c r="D15" s="773" t="s">
        <v>156</v>
      </c>
      <c r="E15" s="1208">
        <v>7.64</v>
      </c>
      <c r="F15" s="773"/>
      <c r="G15" s="1208">
        <v>2021</v>
      </c>
      <c r="H15" s="773" t="s">
        <v>157</v>
      </c>
      <c r="I15" s="773" t="s">
        <v>157</v>
      </c>
      <c r="J15" s="773">
        <v>10</v>
      </c>
      <c r="K15" s="773">
        <v>2028</v>
      </c>
      <c r="L15" s="3589" t="s">
        <v>158</v>
      </c>
      <c r="M15" s="3589"/>
      <c r="N15" s="3589" t="s">
        <v>164</v>
      </c>
      <c r="O15" s="3589"/>
      <c r="P15" s="212"/>
    </row>
    <row r="16" spans="2:16" ht="39" customHeight="1" outlineLevel="3">
      <c r="B16" s="4470"/>
      <c r="C16" s="4471"/>
      <c r="D16" s="1290" t="s">
        <v>156</v>
      </c>
      <c r="E16" s="1290">
        <v>7.64</v>
      </c>
      <c r="F16" s="1290"/>
      <c r="G16" s="1290">
        <v>2022</v>
      </c>
      <c r="H16" s="1290" t="s">
        <v>157</v>
      </c>
      <c r="I16" s="1290" t="s">
        <v>157</v>
      </c>
      <c r="J16" s="1290">
        <v>10</v>
      </c>
      <c r="K16" s="1290">
        <v>2028</v>
      </c>
      <c r="L16" s="3589" t="s">
        <v>158</v>
      </c>
      <c r="M16" s="3589"/>
      <c r="N16" s="3589"/>
      <c r="O16" s="3589"/>
      <c r="P16" s="212"/>
    </row>
    <row r="17" spans="2:16" ht="36.5" customHeight="1" outlineLevel="3">
      <c r="B17" s="4472" t="s">
        <v>165</v>
      </c>
      <c r="C17" s="4473"/>
      <c r="D17" s="773" t="s">
        <v>156</v>
      </c>
      <c r="E17" s="1208">
        <v>0</v>
      </c>
      <c r="F17" s="773"/>
      <c r="G17" s="1208">
        <v>2021</v>
      </c>
      <c r="H17" s="773" t="s">
        <v>157</v>
      </c>
      <c r="I17" s="773" t="s">
        <v>157</v>
      </c>
      <c r="J17" s="773">
        <v>60</v>
      </c>
      <c r="K17" s="773">
        <v>2028</v>
      </c>
      <c r="L17" s="3589" t="s">
        <v>166</v>
      </c>
      <c r="M17" s="3589"/>
      <c r="N17" s="3589" t="s">
        <v>167</v>
      </c>
      <c r="O17" s="3589"/>
      <c r="P17" s="212" t="s">
        <v>168</v>
      </c>
    </row>
    <row r="18" spans="2:16" ht="36.5" customHeight="1" outlineLevel="3">
      <c r="B18" s="4474"/>
      <c r="C18" s="4475"/>
      <c r="D18" s="1290" t="s">
        <v>156</v>
      </c>
      <c r="E18" s="1290">
        <v>0</v>
      </c>
      <c r="F18" s="1290"/>
      <c r="G18" s="1290">
        <v>2023</v>
      </c>
      <c r="H18" s="1290"/>
      <c r="I18" s="1290"/>
      <c r="J18" s="1290">
        <v>60</v>
      </c>
      <c r="K18" s="1290">
        <v>2028</v>
      </c>
      <c r="L18" s="3589" t="s">
        <v>166</v>
      </c>
      <c r="M18" s="3589"/>
      <c r="N18" s="3589"/>
      <c r="O18" s="3589"/>
      <c r="P18" s="212"/>
    </row>
    <row r="19" spans="2:16" s="1108" customFormat="1" ht="17" customHeight="1" outlineLevel="2">
      <c r="B19" s="3590" t="s">
        <v>169</v>
      </c>
      <c r="C19" s="3590"/>
      <c r="D19" s="3590"/>
      <c r="E19" s="3590"/>
      <c r="F19" s="3590"/>
      <c r="G19" s="3590"/>
      <c r="H19" s="3590"/>
      <c r="I19" s="3590"/>
      <c r="J19" s="3590"/>
      <c r="K19" s="3590"/>
      <c r="L19" s="3590"/>
      <c r="M19" s="3590"/>
      <c r="N19" s="3590"/>
      <c r="O19" s="3590"/>
      <c r="P19" s="1107"/>
    </row>
    <row r="20" spans="2:16" ht="55.25" customHeight="1" outlineLevel="3">
      <c r="B20" s="3599" t="s">
        <v>3260</v>
      </c>
      <c r="C20" s="3599"/>
      <c r="D20" s="773" t="s">
        <v>156</v>
      </c>
      <c r="E20" s="773">
        <v>0</v>
      </c>
      <c r="F20" s="773"/>
      <c r="G20" s="773">
        <v>2021</v>
      </c>
      <c r="H20" s="773" t="s">
        <v>157</v>
      </c>
      <c r="I20" s="773" t="s">
        <v>157</v>
      </c>
      <c r="J20" s="773">
        <v>30</v>
      </c>
      <c r="K20" s="773">
        <v>2028</v>
      </c>
      <c r="L20" s="3589" t="s">
        <v>171</v>
      </c>
      <c r="M20" s="3589"/>
      <c r="N20" s="3589" t="s">
        <v>172</v>
      </c>
      <c r="O20" s="3589"/>
      <c r="P20" s="212"/>
    </row>
    <row r="21" spans="2:16" s="1108" customFormat="1" ht="17" customHeight="1" outlineLevel="2">
      <c r="B21" s="3590" t="s">
        <v>173</v>
      </c>
      <c r="C21" s="3590"/>
      <c r="D21" s="3590"/>
      <c r="E21" s="3590"/>
      <c r="F21" s="3590"/>
      <c r="G21" s="3590"/>
      <c r="H21" s="3590"/>
      <c r="I21" s="3590"/>
      <c r="J21" s="3590"/>
      <c r="K21" s="3590"/>
      <c r="L21" s="3590"/>
      <c r="M21" s="3590"/>
      <c r="N21" s="3590"/>
      <c r="O21" s="3590"/>
      <c r="P21" s="1107"/>
    </row>
    <row r="22" spans="2:16" ht="44" customHeight="1" outlineLevel="3">
      <c r="B22" s="3599" t="s">
        <v>174</v>
      </c>
      <c r="C22" s="3599"/>
      <c r="D22" s="773" t="s">
        <v>156</v>
      </c>
      <c r="E22" s="773">
        <v>12.8</v>
      </c>
      <c r="F22" s="773"/>
      <c r="G22" s="773">
        <v>2020</v>
      </c>
      <c r="H22" s="773" t="s">
        <v>157</v>
      </c>
      <c r="I22" s="773" t="s">
        <v>157</v>
      </c>
      <c r="J22" s="774">
        <v>0.05</v>
      </c>
      <c r="K22" s="773">
        <v>2028</v>
      </c>
      <c r="L22" s="3589" t="s">
        <v>175</v>
      </c>
      <c r="M22" s="3589"/>
      <c r="N22" s="3589" t="s">
        <v>176</v>
      </c>
      <c r="O22" s="3589"/>
      <c r="P22" s="212"/>
    </row>
    <row r="23" spans="2:16" ht="39.5" customHeight="1" outlineLevel="3">
      <c r="B23" s="3599" t="s">
        <v>177</v>
      </c>
      <c r="C23" s="3599"/>
      <c r="D23" s="773" t="s">
        <v>178</v>
      </c>
      <c r="E23" s="1718">
        <v>172</v>
      </c>
      <c r="F23" s="773"/>
      <c r="G23" s="1718">
        <v>2020</v>
      </c>
      <c r="H23" s="773" t="s">
        <v>157</v>
      </c>
      <c r="I23" s="773" t="s">
        <v>157</v>
      </c>
      <c r="J23" s="773">
        <v>100</v>
      </c>
      <c r="K23" s="773">
        <v>2028</v>
      </c>
      <c r="L23" s="3589" t="s">
        <v>175</v>
      </c>
      <c r="M23" s="3589"/>
      <c r="N23" s="3589"/>
      <c r="O23" s="3589"/>
      <c r="P23" s="212"/>
    </row>
    <row r="24" spans="2:16" ht="37.25" customHeight="1" outlineLevel="3">
      <c r="B24" s="3599" t="s">
        <v>179</v>
      </c>
      <c r="C24" s="3599"/>
      <c r="D24" s="773" t="s">
        <v>180</v>
      </c>
      <c r="E24" s="773">
        <v>3</v>
      </c>
      <c r="F24" s="773"/>
      <c r="G24" s="773">
        <v>2020</v>
      </c>
      <c r="H24" s="773" t="s">
        <v>157</v>
      </c>
      <c r="I24" s="773" t="s">
        <v>157</v>
      </c>
      <c r="J24" s="773">
        <v>1</v>
      </c>
      <c r="K24" s="773">
        <v>2028</v>
      </c>
      <c r="L24" s="3589" t="s">
        <v>175</v>
      </c>
      <c r="M24" s="3589"/>
      <c r="N24" s="3589" t="s">
        <v>181</v>
      </c>
      <c r="O24" s="3589"/>
      <c r="P24" s="212"/>
    </row>
    <row r="25" spans="2:16" ht="39" customHeight="1" outlineLevel="3">
      <c r="B25" s="3599" t="s">
        <v>182</v>
      </c>
      <c r="C25" s="3599"/>
      <c r="D25" s="773" t="s">
        <v>156</v>
      </c>
      <c r="E25" s="773">
        <v>17</v>
      </c>
      <c r="F25" s="773"/>
      <c r="G25" s="773">
        <v>2021</v>
      </c>
      <c r="H25" s="773" t="s">
        <v>157</v>
      </c>
      <c r="I25" s="773" t="s">
        <v>157</v>
      </c>
      <c r="J25" s="773">
        <v>5</v>
      </c>
      <c r="K25" s="773">
        <v>2028</v>
      </c>
      <c r="L25" s="3589" t="s">
        <v>175</v>
      </c>
      <c r="M25" s="3589"/>
      <c r="N25" s="3589" t="s">
        <v>183</v>
      </c>
      <c r="O25" s="3589"/>
      <c r="P25" s="212"/>
    </row>
    <row r="26" spans="2:16" outlineLevel="2">
      <c r="B26" s="217"/>
      <c r="C26" s="217"/>
      <c r="D26" s="216"/>
      <c r="E26" s="216"/>
      <c r="F26" s="216"/>
      <c r="G26" s="216"/>
      <c r="H26" s="216"/>
      <c r="I26" s="216"/>
      <c r="J26" s="217"/>
      <c r="K26" s="217"/>
      <c r="L26" s="217"/>
      <c r="M26" s="216"/>
      <c r="N26" s="216"/>
      <c r="O26" s="216"/>
      <c r="P26" s="212"/>
    </row>
    <row r="27" spans="2:16" ht="11" customHeight="1" outlineLevel="1">
      <c r="B27" s="215"/>
      <c r="C27" s="215"/>
      <c r="D27" s="216"/>
      <c r="E27" s="216"/>
      <c r="F27" s="216"/>
      <c r="G27" s="216"/>
      <c r="H27" s="216"/>
      <c r="I27" s="216"/>
      <c r="J27" s="217"/>
      <c r="K27" s="217"/>
      <c r="L27" s="217"/>
      <c r="M27" s="217"/>
      <c r="N27" s="218"/>
      <c r="O27" s="387"/>
      <c r="P27" s="212"/>
    </row>
    <row r="28" spans="2:16" ht="21" customHeight="1">
      <c r="B28" s="3569" t="e">
        <f>+'8_MP'!#REF!</f>
        <v>#REF!</v>
      </c>
      <c r="C28" s="3569"/>
      <c r="D28" s="3569"/>
      <c r="E28" s="3569"/>
      <c r="F28" s="3569"/>
      <c r="G28" s="3569"/>
      <c r="H28" s="3569"/>
      <c r="I28" s="3569"/>
      <c r="J28" s="3569"/>
      <c r="K28" s="3569"/>
      <c r="L28" s="3569"/>
      <c r="M28" s="3569"/>
      <c r="N28" s="3569"/>
      <c r="O28" s="3569"/>
    </row>
    <row r="29" spans="2:16" ht="31.25" customHeight="1">
      <c r="B29" s="388" t="s">
        <v>184</v>
      </c>
      <c r="C29" s="389" t="s">
        <v>185</v>
      </c>
      <c r="D29" s="389" t="s">
        <v>186</v>
      </c>
      <c r="E29" s="389" t="s">
        <v>147</v>
      </c>
      <c r="F29" s="389" t="s">
        <v>187</v>
      </c>
      <c r="G29" s="389" t="s">
        <v>188</v>
      </c>
      <c r="H29" s="389" t="s">
        <v>189</v>
      </c>
      <c r="I29" s="389" t="s">
        <v>190</v>
      </c>
      <c r="J29" s="389" t="s">
        <v>191</v>
      </c>
      <c r="K29" s="389" t="s">
        <v>192</v>
      </c>
      <c r="L29" s="389" t="s">
        <v>193</v>
      </c>
      <c r="M29" s="3570" t="s">
        <v>194</v>
      </c>
      <c r="N29" s="3571"/>
      <c r="O29" s="389" t="s">
        <v>151</v>
      </c>
    </row>
    <row r="30" spans="2:16" ht="21" customHeight="1">
      <c r="B30" s="3569" t="str">
        <f>+'8_MP'!H8</f>
        <v>Subcomponente 1.1 Transparencia en finanzas públicas</v>
      </c>
      <c r="C30" s="3569"/>
      <c r="D30" s="3569"/>
      <c r="E30" s="3569"/>
      <c r="F30" s="3569"/>
      <c r="G30" s="3569"/>
      <c r="H30" s="3569"/>
      <c r="I30" s="3569"/>
      <c r="J30" s="3569"/>
      <c r="K30" s="3569"/>
      <c r="L30" s="3569"/>
      <c r="M30" s="3569"/>
      <c r="N30" s="3569"/>
      <c r="O30" s="3569"/>
    </row>
    <row r="31" spans="2:16" ht="53.5" customHeight="1" outlineLevel="1">
      <c r="B31" s="4492" t="s">
        <v>587</v>
      </c>
      <c r="C31" s="488" t="s">
        <v>213</v>
      </c>
      <c r="D31" s="1104">
        <v>0</v>
      </c>
      <c r="E31" s="487">
        <v>2021</v>
      </c>
      <c r="F31" s="487">
        <v>3</v>
      </c>
      <c r="G31" s="487">
        <v>1</v>
      </c>
      <c r="H31" s="487" t="s">
        <v>157</v>
      </c>
      <c r="I31" s="487" t="s">
        <v>157</v>
      </c>
      <c r="J31" s="487" t="s">
        <v>157</v>
      </c>
      <c r="K31" s="487" t="s">
        <v>157</v>
      </c>
      <c r="L31" s="487">
        <f>SUM(F31:K31)</f>
        <v>4</v>
      </c>
      <c r="M31" s="4478" t="s">
        <v>202</v>
      </c>
      <c r="N31" s="4479"/>
      <c r="O31" s="4494" t="s">
        <v>3261</v>
      </c>
    </row>
    <row r="32" spans="2:16" ht="45.5" hidden="1" customHeight="1" outlineLevel="2">
      <c r="B32" s="4493"/>
      <c r="C32" s="1201" t="s">
        <v>196</v>
      </c>
      <c r="D32" s="1196">
        <v>0</v>
      </c>
      <c r="E32" s="1197">
        <v>2021</v>
      </c>
      <c r="F32" s="1197" t="s">
        <v>157</v>
      </c>
      <c r="G32" s="1197" t="s">
        <v>157</v>
      </c>
      <c r="H32" s="1197" t="s">
        <v>157</v>
      </c>
      <c r="I32" s="1197" t="s">
        <v>157</v>
      </c>
      <c r="J32" s="1197" t="s">
        <v>157</v>
      </c>
      <c r="K32" s="1197" t="s">
        <v>157</v>
      </c>
      <c r="L32" s="1197">
        <f t="shared" ref="L32:L54" si="0">SUM(F32:K32)</f>
        <v>0</v>
      </c>
      <c r="M32" s="4480"/>
      <c r="N32" s="4481"/>
      <c r="O32" s="4495"/>
    </row>
    <row r="33" spans="2:15" ht="50.5" customHeight="1" outlineLevel="1" collapsed="1">
      <c r="B33" s="4496" t="s">
        <v>195</v>
      </c>
      <c r="C33" s="488" t="s">
        <v>213</v>
      </c>
      <c r="D33" s="1104">
        <v>0</v>
      </c>
      <c r="E33" s="487">
        <v>2021</v>
      </c>
      <c r="F33" s="487" t="s">
        <v>157</v>
      </c>
      <c r="G33" s="487">
        <v>1</v>
      </c>
      <c r="H33" s="487">
        <v>2</v>
      </c>
      <c r="I33" s="487">
        <v>1</v>
      </c>
      <c r="J33" s="487" t="s">
        <v>157</v>
      </c>
      <c r="K33" s="487" t="s">
        <v>157</v>
      </c>
      <c r="L33" s="487">
        <f t="shared" si="0"/>
        <v>4</v>
      </c>
      <c r="M33" s="4498" t="s">
        <v>197</v>
      </c>
      <c r="N33" s="4499"/>
      <c r="O33" s="4502" t="s">
        <v>198</v>
      </c>
    </row>
    <row r="34" spans="2:15" ht="103.25" hidden="1" customHeight="1" outlineLevel="2">
      <c r="B34" s="4497"/>
      <c r="C34" s="1201" t="s">
        <v>196</v>
      </c>
      <c r="D34" s="1196">
        <v>0</v>
      </c>
      <c r="E34" s="1197">
        <v>2021</v>
      </c>
      <c r="F34" s="1197" t="s">
        <v>157</v>
      </c>
      <c r="G34" s="1197" t="s">
        <v>157</v>
      </c>
      <c r="H34" s="1246" t="s">
        <v>157</v>
      </c>
      <c r="I34" s="1214">
        <v>1</v>
      </c>
      <c r="J34" s="1214">
        <v>1</v>
      </c>
      <c r="K34" s="1214">
        <v>1</v>
      </c>
      <c r="L34" s="1197">
        <f t="shared" si="0"/>
        <v>3</v>
      </c>
      <c r="M34" s="4500"/>
      <c r="N34" s="4501"/>
      <c r="O34" s="4503"/>
    </row>
    <row r="35" spans="2:15" s="385" customFormat="1" ht="49.25" hidden="1" customHeight="1" outlineLevel="2">
      <c r="B35" s="1245" t="s">
        <v>199</v>
      </c>
      <c r="C35" s="1216" t="s">
        <v>200</v>
      </c>
      <c r="D35" s="1217"/>
      <c r="E35" s="1199"/>
      <c r="F35" s="1199"/>
      <c r="G35" s="1247"/>
      <c r="H35" s="1219">
        <v>1</v>
      </c>
      <c r="I35" s="1199"/>
      <c r="J35" s="1199"/>
      <c r="K35" s="1199"/>
      <c r="L35" s="1199"/>
      <c r="M35" s="1220"/>
      <c r="N35" s="1221"/>
      <c r="O35" s="1222"/>
    </row>
    <row r="36" spans="2:15" ht="37.25" customHeight="1" outlineLevel="1" collapsed="1">
      <c r="B36" s="4476" t="s">
        <v>13</v>
      </c>
      <c r="C36" s="488" t="s">
        <v>213</v>
      </c>
      <c r="D36" s="1104">
        <v>0</v>
      </c>
      <c r="E36" s="487">
        <v>2021</v>
      </c>
      <c r="F36" s="487" t="s">
        <v>157</v>
      </c>
      <c r="G36" s="487" t="s">
        <v>157</v>
      </c>
      <c r="H36" s="487" t="s">
        <v>157</v>
      </c>
      <c r="I36" s="535">
        <v>1</v>
      </c>
      <c r="J36" s="487" t="s">
        <v>157</v>
      </c>
      <c r="K36" s="487" t="s">
        <v>157</v>
      </c>
      <c r="L36" s="487">
        <f t="shared" si="0"/>
        <v>1</v>
      </c>
      <c r="M36" s="4478" t="s">
        <v>202</v>
      </c>
      <c r="N36" s="4479"/>
      <c r="O36" s="4482" t="s">
        <v>203</v>
      </c>
    </row>
    <row r="37" spans="2:15" ht="37.25" hidden="1" customHeight="1" outlineLevel="2">
      <c r="B37" s="4477"/>
      <c r="C37" s="1201" t="s">
        <v>201</v>
      </c>
      <c r="D37" s="1196">
        <v>0</v>
      </c>
      <c r="E37" s="1197">
        <v>2021</v>
      </c>
      <c r="F37" s="1197"/>
      <c r="G37" s="1223" t="s">
        <v>3262</v>
      </c>
      <c r="H37" s="1246"/>
      <c r="I37" s="1215">
        <v>1</v>
      </c>
      <c r="J37" s="1200" t="s">
        <v>157</v>
      </c>
      <c r="K37" s="1197" t="s">
        <v>157</v>
      </c>
      <c r="L37" s="1197">
        <f t="shared" si="0"/>
        <v>1</v>
      </c>
      <c r="M37" s="4480"/>
      <c r="N37" s="4481"/>
      <c r="O37" s="4483"/>
    </row>
    <row r="38" spans="2:15" s="385" customFormat="1" ht="24" customHeight="1" outlineLevel="1" collapsed="1">
      <c r="B38" s="4484" t="s">
        <v>204</v>
      </c>
      <c r="C38" s="534" t="s">
        <v>205</v>
      </c>
      <c r="D38" s="1104">
        <v>0</v>
      </c>
      <c r="E38" s="535">
        <v>2021</v>
      </c>
      <c r="F38" s="535">
        <v>1</v>
      </c>
      <c r="G38" s="487" t="s">
        <v>157</v>
      </c>
      <c r="H38" s="535" t="s">
        <v>157</v>
      </c>
      <c r="I38" s="1218" t="s">
        <v>157</v>
      </c>
      <c r="J38" s="535" t="s">
        <v>157</v>
      </c>
      <c r="K38" s="535" t="s">
        <v>157</v>
      </c>
      <c r="L38" s="487">
        <f t="shared" si="0"/>
        <v>1</v>
      </c>
      <c r="M38" s="4486" t="s">
        <v>206</v>
      </c>
      <c r="N38" s="4487"/>
      <c r="O38" s="4490"/>
    </row>
    <row r="39" spans="2:15" s="385" customFormat="1" ht="42" hidden="1" customHeight="1" outlineLevel="2">
      <c r="B39" s="4485"/>
      <c r="C39" s="1198" t="s">
        <v>205</v>
      </c>
      <c r="D39" s="1196">
        <v>0</v>
      </c>
      <c r="E39" s="1199">
        <v>2021</v>
      </c>
      <c r="F39" s="1199" t="s">
        <v>157</v>
      </c>
      <c r="G39" s="1197" t="s">
        <v>157</v>
      </c>
      <c r="H39" s="1203" t="s">
        <v>157</v>
      </c>
      <c r="I39" s="1218">
        <v>2</v>
      </c>
      <c r="J39" s="1199" t="s">
        <v>157</v>
      </c>
      <c r="K39" s="1199" t="s">
        <v>157</v>
      </c>
      <c r="L39" s="1197">
        <f t="shared" si="0"/>
        <v>2</v>
      </c>
      <c r="M39" s="4488"/>
      <c r="N39" s="4489"/>
      <c r="O39" s="4491"/>
    </row>
    <row r="40" spans="2:15" s="1228" customFormat="1" ht="24" customHeight="1" outlineLevel="1" collapsed="1">
      <c r="B40" s="4508" t="s">
        <v>3263</v>
      </c>
      <c r="C40" s="1224" t="s">
        <v>205</v>
      </c>
      <c r="D40" s="1225">
        <v>0</v>
      </c>
      <c r="E40" s="1226">
        <v>2021</v>
      </c>
      <c r="F40" s="1227" t="s">
        <v>157</v>
      </c>
      <c r="G40" s="1226">
        <v>1</v>
      </c>
      <c r="H40" s="1226" t="s">
        <v>157</v>
      </c>
      <c r="I40" s="1226" t="s">
        <v>157</v>
      </c>
      <c r="J40" s="1226" t="s">
        <v>157</v>
      </c>
      <c r="K40" s="1226" t="s">
        <v>157</v>
      </c>
      <c r="L40" s="1227">
        <f t="shared" si="0"/>
        <v>1</v>
      </c>
      <c r="M40" s="4510" t="s">
        <v>206</v>
      </c>
      <c r="N40" s="4511"/>
      <c r="O40" s="4514"/>
    </row>
    <row r="41" spans="2:15" s="1228" customFormat="1" ht="24" hidden="1" customHeight="1" outlineLevel="2">
      <c r="B41" s="4509"/>
      <c r="C41" s="1229" t="s">
        <v>205</v>
      </c>
      <c r="D41" s="1230">
        <v>0</v>
      </c>
      <c r="E41" s="1231">
        <v>2021</v>
      </c>
      <c r="F41" s="1232" t="s">
        <v>157</v>
      </c>
      <c r="G41" s="1231" t="s">
        <v>157</v>
      </c>
      <c r="H41" s="1231" t="s">
        <v>157</v>
      </c>
      <c r="I41" s="1233">
        <v>1</v>
      </c>
      <c r="J41" s="1231" t="s">
        <v>157</v>
      </c>
      <c r="K41" s="1231" t="s">
        <v>157</v>
      </c>
      <c r="L41" s="1232">
        <f t="shared" si="0"/>
        <v>1</v>
      </c>
      <c r="M41" s="4512"/>
      <c r="N41" s="4513"/>
      <c r="O41" s="4515"/>
    </row>
    <row r="42" spans="2:15" ht="39.5" customHeight="1" outlineLevel="1" collapsed="1">
      <c r="B42" s="4496" t="s">
        <v>14</v>
      </c>
      <c r="C42" s="488" t="s">
        <v>213</v>
      </c>
      <c r="D42" s="1104">
        <v>0</v>
      </c>
      <c r="E42" s="487">
        <v>2021</v>
      </c>
      <c r="F42" s="487" t="s">
        <v>157</v>
      </c>
      <c r="G42" s="487" t="s">
        <v>157</v>
      </c>
      <c r="H42" s="487" t="s">
        <v>157</v>
      </c>
      <c r="I42" s="487">
        <v>1</v>
      </c>
      <c r="J42" s="487" t="s">
        <v>157</v>
      </c>
      <c r="K42" s="487" t="s">
        <v>157</v>
      </c>
      <c r="L42" s="487">
        <f t="shared" si="0"/>
        <v>1</v>
      </c>
      <c r="M42" s="4478" t="s">
        <v>202</v>
      </c>
      <c r="N42" s="4479"/>
      <c r="O42" s="4516" t="s">
        <v>3264</v>
      </c>
    </row>
    <row r="43" spans="2:15" ht="26" hidden="1" customHeight="1" outlineLevel="2">
      <c r="B43" s="4497"/>
      <c r="C43" s="1201" t="s">
        <v>207</v>
      </c>
      <c r="D43" s="1196">
        <v>0</v>
      </c>
      <c r="E43" s="1197">
        <v>2021</v>
      </c>
      <c r="F43" s="1197" t="s">
        <v>157</v>
      </c>
      <c r="G43" s="1246" t="s">
        <v>157</v>
      </c>
      <c r="H43" s="1223" t="s">
        <v>157</v>
      </c>
      <c r="I43" s="1223" t="s">
        <v>157</v>
      </c>
      <c r="J43" s="1214">
        <v>1</v>
      </c>
      <c r="K43" s="1197" t="s">
        <v>157</v>
      </c>
      <c r="L43" s="1197">
        <f t="shared" si="0"/>
        <v>1</v>
      </c>
      <c r="M43" s="4480"/>
      <c r="N43" s="4481"/>
      <c r="O43" s="4517"/>
    </row>
    <row r="44" spans="2:15" ht="26" customHeight="1" outlineLevel="1" collapsed="1">
      <c r="B44" s="4504" t="s">
        <v>208</v>
      </c>
      <c r="C44" s="488" t="s">
        <v>200</v>
      </c>
      <c r="D44" s="1104">
        <v>0</v>
      </c>
      <c r="E44" s="487">
        <v>2021</v>
      </c>
      <c r="F44" s="487" t="s">
        <v>157</v>
      </c>
      <c r="G44" s="487">
        <v>1</v>
      </c>
      <c r="H44" s="487" t="s">
        <v>157</v>
      </c>
      <c r="I44" s="487" t="s">
        <v>157</v>
      </c>
      <c r="J44" s="487" t="s">
        <v>157</v>
      </c>
      <c r="K44" s="487" t="s">
        <v>157</v>
      </c>
      <c r="L44" s="487">
        <f t="shared" si="0"/>
        <v>1</v>
      </c>
      <c r="M44" s="4478" t="s">
        <v>209</v>
      </c>
      <c r="N44" s="4479"/>
      <c r="O44" s="4482"/>
    </row>
    <row r="45" spans="2:15" ht="26" hidden="1" customHeight="1" outlineLevel="2">
      <c r="B45" s="4505"/>
      <c r="C45" s="1201" t="s">
        <v>200</v>
      </c>
      <c r="D45" s="1196">
        <v>0</v>
      </c>
      <c r="E45" s="1197">
        <v>2021</v>
      </c>
      <c r="F45" s="1246" t="s">
        <v>157</v>
      </c>
      <c r="G45" s="1223">
        <v>1</v>
      </c>
      <c r="H45" s="1200" t="s">
        <v>157</v>
      </c>
      <c r="I45" s="1197" t="s">
        <v>157</v>
      </c>
      <c r="J45" s="1197" t="s">
        <v>157</v>
      </c>
      <c r="K45" s="1197" t="s">
        <v>157</v>
      </c>
      <c r="L45" s="1197">
        <f t="shared" si="0"/>
        <v>1</v>
      </c>
      <c r="M45" s="4480"/>
      <c r="N45" s="4481"/>
      <c r="O45" s="4483"/>
    </row>
    <row r="46" spans="2:15" ht="26" customHeight="1" outlineLevel="1" collapsed="1">
      <c r="B46" s="4506" t="s">
        <v>210</v>
      </c>
      <c r="C46" s="488" t="s">
        <v>211</v>
      </c>
      <c r="D46" s="1104">
        <v>0</v>
      </c>
      <c r="E46" s="487">
        <v>2021</v>
      </c>
      <c r="F46" s="487" t="s">
        <v>157</v>
      </c>
      <c r="G46" s="487" t="s">
        <v>157</v>
      </c>
      <c r="H46" s="487">
        <v>2</v>
      </c>
      <c r="I46" s="487" t="s">
        <v>157</v>
      </c>
      <c r="J46" s="487" t="s">
        <v>157</v>
      </c>
      <c r="K46" s="487" t="s">
        <v>157</v>
      </c>
      <c r="L46" s="487">
        <f t="shared" si="0"/>
        <v>2</v>
      </c>
      <c r="M46" s="4478" t="s">
        <v>212</v>
      </c>
      <c r="N46" s="4479"/>
      <c r="O46" s="4482"/>
    </row>
    <row r="47" spans="2:15" ht="26" hidden="1" customHeight="1" outlineLevel="2">
      <c r="B47" s="4507"/>
      <c r="C47" s="1201" t="s">
        <v>211</v>
      </c>
      <c r="D47" s="1196">
        <v>0</v>
      </c>
      <c r="E47" s="1197">
        <v>2021</v>
      </c>
      <c r="F47" s="1197" t="s">
        <v>157</v>
      </c>
      <c r="G47" s="1246" t="s">
        <v>157</v>
      </c>
      <c r="H47" s="1223">
        <v>2</v>
      </c>
      <c r="I47" s="1200" t="s">
        <v>157</v>
      </c>
      <c r="J47" s="1197" t="s">
        <v>157</v>
      </c>
      <c r="K47" s="1197" t="s">
        <v>157</v>
      </c>
      <c r="L47" s="1197">
        <f t="shared" si="0"/>
        <v>2</v>
      </c>
      <c r="M47" s="4480"/>
      <c r="N47" s="4481"/>
      <c r="O47" s="4483"/>
    </row>
    <row r="48" spans="2:15" ht="26" customHeight="1" outlineLevel="1" collapsed="1">
      <c r="B48" s="4496" t="s">
        <v>15</v>
      </c>
      <c r="C48" s="488" t="s">
        <v>213</v>
      </c>
      <c r="D48" s="1104">
        <v>0</v>
      </c>
      <c r="E48" s="487">
        <v>2021</v>
      </c>
      <c r="F48" s="487" t="s">
        <v>157</v>
      </c>
      <c r="G48" s="487" t="s">
        <v>157</v>
      </c>
      <c r="H48" s="487" t="s">
        <v>157</v>
      </c>
      <c r="I48" s="487" t="s">
        <v>157</v>
      </c>
      <c r="J48" s="487">
        <v>1</v>
      </c>
      <c r="K48" s="487" t="s">
        <v>157</v>
      </c>
      <c r="L48" s="487">
        <f t="shared" si="0"/>
        <v>1</v>
      </c>
      <c r="M48" s="4478" t="s">
        <v>214</v>
      </c>
      <c r="N48" s="4479"/>
      <c r="O48" s="4482"/>
    </row>
    <row r="49" spans="2:15" ht="26" hidden="1" customHeight="1" outlineLevel="2">
      <c r="B49" s="4497"/>
      <c r="C49" s="1201"/>
      <c r="D49" s="1196">
        <v>0</v>
      </c>
      <c r="E49" s="1197">
        <v>2021</v>
      </c>
      <c r="F49" s="1197" t="s">
        <v>157</v>
      </c>
      <c r="G49" s="1246" t="s">
        <v>3265</v>
      </c>
      <c r="H49" s="1223" t="s">
        <v>157</v>
      </c>
      <c r="I49" s="1223" t="s">
        <v>157</v>
      </c>
      <c r="J49" s="1223" t="s">
        <v>157</v>
      </c>
      <c r="K49" s="1223">
        <v>1</v>
      </c>
      <c r="L49" s="1197">
        <f t="shared" si="0"/>
        <v>1</v>
      </c>
      <c r="M49" s="4480"/>
      <c r="N49" s="4481"/>
      <c r="O49" s="4483"/>
    </row>
    <row r="50" spans="2:15" ht="26" customHeight="1" outlineLevel="1" collapsed="1">
      <c r="B50" s="4506" t="s">
        <v>215</v>
      </c>
      <c r="C50" s="488" t="s">
        <v>216</v>
      </c>
      <c r="D50" s="1104">
        <v>0</v>
      </c>
      <c r="E50" s="487">
        <v>2021</v>
      </c>
      <c r="F50" s="487" t="s">
        <v>157</v>
      </c>
      <c r="G50" s="487">
        <v>1</v>
      </c>
      <c r="H50" s="487" t="s">
        <v>157</v>
      </c>
      <c r="I50" s="487" t="s">
        <v>157</v>
      </c>
      <c r="J50" s="487" t="s">
        <v>157</v>
      </c>
      <c r="K50" s="487" t="s">
        <v>157</v>
      </c>
      <c r="L50" s="487">
        <f t="shared" si="0"/>
        <v>1</v>
      </c>
      <c r="M50" s="4478" t="s">
        <v>217</v>
      </c>
      <c r="N50" s="4479"/>
      <c r="O50" s="4482"/>
    </row>
    <row r="51" spans="2:15" ht="26" hidden="1" customHeight="1" outlineLevel="2">
      <c r="B51" s="4507"/>
      <c r="C51" s="1201" t="s">
        <v>216</v>
      </c>
      <c r="D51" s="1196">
        <v>0</v>
      </c>
      <c r="E51" s="1197">
        <v>2021</v>
      </c>
      <c r="F51" s="1197"/>
      <c r="G51" s="1197"/>
      <c r="H51" s="1214">
        <v>1</v>
      </c>
      <c r="I51" s="1197"/>
      <c r="J51" s="1197"/>
      <c r="K51" s="1197"/>
      <c r="L51" s="1197">
        <f t="shared" si="0"/>
        <v>1</v>
      </c>
      <c r="M51" s="4480"/>
      <c r="N51" s="4481"/>
      <c r="O51" s="4483"/>
    </row>
    <row r="52" spans="2:15" ht="26" customHeight="1" outlineLevel="1" collapsed="1">
      <c r="B52" s="4506" t="s">
        <v>218</v>
      </c>
      <c r="C52" s="488" t="s">
        <v>219</v>
      </c>
      <c r="D52" s="1104">
        <v>0</v>
      </c>
      <c r="E52" s="487">
        <v>2021</v>
      </c>
      <c r="F52" s="487" t="s">
        <v>157</v>
      </c>
      <c r="G52" s="487" t="s">
        <v>157</v>
      </c>
      <c r="H52" s="487">
        <v>5</v>
      </c>
      <c r="I52" s="487">
        <v>10</v>
      </c>
      <c r="J52" s="487">
        <v>5</v>
      </c>
      <c r="K52" s="487" t="s">
        <v>157</v>
      </c>
      <c r="L52" s="487">
        <f t="shared" si="0"/>
        <v>20</v>
      </c>
      <c r="M52" s="4478" t="s">
        <v>220</v>
      </c>
      <c r="N52" s="4479"/>
      <c r="O52" s="4482" t="s">
        <v>221</v>
      </c>
    </row>
    <row r="53" spans="2:15" ht="39" hidden="1" customHeight="1" outlineLevel="2">
      <c r="B53" s="4507"/>
      <c r="C53" s="1201" t="s">
        <v>219</v>
      </c>
      <c r="D53" s="1196">
        <v>0</v>
      </c>
      <c r="E53" s="1197">
        <v>2021</v>
      </c>
      <c r="F53" s="1197"/>
      <c r="G53" s="1197"/>
      <c r="H53" s="1214">
        <v>5</v>
      </c>
      <c r="I53" s="1214">
        <v>5</v>
      </c>
      <c r="J53" s="1214">
        <v>5</v>
      </c>
      <c r="K53" s="1214">
        <v>3</v>
      </c>
      <c r="L53" s="1197">
        <f t="shared" si="0"/>
        <v>18</v>
      </c>
      <c r="M53" s="4480"/>
      <c r="N53" s="4481"/>
      <c r="O53" s="4483"/>
    </row>
    <row r="54" spans="2:15" ht="64.25" customHeight="1" outlineLevel="1" collapsed="1">
      <c r="B54" s="1204" t="s">
        <v>17</v>
      </c>
      <c r="C54" s="1201" t="s">
        <v>196</v>
      </c>
      <c r="D54" s="1196">
        <v>0</v>
      </c>
      <c r="E54" s="1197">
        <v>2021</v>
      </c>
      <c r="F54" s="1200" t="s">
        <v>157</v>
      </c>
      <c r="G54" s="1248" t="s">
        <v>157</v>
      </c>
      <c r="H54" s="1214">
        <v>1</v>
      </c>
      <c r="I54" s="1214">
        <v>1</v>
      </c>
      <c r="J54" s="1214">
        <v>1</v>
      </c>
      <c r="K54" s="1214">
        <v>1</v>
      </c>
      <c r="L54" s="1197">
        <f t="shared" si="0"/>
        <v>4</v>
      </c>
      <c r="M54" s="4518" t="s">
        <v>222</v>
      </c>
      <c r="N54" s="4519"/>
      <c r="O54" s="1205"/>
    </row>
    <row r="55" spans="2:15" ht="21" customHeight="1">
      <c r="B55" s="3569" t="str">
        <f>+'8_MP'!H73</f>
        <v>Subcomponente 1.2 Eficiencia en las contrataciones públicas</v>
      </c>
      <c r="C55" s="3569"/>
      <c r="D55" s="3569"/>
      <c r="E55" s="3569"/>
      <c r="F55" s="3569"/>
      <c r="G55" s="3569"/>
      <c r="H55" s="3569"/>
      <c r="I55" s="3569"/>
      <c r="J55" s="3569"/>
      <c r="K55" s="3569"/>
      <c r="L55" s="3569"/>
      <c r="M55" s="3569"/>
      <c r="N55" s="3569"/>
      <c r="O55" s="3569"/>
    </row>
    <row r="56" spans="2:15" s="708" customFormat="1" ht="33" hidden="1" customHeight="1" outlineLevel="1">
      <c r="B56" s="4520" t="str">
        <f>+'8_MP'!H74</f>
        <v>Producto 4: Modernización del Sistema de Contrataciones Públicas con accesibilidad para personas con discapacidad desarrollada. Incluye ajustes al sistema de información acutal de contrataciones y Sistema de detección de irregularidades y alertas tempranas</v>
      </c>
      <c r="C56" s="488" t="s">
        <v>213</v>
      </c>
      <c r="D56" s="1104">
        <v>0</v>
      </c>
      <c r="E56" s="487">
        <v>2021</v>
      </c>
      <c r="F56" s="706" t="s">
        <v>157</v>
      </c>
      <c r="G56" s="706" t="s">
        <v>157</v>
      </c>
      <c r="H56" s="706" t="s">
        <v>157</v>
      </c>
      <c r="I56" s="706" t="s">
        <v>157</v>
      </c>
      <c r="J56" s="706">
        <v>1</v>
      </c>
      <c r="K56" s="706" t="s">
        <v>157</v>
      </c>
      <c r="L56" s="487">
        <f>SUM(F56:K56)</f>
        <v>1</v>
      </c>
      <c r="M56" s="4478" t="s">
        <v>202</v>
      </c>
      <c r="N56" s="4479"/>
      <c r="O56" s="4522" t="s">
        <v>223</v>
      </c>
    </row>
    <row r="57" spans="2:15" s="708" customFormat="1" ht="33" hidden="1" customHeight="1" outlineLevel="2">
      <c r="B57" s="4521"/>
      <c r="C57" s="1304"/>
      <c r="D57" s="1196"/>
      <c r="E57" s="1197"/>
      <c r="F57" s="1305"/>
      <c r="G57" s="1305"/>
      <c r="H57" s="1305"/>
      <c r="I57" s="1305"/>
      <c r="J57" s="1305"/>
      <c r="K57" s="1305"/>
      <c r="L57" s="1306">
        <f>SUM(F57:K57)</f>
        <v>0</v>
      </c>
      <c r="M57" s="4480"/>
      <c r="N57" s="4481"/>
      <c r="O57" s="4523"/>
    </row>
    <row r="58" spans="2:15" s="708" customFormat="1" ht="18.5" hidden="1" customHeight="1" outlineLevel="1" collapsed="1">
      <c r="B58" s="4524" t="s">
        <v>224</v>
      </c>
      <c r="C58" s="488" t="s">
        <v>213</v>
      </c>
      <c r="D58" s="1104">
        <v>0</v>
      </c>
      <c r="E58" s="487">
        <v>2021</v>
      </c>
      <c r="F58" s="706" t="s">
        <v>157</v>
      </c>
      <c r="G58" s="706">
        <v>1</v>
      </c>
      <c r="H58" s="706" t="s">
        <v>157</v>
      </c>
      <c r="I58" s="706" t="s">
        <v>157</v>
      </c>
      <c r="J58" s="706" t="s">
        <v>157</v>
      </c>
      <c r="K58" s="706" t="s">
        <v>157</v>
      </c>
      <c r="L58" s="487">
        <f t="shared" ref="L58:L66" si="1">SUM(F58:K58)</f>
        <v>1</v>
      </c>
      <c r="M58" s="4478" t="s">
        <v>225</v>
      </c>
      <c r="N58" s="4479"/>
      <c r="O58" s="4522"/>
    </row>
    <row r="59" spans="2:15" s="708" customFormat="1" ht="18.5" hidden="1" customHeight="1" outlineLevel="2">
      <c r="B59" s="4525"/>
      <c r="C59" s="1304"/>
      <c r="D59" s="1196"/>
      <c r="E59" s="1197"/>
      <c r="F59" s="1305"/>
      <c r="G59" s="1305"/>
      <c r="H59" s="1305"/>
      <c r="I59" s="1305"/>
      <c r="J59" s="1305"/>
      <c r="K59" s="1305"/>
      <c r="L59" s="1306">
        <f>SUM(F59:K59)</f>
        <v>0</v>
      </c>
      <c r="M59" s="4480"/>
      <c r="N59" s="4481"/>
      <c r="O59" s="4523"/>
    </row>
    <row r="60" spans="2:15" s="708" customFormat="1" ht="28.25" hidden="1" customHeight="1" outlineLevel="1" collapsed="1">
      <c r="B60" s="4520" t="e">
        <f>+'8_MP'!#REF!</f>
        <v>#REF!</v>
      </c>
      <c r="C60" s="488" t="s">
        <v>213</v>
      </c>
      <c r="D60" s="1104">
        <v>0</v>
      </c>
      <c r="E60" s="487">
        <v>2021</v>
      </c>
      <c r="F60" s="706" t="s">
        <v>157</v>
      </c>
      <c r="G60" s="706" t="s">
        <v>157</v>
      </c>
      <c r="H60" s="706" t="s">
        <v>157</v>
      </c>
      <c r="I60" s="706">
        <v>1</v>
      </c>
      <c r="J60" s="706" t="s">
        <v>157</v>
      </c>
      <c r="K60" s="706" t="s">
        <v>157</v>
      </c>
      <c r="L60" s="487">
        <f t="shared" si="1"/>
        <v>1</v>
      </c>
      <c r="M60" s="4478" t="s">
        <v>202</v>
      </c>
      <c r="N60" s="4479"/>
      <c r="O60" s="4522"/>
    </row>
    <row r="61" spans="2:15" s="708" customFormat="1" ht="28.25" hidden="1" customHeight="1" outlineLevel="2">
      <c r="B61" s="4521"/>
      <c r="C61" s="1304"/>
      <c r="D61" s="1196"/>
      <c r="E61" s="1197"/>
      <c r="F61" s="1305"/>
      <c r="G61" s="1305"/>
      <c r="H61" s="1305"/>
      <c r="I61" s="1305"/>
      <c r="J61" s="1305"/>
      <c r="K61" s="1305"/>
      <c r="L61" s="1306">
        <f>SUM(F61:K61)</f>
        <v>0</v>
      </c>
      <c r="M61" s="4480"/>
      <c r="N61" s="4481"/>
      <c r="O61" s="4523"/>
    </row>
    <row r="62" spans="2:15" s="708" customFormat="1" ht="33.5" hidden="1" customHeight="1" outlineLevel="1" collapsed="1">
      <c r="B62" s="4520" t="str">
        <f>+'8_MP'!H108</f>
        <v>Sistema de detección de irregularidades y alertas tempranas diseñado e implementado</v>
      </c>
      <c r="C62" s="488" t="s">
        <v>213</v>
      </c>
      <c r="D62" s="1104">
        <v>0</v>
      </c>
      <c r="E62" s="487">
        <v>2021</v>
      </c>
      <c r="F62" s="706" t="s">
        <v>157</v>
      </c>
      <c r="G62" s="706">
        <v>1</v>
      </c>
      <c r="H62" s="706" t="s">
        <v>157</v>
      </c>
      <c r="I62" s="706" t="s">
        <v>157</v>
      </c>
      <c r="J62" s="706" t="s">
        <v>157</v>
      </c>
      <c r="K62" s="706" t="s">
        <v>157</v>
      </c>
      <c r="L62" s="487">
        <f t="shared" si="1"/>
        <v>1</v>
      </c>
      <c r="M62" s="4478" t="s">
        <v>202</v>
      </c>
      <c r="N62" s="4479"/>
      <c r="O62" s="4522" t="s">
        <v>3266</v>
      </c>
    </row>
    <row r="63" spans="2:15" s="708" customFormat="1" ht="33.5" hidden="1" customHeight="1" outlineLevel="2">
      <c r="B63" s="4521"/>
      <c r="C63" s="1304"/>
      <c r="D63" s="1196"/>
      <c r="E63" s="1197"/>
      <c r="F63" s="1305"/>
      <c r="G63" s="1305"/>
      <c r="H63" s="1305"/>
      <c r="I63" s="1305"/>
      <c r="J63" s="1305"/>
      <c r="K63" s="1305"/>
      <c r="L63" s="1306">
        <f>SUM(F63:K63)</f>
        <v>0</v>
      </c>
      <c r="M63" s="4480"/>
      <c r="N63" s="4481"/>
      <c r="O63" s="4523"/>
    </row>
    <row r="64" spans="2:15" s="708" customFormat="1" ht="33.5" hidden="1" customHeight="1" outlineLevel="1" collapsed="1">
      <c r="B64" s="4520">
        <f>+'8_MP'!H120</f>
        <v>0</v>
      </c>
      <c r="C64" s="488" t="s">
        <v>213</v>
      </c>
      <c r="D64" s="1104">
        <v>0</v>
      </c>
      <c r="E64" s="487">
        <v>2021</v>
      </c>
      <c r="F64" s="706" t="s">
        <v>157</v>
      </c>
      <c r="G64" s="706">
        <v>1</v>
      </c>
      <c r="H64" s="706" t="s">
        <v>157</v>
      </c>
      <c r="I64" s="706" t="s">
        <v>157</v>
      </c>
      <c r="J64" s="706" t="s">
        <v>157</v>
      </c>
      <c r="K64" s="706" t="s">
        <v>157</v>
      </c>
      <c r="L64" s="487">
        <f t="shared" si="1"/>
        <v>1</v>
      </c>
      <c r="M64" s="4478" t="s">
        <v>234</v>
      </c>
      <c r="N64" s="4479"/>
      <c r="O64" s="4522"/>
    </row>
    <row r="65" spans="2:15" s="708" customFormat="1" ht="33.5" hidden="1" customHeight="1" outlineLevel="2">
      <c r="B65" s="4521"/>
      <c r="C65" s="1304"/>
      <c r="D65" s="1196"/>
      <c r="E65" s="1197"/>
      <c r="F65" s="1305"/>
      <c r="G65" s="1305"/>
      <c r="H65" s="1305"/>
      <c r="I65" s="1305"/>
      <c r="J65" s="1305"/>
      <c r="K65" s="1305"/>
      <c r="L65" s="1306">
        <f>SUM(F65:K65)</f>
        <v>0</v>
      </c>
      <c r="M65" s="4480"/>
      <c r="N65" s="4481"/>
      <c r="O65" s="4523"/>
    </row>
    <row r="66" spans="2:15" s="708" customFormat="1" ht="33.5" hidden="1" customHeight="1" outlineLevel="1" collapsed="1">
      <c r="B66" s="4520" t="str">
        <f>+'8_MP'!H134</f>
        <v>Centro de Estudios de Investigación en las Contrataciones Públicas</v>
      </c>
      <c r="C66" s="488" t="s">
        <v>213</v>
      </c>
      <c r="D66" s="1104">
        <v>0</v>
      </c>
      <c r="E66" s="487">
        <v>2021</v>
      </c>
      <c r="F66" s="706" t="s">
        <v>157</v>
      </c>
      <c r="G66" s="706">
        <v>1</v>
      </c>
      <c r="H66" s="706" t="s">
        <v>157</v>
      </c>
      <c r="I66" s="706" t="s">
        <v>157</v>
      </c>
      <c r="J66" s="706" t="s">
        <v>157</v>
      </c>
      <c r="K66" s="706" t="s">
        <v>157</v>
      </c>
      <c r="L66" s="487">
        <f t="shared" si="1"/>
        <v>1</v>
      </c>
      <c r="M66" s="4478" t="s">
        <v>240</v>
      </c>
      <c r="N66" s="4479"/>
      <c r="O66" s="4522" t="s">
        <v>241</v>
      </c>
    </row>
    <row r="67" spans="2:15" s="708" customFormat="1" ht="33.5" hidden="1" customHeight="1" outlineLevel="2">
      <c r="B67" s="4521"/>
      <c r="C67" s="1304"/>
      <c r="D67" s="1196"/>
      <c r="E67" s="1197"/>
      <c r="F67" s="1305"/>
      <c r="G67" s="1305"/>
      <c r="H67" s="1305"/>
      <c r="I67" s="1305"/>
      <c r="J67" s="1305"/>
      <c r="K67" s="1305"/>
      <c r="L67" s="1306">
        <f>SUM(F67:K67)</f>
        <v>0</v>
      </c>
      <c r="M67" s="4480"/>
      <c r="N67" s="4481"/>
      <c r="O67" s="4523"/>
    </row>
    <row r="68" spans="2:15" s="708" customFormat="1" ht="6" hidden="1" customHeight="1" outlineLevel="1" collapsed="1">
      <c r="B68" s="1408"/>
      <c r="C68" s="1409"/>
      <c r="D68" s="1410"/>
      <c r="E68" s="1411"/>
      <c r="F68" s="1412"/>
      <c r="G68" s="1412"/>
      <c r="H68" s="1412"/>
      <c r="I68" s="1412"/>
      <c r="J68" s="1412"/>
      <c r="K68" s="1412"/>
      <c r="L68" s="1413"/>
      <c r="M68" s="1414"/>
      <c r="N68" s="1414"/>
      <c r="O68" s="1415"/>
    </row>
    <row r="69" spans="2:15" ht="21" customHeight="1" collapsed="1">
      <c r="B69" s="3569">
        <f>+'8_MP'!H142</f>
        <v>0</v>
      </c>
      <c r="C69" s="3569"/>
      <c r="D69" s="3569"/>
      <c r="E69" s="3569"/>
      <c r="F69" s="3569"/>
      <c r="G69" s="3569"/>
      <c r="H69" s="3569"/>
      <c r="I69" s="3569"/>
      <c r="J69" s="3569"/>
      <c r="K69" s="3569"/>
      <c r="L69" s="3569"/>
      <c r="M69" s="3569"/>
      <c r="N69" s="3569"/>
      <c r="O69" s="3569"/>
    </row>
    <row r="70" spans="2:15" s="708" customFormat="1" ht="43.25" customHeight="1" outlineLevel="1">
      <c r="B70" s="4520" t="s">
        <v>30</v>
      </c>
      <c r="C70" s="488" t="s">
        <v>213</v>
      </c>
      <c r="D70" s="1104">
        <v>0</v>
      </c>
      <c r="E70" s="487">
        <v>2021</v>
      </c>
      <c r="F70" s="706" t="s">
        <v>157</v>
      </c>
      <c r="G70" s="706" t="s">
        <v>157</v>
      </c>
      <c r="H70" s="706" t="s">
        <v>157</v>
      </c>
      <c r="I70" s="706">
        <v>1</v>
      </c>
      <c r="J70" s="706" t="s">
        <v>157</v>
      </c>
      <c r="K70" s="706" t="s">
        <v>157</v>
      </c>
      <c r="L70" s="487">
        <f t="shared" ref="L70:L76" si="2">SUM(F70:K70)</f>
        <v>1</v>
      </c>
      <c r="M70" s="4528" t="s">
        <v>202</v>
      </c>
      <c r="N70" s="4529"/>
      <c r="O70" s="4532" t="s">
        <v>3267</v>
      </c>
    </row>
    <row r="71" spans="2:15" s="708" customFormat="1" ht="28.25" customHeight="1" outlineLevel="1">
      <c r="B71" s="4521"/>
      <c r="C71" s="1304" t="s">
        <v>255</v>
      </c>
      <c r="D71" s="1196"/>
      <c r="E71" s="1197"/>
      <c r="F71" s="1353" t="s">
        <v>3262</v>
      </c>
      <c r="G71" s="1353" t="s">
        <v>3268</v>
      </c>
      <c r="H71" s="1364"/>
      <c r="I71" s="1363">
        <v>1</v>
      </c>
      <c r="J71" s="1354"/>
      <c r="K71" s="1354">
        <v>1</v>
      </c>
      <c r="L71" s="1306">
        <f t="shared" si="2"/>
        <v>2</v>
      </c>
      <c r="M71" s="4530"/>
      <c r="N71" s="4531"/>
      <c r="O71" s="4533"/>
    </row>
    <row r="72" spans="2:15" s="1361" customFormat="1" ht="28.25" customHeight="1" outlineLevel="1">
      <c r="B72" s="1362" t="s">
        <v>3269</v>
      </c>
      <c r="C72" s="1198"/>
      <c r="D72" s="1217"/>
      <c r="E72" s="1199"/>
      <c r="F72" s="1357"/>
      <c r="G72" s="1357"/>
      <c r="H72" s="1358"/>
      <c r="I72" s="1358">
        <v>1</v>
      </c>
      <c r="J72" s="1359"/>
      <c r="K72" s="1359"/>
      <c r="L72" s="1306">
        <f t="shared" si="2"/>
        <v>1</v>
      </c>
      <c r="M72" s="4526"/>
      <c r="N72" s="4527"/>
      <c r="O72" s="1360"/>
    </row>
    <row r="73" spans="2:15" s="708" customFormat="1" ht="43.25" customHeight="1" outlineLevel="1">
      <c r="B73" s="4520" t="s">
        <v>31</v>
      </c>
      <c r="C73" s="488" t="s">
        <v>213</v>
      </c>
      <c r="D73" s="1104">
        <v>0</v>
      </c>
      <c r="E73" s="487">
        <v>2021</v>
      </c>
      <c r="F73" s="706" t="s">
        <v>157</v>
      </c>
      <c r="G73" s="706" t="s">
        <v>157</v>
      </c>
      <c r="H73" s="706" t="s">
        <v>157</v>
      </c>
      <c r="I73" s="706" t="s">
        <v>157</v>
      </c>
      <c r="J73" s="706">
        <v>1</v>
      </c>
      <c r="K73" s="706" t="s">
        <v>157</v>
      </c>
      <c r="L73" s="487">
        <f t="shared" si="2"/>
        <v>1</v>
      </c>
      <c r="M73" s="4528" t="s">
        <v>202</v>
      </c>
      <c r="N73" s="4529"/>
      <c r="O73" s="4532" t="s">
        <v>3270</v>
      </c>
    </row>
    <row r="74" spans="2:15" s="708" customFormat="1" ht="28.25" customHeight="1" outlineLevel="1">
      <c r="B74" s="4521"/>
      <c r="C74" s="1304" t="s">
        <v>255</v>
      </c>
      <c r="D74" s="1196"/>
      <c r="E74" s="1197"/>
      <c r="F74" s="1353" t="s">
        <v>3262</v>
      </c>
      <c r="G74" s="1353" t="s">
        <v>853</v>
      </c>
      <c r="H74" s="1364"/>
      <c r="I74" s="1363">
        <v>1</v>
      </c>
      <c r="J74" s="1354"/>
      <c r="K74" s="1354">
        <v>1</v>
      </c>
      <c r="L74" s="1306">
        <f t="shared" si="2"/>
        <v>2</v>
      </c>
      <c r="M74" s="4530"/>
      <c r="N74" s="4531"/>
      <c r="O74" s="4533"/>
    </row>
    <row r="75" spans="2:15" s="708" customFormat="1" ht="43.25" customHeight="1" outlineLevel="1">
      <c r="B75" s="4524" t="s">
        <v>3271</v>
      </c>
      <c r="C75" s="488" t="s">
        <v>213</v>
      </c>
      <c r="D75" s="1104">
        <v>0</v>
      </c>
      <c r="E75" s="487">
        <v>2021</v>
      </c>
      <c r="F75" s="706" t="s">
        <v>157</v>
      </c>
      <c r="G75" s="706">
        <v>1</v>
      </c>
      <c r="H75" s="706" t="s">
        <v>157</v>
      </c>
      <c r="I75" s="706" t="s">
        <v>157</v>
      </c>
      <c r="J75" s="706" t="s">
        <v>157</v>
      </c>
      <c r="K75" s="706" t="s">
        <v>157</v>
      </c>
      <c r="L75" s="487">
        <f t="shared" si="2"/>
        <v>1</v>
      </c>
      <c r="M75" s="4478" t="s">
        <v>225</v>
      </c>
      <c r="N75" s="4479"/>
      <c r="O75" s="4522"/>
    </row>
    <row r="76" spans="2:15" s="708" customFormat="1" ht="28.25" customHeight="1" outlineLevel="1">
      <c r="B76" s="4534"/>
      <c r="C76" s="1365"/>
      <c r="D76" s="1366"/>
      <c r="E76" s="1367"/>
      <c r="F76" s="1368"/>
      <c r="G76" s="1368"/>
      <c r="H76" s="1368"/>
      <c r="I76" s="1368"/>
      <c r="J76" s="1368"/>
      <c r="K76" s="1368"/>
      <c r="L76" s="1369">
        <f t="shared" si="2"/>
        <v>0</v>
      </c>
      <c r="M76" s="4535"/>
      <c r="N76" s="4536"/>
      <c r="O76" s="4537"/>
    </row>
    <row r="77" spans="2:15" ht="65" outlineLevel="1">
      <c r="B77" s="1148" t="s">
        <v>244</v>
      </c>
      <c r="C77" s="1371" t="s">
        <v>255</v>
      </c>
      <c r="D77" s="1196"/>
      <c r="E77" s="1197"/>
      <c r="F77" s="1215" t="s">
        <v>2291</v>
      </c>
      <c r="G77" s="1390" t="s">
        <v>3272</v>
      </c>
      <c r="H77" s="1390">
        <v>1</v>
      </c>
      <c r="I77" s="1390">
        <v>1</v>
      </c>
      <c r="J77" s="1197"/>
      <c r="K77" s="1197"/>
      <c r="L77" s="1197">
        <v>3</v>
      </c>
      <c r="M77" s="4528"/>
      <c r="N77" s="4529"/>
      <c r="O77" s="1370" t="s">
        <v>3273</v>
      </c>
    </row>
    <row r="78" spans="2:15" ht="21" customHeight="1">
      <c r="B78" s="3572" t="str">
        <f>+'8_MP'!H177</f>
        <v>Adquisición e implementación de la Infraestructura y servicios TIC necesarios para la migración del SNIP ajustado y el nuevo sistema de Monitoreo, Seguimiento &amp; Evaluación.</v>
      </c>
      <c r="C78" s="3572"/>
      <c r="D78" s="3572"/>
      <c r="E78" s="3572"/>
      <c r="F78" s="3572"/>
      <c r="G78" s="3572"/>
      <c r="H78" s="3572"/>
      <c r="I78" s="3572"/>
      <c r="J78" s="3572"/>
      <c r="K78" s="3572"/>
      <c r="L78" s="3572"/>
      <c r="M78" s="3572"/>
      <c r="N78" s="3572"/>
      <c r="O78" s="3572"/>
    </row>
    <row r="79" spans="2:15" s="708" customFormat="1" ht="18.5" customHeight="1" outlineLevel="1">
      <c r="B79" s="4520" t="str">
        <f>+'8_MP'!H178</f>
        <v>Adquisición e implementación de la Infraestructura y servicios TIC necesarios para la migración del SNIP ajustado y el nuevo sistema de Monitoreo, Seguimiento &amp; Evaluación.</v>
      </c>
      <c r="C79" s="488" t="s">
        <v>213</v>
      </c>
      <c r="D79" s="1104">
        <v>0</v>
      </c>
      <c r="E79" s="487">
        <v>2021</v>
      </c>
      <c r="F79" s="706" t="s">
        <v>157</v>
      </c>
      <c r="G79" s="706" t="s">
        <v>157</v>
      </c>
      <c r="H79" s="706">
        <v>1</v>
      </c>
      <c r="I79" s="706" t="s">
        <v>157</v>
      </c>
      <c r="J79" s="706" t="s">
        <v>157</v>
      </c>
      <c r="K79" s="706" t="s">
        <v>157</v>
      </c>
      <c r="L79" s="487">
        <f>SUM(F79:J79)</f>
        <v>1</v>
      </c>
      <c r="M79" s="4478" t="s">
        <v>248</v>
      </c>
      <c r="N79" s="4479"/>
      <c r="O79" s="4522" t="s">
        <v>249</v>
      </c>
    </row>
    <row r="80" spans="2:15" s="708" customFormat="1" ht="18.5" customHeight="1" outlineLevel="1">
      <c r="B80" s="4521"/>
      <c r="C80" s="1365"/>
      <c r="D80" s="1366"/>
      <c r="E80" s="1367"/>
      <c r="F80" s="1501"/>
      <c r="G80" s="1502"/>
      <c r="H80" s="1501"/>
      <c r="I80" s="1502"/>
      <c r="J80" s="1502">
        <v>1</v>
      </c>
      <c r="K80" s="1368"/>
      <c r="L80" s="1369"/>
      <c r="M80" s="4480"/>
      <c r="N80" s="4481"/>
      <c r="O80" s="4523"/>
    </row>
    <row r="81" spans="2:15" s="708" customFormat="1" ht="18.5" customHeight="1" outlineLevel="1">
      <c r="B81" s="4546" t="s">
        <v>250</v>
      </c>
      <c r="C81" s="488" t="s">
        <v>213</v>
      </c>
      <c r="D81" s="1104">
        <v>0</v>
      </c>
      <c r="E81" s="487">
        <v>2021</v>
      </c>
      <c r="F81" s="706" t="s">
        <v>157</v>
      </c>
      <c r="G81" s="706">
        <v>1</v>
      </c>
      <c r="H81" s="706" t="s">
        <v>157</v>
      </c>
      <c r="I81" s="706" t="s">
        <v>157</v>
      </c>
      <c r="J81" s="706" t="s">
        <v>157</v>
      </c>
      <c r="K81" s="706" t="s">
        <v>157</v>
      </c>
      <c r="L81" s="487">
        <f>SUM(G81:J81)</f>
        <v>1</v>
      </c>
      <c r="M81" s="4478" t="s">
        <v>252</v>
      </c>
      <c r="N81" s="4479"/>
      <c r="O81" s="4522"/>
    </row>
    <row r="82" spans="2:15" s="708" customFormat="1" ht="18.5" customHeight="1" outlineLevel="1">
      <c r="B82" s="4547"/>
      <c r="C82" s="1365"/>
      <c r="D82" s="1366"/>
      <c r="E82" s="1367"/>
      <c r="F82" s="1368"/>
      <c r="G82" s="1368"/>
      <c r="H82" s="1368">
        <v>1</v>
      </c>
      <c r="I82" s="1368"/>
      <c r="J82" s="1368"/>
      <c r="K82" s="1368"/>
      <c r="L82" s="1369"/>
      <c r="M82" s="4480"/>
      <c r="N82" s="4481"/>
      <c r="O82" s="4523"/>
    </row>
    <row r="83" spans="2:15" s="1506" customFormat="1" ht="18.5" customHeight="1" outlineLevel="1">
      <c r="B83" s="4538" t="s">
        <v>3274</v>
      </c>
      <c r="C83" s="1503" t="s">
        <v>213</v>
      </c>
      <c r="D83" s="1504">
        <v>0</v>
      </c>
      <c r="E83" s="1505">
        <v>2021</v>
      </c>
      <c r="F83" s="1505" t="s">
        <v>157</v>
      </c>
      <c r="G83" s="1505">
        <v>1</v>
      </c>
      <c r="H83" s="1505" t="s">
        <v>157</v>
      </c>
      <c r="I83" s="1505" t="s">
        <v>157</v>
      </c>
      <c r="J83" s="1505" t="s">
        <v>157</v>
      </c>
      <c r="K83" s="1505" t="s">
        <v>157</v>
      </c>
      <c r="L83" s="1505">
        <f>SUM(G83:J83)</f>
        <v>1</v>
      </c>
      <c r="M83" s="4540" t="s">
        <v>254</v>
      </c>
      <c r="N83" s="4541"/>
      <c r="O83" s="4544"/>
    </row>
    <row r="84" spans="2:15" s="1506" customFormat="1" ht="18.5" customHeight="1" outlineLevel="1">
      <c r="B84" s="4539"/>
      <c r="C84" s="1507"/>
      <c r="D84" s="1508"/>
      <c r="E84" s="1509"/>
      <c r="F84" s="1509"/>
      <c r="G84" s="1509"/>
      <c r="H84" s="1509"/>
      <c r="I84" s="1511">
        <v>1</v>
      </c>
      <c r="J84" s="1509"/>
      <c r="K84" s="1509"/>
      <c r="L84" s="1510"/>
      <c r="M84" s="4542"/>
      <c r="N84" s="4543"/>
      <c r="O84" s="4545"/>
    </row>
    <row r="85" spans="2:15" s="708" customFormat="1" ht="38" customHeight="1" outlineLevel="1">
      <c r="B85" s="4520" t="str">
        <f>+'8_MP'!H205</f>
        <v>Diseño de funciones de analítica avanzada sobre la base de los requisitos recogidos</v>
      </c>
      <c r="C85" s="488" t="s">
        <v>213</v>
      </c>
      <c r="D85" s="1104">
        <v>0</v>
      </c>
      <c r="E85" s="487">
        <v>2021</v>
      </c>
      <c r="F85" s="706" t="s">
        <v>157</v>
      </c>
      <c r="G85" s="706" t="s">
        <v>157</v>
      </c>
      <c r="H85" s="706" t="s">
        <v>157</v>
      </c>
      <c r="I85" s="706">
        <v>1</v>
      </c>
      <c r="J85" s="706" t="s">
        <v>157</v>
      </c>
      <c r="K85" s="706" t="s">
        <v>157</v>
      </c>
      <c r="L85" s="487">
        <f>SUM(F85:J85)</f>
        <v>1</v>
      </c>
      <c r="M85" s="4478" t="s">
        <v>256</v>
      </c>
      <c r="N85" s="4479"/>
      <c r="O85" s="4532" t="s">
        <v>257</v>
      </c>
    </row>
    <row r="86" spans="2:15" s="708" customFormat="1" ht="38" customHeight="1" outlineLevel="1">
      <c r="B86" s="4521"/>
      <c r="C86" s="1365" t="s">
        <v>255</v>
      </c>
      <c r="D86" s="1366"/>
      <c r="E86" s="1367"/>
      <c r="F86" s="1368"/>
      <c r="G86" s="1501"/>
      <c r="H86" s="1502"/>
      <c r="I86" s="1502">
        <v>1</v>
      </c>
      <c r="J86" s="1502"/>
      <c r="K86" s="1502">
        <v>1</v>
      </c>
      <c r="L86" s="1369"/>
      <c r="M86" s="4480"/>
      <c r="N86" s="4481"/>
      <c r="O86" s="4533"/>
    </row>
    <row r="87" spans="2:15" s="1517" customFormat="1" ht="27.5" customHeight="1" outlineLevel="1">
      <c r="B87" s="4548" t="s">
        <v>3275</v>
      </c>
      <c r="C87" s="1514" t="s">
        <v>213</v>
      </c>
      <c r="D87" s="1515">
        <v>0</v>
      </c>
      <c r="E87" s="1516">
        <v>2021</v>
      </c>
      <c r="F87" s="1516">
        <v>1</v>
      </c>
      <c r="G87" s="1516" t="s">
        <v>157</v>
      </c>
      <c r="H87" s="1516" t="s">
        <v>157</v>
      </c>
      <c r="I87" s="1516" t="s">
        <v>157</v>
      </c>
      <c r="J87" s="1516" t="s">
        <v>157</v>
      </c>
      <c r="K87" s="1516" t="s">
        <v>157</v>
      </c>
      <c r="L87" s="1516">
        <f>SUM(F87:J87)</f>
        <v>1</v>
      </c>
      <c r="M87" s="4550" t="s">
        <v>3276</v>
      </c>
      <c r="N87" s="4551"/>
      <c r="O87" s="4554"/>
    </row>
    <row r="88" spans="2:15" s="1517" customFormat="1" ht="27.5" customHeight="1" outlineLevel="1">
      <c r="B88" s="4549"/>
      <c r="C88" s="1518"/>
      <c r="D88" s="1519"/>
      <c r="E88" s="1520"/>
      <c r="F88" s="1520"/>
      <c r="G88" s="1521"/>
      <c r="H88" s="1522">
        <v>1</v>
      </c>
      <c r="I88" s="1520"/>
      <c r="J88" s="1520"/>
      <c r="K88" s="1520"/>
      <c r="L88" s="1523"/>
      <c r="M88" s="4552"/>
      <c r="N88" s="4553"/>
      <c r="O88" s="4555"/>
    </row>
    <row r="89" spans="2:15" ht="8.5" customHeight="1" outlineLevel="1">
      <c r="B89" s="1416"/>
      <c r="C89" s="1409"/>
      <c r="D89" s="1417"/>
      <c r="E89" s="1418"/>
      <c r="F89" s="1418"/>
      <c r="G89" s="1411"/>
      <c r="H89" s="1411"/>
      <c r="I89" s="1411"/>
      <c r="J89" s="1411"/>
      <c r="K89" s="1411"/>
      <c r="L89" s="1411"/>
      <c r="M89" s="1419"/>
      <c r="N89" s="1419"/>
      <c r="O89" s="1420"/>
    </row>
    <row r="90" spans="2:15" ht="21" customHeight="1">
      <c r="B90" s="3569" t="s">
        <v>258</v>
      </c>
      <c r="C90" s="3569"/>
      <c r="D90" s="3569"/>
      <c r="E90" s="3569"/>
      <c r="F90" s="3569"/>
      <c r="G90" s="3569"/>
      <c r="H90" s="3569"/>
      <c r="I90" s="3569"/>
      <c r="J90" s="3569"/>
      <c r="K90" s="3569"/>
      <c r="L90" s="3569"/>
      <c r="M90" s="3569"/>
      <c r="N90" s="3569"/>
      <c r="O90" s="3569"/>
    </row>
    <row r="91" spans="2:15" ht="32.5" customHeight="1">
      <c r="B91" s="389" t="s">
        <v>184</v>
      </c>
      <c r="C91" s="389" t="s">
        <v>185</v>
      </c>
      <c r="D91" s="389" t="s">
        <v>186</v>
      </c>
      <c r="E91" s="389" t="s">
        <v>147</v>
      </c>
      <c r="F91" s="389" t="s">
        <v>187</v>
      </c>
      <c r="G91" s="389" t="s">
        <v>188</v>
      </c>
      <c r="H91" s="389" t="s">
        <v>189</v>
      </c>
      <c r="I91" s="389" t="s">
        <v>190</v>
      </c>
      <c r="J91" s="389" t="s">
        <v>191</v>
      </c>
      <c r="K91" s="389" t="s">
        <v>192</v>
      </c>
      <c r="L91" s="389" t="s">
        <v>193</v>
      </c>
      <c r="M91" s="3570" t="s">
        <v>194</v>
      </c>
      <c r="N91" s="3571"/>
      <c r="O91" s="389" t="s">
        <v>151</v>
      </c>
    </row>
    <row r="92" spans="2:15" ht="21" customHeight="1">
      <c r="B92" s="3569" t="s">
        <v>259</v>
      </c>
      <c r="C92" s="3569"/>
      <c r="D92" s="3569"/>
      <c r="E92" s="3569"/>
      <c r="F92" s="3569"/>
      <c r="G92" s="3569"/>
      <c r="H92" s="3569"/>
      <c r="I92" s="3569"/>
      <c r="J92" s="3569"/>
      <c r="K92" s="3569"/>
      <c r="L92" s="3569"/>
      <c r="M92" s="3569"/>
      <c r="N92" s="3569"/>
      <c r="O92" s="3569"/>
    </row>
    <row r="93" spans="2:15" s="708" customFormat="1" ht="13" outlineLevel="1">
      <c r="B93" s="4520" t="s">
        <v>3277</v>
      </c>
      <c r="C93" s="488" t="s">
        <v>213</v>
      </c>
      <c r="D93" s="1104">
        <v>0</v>
      </c>
      <c r="E93" s="487">
        <v>2021</v>
      </c>
      <c r="F93" s="706">
        <v>1</v>
      </c>
      <c r="G93" s="706" t="s">
        <v>157</v>
      </c>
      <c r="H93" s="706" t="s">
        <v>157</v>
      </c>
      <c r="I93" s="706" t="s">
        <v>157</v>
      </c>
      <c r="J93" s="706" t="s">
        <v>157</v>
      </c>
      <c r="K93" s="706" t="s">
        <v>157</v>
      </c>
      <c r="L93" s="487">
        <f t="shared" ref="L93:L106" si="3">SUM(F93:K93)</f>
        <v>1</v>
      </c>
      <c r="M93" s="4478" t="s">
        <v>234</v>
      </c>
      <c r="N93" s="4479"/>
      <c r="O93" s="4522"/>
    </row>
    <row r="94" spans="2:15" s="708" customFormat="1" outlineLevel="1">
      <c r="B94" s="4521"/>
      <c r="C94" s="1365"/>
      <c r="D94" s="1366"/>
      <c r="E94" s="1367"/>
      <c r="F94" s="1501"/>
      <c r="G94" s="1502"/>
      <c r="H94" s="1502">
        <v>1</v>
      </c>
      <c r="I94" s="1368"/>
      <c r="J94" s="1368"/>
      <c r="K94" s="1368"/>
      <c r="L94" s="1369">
        <f t="shared" si="3"/>
        <v>1</v>
      </c>
      <c r="M94" s="4480"/>
      <c r="N94" s="4481"/>
      <c r="O94" s="4523"/>
    </row>
    <row r="95" spans="2:15" s="708" customFormat="1" ht="13" outlineLevel="1">
      <c r="B95" s="4520" t="s">
        <v>3278</v>
      </c>
      <c r="C95" s="488" t="s">
        <v>213</v>
      </c>
      <c r="D95" s="1104">
        <v>0</v>
      </c>
      <c r="E95" s="487">
        <v>2021</v>
      </c>
      <c r="F95" s="706" t="s">
        <v>157</v>
      </c>
      <c r="G95" s="706">
        <v>1</v>
      </c>
      <c r="H95" s="706" t="s">
        <v>157</v>
      </c>
      <c r="I95" s="706" t="s">
        <v>157</v>
      </c>
      <c r="J95" s="706" t="s">
        <v>157</v>
      </c>
      <c r="K95" s="706" t="s">
        <v>157</v>
      </c>
      <c r="L95" s="487">
        <f t="shared" si="3"/>
        <v>1</v>
      </c>
      <c r="M95" s="4478" t="s">
        <v>234</v>
      </c>
      <c r="N95" s="4479"/>
      <c r="O95" s="4522"/>
    </row>
    <row r="96" spans="2:15" s="708" customFormat="1" outlineLevel="1">
      <c r="B96" s="4521"/>
      <c r="C96" s="1365"/>
      <c r="D96" s="1366"/>
      <c r="E96" s="1367"/>
      <c r="F96" s="1368"/>
      <c r="G96" s="1368"/>
      <c r="H96" s="1501"/>
      <c r="I96" s="1502">
        <v>1</v>
      </c>
      <c r="J96" s="1368"/>
      <c r="K96" s="1368"/>
      <c r="L96" s="1369">
        <f t="shared" si="3"/>
        <v>1</v>
      </c>
      <c r="M96" s="4480"/>
      <c r="N96" s="4481"/>
      <c r="O96" s="4523"/>
    </row>
    <row r="97" spans="2:15" s="708" customFormat="1" ht="20" customHeight="1" outlineLevel="1">
      <c r="B97" s="4560" t="s">
        <v>3279</v>
      </c>
      <c r="C97" s="488" t="s">
        <v>213</v>
      </c>
      <c r="D97" s="1104">
        <v>0</v>
      </c>
      <c r="E97" s="487">
        <v>2021</v>
      </c>
      <c r="F97" s="706" t="s">
        <v>157</v>
      </c>
      <c r="G97" s="706">
        <v>2</v>
      </c>
      <c r="H97" s="706" t="s">
        <v>157</v>
      </c>
      <c r="I97" s="706" t="s">
        <v>157</v>
      </c>
      <c r="J97" s="706" t="s">
        <v>157</v>
      </c>
      <c r="K97" s="706" t="s">
        <v>157</v>
      </c>
      <c r="L97" s="487">
        <f t="shared" si="3"/>
        <v>2</v>
      </c>
      <c r="M97" s="4478" t="s">
        <v>264</v>
      </c>
      <c r="N97" s="4479"/>
      <c r="O97" s="4522"/>
    </row>
    <row r="98" spans="2:15" s="708" customFormat="1" ht="43.25" customHeight="1" outlineLevel="1">
      <c r="B98" s="4561"/>
      <c r="C98" s="1588" t="s">
        <v>263</v>
      </c>
      <c r="D98" s="1366"/>
      <c r="E98" s="1367"/>
      <c r="F98" s="1368"/>
      <c r="G98" s="1368"/>
      <c r="H98" s="1501"/>
      <c r="I98" s="1502">
        <v>1</v>
      </c>
      <c r="J98" s="1368"/>
      <c r="K98" s="1368"/>
      <c r="L98" s="1369">
        <f t="shared" si="3"/>
        <v>1</v>
      </c>
      <c r="M98" s="4480"/>
      <c r="N98" s="4481"/>
      <c r="O98" s="4523"/>
    </row>
    <row r="99" spans="2:15" s="708" customFormat="1" ht="20" customHeight="1" outlineLevel="1">
      <c r="B99" s="4520" t="s">
        <v>3280</v>
      </c>
      <c r="C99" s="488" t="s">
        <v>213</v>
      </c>
      <c r="D99" s="1104">
        <v>0</v>
      </c>
      <c r="E99" s="487">
        <v>2021</v>
      </c>
      <c r="F99" s="706" t="s">
        <v>157</v>
      </c>
      <c r="G99" s="706" t="s">
        <v>157</v>
      </c>
      <c r="H99" s="706" t="s">
        <v>157</v>
      </c>
      <c r="I99" s="706" t="s">
        <v>157</v>
      </c>
      <c r="J99" s="706">
        <v>1</v>
      </c>
      <c r="K99" s="706" t="s">
        <v>157</v>
      </c>
      <c r="L99" s="487">
        <f t="shared" si="3"/>
        <v>1</v>
      </c>
      <c r="M99" s="4478" t="s">
        <v>234</v>
      </c>
      <c r="N99" s="4479"/>
      <c r="O99" s="4532" t="s">
        <v>267</v>
      </c>
    </row>
    <row r="100" spans="2:15" s="708" customFormat="1" ht="20" customHeight="1" outlineLevel="1">
      <c r="B100" s="4521"/>
      <c r="C100" s="1365" t="s">
        <v>266</v>
      </c>
      <c r="D100" s="1366"/>
      <c r="E100" s="1367"/>
      <c r="F100" s="1368"/>
      <c r="G100" s="1501"/>
      <c r="H100" s="1502">
        <v>1</v>
      </c>
      <c r="I100" s="1502">
        <v>1</v>
      </c>
      <c r="J100" s="1502">
        <v>1</v>
      </c>
      <c r="K100" s="1502">
        <v>1</v>
      </c>
      <c r="L100" s="1369">
        <f t="shared" si="3"/>
        <v>4</v>
      </c>
      <c r="M100" s="4480"/>
      <c r="N100" s="4481"/>
      <c r="O100" s="4533"/>
    </row>
    <row r="101" spans="2:15" s="1361" customFormat="1" ht="13" outlineLevel="1">
      <c r="B101" s="4556" t="s">
        <v>3281</v>
      </c>
      <c r="C101" s="534" t="s">
        <v>213</v>
      </c>
      <c r="D101" s="1428">
        <v>0</v>
      </c>
      <c r="E101" s="535">
        <v>2021</v>
      </c>
      <c r="F101" s="727">
        <v>1</v>
      </c>
      <c r="G101" s="727" t="s">
        <v>157</v>
      </c>
      <c r="H101" s="727" t="s">
        <v>157</v>
      </c>
      <c r="I101" s="727" t="s">
        <v>157</v>
      </c>
      <c r="J101" s="727" t="s">
        <v>157</v>
      </c>
      <c r="K101" s="706" t="s">
        <v>157</v>
      </c>
      <c r="L101" s="535">
        <f t="shared" si="3"/>
        <v>1</v>
      </c>
      <c r="M101" s="4486" t="s">
        <v>217</v>
      </c>
      <c r="N101" s="4487"/>
      <c r="O101" s="4558" t="s">
        <v>3282</v>
      </c>
    </row>
    <row r="102" spans="2:15" s="1361" customFormat="1" outlineLevel="1">
      <c r="B102" s="4557"/>
      <c r="C102" s="1429"/>
      <c r="D102" s="1430"/>
      <c r="E102" s="1431"/>
      <c r="F102" s="1432"/>
      <c r="G102" s="1432"/>
      <c r="H102" s="1432"/>
      <c r="I102" s="1432"/>
      <c r="J102" s="1432"/>
      <c r="K102" s="1368"/>
      <c r="L102" s="1433">
        <f t="shared" si="3"/>
        <v>0</v>
      </c>
      <c r="M102" s="4488"/>
      <c r="N102" s="4489"/>
      <c r="O102" s="4559"/>
    </row>
    <row r="103" spans="2:15" s="1361" customFormat="1" ht="13" outlineLevel="1">
      <c r="B103" s="4556" t="s">
        <v>3283</v>
      </c>
      <c r="C103" s="534" t="s">
        <v>213</v>
      </c>
      <c r="D103" s="1428">
        <v>0</v>
      </c>
      <c r="E103" s="535">
        <v>2021</v>
      </c>
      <c r="F103" s="727" t="s">
        <v>157</v>
      </c>
      <c r="G103" s="727">
        <v>3</v>
      </c>
      <c r="H103" s="727">
        <v>3</v>
      </c>
      <c r="I103" s="727">
        <v>3</v>
      </c>
      <c r="J103" s="727" t="s">
        <v>157</v>
      </c>
      <c r="K103" s="706" t="s">
        <v>157</v>
      </c>
      <c r="L103" s="535">
        <f t="shared" si="3"/>
        <v>9</v>
      </c>
      <c r="M103" s="4486" t="s">
        <v>3284</v>
      </c>
      <c r="N103" s="4487"/>
      <c r="O103" s="4558" t="s">
        <v>3285</v>
      </c>
    </row>
    <row r="104" spans="2:15" s="1361" customFormat="1" outlineLevel="1">
      <c r="B104" s="4557"/>
      <c r="C104" s="1429"/>
      <c r="D104" s="1430"/>
      <c r="E104" s="1431"/>
      <c r="F104" s="1432"/>
      <c r="G104" s="1432"/>
      <c r="H104" s="1432"/>
      <c r="I104" s="1432"/>
      <c r="J104" s="1432"/>
      <c r="K104" s="1368"/>
      <c r="L104" s="1433">
        <f t="shared" si="3"/>
        <v>0</v>
      </c>
      <c r="M104" s="4488"/>
      <c r="N104" s="4489"/>
      <c r="O104" s="4559"/>
    </row>
    <row r="105" spans="2:15" s="1361" customFormat="1" ht="13" outlineLevel="1">
      <c r="B105" s="4556" t="s">
        <v>3286</v>
      </c>
      <c r="C105" s="534" t="s">
        <v>213</v>
      </c>
      <c r="D105" s="1428">
        <v>0</v>
      </c>
      <c r="E105" s="535">
        <v>2021</v>
      </c>
      <c r="F105" s="727" t="s">
        <v>157</v>
      </c>
      <c r="G105" s="727" t="s">
        <v>157</v>
      </c>
      <c r="H105" s="727" t="s">
        <v>157</v>
      </c>
      <c r="I105" s="727" t="s">
        <v>157</v>
      </c>
      <c r="J105" s="727">
        <v>2</v>
      </c>
      <c r="K105" s="706" t="s">
        <v>157</v>
      </c>
      <c r="L105" s="535">
        <f t="shared" si="3"/>
        <v>2</v>
      </c>
      <c r="M105" s="4486" t="s">
        <v>3284</v>
      </c>
      <c r="N105" s="4487"/>
      <c r="O105" s="4558" t="s">
        <v>3287</v>
      </c>
    </row>
    <row r="106" spans="2:15" s="1361" customFormat="1" outlineLevel="1">
      <c r="B106" s="4557"/>
      <c r="C106" s="1429"/>
      <c r="D106" s="1430"/>
      <c r="E106" s="1431"/>
      <c r="F106" s="1432"/>
      <c r="G106" s="1432"/>
      <c r="H106" s="1432"/>
      <c r="I106" s="1432"/>
      <c r="J106" s="1432"/>
      <c r="K106" s="1368"/>
      <c r="L106" s="1433">
        <f t="shared" si="3"/>
        <v>0</v>
      </c>
      <c r="M106" s="4488"/>
      <c r="N106" s="4489"/>
      <c r="O106" s="4559"/>
    </row>
    <row r="107" spans="2:15" s="385" customFormat="1" ht="6.5" customHeight="1" outlineLevel="1">
      <c r="B107" s="1421"/>
      <c r="C107" s="1421"/>
      <c r="D107" s="1417"/>
      <c r="E107" s="1411"/>
      <c r="F107" s="1411"/>
      <c r="G107" s="1418"/>
      <c r="H107" s="1418"/>
      <c r="I107" s="1418"/>
      <c r="J107" s="1418"/>
      <c r="K107" s="1418"/>
      <c r="L107" s="1411"/>
      <c r="M107" s="1419"/>
      <c r="N107" s="1419"/>
      <c r="O107" s="1422"/>
    </row>
    <row r="108" spans="2:15" ht="21" customHeight="1">
      <c r="B108" s="3569" t="s">
        <v>268</v>
      </c>
      <c r="C108" s="3611"/>
      <c r="D108" s="3611"/>
      <c r="E108" s="3611"/>
      <c r="F108" s="3611"/>
      <c r="G108" s="3611"/>
      <c r="H108" s="3611"/>
      <c r="I108" s="3611"/>
      <c r="J108" s="3611"/>
      <c r="K108" s="3611"/>
      <c r="L108" s="3611"/>
      <c r="M108" s="3611"/>
      <c r="N108" s="3611"/>
      <c r="O108" s="3611"/>
    </row>
    <row r="109" spans="2:15" s="708" customFormat="1" ht="13" outlineLevel="1">
      <c r="B109" s="4520" t="s">
        <v>3288</v>
      </c>
      <c r="C109" s="488" t="s">
        <v>213</v>
      </c>
      <c r="D109" s="1104">
        <v>0</v>
      </c>
      <c r="E109" s="487">
        <v>2021</v>
      </c>
      <c r="F109" s="706" t="s">
        <v>157</v>
      </c>
      <c r="G109" s="706" t="s">
        <v>157</v>
      </c>
      <c r="H109" s="706" t="s">
        <v>157</v>
      </c>
      <c r="I109" s="706" t="s">
        <v>157</v>
      </c>
      <c r="J109" s="706">
        <v>1</v>
      </c>
      <c r="K109" s="727" t="s">
        <v>157</v>
      </c>
      <c r="L109" s="487">
        <f t="shared" ref="L109:L114" si="4">SUM(F109:K109)</f>
        <v>1</v>
      </c>
      <c r="M109" s="4478" t="s">
        <v>234</v>
      </c>
      <c r="N109" s="4479"/>
      <c r="O109" s="4522" t="s">
        <v>270</v>
      </c>
    </row>
    <row r="110" spans="2:15" s="708" customFormat="1" ht="13" outlineLevel="1">
      <c r="B110" s="4521"/>
      <c r="C110" s="1365" t="s">
        <v>251</v>
      </c>
      <c r="D110" s="1366"/>
      <c r="E110" s="1367"/>
      <c r="F110" s="1368"/>
      <c r="G110" s="1368"/>
      <c r="H110" s="1501"/>
      <c r="I110" s="1502"/>
      <c r="J110" s="1502">
        <v>1</v>
      </c>
      <c r="K110" s="1432"/>
      <c r="L110" s="1369">
        <f t="shared" si="4"/>
        <v>1</v>
      </c>
      <c r="M110" s="4480"/>
      <c r="N110" s="4481"/>
      <c r="O110" s="4523"/>
    </row>
    <row r="111" spans="2:15" s="1361" customFormat="1" ht="13" outlineLevel="1">
      <c r="B111" s="4562" t="s">
        <v>271</v>
      </c>
      <c r="C111" s="534" t="s">
        <v>213</v>
      </c>
      <c r="D111" s="1428">
        <v>0</v>
      </c>
      <c r="E111" s="535">
        <v>2021</v>
      </c>
      <c r="F111" s="727">
        <v>1</v>
      </c>
      <c r="G111" s="727" t="s">
        <v>157</v>
      </c>
      <c r="H111" s="727" t="s">
        <v>157</v>
      </c>
      <c r="I111" s="727" t="s">
        <v>157</v>
      </c>
      <c r="J111" s="727" t="s">
        <v>157</v>
      </c>
      <c r="K111" s="727" t="s">
        <v>157</v>
      </c>
      <c r="L111" s="535">
        <f t="shared" si="4"/>
        <v>1</v>
      </c>
      <c r="M111" s="4486" t="s">
        <v>273</v>
      </c>
      <c r="N111" s="4487"/>
      <c r="O111" s="4558" t="s">
        <v>274</v>
      </c>
    </row>
    <row r="112" spans="2:15" s="1361" customFormat="1" ht="13" outlineLevel="1">
      <c r="B112" s="4563"/>
      <c r="C112" s="1429" t="s">
        <v>272</v>
      </c>
      <c r="D112" s="1430"/>
      <c r="E112" s="1431"/>
      <c r="F112" s="1432"/>
      <c r="G112" s="1432"/>
      <c r="H112" s="1501"/>
      <c r="I112" s="1502">
        <v>1</v>
      </c>
      <c r="J112" s="1432"/>
      <c r="K112" s="1432"/>
      <c r="L112" s="1433">
        <f t="shared" si="4"/>
        <v>1</v>
      </c>
      <c r="M112" s="4488"/>
      <c r="N112" s="4489"/>
      <c r="O112" s="4559"/>
    </row>
    <row r="113" spans="2:15" s="1595" customFormat="1" ht="13" outlineLevel="1">
      <c r="B113" s="4564" t="s">
        <v>3289</v>
      </c>
      <c r="C113" s="1224" t="s">
        <v>213</v>
      </c>
      <c r="D113" s="1593">
        <v>0</v>
      </c>
      <c r="E113" s="1226">
        <v>2021</v>
      </c>
      <c r="F113" s="1594" t="s">
        <v>157</v>
      </c>
      <c r="G113" s="1594">
        <v>1</v>
      </c>
      <c r="H113" s="1594" t="s">
        <v>157</v>
      </c>
      <c r="I113" s="1594" t="s">
        <v>157</v>
      </c>
      <c r="J113" s="1594" t="s">
        <v>157</v>
      </c>
      <c r="K113" s="1594" t="s">
        <v>157</v>
      </c>
      <c r="L113" s="1226">
        <f t="shared" si="4"/>
        <v>1</v>
      </c>
      <c r="M113" s="4510" t="s">
        <v>217</v>
      </c>
      <c r="N113" s="4511"/>
      <c r="O113" s="4566" t="s">
        <v>3290</v>
      </c>
    </row>
    <row r="114" spans="2:15" s="1595" customFormat="1" outlineLevel="1">
      <c r="B114" s="4565"/>
      <c r="C114" s="1596"/>
      <c r="D114" s="1597"/>
      <c r="E114" s="1598"/>
      <c r="F114" s="1599"/>
      <c r="G114" s="1599"/>
      <c r="H114" s="1599"/>
      <c r="I114" s="1599"/>
      <c r="J114" s="1599"/>
      <c r="K114" s="1599"/>
      <c r="L114" s="1600">
        <f t="shared" si="4"/>
        <v>0</v>
      </c>
      <c r="M114" s="4512"/>
      <c r="N114" s="4513"/>
      <c r="O114" s="4567"/>
    </row>
    <row r="115" spans="2:15" s="708" customFormat="1" ht="15.5" customHeight="1" outlineLevel="1">
      <c r="B115" s="4520" t="s">
        <v>3291</v>
      </c>
      <c r="C115" s="488" t="s">
        <v>213</v>
      </c>
      <c r="D115" s="1104">
        <v>0</v>
      </c>
      <c r="E115" s="487">
        <v>2021</v>
      </c>
      <c r="F115" s="706" t="s">
        <v>157</v>
      </c>
      <c r="G115" s="706">
        <v>31</v>
      </c>
      <c r="H115" s="706" t="s">
        <v>157</v>
      </c>
      <c r="I115" s="706" t="s">
        <v>157</v>
      </c>
      <c r="J115" s="706" t="s">
        <v>157</v>
      </c>
      <c r="K115" s="727" t="s">
        <v>157</v>
      </c>
      <c r="L115" s="487">
        <v>31</v>
      </c>
      <c r="M115" s="4478" t="s">
        <v>234</v>
      </c>
      <c r="N115" s="4479"/>
      <c r="O115" s="4522" t="s">
        <v>277</v>
      </c>
    </row>
    <row r="116" spans="2:15" s="708" customFormat="1" ht="15.5" customHeight="1" outlineLevel="1">
      <c r="B116" s="4521"/>
      <c r="C116" s="1365" t="s">
        <v>276</v>
      </c>
      <c r="D116" s="1366"/>
      <c r="E116" s="1367"/>
      <c r="F116" s="1578"/>
      <c r="G116" s="1578">
        <f>30+20+6</f>
        <v>56</v>
      </c>
      <c r="H116" s="1578">
        <v>4</v>
      </c>
      <c r="I116" s="1578">
        <f>30+20</f>
        <v>50</v>
      </c>
      <c r="J116" s="1578"/>
      <c r="K116" s="1604"/>
      <c r="L116" s="1723">
        <f>SUM(F116:K116)</f>
        <v>110</v>
      </c>
      <c r="M116" s="4480"/>
      <c r="N116" s="4481"/>
      <c r="O116" s="4523"/>
    </row>
    <row r="117" spans="2:15" s="708" customFormat="1" ht="15.5" customHeight="1" outlineLevel="1">
      <c r="B117" s="4520" t="s">
        <v>3292</v>
      </c>
      <c r="C117" s="488" t="s">
        <v>213</v>
      </c>
      <c r="D117" s="1104">
        <v>0</v>
      </c>
      <c r="E117" s="487">
        <v>2021</v>
      </c>
      <c r="F117" s="706" t="s">
        <v>157</v>
      </c>
      <c r="G117" s="706">
        <v>1</v>
      </c>
      <c r="H117" s="706" t="s">
        <v>157</v>
      </c>
      <c r="I117" s="706" t="s">
        <v>157</v>
      </c>
      <c r="J117" s="706" t="s">
        <v>157</v>
      </c>
      <c r="K117" s="727" t="s">
        <v>157</v>
      </c>
      <c r="L117" s="487">
        <f>SUM(F117:K117)</f>
        <v>1</v>
      </c>
      <c r="M117" s="4478" t="s">
        <v>234</v>
      </c>
      <c r="N117" s="4479"/>
      <c r="O117" s="4532" t="s">
        <v>279</v>
      </c>
    </row>
    <row r="118" spans="2:15" s="708" customFormat="1" ht="29.5" customHeight="1" outlineLevel="1">
      <c r="B118" s="4570"/>
      <c r="C118" s="1365" t="s">
        <v>255</v>
      </c>
      <c r="D118" s="1366"/>
      <c r="E118" s="1367"/>
      <c r="F118" s="1368"/>
      <c r="G118" s="1368"/>
      <c r="H118" s="1368"/>
      <c r="I118" s="1368"/>
      <c r="J118" s="1368"/>
      <c r="K118" s="1432"/>
      <c r="L118" s="1369"/>
      <c r="M118" s="4535"/>
      <c r="N118" s="4536"/>
      <c r="O118" s="4571"/>
    </row>
    <row r="119" spans="2:15" s="708" customFormat="1" ht="29.5" customHeight="1" outlineLevel="1">
      <c r="B119" s="1724" t="s">
        <v>3293</v>
      </c>
      <c r="C119" s="1713"/>
      <c r="D119" s="1714"/>
      <c r="E119" s="1715"/>
      <c r="F119" s="1725"/>
      <c r="G119" s="1725"/>
      <c r="H119" s="1725"/>
      <c r="I119" s="1725"/>
      <c r="J119" s="1725"/>
      <c r="K119" s="1726"/>
      <c r="L119" s="1727"/>
      <c r="M119" s="4568"/>
      <c r="N119" s="4569"/>
      <c r="O119" s="1728"/>
    </row>
    <row r="120" spans="2:15" outlineLevel="1">
      <c r="B120" s="1729"/>
      <c r="C120" s="1730"/>
      <c r="D120" s="1731"/>
      <c r="E120" s="1731"/>
      <c r="F120" s="1731"/>
      <c r="G120" s="1732"/>
      <c r="H120" s="1732"/>
      <c r="I120" s="1732"/>
      <c r="J120" s="1732"/>
      <c r="K120" s="1732"/>
      <c r="L120" s="1733"/>
      <c r="M120" s="217"/>
      <c r="N120" s="217"/>
      <c r="O120" s="1734"/>
    </row>
    <row r="121" spans="2:15" ht="21" customHeight="1">
      <c r="B121" s="3573" t="s">
        <v>281</v>
      </c>
      <c r="C121" s="3609"/>
      <c r="D121" s="3609"/>
      <c r="E121" s="3609"/>
      <c r="F121" s="3609"/>
      <c r="G121" s="3609"/>
      <c r="H121" s="3609"/>
      <c r="I121" s="3609"/>
      <c r="J121" s="3609"/>
      <c r="K121" s="3609"/>
      <c r="L121" s="3609"/>
      <c r="M121" s="3609"/>
      <c r="N121" s="3609"/>
      <c r="O121" s="3610"/>
    </row>
    <row r="122" spans="2:15" s="708" customFormat="1" ht="40.25" hidden="1" customHeight="1" outlineLevel="1">
      <c r="B122" s="1537" t="s">
        <v>540</v>
      </c>
      <c r="C122" s="1531" t="s">
        <v>213</v>
      </c>
      <c r="D122" s="1104">
        <v>0</v>
      </c>
      <c r="E122" s="487">
        <v>2021</v>
      </c>
      <c r="F122" s="706" t="s">
        <v>157</v>
      </c>
      <c r="G122" s="706">
        <v>1</v>
      </c>
      <c r="H122" s="706">
        <v>1</v>
      </c>
      <c r="I122" s="706">
        <v>1</v>
      </c>
      <c r="J122" s="706">
        <v>1</v>
      </c>
      <c r="K122" s="706" t="s">
        <v>157</v>
      </c>
      <c r="L122" s="487">
        <f t="shared" ref="L122:L133" si="5">SUM(F122:K122)</f>
        <v>4</v>
      </c>
      <c r="M122" s="4478" t="s">
        <v>202</v>
      </c>
      <c r="N122" s="4479"/>
      <c r="O122" s="1538" t="s">
        <v>3294</v>
      </c>
    </row>
    <row r="123" spans="2:15" s="708" customFormat="1" ht="26" outlineLevel="1">
      <c r="B123" s="1536" t="s">
        <v>3295</v>
      </c>
      <c r="C123" s="1532" t="s">
        <v>255</v>
      </c>
      <c r="D123" s="1366"/>
      <c r="E123" s="1367"/>
      <c r="F123" s="1501"/>
      <c r="G123" s="1735"/>
      <c r="H123" s="1502"/>
      <c r="I123" s="1735">
        <v>1</v>
      </c>
      <c r="J123" s="1502"/>
      <c r="K123" s="1502">
        <v>1</v>
      </c>
      <c r="L123" s="1369">
        <f t="shared" si="5"/>
        <v>2</v>
      </c>
      <c r="M123" s="1539"/>
      <c r="N123" s="1540"/>
      <c r="O123" s="1541"/>
    </row>
    <row r="124" spans="2:15" s="708" customFormat="1" ht="27.5" hidden="1" customHeight="1" outlineLevel="1">
      <c r="B124" s="1537" t="s">
        <v>543</v>
      </c>
      <c r="C124" s="1531" t="s">
        <v>213</v>
      </c>
      <c r="D124" s="1104">
        <v>0</v>
      </c>
      <c r="E124" s="487">
        <v>2021</v>
      </c>
      <c r="F124" s="706" t="s">
        <v>157</v>
      </c>
      <c r="G124" s="706" t="s">
        <v>157</v>
      </c>
      <c r="H124" s="706">
        <v>1</v>
      </c>
      <c r="I124" s="706" t="s">
        <v>157</v>
      </c>
      <c r="J124" s="706">
        <v>1</v>
      </c>
      <c r="K124" s="706" t="s">
        <v>157</v>
      </c>
      <c r="L124" s="487">
        <f t="shared" si="5"/>
        <v>2</v>
      </c>
      <c r="M124" s="4478" t="s">
        <v>3296</v>
      </c>
      <c r="N124" s="4479"/>
      <c r="O124" s="1538" t="s">
        <v>3297</v>
      </c>
    </row>
    <row r="125" spans="2:15" s="708" customFormat="1" ht="39" outlineLevel="1">
      <c r="B125" s="1536" t="s">
        <v>3298</v>
      </c>
      <c r="C125" s="1532" t="s">
        <v>255</v>
      </c>
      <c r="D125" s="1366"/>
      <c r="E125" s="1367"/>
      <c r="F125" s="1501" t="s">
        <v>3262</v>
      </c>
      <c r="G125" s="1735"/>
      <c r="H125" s="1502"/>
      <c r="I125" s="1735">
        <v>1</v>
      </c>
      <c r="J125" s="1502"/>
      <c r="K125" s="1502">
        <v>1</v>
      </c>
      <c r="L125" s="1369">
        <f t="shared" si="5"/>
        <v>2</v>
      </c>
      <c r="M125" s="1539"/>
      <c r="N125" s="1540"/>
      <c r="O125" s="1541"/>
    </row>
    <row r="126" spans="2:15" s="708" customFormat="1" ht="39.5" hidden="1" customHeight="1" outlineLevel="1">
      <c r="B126" s="1537" t="s">
        <v>545</v>
      </c>
      <c r="C126" s="1531" t="s">
        <v>213</v>
      </c>
      <c r="D126" s="1104">
        <v>0</v>
      </c>
      <c r="E126" s="487">
        <v>2021</v>
      </c>
      <c r="F126" s="706" t="s">
        <v>157</v>
      </c>
      <c r="G126" s="706" t="s">
        <v>157</v>
      </c>
      <c r="H126" s="706" t="s">
        <v>157</v>
      </c>
      <c r="I126" s="706" t="s">
        <v>157</v>
      </c>
      <c r="J126" s="706">
        <v>1</v>
      </c>
      <c r="K126" s="706" t="s">
        <v>157</v>
      </c>
      <c r="L126" s="487">
        <f t="shared" si="5"/>
        <v>1</v>
      </c>
      <c r="M126" s="1475" t="s">
        <v>248</v>
      </c>
      <c r="N126" s="1476"/>
      <c r="O126" s="1477" t="s">
        <v>3299</v>
      </c>
    </row>
    <row r="127" spans="2:15" s="1361" customFormat="1" ht="26" hidden="1" outlineLevel="1">
      <c r="B127" s="1534" t="s">
        <v>3300</v>
      </c>
      <c r="C127" s="1533" t="s">
        <v>213</v>
      </c>
      <c r="D127" s="1428">
        <v>0</v>
      </c>
      <c r="E127" s="535">
        <v>2021</v>
      </c>
      <c r="F127" s="727" t="s">
        <v>157</v>
      </c>
      <c r="G127" s="727">
        <v>1</v>
      </c>
      <c r="H127" s="727" t="s">
        <v>157</v>
      </c>
      <c r="I127" s="727" t="s">
        <v>157</v>
      </c>
      <c r="J127" s="727" t="s">
        <v>157</v>
      </c>
      <c r="K127" s="706" t="s">
        <v>157</v>
      </c>
      <c r="L127" s="535">
        <f t="shared" si="5"/>
        <v>1</v>
      </c>
      <c r="M127" s="4486" t="s">
        <v>3301</v>
      </c>
      <c r="N127" s="4487"/>
      <c r="O127" s="1478" t="s">
        <v>3302</v>
      </c>
    </row>
    <row r="128" spans="2:15" s="1361" customFormat="1" ht="27" hidden="1" customHeight="1" outlineLevel="1">
      <c r="B128" s="1534" t="s">
        <v>3303</v>
      </c>
      <c r="C128" s="1533" t="s">
        <v>213</v>
      </c>
      <c r="D128" s="1428">
        <v>0</v>
      </c>
      <c r="E128" s="535">
        <v>2021</v>
      </c>
      <c r="F128" s="727" t="s">
        <v>157</v>
      </c>
      <c r="G128" s="727" t="s">
        <v>157</v>
      </c>
      <c r="H128" s="727" t="s">
        <v>157</v>
      </c>
      <c r="I128" s="727" t="s">
        <v>157</v>
      </c>
      <c r="J128" s="727">
        <v>1</v>
      </c>
      <c r="K128" s="706" t="s">
        <v>157</v>
      </c>
      <c r="L128" s="535">
        <f t="shared" si="5"/>
        <v>1</v>
      </c>
      <c r="M128" s="4486" t="s">
        <v>3301</v>
      </c>
      <c r="N128" s="4487"/>
      <c r="O128" s="1478" t="s">
        <v>3302</v>
      </c>
    </row>
    <row r="129" spans="2:15" s="708" customFormat="1" ht="65" outlineLevel="1">
      <c r="B129" s="1536" t="s">
        <v>3304</v>
      </c>
      <c r="C129" s="1532" t="s">
        <v>207</v>
      </c>
      <c r="D129" s="1366"/>
      <c r="E129" s="1367"/>
      <c r="F129" s="1368"/>
      <c r="G129" s="1368"/>
      <c r="H129" s="1501"/>
      <c r="I129" s="1502"/>
      <c r="J129" s="1502">
        <v>1</v>
      </c>
      <c r="K129" s="1368"/>
      <c r="L129" s="1369">
        <f t="shared" si="5"/>
        <v>1</v>
      </c>
      <c r="M129" s="1542"/>
      <c r="N129" s="1543"/>
      <c r="O129" s="1544"/>
    </row>
    <row r="130" spans="2:15" s="708" customFormat="1" ht="43.25" hidden="1" customHeight="1" outlineLevel="1">
      <c r="B130" s="1545" t="s">
        <v>547</v>
      </c>
      <c r="C130" s="1531" t="s">
        <v>213</v>
      </c>
      <c r="D130" s="1104">
        <v>0</v>
      </c>
      <c r="E130" s="487">
        <v>2021</v>
      </c>
      <c r="F130" s="706" t="s">
        <v>157</v>
      </c>
      <c r="G130" s="706">
        <v>1</v>
      </c>
      <c r="H130" s="706" t="s">
        <v>157</v>
      </c>
      <c r="I130" s="706" t="s">
        <v>157</v>
      </c>
      <c r="J130" s="706" t="s">
        <v>157</v>
      </c>
      <c r="K130" s="706" t="s">
        <v>157</v>
      </c>
      <c r="L130" s="487">
        <f t="shared" si="5"/>
        <v>1</v>
      </c>
      <c r="M130" s="4478" t="s">
        <v>202</v>
      </c>
      <c r="N130" s="4479"/>
      <c r="O130" s="4522" t="s">
        <v>3305</v>
      </c>
    </row>
    <row r="131" spans="2:15" s="708" customFormat="1" ht="40.25" customHeight="1" outlineLevel="1">
      <c r="B131" s="1536" t="s">
        <v>3306</v>
      </c>
      <c r="C131" s="1532" t="s">
        <v>287</v>
      </c>
      <c r="D131" s="1366"/>
      <c r="E131" s="1367"/>
      <c r="F131" s="1368"/>
      <c r="G131" s="1368"/>
      <c r="H131" s="1501"/>
      <c r="I131" s="1502"/>
      <c r="J131" s="1502">
        <v>1</v>
      </c>
      <c r="K131" s="1368"/>
      <c r="L131" s="1369">
        <f t="shared" si="5"/>
        <v>1</v>
      </c>
      <c r="M131" s="4480"/>
      <c r="N131" s="4481"/>
      <c r="O131" s="4523"/>
    </row>
    <row r="132" spans="2:15" s="708" customFormat="1" ht="43.25" hidden="1" customHeight="1" outlineLevel="1">
      <c r="B132" s="1546" t="s">
        <v>549</v>
      </c>
      <c r="C132" s="1531" t="s">
        <v>213</v>
      </c>
      <c r="D132" s="1104">
        <v>0</v>
      </c>
      <c r="E132" s="487">
        <v>2021</v>
      </c>
      <c r="F132" s="706" t="s">
        <v>157</v>
      </c>
      <c r="G132" s="706" t="s">
        <v>157</v>
      </c>
      <c r="H132" s="706">
        <v>1</v>
      </c>
      <c r="I132" s="706">
        <v>1</v>
      </c>
      <c r="J132" s="706">
        <v>1</v>
      </c>
      <c r="K132" s="706" t="s">
        <v>157</v>
      </c>
      <c r="L132" s="487">
        <f t="shared" si="5"/>
        <v>3</v>
      </c>
      <c r="M132" s="4478" t="s">
        <v>248</v>
      </c>
      <c r="N132" s="4479"/>
      <c r="O132" s="4522" t="s">
        <v>3307</v>
      </c>
    </row>
    <row r="133" spans="2:15" s="708" customFormat="1" ht="34.25" customHeight="1" outlineLevel="1">
      <c r="B133" s="1536" t="s">
        <v>3308</v>
      </c>
      <c r="C133" s="1532"/>
      <c r="D133" s="1366"/>
      <c r="E133" s="1367"/>
      <c r="F133" s="1368"/>
      <c r="G133" s="1368"/>
      <c r="H133" s="1368"/>
      <c r="I133" s="1368"/>
      <c r="J133" s="1368"/>
      <c r="K133" s="1368"/>
      <c r="L133" s="1369">
        <f t="shared" si="5"/>
        <v>0</v>
      </c>
      <c r="M133" s="4480"/>
      <c r="N133" s="4481"/>
      <c r="O133" s="4523"/>
    </row>
    <row r="134" spans="2:15" ht="21" customHeight="1">
      <c r="B134" s="3569">
        <f>+'8_MP'!H215</f>
        <v>0</v>
      </c>
      <c r="C134" s="3569"/>
      <c r="D134" s="3569"/>
      <c r="E134" s="3569"/>
      <c r="F134" s="3569"/>
      <c r="G134" s="3569"/>
      <c r="H134" s="3569"/>
      <c r="I134" s="3569"/>
      <c r="J134" s="3569"/>
      <c r="K134" s="3569"/>
      <c r="L134" s="3569"/>
      <c r="M134" s="3569"/>
      <c r="N134" s="3569"/>
      <c r="O134" s="3569"/>
    </row>
    <row r="135" spans="2:15" ht="32.5" customHeight="1">
      <c r="B135" s="389" t="s">
        <v>184</v>
      </c>
      <c r="C135" s="389" t="s">
        <v>185</v>
      </c>
      <c r="D135" s="389" t="s">
        <v>186</v>
      </c>
      <c r="E135" s="389" t="s">
        <v>147</v>
      </c>
      <c r="F135" s="389" t="s">
        <v>187</v>
      </c>
      <c r="G135" s="389" t="s">
        <v>188</v>
      </c>
      <c r="H135" s="389" t="s">
        <v>189</v>
      </c>
      <c r="I135" s="389" t="s">
        <v>190</v>
      </c>
      <c r="J135" s="389" t="s">
        <v>191</v>
      </c>
      <c r="K135" s="389" t="s">
        <v>192</v>
      </c>
      <c r="L135" s="389" t="s">
        <v>193</v>
      </c>
      <c r="M135" s="3570" t="s">
        <v>194</v>
      </c>
      <c r="N135" s="3571"/>
      <c r="O135" s="389" t="s">
        <v>151</v>
      </c>
    </row>
    <row r="136" spans="2:15" ht="21" customHeight="1">
      <c r="B136" s="3569" t="e">
        <f>+'8_MP'!#REF!</f>
        <v>#REF!</v>
      </c>
      <c r="C136" s="3569"/>
      <c r="D136" s="3569"/>
      <c r="E136" s="3569"/>
      <c r="F136" s="3569"/>
      <c r="G136" s="3569"/>
      <c r="H136" s="3569"/>
      <c r="I136" s="3569"/>
      <c r="J136" s="3569"/>
      <c r="K136" s="3569"/>
      <c r="L136" s="3569"/>
      <c r="M136" s="3569"/>
      <c r="N136" s="3569"/>
      <c r="O136" s="3569"/>
    </row>
    <row r="137" spans="2:15" s="708" customFormat="1" ht="13" hidden="1" outlineLevel="1">
      <c r="B137" s="4520" t="e">
        <f>+'8_MP'!#REF!</f>
        <v>#REF!</v>
      </c>
      <c r="C137" s="488" t="s">
        <v>213</v>
      </c>
      <c r="D137" s="1104">
        <v>0</v>
      </c>
      <c r="E137" s="487">
        <v>2021</v>
      </c>
      <c r="F137" s="706">
        <v>1</v>
      </c>
      <c r="G137" s="706" t="s">
        <v>157</v>
      </c>
      <c r="H137" s="706" t="s">
        <v>157</v>
      </c>
      <c r="I137" s="706" t="s">
        <v>157</v>
      </c>
      <c r="J137" s="706" t="s">
        <v>157</v>
      </c>
      <c r="K137" s="706" t="s">
        <v>157</v>
      </c>
      <c r="L137" s="487">
        <f t="shared" ref="L137:L150" si="6">SUM(F137:K137)</f>
        <v>1</v>
      </c>
      <c r="M137" s="4478" t="s">
        <v>234</v>
      </c>
      <c r="N137" s="4479"/>
      <c r="O137" s="4522"/>
    </row>
    <row r="138" spans="2:15" s="708" customFormat="1" hidden="1" outlineLevel="1">
      <c r="B138" s="4521"/>
      <c r="C138" s="1365"/>
      <c r="D138" s="1366"/>
      <c r="E138" s="1367"/>
      <c r="F138" s="1501"/>
      <c r="G138" s="1502"/>
      <c r="H138" s="1502">
        <v>1</v>
      </c>
      <c r="I138" s="1368"/>
      <c r="J138" s="1368"/>
      <c r="K138" s="1368"/>
      <c r="L138" s="1369">
        <f t="shared" si="6"/>
        <v>1</v>
      </c>
      <c r="M138" s="4480"/>
      <c r="N138" s="4481"/>
      <c r="O138" s="4523"/>
    </row>
    <row r="139" spans="2:15" s="708" customFormat="1" ht="13" hidden="1" outlineLevel="1">
      <c r="B139" s="4520" t="e">
        <f>+'8_MP'!#REF!</f>
        <v>#REF!</v>
      </c>
      <c r="C139" s="488" t="s">
        <v>213</v>
      </c>
      <c r="D139" s="1104">
        <v>0</v>
      </c>
      <c r="E139" s="487">
        <v>2021</v>
      </c>
      <c r="F139" s="706" t="s">
        <v>157</v>
      </c>
      <c r="G139" s="706">
        <v>1</v>
      </c>
      <c r="H139" s="706" t="s">
        <v>157</v>
      </c>
      <c r="I139" s="706" t="s">
        <v>157</v>
      </c>
      <c r="J139" s="706" t="s">
        <v>157</v>
      </c>
      <c r="K139" s="706" t="s">
        <v>157</v>
      </c>
      <c r="L139" s="487">
        <f t="shared" si="6"/>
        <v>1</v>
      </c>
      <c r="M139" s="4478" t="s">
        <v>234</v>
      </c>
      <c r="N139" s="4479"/>
      <c r="O139" s="4522"/>
    </row>
    <row r="140" spans="2:15" s="708" customFormat="1" hidden="1" outlineLevel="1">
      <c r="B140" s="4521"/>
      <c r="C140" s="1365"/>
      <c r="D140" s="1366"/>
      <c r="E140" s="1367"/>
      <c r="F140" s="1368"/>
      <c r="G140" s="1368"/>
      <c r="H140" s="1501"/>
      <c r="I140" s="1502">
        <v>1</v>
      </c>
      <c r="J140" s="1368"/>
      <c r="K140" s="1368"/>
      <c r="L140" s="1369">
        <f t="shared" si="6"/>
        <v>1</v>
      </c>
      <c r="M140" s="4480"/>
      <c r="N140" s="4481"/>
      <c r="O140" s="4523"/>
    </row>
    <row r="141" spans="2:15" s="708" customFormat="1" ht="20" hidden="1" customHeight="1" outlineLevel="1">
      <c r="B141" s="4560" t="e">
        <f>+'8_MP'!#REF!</f>
        <v>#REF!</v>
      </c>
      <c r="C141" s="488" t="s">
        <v>213</v>
      </c>
      <c r="D141" s="1104">
        <v>0</v>
      </c>
      <c r="E141" s="487">
        <v>2021</v>
      </c>
      <c r="F141" s="706" t="s">
        <v>157</v>
      </c>
      <c r="G141" s="706">
        <v>2</v>
      </c>
      <c r="H141" s="706" t="s">
        <v>157</v>
      </c>
      <c r="I141" s="706" t="s">
        <v>157</v>
      </c>
      <c r="J141" s="706" t="s">
        <v>157</v>
      </c>
      <c r="K141" s="706" t="s">
        <v>157</v>
      </c>
      <c r="L141" s="487">
        <f t="shared" si="6"/>
        <v>2</v>
      </c>
      <c r="M141" s="4478" t="s">
        <v>264</v>
      </c>
      <c r="N141" s="4479"/>
      <c r="O141" s="4522"/>
    </row>
    <row r="142" spans="2:15" s="708" customFormat="1" ht="43.25" hidden="1" customHeight="1" outlineLevel="1">
      <c r="B142" s="4561"/>
      <c r="C142" s="1588" t="s">
        <v>263</v>
      </c>
      <c r="D142" s="1366"/>
      <c r="E142" s="1367"/>
      <c r="F142" s="1368"/>
      <c r="G142" s="1368"/>
      <c r="H142" s="1501"/>
      <c r="I142" s="1502">
        <v>1</v>
      </c>
      <c r="J142" s="1368"/>
      <c r="K142" s="1368"/>
      <c r="L142" s="1369">
        <f t="shared" si="6"/>
        <v>1</v>
      </c>
      <c r="M142" s="4480"/>
      <c r="N142" s="4481"/>
      <c r="O142" s="4523"/>
    </row>
    <row r="143" spans="2:15" s="708" customFormat="1" ht="20" hidden="1" customHeight="1" outlineLevel="1">
      <c r="B143" s="4520" t="e">
        <f>+'8_MP'!#REF!</f>
        <v>#REF!</v>
      </c>
      <c r="C143" s="488" t="s">
        <v>213</v>
      </c>
      <c r="D143" s="1104">
        <v>0</v>
      </c>
      <c r="E143" s="487">
        <v>2021</v>
      </c>
      <c r="F143" s="706" t="s">
        <v>157</v>
      </c>
      <c r="G143" s="706" t="s">
        <v>157</v>
      </c>
      <c r="H143" s="706" t="s">
        <v>157</v>
      </c>
      <c r="I143" s="706" t="s">
        <v>157</v>
      </c>
      <c r="J143" s="706">
        <v>1</v>
      </c>
      <c r="K143" s="706" t="s">
        <v>157</v>
      </c>
      <c r="L143" s="487">
        <f t="shared" si="6"/>
        <v>1</v>
      </c>
      <c r="M143" s="4478" t="s">
        <v>234</v>
      </c>
      <c r="N143" s="4479"/>
      <c r="O143" s="4532" t="s">
        <v>267</v>
      </c>
    </row>
    <row r="144" spans="2:15" s="708" customFormat="1" ht="20" hidden="1" customHeight="1" outlineLevel="1">
      <c r="B144" s="4521"/>
      <c r="C144" s="1365" t="s">
        <v>266</v>
      </c>
      <c r="D144" s="1366"/>
      <c r="E144" s="1367"/>
      <c r="F144" s="1368"/>
      <c r="G144" s="1501"/>
      <c r="H144" s="1502">
        <v>1</v>
      </c>
      <c r="I144" s="1502">
        <v>1</v>
      </c>
      <c r="J144" s="1502">
        <v>1</v>
      </c>
      <c r="K144" s="1502">
        <v>1</v>
      </c>
      <c r="L144" s="1369">
        <f t="shared" si="6"/>
        <v>4</v>
      </c>
      <c r="M144" s="4480"/>
      <c r="N144" s="4481"/>
      <c r="O144" s="4533"/>
    </row>
    <row r="145" spans="2:15" s="1361" customFormat="1" ht="13" hidden="1" outlineLevel="1">
      <c r="B145" s="4556" t="s">
        <v>3281</v>
      </c>
      <c r="C145" s="534" t="s">
        <v>213</v>
      </c>
      <c r="D145" s="1428">
        <v>0</v>
      </c>
      <c r="E145" s="535">
        <v>2021</v>
      </c>
      <c r="F145" s="727">
        <v>1</v>
      </c>
      <c r="G145" s="727" t="s">
        <v>157</v>
      </c>
      <c r="H145" s="727" t="s">
        <v>157</v>
      </c>
      <c r="I145" s="727" t="s">
        <v>157</v>
      </c>
      <c r="J145" s="727" t="s">
        <v>157</v>
      </c>
      <c r="K145" s="706" t="s">
        <v>157</v>
      </c>
      <c r="L145" s="535">
        <f t="shared" si="6"/>
        <v>1</v>
      </c>
      <c r="M145" s="4486" t="s">
        <v>217</v>
      </c>
      <c r="N145" s="4487"/>
      <c r="O145" s="4558" t="s">
        <v>3282</v>
      </c>
    </row>
    <row r="146" spans="2:15" s="1361" customFormat="1" hidden="1" outlineLevel="1">
      <c r="B146" s="4557"/>
      <c r="C146" s="1429"/>
      <c r="D146" s="1430"/>
      <c r="E146" s="1431"/>
      <c r="F146" s="1432"/>
      <c r="G146" s="1432"/>
      <c r="H146" s="1432"/>
      <c r="I146" s="1432"/>
      <c r="J146" s="1432"/>
      <c r="K146" s="1368"/>
      <c r="L146" s="1433">
        <f t="shared" si="6"/>
        <v>0</v>
      </c>
      <c r="M146" s="4488"/>
      <c r="N146" s="4489"/>
      <c r="O146" s="4559"/>
    </row>
    <row r="147" spans="2:15" s="1361" customFormat="1" ht="13" hidden="1" outlineLevel="1">
      <c r="B147" s="4556" t="s">
        <v>3283</v>
      </c>
      <c r="C147" s="534" t="s">
        <v>213</v>
      </c>
      <c r="D147" s="1428">
        <v>0</v>
      </c>
      <c r="E147" s="535">
        <v>2021</v>
      </c>
      <c r="F147" s="727" t="s">
        <v>157</v>
      </c>
      <c r="G147" s="727">
        <v>3</v>
      </c>
      <c r="H147" s="727">
        <v>3</v>
      </c>
      <c r="I147" s="727">
        <v>3</v>
      </c>
      <c r="J147" s="727" t="s">
        <v>157</v>
      </c>
      <c r="K147" s="706" t="s">
        <v>157</v>
      </c>
      <c r="L147" s="535">
        <f t="shared" si="6"/>
        <v>9</v>
      </c>
      <c r="M147" s="4486" t="s">
        <v>3284</v>
      </c>
      <c r="N147" s="4487"/>
      <c r="O147" s="4558" t="s">
        <v>3285</v>
      </c>
    </row>
    <row r="148" spans="2:15" s="1361" customFormat="1" hidden="1" outlineLevel="1">
      <c r="B148" s="4557"/>
      <c r="C148" s="1429"/>
      <c r="D148" s="1430"/>
      <c r="E148" s="1431"/>
      <c r="F148" s="1432"/>
      <c r="G148" s="1432"/>
      <c r="H148" s="1432"/>
      <c r="I148" s="1432"/>
      <c r="J148" s="1432"/>
      <c r="K148" s="1368"/>
      <c r="L148" s="1433">
        <f t="shared" si="6"/>
        <v>0</v>
      </c>
      <c r="M148" s="4488"/>
      <c r="N148" s="4489"/>
      <c r="O148" s="4559"/>
    </row>
    <row r="149" spans="2:15" s="1361" customFormat="1" ht="13" hidden="1" outlineLevel="1">
      <c r="B149" s="4556" t="s">
        <v>3286</v>
      </c>
      <c r="C149" s="534" t="s">
        <v>213</v>
      </c>
      <c r="D149" s="1428">
        <v>0</v>
      </c>
      <c r="E149" s="535">
        <v>2021</v>
      </c>
      <c r="F149" s="727" t="s">
        <v>157</v>
      </c>
      <c r="G149" s="727" t="s">
        <v>157</v>
      </c>
      <c r="H149" s="727" t="s">
        <v>157</v>
      </c>
      <c r="I149" s="727" t="s">
        <v>157</v>
      </c>
      <c r="J149" s="727">
        <v>2</v>
      </c>
      <c r="K149" s="706" t="s">
        <v>157</v>
      </c>
      <c r="L149" s="535">
        <f t="shared" si="6"/>
        <v>2</v>
      </c>
      <c r="M149" s="4486" t="s">
        <v>3284</v>
      </c>
      <c r="N149" s="4487"/>
      <c r="O149" s="4558" t="s">
        <v>3287</v>
      </c>
    </row>
    <row r="150" spans="2:15" s="1361" customFormat="1" hidden="1" outlineLevel="1">
      <c r="B150" s="4557"/>
      <c r="C150" s="1429"/>
      <c r="D150" s="1430"/>
      <c r="E150" s="1431"/>
      <c r="F150" s="1432"/>
      <c r="G150" s="1432"/>
      <c r="H150" s="1432"/>
      <c r="I150" s="1432"/>
      <c r="J150" s="1432"/>
      <c r="K150" s="1368"/>
      <c r="L150" s="1433">
        <f t="shared" si="6"/>
        <v>0</v>
      </c>
      <c r="M150" s="4488"/>
      <c r="N150" s="4489"/>
      <c r="O150" s="4559"/>
    </row>
    <row r="151" spans="2:15" s="385" customFormat="1" ht="6.5" hidden="1" customHeight="1" outlineLevel="1">
      <c r="B151" s="1421"/>
      <c r="C151" s="1421"/>
      <c r="D151" s="1417"/>
      <c r="E151" s="1411"/>
      <c r="F151" s="1411"/>
      <c r="G151" s="1418"/>
      <c r="H151" s="1418"/>
      <c r="I151" s="1418"/>
      <c r="J151" s="1418"/>
      <c r="K151" s="1418"/>
      <c r="L151" s="1411"/>
      <c r="M151" s="1419"/>
      <c r="N151" s="1419"/>
      <c r="O151" s="1422"/>
    </row>
    <row r="152" spans="2:15" ht="21" customHeight="1" collapsed="1">
      <c r="B152" s="3569" t="e">
        <f>+'8_MP'!#REF!</f>
        <v>#REF!</v>
      </c>
      <c r="C152" s="3611"/>
      <c r="D152" s="3611"/>
      <c r="E152" s="3611"/>
      <c r="F152" s="3611"/>
      <c r="G152" s="3611"/>
      <c r="H152" s="3611"/>
      <c r="I152" s="3611"/>
      <c r="J152" s="3611"/>
      <c r="K152" s="3611"/>
      <c r="L152" s="3611"/>
      <c r="M152" s="3611"/>
      <c r="N152" s="3611"/>
      <c r="O152" s="3611"/>
    </row>
    <row r="153" spans="2:15" s="708" customFormat="1" ht="13" hidden="1" outlineLevel="1">
      <c r="B153" s="4520" t="e">
        <f>+'8_MP'!#REF!</f>
        <v>#REF!</v>
      </c>
      <c r="C153" s="488" t="s">
        <v>213</v>
      </c>
      <c r="D153" s="1104">
        <v>0</v>
      </c>
      <c r="E153" s="487">
        <v>2021</v>
      </c>
      <c r="F153" s="706" t="s">
        <v>157</v>
      </c>
      <c r="G153" s="706" t="s">
        <v>157</v>
      </c>
      <c r="H153" s="706" t="s">
        <v>157</v>
      </c>
      <c r="I153" s="706" t="s">
        <v>157</v>
      </c>
      <c r="J153" s="706">
        <v>1</v>
      </c>
      <c r="K153" s="727" t="s">
        <v>157</v>
      </c>
      <c r="L153" s="487">
        <f t="shared" ref="L153:L158" si="7">SUM(F153:K153)</f>
        <v>1</v>
      </c>
      <c r="M153" s="4478" t="s">
        <v>234</v>
      </c>
      <c r="N153" s="4479"/>
      <c r="O153" s="4522" t="s">
        <v>270</v>
      </c>
    </row>
    <row r="154" spans="2:15" s="708" customFormat="1" ht="13" hidden="1" outlineLevel="1">
      <c r="B154" s="4521"/>
      <c r="C154" s="1365" t="s">
        <v>251</v>
      </c>
      <c r="D154" s="1366"/>
      <c r="E154" s="1367"/>
      <c r="F154" s="1368"/>
      <c r="G154" s="1368"/>
      <c r="H154" s="1501"/>
      <c r="I154" s="1502"/>
      <c r="J154" s="1502">
        <v>1</v>
      </c>
      <c r="K154" s="1432"/>
      <c r="L154" s="1369">
        <f t="shared" si="7"/>
        <v>1</v>
      </c>
      <c r="M154" s="4480"/>
      <c r="N154" s="4481"/>
      <c r="O154" s="4523"/>
    </row>
    <row r="155" spans="2:15" s="1361" customFormat="1" ht="13" hidden="1" outlineLevel="1">
      <c r="B155" s="4562" t="s">
        <v>271</v>
      </c>
      <c r="C155" s="534" t="s">
        <v>213</v>
      </c>
      <c r="D155" s="1428">
        <v>0</v>
      </c>
      <c r="E155" s="535">
        <v>2021</v>
      </c>
      <c r="F155" s="727">
        <v>1</v>
      </c>
      <c r="G155" s="727" t="s">
        <v>157</v>
      </c>
      <c r="H155" s="727" t="s">
        <v>157</v>
      </c>
      <c r="I155" s="727" t="s">
        <v>157</v>
      </c>
      <c r="J155" s="727" t="s">
        <v>157</v>
      </c>
      <c r="K155" s="727" t="s">
        <v>157</v>
      </c>
      <c r="L155" s="535">
        <f t="shared" si="7"/>
        <v>1</v>
      </c>
      <c r="M155" s="4486" t="s">
        <v>273</v>
      </c>
      <c r="N155" s="4487"/>
      <c r="O155" s="4558" t="s">
        <v>274</v>
      </c>
    </row>
    <row r="156" spans="2:15" s="1361" customFormat="1" ht="13" hidden="1" outlineLevel="1">
      <c r="B156" s="4563"/>
      <c r="C156" s="1429" t="s">
        <v>272</v>
      </c>
      <c r="D156" s="1430"/>
      <c r="E156" s="1431"/>
      <c r="F156" s="1432"/>
      <c r="G156" s="1432"/>
      <c r="H156" s="1501"/>
      <c r="I156" s="1502">
        <v>1</v>
      </c>
      <c r="J156" s="1432"/>
      <c r="K156" s="1432"/>
      <c r="L156" s="1433">
        <f t="shared" si="7"/>
        <v>1</v>
      </c>
      <c r="M156" s="4488"/>
      <c r="N156" s="4489"/>
      <c r="O156" s="4559"/>
    </row>
    <row r="157" spans="2:15" s="1595" customFormat="1" ht="13" hidden="1" outlineLevel="1">
      <c r="B157" s="4564" t="s">
        <v>3289</v>
      </c>
      <c r="C157" s="1224" t="s">
        <v>213</v>
      </c>
      <c r="D157" s="1593">
        <v>0</v>
      </c>
      <c r="E157" s="1226">
        <v>2021</v>
      </c>
      <c r="F157" s="1594" t="s">
        <v>157</v>
      </c>
      <c r="G157" s="1594">
        <v>1</v>
      </c>
      <c r="H157" s="1594" t="s">
        <v>157</v>
      </c>
      <c r="I157" s="1594" t="s">
        <v>157</v>
      </c>
      <c r="J157" s="1594" t="s">
        <v>157</v>
      </c>
      <c r="K157" s="1594" t="s">
        <v>157</v>
      </c>
      <c r="L157" s="1226">
        <f t="shared" si="7"/>
        <v>1</v>
      </c>
      <c r="M157" s="4510" t="s">
        <v>217</v>
      </c>
      <c r="N157" s="4511"/>
      <c r="O157" s="4566" t="s">
        <v>3290</v>
      </c>
    </row>
    <row r="158" spans="2:15" s="1595" customFormat="1" hidden="1" outlineLevel="1">
      <c r="B158" s="4565"/>
      <c r="C158" s="1596"/>
      <c r="D158" s="1597"/>
      <c r="E158" s="1598"/>
      <c r="F158" s="1599"/>
      <c r="G158" s="1599"/>
      <c r="H158" s="1599"/>
      <c r="I158" s="1599"/>
      <c r="J158" s="1599"/>
      <c r="K158" s="1599"/>
      <c r="L158" s="1600">
        <f t="shared" si="7"/>
        <v>0</v>
      </c>
      <c r="M158" s="4512"/>
      <c r="N158" s="4513"/>
      <c r="O158" s="4567"/>
    </row>
    <row r="159" spans="2:15" s="708" customFormat="1" ht="15.5" hidden="1" customHeight="1" outlineLevel="1">
      <c r="B159" s="4520" t="e">
        <f>+'8_MP'!#REF!</f>
        <v>#REF!</v>
      </c>
      <c r="C159" s="488" t="s">
        <v>213</v>
      </c>
      <c r="D159" s="1104">
        <v>0</v>
      </c>
      <c r="E159" s="487">
        <v>2021</v>
      </c>
      <c r="F159" s="706" t="s">
        <v>157</v>
      </c>
      <c r="G159" s="706">
        <v>31</v>
      </c>
      <c r="H159" s="706" t="s">
        <v>157</v>
      </c>
      <c r="I159" s="706" t="s">
        <v>157</v>
      </c>
      <c r="J159" s="706" t="s">
        <v>157</v>
      </c>
      <c r="K159" s="727" t="s">
        <v>157</v>
      </c>
      <c r="L159" s="487">
        <v>31</v>
      </c>
      <c r="M159" s="4478" t="s">
        <v>234</v>
      </c>
      <c r="N159" s="4479"/>
      <c r="O159" s="4522" t="s">
        <v>277</v>
      </c>
    </row>
    <row r="160" spans="2:15" s="708" customFormat="1" ht="15.5" hidden="1" customHeight="1" outlineLevel="1">
      <c r="B160" s="4521"/>
      <c r="C160" s="1365"/>
      <c r="D160" s="1366"/>
      <c r="E160" s="1367"/>
      <c r="F160" s="1578"/>
      <c r="G160" s="1578"/>
      <c r="H160" s="1578"/>
      <c r="I160" s="1578"/>
      <c r="J160" s="1578"/>
      <c r="K160" s="1604"/>
      <c r="L160" s="1608" t="s">
        <v>3309</v>
      </c>
      <c r="M160" s="4480"/>
      <c r="N160" s="4481"/>
      <c r="O160" s="4523"/>
    </row>
    <row r="161" spans="2:15" s="708" customFormat="1" ht="15.5" hidden="1" customHeight="1" outlineLevel="1">
      <c r="B161" s="4520" t="e">
        <f>+'8_MP'!#REF!</f>
        <v>#REF!</v>
      </c>
      <c r="C161" s="488" t="s">
        <v>213</v>
      </c>
      <c r="D161" s="1104">
        <v>0</v>
      </c>
      <c r="E161" s="487">
        <v>2021</v>
      </c>
      <c r="F161" s="706" t="s">
        <v>157</v>
      </c>
      <c r="G161" s="706">
        <v>1</v>
      </c>
      <c r="H161" s="706" t="s">
        <v>157</v>
      </c>
      <c r="I161" s="706" t="s">
        <v>157</v>
      </c>
      <c r="J161" s="706" t="s">
        <v>157</v>
      </c>
      <c r="K161" s="727" t="s">
        <v>157</v>
      </c>
      <c r="L161" s="487">
        <f>SUM(F161:K161)</f>
        <v>1</v>
      </c>
      <c r="M161" s="4478" t="s">
        <v>234</v>
      </c>
      <c r="N161" s="4479"/>
      <c r="O161" s="4522"/>
    </row>
    <row r="162" spans="2:15" s="708" customFormat="1" ht="15.5" hidden="1" customHeight="1" outlineLevel="1">
      <c r="B162" s="4521"/>
      <c r="C162" s="1365"/>
      <c r="D162" s="1366"/>
      <c r="E162" s="1367"/>
      <c r="F162" s="1368"/>
      <c r="G162" s="1368"/>
      <c r="H162" s="1368"/>
      <c r="I162" s="1368"/>
      <c r="J162" s="1368"/>
      <c r="K162" s="1432"/>
      <c r="L162" s="1369">
        <f>SUM(F162:K162)</f>
        <v>0</v>
      </c>
      <c r="M162" s="4480"/>
      <c r="N162" s="4481"/>
      <c r="O162" s="4523"/>
    </row>
    <row r="163" spans="2:15" hidden="1" outlineLevel="1">
      <c r="B163" s="1423"/>
      <c r="C163" s="1424"/>
      <c r="D163" s="1417"/>
      <c r="E163" s="1417"/>
      <c r="F163" s="1417"/>
      <c r="G163" s="1411"/>
      <c r="H163" s="1411"/>
      <c r="I163" s="1411"/>
      <c r="J163" s="1411"/>
      <c r="K163" s="1411"/>
      <c r="L163" s="1412"/>
      <c r="M163" s="1425"/>
      <c r="N163" s="1425"/>
      <c r="O163" s="1426"/>
    </row>
    <row r="164" spans="2:15" ht="21" customHeight="1" collapsed="1">
      <c r="B164" s="3573" t="e">
        <f>+'8_MP'!#REF!</f>
        <v>#REF!</v>
      </c>
      <c r="C164" s="3609"/>
      <c r="D164" s="3609"/>
      <c r="E164" s="3609"/>
      <c r="F164" s="3609"/>
      <c r="G164" s="3609"/>
      <c r="H164" s="3609"/>
      <c r="I164" s="3609"/>
      <c r="J164" s="3609"/>
      <c r="K164" s="3609"/>
      <c r="L164" s="3609"/>
      <c r="M164" s="3609"/>
      <c r="N164" s="3609"/>
      <c r="O164" s="3610"/>
    </row>
    <row r="165" spans="2:15" s="708" customFormat="1" ht="40.25" hidden="1" customHeight="1" outlineLevel="1">
      <c r="B165" s="1537" t="s">
        <v>540</v>
      </c>
      <c r="C165" s="1531" t="s">
        <v>213</v>
      </c>
      <c r="D165" s="1104">
        <v>0</v>
      </c>
      <c r="E165" s="487">
        <v>2021</v>
      </c>
      <c r="F165" s="706" t="s">
        <v>157</v>
      </c>
      <c r="G165" s="706">
        <v>1</v>
      </c>
      <c r="H165" s="706">
        <v>1</v>
      </c>
      <c r="I165" s="706">
        <v>1</v>
      </c>
      <c r="J165" s="706">
        <v>1</v>
      </c>
      <c r="K165" s="706" t="s">
        <v>157</v>
      </c>
      <c r="L165" s="487">
        <f t="shared" ref="L165:L176" si="8">SUM(F165:K165)</f>
        <v>4</v>
      </c>
      <c r="M165" s="4478" t="s">
        <v>202</v>
      </c>
      <c r="N165" s="4479"/>
      <c r="O165" s="1538" t="s">
        <v>3294</v>
      </c>
    </row>
    <row r="166" spans="2:15" s="708" customFormat="1" hidden="1" outlineLevel="1">
      <c r="B166" s="1536" t="e">
        <f>+'8_MP'!#REF!</f>
        <v>#REF!</v>
      </c>
      <c r="C166" s="1532"/>
      <c r="D166" s="1366"/>
      <c r="E166" s="1367"/>
      <c r="F166" s="1368"/>
      <c r="G166" s="1368"/>
      <c r="H166" s="1368"/>
      <c r="I166" s="1368"/>
      <c r="J166" s="1368"/>
      <c r="K166" s="1368"/>
      <c r="L166" s="1369">
        <f t="shared" si="8"/>
        <v>0</v>
      </c>
      <c r="M166" s="1539"/>
      <c r="N166" s="1540"/>
      <c r="O166" s="1541"/>
    </row>
    <row r="167" spans="2:15" s="708" customFormat="1" ht="27.5" hidden="1" customHeight="1" outlineLevel="1">
      <c r="B167" s="1537" t="s">
        <v>543</v>
      </c>
      <c r="C167" s="1531" t="s">
        <v>213</v>
      </c>
      <c r="D167" s="1104">
        <v>0</v>
      </c>
      <c r="E167" s="487">
        <v>2021</v>
      </c>
      <c r="F167" s="706" t="s">
        <v>157</v>
      </c>
      <c r="G167" s="706" t="s">
        <v>157</v>
      </c>
      <c r="H167" s="706">
        <v>1</v>
      </c>
      <c r="I167" s="706" t="s">
        <v>157</v>
      </c>
      <c r="J167" s="706">
        <v>1</v>
      </c>
      <c r="K167" s="706" t="s">
        <v>157</v>
      </c>
      <c r="L167" s="487">
        <f t="shared" si="8"/>
        <v>2</v>
      </c>
      <c r="M167" s="4478" t="s">
        <v>3296</v>
      </c>
      <c r="N167" s="4479"/>
      <c r="O167" s="1538" t="s">
        <v>3297</v>
      </c>
    </row>
    <row r="168" spans="2:15" s="708" customFormat="1" hidden="1" outlineLevel="1">
      <c r="B168" s="1536" t="e">
        <f>+'8_MP'!#REF!</f>
        <v>#REF!</v>
      </c>
      <c r="C168" s="1532"/>
      <c r="D168" s="1366"/>
      <c r="E168" s="1367"/>
      <c r="F168" s="1368"/>
      <c r="G168" s="1368"/>
      <c r="H168" s="1368"/>
      <c r="I168" s="1368"/>
      <c r="J168" s="1368"/>
      <c r="K168" s="1368"/>
      <c r="L168" s="1369">
        <f t="shared" si="8"/>
        <v>0</v>
      </c>
      <c r="M168" s="1539"/>
      <c r="N168" s="1540"/>
      <c r="O168" s="1541"/>
    </row>
    <row r="169" spans="2:15" s="708" customFormat="1" ht="39.5" hidden="1" customHeight="1" outlineLevel="1">
      <c r="B169" s="1537" t="s">
        <v>545</v>
      </c>
      <c r="C169" s="1531" t="s">
        <v>213</v>
      </c>
      <c r="D169" s="1104">
        <v>0</v>
      </c>
      <c r="E169" s="487">
        <v>2021</v>
      </c>
      <c r="F169" s="706" t="s">
        <v>157</v>
      </c>
      <c r="G169" s="706" t="s">
        <v>157</v>
      </c>
      <c r="H169" s="706" t="s">
        <v>157</v>
      </c>
      <c r="I169" s="706" t="s">
        <v>157</v>
      </c>
      <c r="J169" s="706">
        <v>1</v>
      </c>
      <c r="K169" s="706" t="s">
        <v>157</v>
      </c>
      <c r="L169" s="487">
        <f t="shared" si="8"/>
        <v>1</v>
      </c>
      <c r="M169" s="1475" t="s">
        <v>248</v>
      </c>
      <c r="N169" s="1476"/>
      <c r="O169" s="1477" t="s">
        <v>3299</v>
      </c>
    </row>
    <row r="170" spans="2:15" s="1361" customFormat="1" ht="26" hidden="1" outlineLevel="1">
      <c r="B170" s="1534" t="s">
        <v>3300</v>
      </c>
      <c r="C170" s="1533" t="s">
        <v>213</v>
      </c>
      <c r="D170" s="1428">
        <v>0</v>
      </c>
      <c r="E170" s="535">
        <v>2021</v>
      </c>
      <c r="F170" s="727" t="s">
        <v>157</v>
      </c>
      <c r="G170" s="727">
        <v>1</v>
      </c>
      <c r="H170" s="727" t="s">
        <v>157</v>
      </c>
      <c r="I170" s="727" t="s">
        <v>157</v>
      </c>
      <c r="J170" s="727" t="s">
        <v>157</v>
      </c>
      <c r="K170" s="706" t="s">
        <v>157</v>
      </c>
      <c r="L170" s="535">
        <f t="shared" si="8"/>
        <v>1</v>
      </c>
      <c r="M170" s="4486" t="s">
        <v>3301</v>
      </c>
      <c r="N170" s="4487"/>
      <c r="O170" s="1478" t="s">
        <v>3302</v>
      </c>
    </row>
    <row r="171" spans="2:15" s="1361" customFormat="1" ht="27" hidden="1" customHeight="1" outlineLevel="1">
      <c r="B171" s="1534" t="s">
        <v>3303</v>
      </c>
      <c r="C171" s="1533" t="s">
        <v>213</v>
      </c>
      <c r="D171" s="1428">
        <v>0</v>
      </c>
      <c r="E171" s="535">
        <v>2021</v>
      </c>
      <c r="F171" s="727" t="s">
        <v>157</v>
      </c>
      <c r="G171" s="727" t="s">
        <v>157</v>
      </c>
      <c r="H171" s="727" t="s">
        <v>157</v>
      </c>
      <c r="I171" s="727" t="s">
        <v>157</v>
      </c>
      <c r="J171" s="727">
        <v>1</v>
      </c>
      <c r="K171" s="706" t="s">
        <v>157</v>
      </c>
      <c r="L171" s="535">
        <f t="shared" si="8"/>
        <v>1</v>
      </c>
      <c r="M171" s="4486" t="s">
        <v>3301</v>
      </c>
      <c r="N171" s="4487"/>
      <c r="O171" s="1478" t="s">
        <v>3302</v>
      </c>
    </row>
    <row r="172" spans="2:15" s="708" customFormat="1" hidden="1" outlineLevel="1">
      <c r="B172" s="1536" t="e">
        <f>+'8_MP'!#REF!</f>
        <v>#REF!</v>
      </c>
      <c r="C172" s="1532"/>
      <c r="D172" s="1366"/>
      <c r="E172" s="1367"/>
      <c r="F172" s="1368"/>
      <c r="G172" s="1368"/>
      <c r="H172" s="1368"/>
      <c r="I172" s="1368"/>
      <c r="J172" s="1368"/>
      <c r="K172" s="1368"/>
      <c r="L172" s="1369">
        <f t="shared" si="8"/>
        <v>0</v>
      </c>
      <c r="M172" s="1542"/>
      <c r="N172" s="1543"/>
      <c r="O172" s="1544"/>
    </row>
    <row r="173" spans="2:15" s="708" customFormat="1" ht="43.25" hidden="1" customHeight="1" outlineLevel="1">
      <c r="B173" s="1545" t="s">
        <v>547</v>
      </c>
      <c r="C173" s="1531" t="s">
        <v>213</v>
      </c>
      <c r="D173" s="1104">
        <v>0</v>
      </c>
      <c r="E173" s="487">
        <v>2021</v>
      </c>
      <c r="F173" s="706" t="s">
        <v>157</v>
      </c>
      <c r="G173" s="706">
        <v>1</v>
      </c>
      <c r="H173" s="706" t="s">
        <v>157</v>
      </c>
      <c r="I173" s="706" t="s">
        <v>157</v>
      </c>
      <c r="J173" s="706" t="s">
        <v>157</v>
      </c>
      <c r="K173" s="706" t="s">
        <v>157</v>
      </c>
      <c r="L173" s="487">
        <f t="shared" si="8"/>
        <v>1</v>
      </c>
      <c r="M173" s="4478" t="s">
        <v>202</v>
      </c>
      <c r="N173" s="4479"/>
      <c r="O173" s="4522" t="s">
        <v>3305</v>
      </c>
    </row>
    <row r="174" spans="2:15" s="708" customFormat="1" ht="40.25" hidden="1" customHeight="1" outlineLevel="1">
      <c r="B174" s="1536" t="e">
        <f>+'8_MP'!#REF!</f>
        <v>#REF!</v>
      </c>
      <c r="C174" s="1532"/>
      <c r="D174" s="1366"/>
      <c r="E174" s="1367"/>
      <c r="F174" s="1368"/>
      <c r="G174" s="1368"/>
      <c r="H174" s="1368"/>
      <c r="I174" s="1368"/>
      <c r="J174" s="1368"/>
      <c r="K174" s="1368"/>
      <c r="L174" s="1369">
        <f t="shared" si="8"/>
        <v>0</v>
      </c>
      <c r="M174" s="4480"/>
      <c r="N174" s="4481"/>
      <c r="O174" s="4523"/>
    </row>
    <row r="175" spans="2:15" s="708" customFormat="1" ht="43.25" hidden="1" customHeight="1" outlineLevel="1">
      <c r="B175" s="1546" t="s">
        <v>549</v>
      </c>
      <c r="C175" s="1531" t="s">
        <v>213</v>
      </c>
      <c r="D175" s="1104">
        <v>0</v>
      </c>
      <c r="E175" s="487">
        <v>2021</v>
      </c>
      <c r="F175" s="706" t="s">
        <v>157</v>
      </c>
      <c r="G175" s="706" t="s">
        <v>157</v>
      </c>
      <c r="H175" s="706">
        <v>1</v>
      </c>
      <c r="I175" s="706">
        <v>1</v>
      </c>
      <c r="J175" s="706">
        <v>1</v>
      </c>
      <c r="K175" s="706" t="s">
        <v>157</v>
      </c>
      <c r="L175" s="487">
        <f t="shared" si="8"/>
        <v>3</v>
      </c>
      <c r="M175" s="4478" t="s">
        <v>248</v>
      </c>
      <c r="N175" s="4479"/>
      <c r="O175" s="4522" t="s">
        <v>3307</v>
      </c>
    </row>
    <row r="176" spans="2:15" s="708" customFormat="1" ht="34.25" hidden="1" customHeight="1" outlineLevel="1">
      <c r="B176" s="1536" t="e">
        <f>+'8_MP'!#REF!</f>
        <v>#REF!</v>
      </c>
      <c r="C176" s="1532"/>
      <c r="D176" s="1366"/>
      <c r="E176" s="1367"/>
      <c r="F176" s="1368"/>
      <c r="G176" s="1368"/>
      <c r="H176" s="1368"/>
      <c r="I176" s="1368"/>
      <c r="J176" s="1368"/>
      <c r="K176" s="1368"/>
      <c r="L176" s="1369">
        <f t="shared" si="8"/>
        <v>0</v>
      </c>
      <c r="M176" s="4480"/>
      <c r="N176" s="4481"/>
      <c r="O176" s="4523"/>
    </row>
    <row r="177" spans="2:15" hidden="1" outlineLevel="1">
      <c r="B177" s="1535"/>
      <c r="C177" s="1424"/>
      <c r="D177" s="1417"/>
      <c r="E177" s="1411"/>
      <c r="F177" s="1411"/>
      <c r="G177" s="1411"/>
      <c r="H177" s="1411"/>
      <c r="I177" s="1411"/>
      <c r="J177" s="1411"/>
      <c r="L177" s="1411"/>
      <c r="M177" s="1425"/>
      <c r="N177" s="1425"/>
      <c r="O177" s="1427"/>
    </row>
    <row r="178" spans="2:15" ht="21" customHeight="1" collapsed="1">
      <c r="B178" s="3572" t="str">
        <f>+'8_MP'!H368</f>
        <v xml:space="preserve">Componente 3: Fortalecimiento del acceso a la información, participación ciudadana e integridad en la administración pública y sector privado </v>
      </c>
      <c r="C178" s="3609"/>
      <c r="D178" s="3609"/>
      <c r="E178" s="3609"/>
      <c r="F178" s="3609"/>
      <c r="G178" s="3609"/>
      <c r="H178" s="3609"/>
      <c r="I178" s="3609"/>
      <c r="J178" s="3609"/>
      <c r="K178" s="3609"/>
      <c r="L178" s="3609"/>
      <c r="M178" s="3609"/>
      <c r="N178" s="3609"/>
      <c r="O178" s="3610"/>
    </row>
    <row r="179" spans="2:15" ht="21" customHeight="1">
      <c r="B179" s="389" t="s">
        <v>184</v>
      </c>
      <c r="C179" s="389" t="s">
        <v>185</v>
      </c>
      <c r="D179" s="389" t="s">
        <v>186</v>
      </c>
      <c r="E179" s="389" t="s">
        <v>147</v>
      </c>
      <c r="F179" s="389" t="s">
        <v>187</v>
      </c>
      <c r="G179" s="389" t="s">
        <v>188</v>
      </c>
      <c r="H179" s="389" t="s">
        <v>189</v>
      </c>
      <c r="I179" s="389" t="s">
        <v>190</v>
      </c>
      <c r="J179" s="389" t="s">
        <v>191</v>
      </c>
      <c r="K179" s="389" t="s">
        <v>192</v>
      </c>
      <c r="L179" s="389" t="s">
        <v>193</v>
      </c>
      <c r="M179" s="3570" t="s">
        <v>194</v>
      </c>
      <c r="N179" s="3571"/>
      <c r="O179" s="390" t="s">
        <v>151</v>
      </c>
    </row>
    <row r="180" spans="2:15" ht="14" customHeight="1">
      <c r="B180" s="3569" t="str">
        <f>+'8_MP'!H369</f>
        <v>Subcomponente 3.1. Innovación pública para la Integridad y prevención de la corrupción</v>
      </c>
      <c r="C180" s="3609"/>
      <c r="D180" s="3609"/>
      <c r="E180" s="3609"/>
      <c r="F180" s="3609"/>
      <c r="G180" s="3609"/>
      <c r="H180" s="3609"/>
      <c r="I180" s="3609"/>
      <c r="J180" s="3609"/>
      <c r="K180" s="3609"/>
      <c r="L180" s="3609"/>
      <c r="M180" s="3609"/>
      <c r="N180" s="3609"/>
      <c r="O180" s="3610"/>
    </row>
    <row r="181" spans="2:15" s="708" customFormat="1" ht="35.5" customHeight="1" outlineLevel="1">
      <c r="B181" s="4572" t="str">
        <f>+'8_MP'!H370</f>
        <v>Producto 16: Sistema Nacional Integrado de Transparencia e Integridad Implementado. Incluye Plataforma de seguimiento y evaluación de componentes de integridad y sistema para el seguimiento de compromisos internacionales</v>
      </c>
      <c r="C181" s="488" t="s">
        <v>213</v>
      </c>
      <c r="D181" s="1104">
        <v>0</v>
      </c>
      <c r="E181" s="487">
        <v>2021</v>
      </c>
      <c r="F181" s="535" t="s">
        <v>157</v>
      </c>
      <c r="G181" s="706">
        <v>1</v>
      </c>
      <c r="H181" s="535" t="s">
        <v>157</v>
      </c>
      <c r="I181" s="535" t="s">
        <v>157</v>
      </c>
      <c r="J181" s="535" t="s">
        <v>157</v>
      </c>
      <c r="K181" s="535" t="s">
        <v>157</v>
      </c>
      <c r="L181" s="706">
        <f t="shared" ref="L181:L187" si="9">SUM(F181:K181)</f>
        <v>1</v>
      </c>
      <c r="M181" s="4478" t="s">
        <v>248</v>
      </c>
      <c r="N181" s="4479"/>
      <c r="O181" s="707"/>
    </row>
    <row r="182" spans="2:15" s="708" customFormat="1" ht="11.5" customHeight="1" outlineLevel="1">
      <c r="B182" s="4573"/>
      <c r="C182" s="1304" t="s">
        <v>247</v>
      </c>
      <c r="D182" s="1196"/>
      <c r="E182" s="1197"/>
      <c r="F182" s="1218"/>
      <c r="G182" s="1696" t="s">
        <v>3310</v>
      </c>
      <c r="H182" s="1698"/>
      <c r="I182" s="1697"/>
      <c r="J182" s="1697">
        <v>1</v>
      </c>
      <c r="K182" s="1199"/>
      <c r="L182" s="1305">
        <f t="shared" si="9"/>
        <v>1</v>
      </c>
      <c r="M182" s="4574"/>
      <c r="N182" s="4575"/>
      <c r="O182" s="707"/>
    </row>
    <row r="183" spans="2:15" s="1361" customFormat="1" ht="39" outlineLevel="1">
      <c r="B183" s="1699" t="s">
        <v>290</v>
      </c>
      <c r="C183" s="1198" t="s">
        <v>291</v>
      </c>
      <c r="D183" s="1217"/>
      <c r="E183" s="1199"/>
      <c r="F183" s="1199"/>
      <c r="G183" s="1359">
        <v>1</v>
      </c>
      <c r="H183" s="1199"/>
      <c r="I183" s="1199"/>
      <c r="J183" s="1199"/>
      <c r="K183" s="1199"/>
      <c r="L183" s="1305">
        <f t="shared" si="9"/>
        <v>1</v>
      </c>
      <c r="M183" s="4526"/>
      <c r="N183" s="4527"/>
      <c r="O183" s="1700"/>
    </row>
    <row r="184" spans="2:15" s="708" customFormat="1" ht="36" customHeight="1" outlineLevel="1">
      <c r="B184" s="4572" t="str">
        <f>+'8_MP'!H393</f>
        <v>Producto 17: Marco regulatorio en materia de integridad, fortalecido. Incluye protección a denunciantes y normativas sobre conflictos de interes</v>
      </c>
      <c r="C184" s="488" t="s">
        <v>213</v>
      </c>
      <c r="D184" s="1104">
        <v>0</v>
      </c>
      <c r="E184" s="487">
        <v>2021</v>
      </c>
      <c r="F184" s="535" t="s">
        <v>157</v>
      </c>
      <c r="G184" s="706">
        <v>1</v>
      </c>
      <c r="H184" s="535" t="s">
        <v>157</v>
      </c>
      <c r="I184" s="535" t="s">
        <v>157</v>
      </c>
      <c r="J184" s="535" t="s">
        <v>157</v>
      </c>
      <c r="K184" s="535" t="s">
        <v>157</v>
      </c>
      <c r="L184" s="706">
        <f t="shared" si="9"/>
        <v>1</v>
      </c>
      <c r="M184" s="4478" t="s">
        <v>248</v>
      </c>
      <c r="N184" s="4479"/>
      <c r="O184" s="4532" t="s">
        <v>3311</v>
      </c>
    </row>
    <row r="185" spans="2:15" s="708" customFormat="1" ht="14.5" customHeight="1" outlineLevel="1">
      <c r="B185" s="4573"/>
      <c r="C185" s="1304" t="s">
        <v>292</v>
      </c>
      <c r="D185" s="1196"/>
      <c r="E185" s="1197"/>
      <c r="F185" s="1199"/>
      <c r="G185" s="1305"/>
      <c r="H185" s="1698"/>
      <c r="I185" s="1697">
        <v>1</v>
      </c>
      <c r="J185" s="1199"/>
      <c r="K185" s="1199"/>
      <c r="L185" s="1305">
        <f t="shared" si="9"/>
        <v>1</v>
      </c>
      <c r="M185" s="4574"/>
      <c r="N185" s="4575"/>
      <c r="O185" s="4533"/>
    </row>
    <row r="186" spans="2:15" ht="35.5" customHeight="1" outlineLevel="1">
      <c r="B186" s="4520" t="str">
        <f>+'8_MP'!H378</f>
        <v>Plataforma TI de Seguimiento y Evaluación de componentes de integridad desarrollado e implementado</v>
      </c>
      <c r="C186" s="488" t="s">
        <v>213</v>
      </c>
      <c r="D186" s="1104">
        <v>0</v>
      </c>
      <c r="E186" s="487">
        <v>2021</v>
      </c>
      <c r="F186" s="535" t="s">
        <v>157</v>
      </c>
      <c r="G186" s="535" t="s">
        <v>157</v>
      </c>
      <c r="H186" s="487">
        <v>1</v>
      </c>
      <c r="I186" s="535" t="s">
        <v>157</v>
      </c>
      <c r="J186" s="535" t="s">
        <v>157</v>
      </c>
      <c r="K186" s="535" t="s">
        <v>157</v>
      </c>
      <c r="L186" s="706">
        <f t="shared" si="9"/>
        <v>1</v>
      </c>
      <c r="M186" s="4478" t="s">
        <v>202</v>
      </c>
      <c r="N186" s="4479"/>
      <c r="O186" s="701" t="s">
        <v>295</v>
      </c>
    </row>
    <row r="187" spans="2:15" ht="14.5" customHeight="1" outlineLevel="1">
      <c r="B187" s="4521"/>
      <c r="C187" s="1304" t="s">
        <v>294</v>
      </c>
      <c r="D187" s="1196">
        <v>0</v>
      </c>
      <c r="E187" s="1197"/>
      <c r="F187" s="1199"/>
      <c r="G187" s="1218" t="s">
        <v>3262</v>
      </c>
      <c r="H187" s="1223"/>
      <c r="I187" s="1697">
        <v>1</v>
      </c>
      <c r="J187" s="1199"/>
      <c r="K187" s="1199"/>
      <c r="L187" s="1305">
        <f t="shared" si="9"/>
        <v>1</v>
      </c>
      <c r="M187" s="1475"/>
      <c r="N187" s="1476"/>
      <c r="O187" s="701"/>
    </row>
    <row r="188" spans="2:15" s="1705" customFormat="1" ht="35.5" hidden="1" customHeight="1" outlineLevel="1">
      <c r="B188" s="1701" t="s">
        <v>3312</v>
      </c>
      <c r="C188" s="1702" t="s">
        <v>213</v>
      </c>
      <c r="D188" s="1515">
        <v>0</v>
      </c>
      <c r="E188" s="1703">
        <v>2021</v>
      </c>
      <c r="F188" s="1703" t="s">
        <v>157</v>
      </c>
      <c r="G188" s="1703">
        <v>1</v>
      </c>
      <c r="H188" s="1703" t="s">
        <v>157</v>
      </c>
      <c r="I188" s="1703" t="s">
        <v>157</v>
      </c>
      <c r="J188" s="1703" t="s">
        <v>157</v>
      </c>
      <c r="K188" s="1703" t="s">
        <v>157</v>
      </c>
      <c r="L188" s="1703">
        <f t="shared" ref="L188:L193" si="10">SUM(F188:J188)</f>
        <v>1</v>
      </c>
      <c r="M188" s="4584" t="s">
        <v>3313</v>
      </c>
      <c r="N188" s="4585"/>
      <c r="O188" s="1704"/>
    </row>
    <row r="189" spans="2:15" s="1705" customFormat="1" ht="26" hidden="1" outlineLevel="1">
      <c r="B189" s="1701" t="s">
        <v>3314</v>
      </c>
      <c r="C189" s="1702" t="s">
        <v>213</v>
      </c>
      <c r="D189" s="1515">
        <v>0</v>
      </c>
      <c r="E189" s="1703">
        <v>2021</v>
      </c>
      <c r="F189" s="1703" t="s">
        <v>157</v>
      </c>
      <c r="G189" s="1703" t="s">
        <v>157</v>
      </c>
      <c r="H189" s="1703">
        <v>1</v>
      </c>
      <c r="I189" s="1703" t="s">
        <v>157</v>
      </c>
      <c r="J189" s="1703" t="s">
        <v>157</v>
      </c>
      <c r="K189" s="1703" t="s">
        <v>157</v>
      </c>
      <c r="L189" s="1703">
        <f t="shared" si="10"/>
        <v>1</v>
      </c>
      <c r="M189" s="4584" t="s">
        <v>3315</v>
      </c>
      <c r="N189" s="4585"/>
      <c r="O189" s="1704"/>
    </row>
    <row r="190" spans="2:15" s="1517" customFormat="1" ht="35.5" hidden="1" customHeight="1" outlineLevel="1">
      <c r="B190" s="1706" t="e">
        <f>+'8_MP'!#REF!</f>
        <v>#REF!</v>
      </c>
      <c r="C190" s="1514" t="s">
        <v>213</v>
      </c>
      <c r="D190" s="1515">
        <v>0</v>
      </c>
      <c r="E190" s="1516">
        <v>2021</v>
      </c>
      <c r="F190" s="1703" t="s">
        <v>157</v>
      </c>
      <c r="G190" s="1703" t="s">
        <v>157</v>
      </c>
      <c r="H190" s="1703" t="s">
        <v>157</v>
      </c>
      <c r="I190" s="1703" t="s">
        <v>157</v>
      </c>
      <c r="J190" s="1516">
        <v>1</v>
      </c>
      <c r="K190" s="1703" t="s">
        <v>157</v>
      </c>
      <c r="L190" s="1516">
        <f t="shared" si="10"/>
        <v>1</v>
      </c>
      <c r="M190" s="4550" t="s">
        <v>248</v>
      </c>
      <c r="N190" s="4551"/>
      <c r="O190" s="1707" t="s">
        <v>3316</v>
      </c>
    </row>
    <row r="191" spans="2:15" s="1705" customFormat="1" ht="13" hidden="1" outlineLevel="1">
      <c r="B191" s="1701" t="s">
        <v>3317</v>
      </c>
      <c r="C191" s="1702" t="s">
        <v>213</v>
      </c>
      <c r="D191" s="1515">
        <v>0</v>
      </c>
      <c r="E191" s="1703">
        <v>2021</v>
      </c>
      <c r="F191" s="1703" t="s">
        <v>157</v>
      </c>
      <c r="G191" s="1703" t="s">
        <v>157</v>
      </c>
      <c r="H191" s="1516">
        <v>1</v>
      </c>
      <c r="I191" s="1703" t="s">
        <v>157</v>
      </c>
      <c r="J191" s="1703" t="s">
        <v>157</v>
      </c>
      <c r="K191" s="1703" t="s">
        <v>157</v>
      </c>
      <c r="L191" s="1516">
        <f t="shared" si="10"/>
        <v>1</v>
      </c>
      <c r="M191" s="4584" t="s">
        <v>3318</v>
      </c>
      <c r="N191" s="4585"/>
      <c r="O191" s="1704"/>
    </row>
    <row r="192" spans="2:15" s="1705" customFormat="1" ht="26" hidden="1" outlineLevel="1">
      <c r="B192" s="1701" t="s">
        <v>3319</v>
      </c>
      <c r="C192" s="1702" t="s">
        <v>213</v>
      </c>
      <c r="D192" s="1515">
        <v>0</v>
      </c>
      <c r="E192" s="1703">
        <v>2021</v>
      </c>
      <c r="F192" s="1703" t="s">
        <v>157</v>
      </c>
      <c r="G192" s="1703" t="s">
        <v>157</v>
      </c>
      <c r="H192" s="1703" t="s">
        <v>157</v>
      </c>
      <c r="I192" s="1516">
        <v>1</v>
      </c>
      <c r="J192" s="1703" t="s">
        <v>157</v>
      </c>
      <c r="K192" s="1703" t="s">
        <v>157</v>
      </c>
      <c r="L192" s="1516">
        <f t="shared" si="10"/>
        <v>1</v>
      </c>
      <c r="M192" s="4584" t="s">
        <v>3320</v>
      </c>
      <c r="N192" s="4585"/>
      <c r="O192" s="1704"/>
    </row>
    <row r="193" spans="2:15" ht="24" customHeight="1" outlineLevel="1">
      <c r="B193" s="4586" t="str">
        <f>+'8_MP'!H398</f>
        <v>Producto 18: Programa de cumplimiento e integridad para el sector privado desarrollado</v>
      </c>
      <c r="C193" s="488" t="s">
        <v>213</v>
      </c>
      <c r="D193" s="1104">
        <v>0</v>
      </c>
      <c r="E193" s="487">
        <v>2021</v>
      </c>
      <c r="F193" s="535" t="s">
        <v>157</v>
      </c>
      <c r="G193" s="535" t="s">
        <v>157</v>
      </c>
      <c r="H193" s="535" t="s">
        <v>157</v>
      </c>
      <c r="I193" s="487">
        <v>1</v>
      </c>
      <c r="J193" s="535" t="s">
        <v>157</v>
      </c>
      <c r="K193" s="535" t="s">
        <v>157</v>
      </c>
      <c r="L193" s="487">
        <f t="shared" si="10"/>
        <v>1</v>
      </c>
      <c r="M193" s="4478" t="s">
        <v>248</v>
      </c>
      <c r="N193" s="4479"/>
      <c r="O193" s="4576" t="s">
        <v>297</v>
      </c>
    </row>
    <row r="194" spans="2:15" ht="42" customHeight="1" outlineLevel="1">
      <c r="B194" s="4587"/>
      <c r="C194" s="1304" t="s">
        <v>266</v>
      </c>
      <c r="D194" s="1196"/>
      <c r="E194" s="1197"/>
      <c r="F194" s="1199"/>
      <c r="G194" s="1698"/>
      <c r="H194" s="1697">
        <v>1</v>
      </c>
      <c r="I194" s="1697">
        <v>1</v>
      </c>
      <c r="J194" s="1199"/>
      <c r="K194" s="1199"/>
      <c r="L194" s="1197"/>
      <c r="M194" s="4578" t="s">
        <v>296</v>
      </c>
      <c r="N194" s="4579"/>
      <c r="O194" s="4577"/>
    </row>
    <row r="195" spans="2:15" ht="62.5" customHeight="1" outlineLevel="1">
      <c r="B195" s="4580" t="str">
        <f>+'8_MP'!H382</f>
        <v>Estándar OCDE piloteado</v>
      </c>
      <c r="C195" s="1708" t="s">
        <v>213</v>
      </c>
      <c r="D195" s="1709">
        <v>0</v>
      </c>
      <c r="E195" s="1710">
        <v>2021</v>
      </c>
      <c r="F195" s="1711" t="s">
        <v>157</v>
      </c>
      <c r="G195" s="1711" t="s">
        <v>157</v>
      </c>
      <c r="H195" s="1711" t="s">
        <v>157</v>
      </c>
      <c r="I195" s="1711" t="s">
        <v>157</v>
      </c>
      <c r="J195" s="1710">
        <v>1</v>
      </c>
      <c r="K195" s="1711" t="s">
        <v>157</v>
      </c>
      <c r="L195" s="1710">
        <f>SUM(F195:J195)</f>
        <v>1</v>
      </c>
      <c r="M195" s="4478" t="s">
        <v>202</v>
      </c>
      <c r="N195" s="4479"/>
      <c r="O195" s="1527" t="s">
        <v>298</v>
      </c>
    </row>
    <row r="196" spans="2:15" ht="28.25" customHeight="1" outlineLevel="1">
      <c r="B196" s="4581"/>
      <c r="C196" s="1713" t="s">
        <v>294</v>
      </c>
      <c r="D196" s="1714"/>
      <c r="E196" s="1715"/>
      <c r="F196" s="1716"/>
      <c r="G196" s="1716"/>
      <c r="H196" s="1698"/>
      <c r="I196" s="1717">
        <v>1</v>
      </c>
      <c r="J196" s="1715"/>
      <c r="K196" s="1716"/>
      <c r="L196" s="1715"/>
      <c r="M196" s="4582"/>
      <c r="N196" s="4583"/>
      <c r="O196" s="1712"/>
    </row>
    <row r="197" spans="2:15" ht="21" customHeight="1">
      <c r="B197" s="3572" t="str">
        <f>+'8_MP'!H405</f>
        <v>Subcomponente 3.2. Participación, control social y gestión de denuncias de corrupción administrativa</v>
      </c>
      <c r="C197" s="3612"/>
      <c r="D197" s="3612"/>
      <c r="E197" s="3612"/>
      <c r="F197" s="3612"/>
      <c r="G197" s="3612"/>
      <c r="H197" s="3612"/>
      <c r="I197" s="3612"/>
      <c r="J197" s="3612"/>
      <c r="K197" s="3612"/>
      <c r="L197" s="3612"/>
      <c r="M197" s="3612"/>
      <c r="N197" s="3612"/>
      <c r="O197" s="3613"/>
    </row>
    <row r="198" spans="2:15" ht="32" customHeight="1" outlineLevel="1">
      <c r="B198" s="4592" t="str">
        <f>+'8_MP'!H406</f>
        <v>Producto 19: Sistema para realizar investigaciones, seguimiento y respuesta a las denuncias ciudadanas desarrollado. Incluye metodologías y plataforma tecnológica de participación ciudadana y seguimiento de denuncias con enfoque de género y diversidad.</v>
      </c>
      <c r="C198" s="391" t="s">
        <v>213</v>
      </c>
      <c r="D198" s="1104">
        <v>0</v>
      </c>
      <c r="E198" s="487">
        <v>2021</v>
      </c>
      <c r="F198" s="535" t="s">
        <v>157</v>
      </c>
      <c r="G198" s="535" t="s">
        <v>157</v>
      </c>
      <c r="H198" s="487">
        <v>1</v>
      </c>
      <c r="I198" s="535" t="s">
        <v>157</v>
      </c>
      <c r="J198" s="535" t="s">
        <v>157</v>
      </c>
      <c r="K198" s="535" t="s">
        <v>157</v>
      </c>
      <c r="L198" s="487">
        <f>SUM(F198:J198)</f>
        <v>1</v>
      </c>
      <c r="M198" s="4478" t="s">
        <v>248</v>
      </c>
      <c r="N198" s="4479"/>
      <c r="O198" s="1720" t="s">
        <v>3321</v>
      </c>
    </row>
    <row r="199" spans="2:15" ht="14.5" customHeight="1" outlineLevel="1">
      <c r="B199" s="4593"/>
      <c r="C199" s="1719" t="s">
        <v>255</v>
      </c>
      <c r="D199" s="1196"/>
      <c r="E199" s="1197"/>
      <c r="F199" s="1218"/>
      <c r="G199" s="1698"/>
      <c r="H199" s="1223">
        <v>1</v>
      </c>
      <c r="I199" s="1697"/>
      <c r="J199" s="1223">
        <v>1</v>
      </c>
      <c r="K199" s="1199"/>
      <c r="L199" s="1197"/>
      <c r="M199" s="4574"/>
      <c r="N199" s="4575"/>
      <c r="O199" s="1720"/>
    </row>
    <row r="200" spans="2:15" s="1705" customFormat="1" ht="21.5" hidden="1" customHeight="1" outlineLevel="1">
      <c r="B200" s="1701" t="s">
        <v>3322</v>
      </c>
      <c r="C200" s="1702" t="s">
        <v>213</v>
      </c>
      <c r="D200" s="1515">
        <v>0</v>
      </c>
      <c r="E200" s="1703">
        <v>2021</v>
      </c>
      <c r="F200" s="1703" t="s">
        <v>157</v>
      </c>
      <c r="G200" s="1703">
        <v>1</v>
      </c>
      <c r="H200" s="1703" t="s">
        <v>157</v>
      </c>
      <c r="I200" s="1703" t="s">
        <v>157</v>
      </c>
      <c r="J200" s="1703" t="s">
        <v>157</v>
      </c>
      <c r="K200" s="1703" t="s">
        <v>157</v>
      </c>
      <c r="L200" s="1703">
        <f>SUM(F200:J200)</f>
        <v>1</v>
      </c>
      <c r="M200" s="4584" t="s">
        <v>3323</v>
      </c>
      <c r="N200" s="4585"/>
      <c r="O200" s="1704"/>
    </row>
    <row r="201" spans="2:15" ht="59.5" customHeight="1" outlineLevel="1">
      <c r="B201" s="437" t="str">
        <f>+'8_MP'!H411</f>
        <v>Plataforma tecnológica de participación ciudadana con enfoque de género y diversidad, implementado</v>
      </c>
      <c r="C201" s="391" t="s">
        <v>213</v>
      </c>
      <c r="D201" s="1104">
        <v>0</v>
      </c>
      <c r="E201" s="487">
        <v>2021</v>
      </c>
      <c r="F201" s="535" t="s">
        <v>157</v>
      </c>
      <c r="G201" s="535" t="s">
        <v>157</v>
      </c>
      <c r="H201" s="487">
        <v>1</v>
      </c>
      <c r="I201" s="535" t="s">
        <v>157</v>
      </c>
      <c r="J201" s="535" t="s">
        <v>157</v>
      </c>
      <c r="K201" s="535" t="s">
        <v>157</v>
      </c>
      <c r="L201" s="487">
        <f>SUM(F201:J201)</f>
        <v>1</v>
      </c>
      <c r="M201" s="4478" t="s">
        <v>248</v>
      </c>
      <c r="N201" s="4479"/>
      <c r="O201" s="1109" t="s">
        <v>300</v>
      </c>
    </row>
    <row r="202" spans="2:15" ht="13" outlineLevel="1">
      <c r="B202" s="437"/>
      <c r="C202" s="1719" t="s">
        <v>294</v>
      </c>
      <c r="D202" s="1196"/>
      <c r="E202" s="1197"/>
      <c r="F202" s="1218"/>
      <c r="G202" s="1697" t="s">
        <v>3324</v>
      </c>
      <c r="H202" s="1698"/>
      <c r="I202" s="1223">
        <v>1</v>
      </c>
      <c r="J202" s="1199"/>
      <c r="K202" s="1199"/>
      <c r="L202" s="1197"/>
      <c r="M202" s="1475"/>
      <c r="N202" s="1476"/>
      <c r="O202" s="1109"/>
    </row>
    <row r="203" spans="2:15" s="385" customFormat="1" ht="36.5" customHeight="1" outlineLevel="1">
      <c r="B203" s="438" t="s">
        <v>301</v>
      </c>
      <c r="C203" s="392" t="s">
        <v>213</v>
      </c>
      <c r="D203" s="1104">
        <v>0</v>
      </c>
      <c r="E203" s="535">
        <v>2021</v>
      </c>
      <c r="F203" s="535" t="s">
        <v>157</v>
      </c>
      <c r="G203" s="535">
        <v>1</v>
      </c>
      <c r="H203" s="535" t="s">
        <v>157</v>
      </c>
      <c r="I203" s="535" t="s">
        <v>157</v>
      </c>
      <c r="J203" s="535" t="s">
        <v>157</v>
      </c>
      <c r="K203" s="535" t="s">
        <v>157</v>
      </c>
      <c r="L203" s="535">
        <f>SUM(F203:J203)</f>
        <v>1</v>
      </c>
      <c r="M203" s="4588" t="s">
        <v>302</v>
      </c>
      <c r="N203" s="4589"/>
      <c r="O203" s="393"/>
    </row>
    <row r="204" spans="2:15" ht="21" customHeight="1">
      <c r="B204" s="3569" t="str">
        <f>+'8_MP'!H421</f>
        <v xml:space="preserve">Subcomponente 3.3. Innovación para la transparencia y el acceso a la información </v>
      </c>
      <c r="C204" s="3609"/>
      <c r="D204" s="3609"/>
      <c r="E204" s="3609"/>
      <c r="F204" s="3609"/>
      <c r="G204" s="3609"/>
      <c r="H204" s="3609"/>
      <c r="I204" s="3609"/>
      <c r="J204" s="3609"/>
      <c r="K204" s="3609"/>
      <c r="L204" s="3609"/>
      <c r="M204" s="3609"/>
      <c r="N204" s="3609"/>
      <c r="O204" s="3610"/>
    </row>
    <row r="205" spans="2:15" ht="93.5" customHeight="1" outlineLevel="1">
      <c r="B205" s="437" t="str">
        <f>+'8_MP'!H422</f>
        <v>Producto 20: Plataforma tecnológica Nacional de Transparencia diseñado e implementado</v>
      </c>
      <c r="C205" s="391" t="s">
        <v>213</v>
      </c>
      <c r="D205" s="1104">
        <v>0</v>
      </c>
      <c r="E205" s="487">
        <v>2021</v>
      </c>
      <c r="F205" s="535" t="s">
        <v>157</v>
      </c>
      <c r="G205" s="535" t="s">
        <v>157</v>
      </c>
      <c r="H205" s="535" t="s">
        <v>157</v>
      </c>
      <c r="I205" s="535" t="s">
        <v>157</v>
      </c>
      <c r="J205" s="487">
        <v>1</v>
      </c>
      <c r="K205" s="535" t="s">
        <v>157</v>
      </c>
      <c r="L205" s="487">
        <f>SUM(F205:K205)</f>
        <v>1</v>
      </c>
      <c r="M205" s="4478" t="s">
        <v>248</v>
      </c>
      <c r="N205" s="4479"/>
      <c r="O205" s="707" t="s">
        <v>303</v>
      </c>
    </row>
    <row r="206" spans="2:15" outlineLevel="1">
      <c r="B206" s="437"/>
      <c r="C206" s="391"/>
      <c r="D206" s="1104"/>
      <c r="E206" s="487"/>
      <c r="F206" s="535"/>
      <c r="G206" s="535"/>
      <c r="H206" s="535"/>
      <c r="I206" s="535"/>
      <c r="J206" s="487"/>
      <c r="K206" s="535"/>
      <c r="L206" s="487"/>
      <c r="M206" s="1475"/>
      <c r="N206" s="1476"/>
      <c r="O206" s="707"/>
    </row>
    <row r="207" spans="2:15" ht="24.5" customHeight="1" outlineLevel="1">
      <c r="B207" s="438" t="s">
        <v>304</v>
      </c>
      <c r="C207" s="392" t="s">
        <v>213</v>
      </c>
      <c r="D207" s="1104">
        <v>0</v>
      </c>
      <c r="E207" s="535">
        <v>2021</v>
      </c>
      <c r="F207" s="535" t="s">
        <v>157</v>
      </c>
      <c r="G207" s="487">
        <v>1</v>
      </c>
      <c r="H207" s="487">
        <v>1</v>
      </c>
      <c r="I207" s="487">
        <v>1</v>
      </c>
      <c r="J207" s="487">
        <v>1</v>
      </c>
      <c r="K207" s="535" t="s">
        <v>157</v>
      </c>
      <c r="L207" s="487">
        <f>SUM(F207:J207)</f>
        <v>4</v>
      </c>
      <c r="M207" s="4588" t="s">
        <v>305</v>
      </c>
      <c r="N207" s="4589"/>
      <c r="O207" s="393"/>
    </row>
    <row r="208" spans="2:15" ht="21" customHeight="1">
      <c r="B208" s="3569" t="str">
        <f>+'8_MP'!H439</f>
        <v>Subcomponente 3.4. Comunicación y capacitación para la transparencia y la integridad</v>
      </c>
      <c r="C208" s="3609"/>
      <c r="D208" s="3609"/>
      <c r="E208" s="3609"/>
      <c r="F208" s="3609"/>
      <c r="G208" s="3609"/>
      <c r="H208" s="3609"/>
      <c r="I208" s="3609"/>
      <c r="J208" s="3609"/>
      <c r="K208" s="3609"/>
      <c r="L208" s="3609"/>
      <c r="M208" s="3609"/>
      <c r="N208" s="3609"/>
      <c r="O208" s="3610"/>
    </row>
    <row r="209" spans="2:15" ht="51.5" customHeight="1" outlineLevel="1">
      <c r="B209" s="437" t="str">
        <f>+'8_MP'!H441</f>
        <v xml:space="preserve"> Programa de comunicación, desarrollado</v>
      </c>
      <c r="C209" s="391" t="s">
        <v>213</v>
      </c>
      <c r="D209" s="1104">
        <v>0</v>
      </c>
      <c r="E209" s="487">
        <v>2021</v>
      </c>
      <c r="F209" s="535" t="s">
        <v>157</v>
      </c>
      <c r="G209" s="487">
        <v>1</v>
      </c>
      <c r="H209" s="535" t="s">
        <v>157</v>
      </c>
      <c r="I209" s="535" t="s">
        <v>157</v>
      </c>
      <c r="J209" s="535" t="s">
        <v>157</v>
      </c>
      <c r="K209" s="535" t="s">
        <v>157</v>
      </c>
      <c r="L209" s="487">
        <f>SUM(F209:J209)</f>
        <v>1</v>
      </c>
      <c r="M209" s="4478" t="s">
        <v>248</v>
      </c>
      <c r="N209" s="4479"/>
      <c r="O209" s="486"/>
    </row>
    <row r="210" spans="2:15" ht="13" outlineLevel="1">
      <c r="B210" s="437" t="str">
        <f>+'8_MP'!H444</f>
        <v>Programa de capacitación, desarrollado</v>
      </c>
      <c r="C210" s="391" t="s">
        <v>213</v>
      </c>
      <c r="D210" s="1104">
        <v>0</v>
      </c>
      <c r="E210" s="487">
        <v>2021</v>
      </c>
      <c r="F210" s="535" t="s">
        <v>157</v>
      </c>
      <c r="G210" s="487">
        <v>2</v>
      </c>
      <c r="H210" s="487">
        <v>2</v>
      </c>
      <c r="I210" s="487">
        <v>3</v>
      </c>
      <c r="J210" s="487">
        <v>3</v>
      </c>
      <c r="K210" s="535" t="s">
        <v>157</v>
      </c>
      <c r="L210" s="1151">
        <f>SUM(F210:J210)</f>
        <v>10</v>
      </c>
      <c r="M210" s="4590" t="s">
        <v>248</v>
      </c>
      <c r="N210" s="4591"/>
      <c r="O210" s="915"/>
    </row>
    <row r="212" spans="2:15" ht="13">
      <c r="B212" s="213" t="s">
        <v>316</v>
      </c>
    </row>
    <row r="213" spans="2:15">
      <c r="B213" s="3606" t="s">
        <v>317</v>
      </c>
      <c r="C213" s="3606"/>
      <c r="D213" s="3606"/>
      <c r="E213" s="3606"/>
      <c r="F213" s="3606"/>
      <c r="G213" s="3606"/>
      <c r="H213" s="3606"/>
      <c r="I213" s="3606"/>
      <c r="J213" s="3606"/>
      <c r="K213" s="3606"/>
      <c r="L213" s="3606"/>
      <c r="M213" s="3606"/>
      <c r="N213" s="3606"/>
      <c r="O213" s="3606"/>
    </row>
  </sheetData>
  <mergeCells count="273">
    <mergeCell ref="B213:O213"/>
    <mergeCell ref="B204:O204"/>
    <mergeCell ref="M205:N205"/>
    <mergeCell ref="M207:N207"/>
    <mergeCell ref="B208:O208"/>
    <mergeCell ref="M209:N209"/>
    <mergeCell ref="M210:N210"/>
    <mergeCell ref="B198:B199"/>
    <mergeCell ref="M198:N198"/>
    <mergeCell ref="M199:N199"/>
    <mergeCell ref="M200:N200"/>
    <mergeCell ref="M201:N201"/>
    <mergeCell ref="M203:N203"/>
    <mergeCell ref="O193:O194"/>
    <mergeCell ref="M194:N194"/>
    <mergeCell ref="B195:B196"/>
    <mergeCell ref="M195:N195"/>
    <mergeCell ref="M196:N196"/>
    <mergeCell ref="B197:O197"/>
    <mergeCell ref="M188:N188"/>
    <mergeCell ref="M189:N189"/>
    <mergeCell ref="M190:N190"/>
    <mergeCell ref="M191:N191"/>
    <mergeCell ref="M192:N192"/>
    <mergeCell ref="B193:B194"/>
    <mergeCell ref="M193:N193"/>
    <mergeCell ref="M183:N183"/>
    <mergeCell ref="B184:B185"/>
    <mergeCell ref="M184:N184"/>
    <mergeCell ref="O184:O185"/>
    <mergeCell ref="M185:N185"/>
    <mergeCell ref="B186:B187"/>
    <mergeCell ref="M186:N186"/>
    <mergeCell ref="M175:N176"/>
    <mergeCell ref="O175:O176"/>
    <mergeCell ref="B178:O178"/>
    <mergeCell ref="M179:N179"/>
    <mergeCell ref="B180:O180"/>
    <mergeCell ref="B181:B182"/>
    <mergeCell ref="M181:N181"/>
    <mergeCell ref="M182:N182"/>
    <mergeCell ref="B164:O164"/>
    <mergeCell ref="M165:N165"/>
    <mergeCell ref="M167:N167"/>
    <mergeCell ref="M170:N170"/>
    <mergeCell ref="M171:N171"/>
    <mergeCell ref="M173:N174"/>
    <mergeCell ref="O173:O174"/>
    <mergeCell ref="B159:B160"/>
    <mergeCell ref="M159:N160"/>
    <mergeCell ref="O159:O160"/>
    <mergeCell ref="B161:B162"/>
    <mergeCell ref="M161:N162"/>
    <mergeCell ref="O161:O162"/>
    <mergeCell ref="B155:B156"/>
    <mergeCell ref="M155:N156"/>
    <mergeCell ref="O155:O156"/>
    <mergeCell ref="B157:B158"/>
    <mergeCell ref="M157:N158"/>
    <mergeCell ref="O157:O158"/>
    <mergeCell ref="B149:B150"/>
    <mergeCell ref="M149:N150"/>
    <mergeCell ref="O149:O150"/>
    <mergeCell ref="B152:O152"/>
    <mergeCell ref="B153:B154"/>
    <mergeCell ref="M153:N154"/>
    <mergeCell ref="O153:O154"/>
    <mergeCell ref="B145:B146"/>
    <mergeCell ref="M145:N146"/>
    <mergeCell ref="O145:O146"/>
    <mergeCell ref="B147:B148"/>
    <mergeCell ref="M147:N148"/>
    <mergeCell ref="O147:O148"/>
    <mergeCell ref="B141:B142"/>
    <mergeCell ref="M141:N142"/>
    <mergeCell ref="O141:O142"/>
    <mergeCell ref="B143:B144"/>
    <mergeCell ref="M143:N144"/>
    <mergeCell ref="O143:O144"/>
    <mergeCell ref="B136:O136"/>
    <mergeCell ref="B137:B138"/>
    <mergeCell ref="M137:N138"/>
    <mergeCell ref="O137:O138"/>
    <mergeCell ref="B139:B140"/>
    <mergeCell ref="M139:N140"/>
    <mergeCell ref="O139:O140"/>
    <mergeCell ref="M130:N131"/>
    <mergeCell ref="O130:O131"/>
    <mergeCell ref="M132:N133"/>
    <mergeCell ref="O132:O133"/>
    <mergeCell ref="B134:O134"/>
    <mergeCell ref="M135:N135"/>
    <mergeCell ref="M119:N119"/>
    <mergeCell ref="B121:O121"/>
    <mergeCell ref="M122:N122"/>
    <mergeCell ref="M124:N124"/>
    <mergeCell ref="M127:N127"/>
    <mergeCell ref="M128:N128"/>
    <mergeCell ref="B115:B116"/>
    <mergeCell ref="M115:N116"/>
    <mergeCell ref="O115:O116"/>
    <mergeCell ref="B117:B118"/>
    <mergeCell ref="M117:N118"/>
    <mergeCell ref="O117:O118"/>
    <mergeCell ref="B111:B112"/>
    <mergeCell ref="M111:N112"/>
    <mergeCell ref="O111:O112"/>
    <mergeCell ref="B113:B114"/>
    <mergeCell ref="M113:N114"/>
    <mergeCell ref="O113:O114"/>
    <mergeCell ref="B105:B106"/>
    <mergeCell ref="M105:N106"/>
    <mergeCell ref="O105:O106"/>
    <mergeCell ref="B108:O108"/>
    <mergeCell ref="B109:B110"/>
    <mergeCell ref="M109:N110"/>
    <mergeCell ref="O109:O110"/>
    <mergeCell ref="B101:B102"/>
    <mergeCell ref="M101:N102"/>
    <mergeCell ref="O101:O102"/>
    <mergeCell ref="B103:B104"/>
    <mergeCell ref="M103:N104"/>
    <mergeCell ref="O103:O104"/>
    <mergeCell ref="B97:B98"/>
    <mergeCell ref="M97:N98"/>
    <mergeCell ref="O97:O98"/>
    <mergeCell ref="B99:B100"/>
    <mergeCell ref="M99:N100"/>
    <mergeCell ref="O99:O100"/>
    <mergeCell ref="B93:B94"/>
    <mergeCell ref="M93:N94"/>
    <mergeCell ref="O93:O94"/>
    <mergeCell ref="B95:B96"/>
    <mergeCell ref="M95:N96"/>
    <mergeCell ref="O95:O96"/>
    <mergeCell ref="B87:B88"/>
    <mergeCell ref="M87:N88"/>
    <mergeCell ref="O87:O88"/>
    <mergeCell ref="B90:O90"/>
    <mergeCell ref="M91:N91"/>
    <mergeCell ref="B92:O92"/>
    <mergeCell ref="B83:B84"/>
    <mergeCell ref="M83:N84"/>
    <mergeCell ref="O83:O84"/>
    <mergeCell ref="B85:B86"/>
    <mergeCell ref="M85:N86"/>
    <mergeCell ref="O85:O86"/>
    <mergeCell ref="M77:N77"/>
    <mergeCell ref="B78:O78"/>
    <mergeCell ref="B79:B80"/>
    <mergeCell ref="M79:N80"/>
    <mergeCell ref="O79:O80"/>
    <mergeCell ref="B81:B82"/>
    <mergeCell ref="M81:N82"/>
    <mergeCell ref="O81:O82"/>
    <mergeCell ref="M72:N72"/>
    <mergeCell ref="B73:B74"/>
    <mergeCell ref="M73:N74"/>
    <mergeCell ref="O73:O74"/>
    <mergeCell ref="B75:B76"/>
    <mergeCell ref="M75:N76"/>
    <mergeCell ref="O75:O76"/>
    <mergeCell ref="B66:B67"/>
    <mergeCell ref="M66:N67"/>
    <mergeCell ref="O66:O67"/>
    <mergeCell ref="B69:O69"/>
    <mergeCell ref="B70:B71"/>
    <mergeCell ref="M70:N71"/>
    <mergeCell ref="O70:O71"/>
    <mergeCell ref="B62:B63"/>
    <mergeCell ref="M62:N63"/>
    <mergeCell ref="O62:O63"/>
    <mergeCell ref="B64:B65"/>
    <mergeCell ref="M64:N65"/>
    <mergeCell ref="O64:O65"/>
    <mergeCell ref="B58:B59"/>
    <mergeCell ref="M58:N59"/>
    <mergeCell ref="O58:O59"/>
    <mergeCell ref="B60:B61"/>
    <mergeCell ref="M60:N61"/>
    <mergeCell ref="O60:O61"/>
    <mergeCell ref="B52:B53"/>
    <mergeCell ref="M52:N53"/>
    <mergeCell ref="O52:O53"/>
    <mergeCell ref="M54:N54"/>
    <mergeCell ref="B55:O55"/>
    <mergeCell ref="B56:B57"/>
    <mergeCell ref="M56:N57"/>
    <mergeCell ref="O56:O57"/>
    <mergeCell ref="B48:B49"/>
    <mergeCell ref="M48:N49"/>
    <mergeCell ref="O48:O49"/>
    <mergeCell ref="B50:B51"/>
    <mergeCell ref="M50:N51"/>
    <mergeCell ref="O50:O51"/>
    <mergeCell ref="B44:B45"/>
    <mergeCell ref="M44:N45"/>
    <mergeCell ref="O44:O45"/>
    <mergeCell ref="B46:B47"/>
    <mergeCell ref="M46:N47"/>
    <mergeCell ref="O46:O47"/>
    <mergeCell ref="B40:B41"/>
    <mergeCell ref="M40:N41"/>
    <mergeCell ref="O40:O41"/>
    <mergeCell ref="B42:B43"/>
    <mergeCell ref="M42:N43"/>
    <mergeCell ref="O42:O43"/>
    <mergeCell ref="B36:B37"/>
    <mergeCell ref="M36:N37"/>
    <mergeCell ref="O36:O37"/>
    <mergeCell ref="B38:B39"/>
    <mergeCell ref="M38:N39"/>
    <mergeCell ref="O38:O39"/>
    <mergeCell ref="B31:B32"/>
    <mergeCell ref="M31:N32"/>
    <mergeCell ref="O31:O32"/>
    <mergeCell ref="B33:B34"/>
    <mergeCell ref="M33:N34"/>
    <mergeCell ref="O33:O34"/>
    <mergeCell ref="B25:C25"/>
    <mergeCell ref="L25:M25"/>
    <mergeCell ref="N25:O25"/>
    <mergeCell ref="B28:O28"/>
    <mergeCell ref="M29:N29"/>
    <mergeCell ref="B30:O30"/>
    <mergeCell ref="B23:C23"/>
    <mergeCell ref="L23:M23"/>
    <mergeCell ref="N23:O23"/>
    <mergeCell ref="B24:C24"/>
    <mergeCell ref="L24:M24"/>
    <mergeCell ref="N24:O24"/>
    <mergeCell ref="B22:C22"/>
    <mergeCell ref="L22:M22"/>
    <mergeCell ref="N22:O22"/>
    <mergeCell ref="B17:C18"/>
    <mergeCell ref="L17:M17"/>
    <mergeCell ref="N17:O17"/>
    <mergeCell ref="L18:M18"/>
    <mergeCell ref="N18:O18"/>
    <mergeCell ref="B19:O19"/>
    <mergeCell ref="B15:C16"/>
    <mergeCell ref="L15:M15"/>
    <mergeCell ref="N15:O15"/>
    <mergeCell ref="L16:M16"/>
    <mergeCell ref="N16:O16"/>
    <mergeCell ref="B20:C20"/>
    <mergeCell ref="L20:M20"/>
    <mergeCell ref="N20:O20"/>
    <mergeCell ref="B21:O21"/>
    <mergeCell ref="B10:O10"/>
    <mergeCell ref="B11:C12"/>
    <mergeCell ref="L11:M11"/>
    <mergeCell ref="N11:O11"/>
    <mergeCell ref="L12:M12"/>
    <mergeCell ref="N12:O12"/>
    <mergeCell ref="B13:C14"/>
    <mergeCell ref="L13:M13"/>
    <mergeCell ref="N13:O13"/>
    <mergeCell ref="L14:M14"/>
    <mergeCell ref="N14:O14"/>
    <mergeCell ref="B2:O2"/>
    <mergeCell ref="C3:O3"/>
    <mergeCell ref="C4:O4"/>
    <mergeCell ref="C5:O5"/>
    <mergeCell ref="B7:O7"/>
    <mergeCell ref="B8:C9"/>
    <mergeCell ref="D8:D9"/>
    <mergeCell ref="E8:E9"/>
    <mergeCell ref="G8:G9"/>
    <mergeCell ref="H8:I8"/>
    <mergeCell ref="J8:K8"/>
    <mergeCell ref="L8:M9"/>
    <mergeCell ref="N8:O9"/>
  </mergeCells>
  <pageMargins left="0.7" right="0.7" top="0.75" bottom="0.75" header="0.3" footer="0.3"/>
  <pageSetup paperSize="9"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AZ532"/>
  <sheetViews>
    <sheetView showGridLines="0" zoomScaleNormal="100" zoomScalePageLayoutView="125" workbookViewId="0">
      <pane xSplit="6" ySplit="7" topLeftCell="V9" activePane="bottomRight" state="frozen"/>
      <selection pane="topRight" sqref="A1:I1"/>
      <selection pane="bottomLeft" sqref="A1:I1"/>
      <selection pane="bottomRight" sqref="A1:I1"/>
    </sheetView>
  </sheetViews>
  <sheetFormatPr baseColWidth="10" defaultColWidth="11.5" defaultRowHeight="14" outlineLevelRow="4" outlineLevelCol="1"/>
  <cols>
    <col min="1" max="1" width="1.5" style="152" customWidth="1"/>
    <col min="2" max="2" width="11.5" style="87" customWidth="1"/>
    <col min="3" max="3" width="5.1640625" style="87" customWidth="1"/>
    <col min="4" max="4" width="50.83203125" style="549" customWidth="1"/>
    <col min="5" max="5" width="14.5" style="549" hidden="1" customWidth="1" outlineLevel="1"/>
    <col min="6" max="6" width="14.5" style="89" hidden="1" customWidth="1" outlineLevel="1"/>
    <col min="7" max="7" width="2.1640625" style="91" customWidth="1" collapsed="1"/>
    <col min="8" max="8" width="15.5" style="90" hidden="1" customWidth="1" outlineLevel="1"/>
    <col min="9" max="9" width="10" style="86" hidden="1" customWidth="1" outlineLevel="1"/>
    <col min="10" max="16" width="10" style="92" hidden="1" customWidth="1" outlineLevel="1"/>
    <col min="17" max="17" width="2.1640625" style="91" customWidth="1" collapsed="1"/>
    <col min="18" max="18" width="14.5" style="860" customWidth="1" outlineLevel="1"/>
    <col min="19" max="19" width="10.5" style="860" hidden="1" customWidth="1" outlineLevel="1"/>
    <col min="20" max="20" width="12.5" style="861" customWidth="1" outlineLevel="1"/>
    <col min="21" max="21" width="11.83203125" style="860" hidden="1" customWidth="1" outlineLevel="1"/>
    <col min="22" max="22" width="11.83203125" style="860" customWidth="1" outlineLevel="1"/>
    <col min="23" max="23" width="16.5" style="85" customWidth="1" outlineLevel="1"/>
    <col min="24" max="24" width="2.1640625" style="91" customWidth="1"/>
    <col min="25" max="25" width="14" style="89" customWidth="1" outlineLevel="1"/>
    <col min="26" max="27" width="6" style="86" customWidth="1" outlineLevel="1"/>
    <col min="28" max="28" width="6" style="87" customWidth="1" outlineLevel="1"/>
    <col min="29" max="29" width="16.5" style="85" customWidth="1" outlineLevel="1"/>
    <col min="30" max="30" width="14.5" style="88" customWidth="1" outlineLevel="1"/>
    <col min="31" max="31" width="22" style="699" customWidth="1" outlineLevel="1"/>
    <col min="32" max="32" width="2.1640625" style="91" customWidth="1"/>
    <col min="33" max="35" width="14" style="85" customWidth="1" outlineLevel="1"/>
    <col min="36" max="36" width="2.1640625" style="91" customWidth="1"/>
    <col min="37" max="39" width="13.5" style="1028" customWidth="1" outlineLevel="1"/>
    <col min="40" max="40" width="13.5" style="1029" customWidth="1" outlineLevel="1"/>
    <col min="41" max="41" width="13.5" style="1030" customWidth="1" outlineLevel="1"/>
    <col min="42" max="42" width="15.83203125" style="1030" customWidth="1" outlineLevel="1"/>
    <col min="43" max="43" width="5.5" style="85" customWidth="1"/>
    <col min="44" max="51" width="11.5" style="85"/>
    <col min="52" max="52" width="34.5" style="85" customWidth="1"/>
    <col min="53" max="16384" width="11.5" style="85"/>
  </cols>
  <sheetData>
    <row r="1" spans="1:52" ht="14.5" customHeight="1" outlineLevel="1">
      <c r="A1" s="575"/>
      <c r="B1" s="1082" t="s">
        <v>1111</v>
      </c>
      <c r="C1" s="1082"/>
      <c r="D1" s="540"/>
      <c r="E1" s="540"/>
      <c r="F1" s="353"/>
      <c r="G1" s="353"/>
      <c r="H1" s="353"/>
      <c r="I1" s="353"/>
      <c r="J1" s="353"/>
      <c r="K1" s="353"/>
      <c r="L1" s="353"/>
      <c r="M1" s="353"/>
      <c r="N1" s="353"/>
      <c r="O1" s="353"/>
      <c r="P1" s="353"/>
      <c r="Q1" s="353"/>
      <c r="R1" s="847"/>
      <c r="S1" s="847"/>
      <c r="T1" s="848"/>
      <c r="U1" s="847"/>
      <c r="V1" s="847"/>
      <c r="W1" s="108"/>
      <c r="X1" s="353"/>
      <c r="Y1" s="150"/>
      <c r="Z1" s="151"/>
      <c r="AA1" s="152"/>
      <c r="AB1" s="109"/>
      <c r="AC1" s="421" t="s">
        <v>1112</v>
      </c>
      <c r="AD1" s="422">
        <f>+AD7</f>
        <v>59656000</v>
      </c>
      <c r="AE1" s="681"/>
      <c r="AF1" s="353"/>
      <c r="AG1" s="422">
        <f>+AG7</f>
        <v>59352000</v>
      </c>
      <c r="AH1" s="422">
        <f>+AH7</f>
        <v>0</v>
      </c>
      <c r="AI1" s="422">
        <f>SUM(AG1:AH1)</f>
        <v>59352000</v>
      </c>
      <c r="AJ1" s="353"/>
      <c r="AK1" s="965"/>
      <c r="AL1" s="965"/>
      <c r="AM1" s="966"/>
      <c r="AN1" s="967"/>
      <c r="AO1" s="968"/>
      <c r="AP1" s="968"/>
      <c r="AQ1" s="108"/>
      <c r="AR1" s="108"/>
      <c r="AS1" s="108"/>
      <c r="AT1" s="108"/>
      <c r="AU1" s="108"/>
      <c r="AV1" s="108"/>
      <c r="AW1" s="108"/>
      <c r="AX1" s="108"/>
      <c r="AY1" s="108"/>
      <c r="AZ1" s="108"/>
    </row>
    <row r="2" spans="1:52" ht="14.25" customHeight="1" outlineLevel="1">
      <c r="B2" s="109"/>
      <c r="C2" s="109"/>
      <c r="D2" s="541"/>
      <c r="E2" s="541"/>
      <c r="F2" s="127"/>
      <c r="H2" s="156"/>
      <c r="I2" s="152"/>
      <c r="J2" s="157"/>
      <c r="K2" s="157"/>
      <c r="L2" s="157"/>
      <c r="M2" s="157"/>
      <c r="N2" s="157"/>
      <c r="O2" s="157"/>
      <c r="P2" s="157"/>
      <c r="R2" s="847"/>
      <c r="S2" s="847"/>
      <c r="T2" s="848"/>
      <c r="U2" s="847"/>
      <c r="V2" s="847"/>
      <c r="W2" s="108"/>
      <c r="Y2" s="127"/>
      <c r="Z2" s="151"/>
      <c r="AA2" s="152"/>
      <c r="AB2" s="109"/>
      <c r="AC2" s="153" t="s">
        <v>1114</v>
      </c>
      <c r="AD2" s="154">
        <v>60000000</v>
      </c>
      <c r="AE2" s="682"/>
      <c r="AG2" s="154">
        <v>60000000</v>
      </c>
      <c r="AH2" s="154">
        <v>0</v>
      </c>
      <c r="AI2" s="155">
        <f>SUM(AG2:AH2)</f>
        <v>60000000</v>
      </c>
      <c r="AK2" s="965"/>
      <c r="AL2" s="965"/>
      <c r="AM2" s="966"/>
      <c r="AN2" s="967"/>
      <c r="AO2" s="968"/>
      <c r="AP2" s="968"/>
      <c r="AQ2" s="108"/>
      <c r="AR2" s="108"/>
      <c r="AS2" s="108"/>
      <c r="AT2" s="108"/>
      <c r="AU2" s="108"/>
      <c r="AV2" s="108"/>
      <c r="AW2" s="108"/>
      <c r="AX2" s="108"/>
      <c r="AY2" s="108"/>
      <c r="AZ2" s="108"/>
    </row>
    <row r="3" spans="1:52" ht="14.5" customHeight="1" outlineLevel="1">
      <c r="B3" s="109"/>
      <c r="C3" s="109"/>
      <c r="D3" s="541"/>
      <c r="E3" s="541"/>
      <c r="F3" s="127"/>
      <c r="H3" s="156"/>
      <c r="I3" s="152"/>
      <c r="J3" s="157"/>
      <c r="K3" s="157"/>
      <c r="L3" s="157"/>
      <c r="M3" s="157"/>
      <c r="N3" s="157"/>
      <c r="O3" s="157"/>
      <c r="P3" s="157"/>
      <c r="R3" s="847"/>
      <c r="S3" s="847"/>
      <c r="T3" s="848"/>
      <c r="U3" s="847"/>
      <c r="V3" s="847"/>
      <c r="W3" s="108"/>
      <c r="Y3" s="127"/>
      <c r="Z3" s="152" t="s">
        <v>1116</v>
      </c>
      <c r="AA3" s="158">
        <v>1</v>
      </c>
      <c r="AB3" s="109"/>
      <c r="AC3" s="423" t="s">
        <v>586</v>
      </c>
      <c r="AD3" s="424">
        <f>+AD2-AD1</f>
        <v>344000</v>
      </c>
      <c r="AE3" s="683"/>
      <c r="AG3" s="424">
        <f>+AG2-AG1</f>
        <v>648000</v>
      </c>
      <c r="AH3" s="424">
        <f>+AH2-AH1</f>
        <v>0</v>
      </c>
      <c r="AI3" s="424">
        <f>SUM(AG3:AH3)</f>
        <v>648000</v>
      </c>
      <c r="AK3" s="966"/>
      <c r="AL3" s="966"/>
      <c r="AM3" s="969"/>
      <c r="AN3" s="967"/>
      <c r="AO3" s="970"/>
      <c r="AP3" s="970"/>
      <c r="AQ3" s="108"/>
      <c r="AR3" s="108"/>
      <c r="AS3" s="108"/>
      <c r="AT3" s="108"/>
      <c r="AU3" s="108"/>
      <c r="AV3" s="108"/>
      <c r="AW3" s="108"/>
      <c r="AX3" s="108"/>
      <c r="AY3" s="108"/>
      <c r="AZ3" s="108"/>
    </row>
    <row r="4" spans="1:52" s="877" customFormat="1" ht="25.25" customHeight="1">
      <c r="A4" s="152"/>
      <c r="B4" s="4169" t="s">
        <v>1118</v>
      </c>
      <c r="C4" s="4169"/>
      <c r="D4" s="4169"/>
      <c r="E4" s="4169"/>
      <c r="F4" s="4169"/>
      <c r="G4" s="93"/>
      <c r="H4" s="4689" t="s">
        <v>1119</v>
      </c>
      <c r="I4" s="4689"/>
      <c r="J4" s="4689"/>
      <c r="K4" s="4689"/>
      <c r="L4" s="4689"/>
      <c r="M4" s="4689"/>
      <c r="N4" s="4689"/>
      <c r="O4" s="4689"/>
      <c r="P4" s="4689"/>
      <c r="Q4" s="93"/>
      <c r="R4" s="4690" t="s">
        <v>1120</v>
      </c>
      <c r="S4" s="4690"/>
      <c r="T4" s="4690"/>
      <c r="U4" s="4690"/>
      <c r="V4" s="4690"/>
      <c r="W4" s="4690"/>
      <c r="X4" s="93"/>
      <c r="Y4" s="4685" t="s">
        <v>1121</v>
      </c>
      <c r="Z4" s="4685"/>
      <c r="AA4" s="4685"/>
      <c r="AB4" s="4685"/>
      <c r="AC4" s="4685"/>
      <c r="AD4" s="4685"/>
      <c r="AE4" s="4685"/>
      <c r="AF4" s="93"/>
      <c r="AG4" s="4686" t="s">
        <v>1122</v>
      </c>
      <c r="AH4" s="4686"/>
      <c r="AI4" s="4686"/>
      <c r="AJ4" s="862"/>
      <c r="AK4" s="4687" t="s">
        <v>3325</v>
      </c>
      <c r="AL4" s="4687"/>
      <c r="AM4" s="4687"/>
      <c r="AN4" s="4687"/>
      <c r="AO4" s="4687"/>
      <c r="AP4" s="4688"/>
    </row>
    <row r="5" spans="1:52" ht="23" customHeight="1">
      <c r="A5" s="4167" t="s">
        <v>1125</v>
      </c>
      <c r="B5" s="4167" t="s">
        <v>484</v>
      </c>
      <c r="C5" s="3957" t="s">
        <v>1129</v>
      </c>
      <c r="D5" s="4168" t="s">
        <v>609</v>
      </c>
      <c r="E5" s="3960" t="s">
        <v>1130</v>
      </c>
      <c r="F5" s="3957" t="s">
        <v>1131</v>
      </c>
      <c r="G5" s="94"/>
      <c r="H5" s="4691" t="s">
        <v>1089</v>
      </c>
      <c r="I5" s="4691" t="s">
        <v>186</v>
      </c>
      <c r="J5" s="3956" t="s">
        <v>1132</v>
      </c>
      <c r="K5" s="3956" t="s">
        <v>1076</v>
      </c>
      <c r="L5" s="3956" t="s">
        <v>1077</v>
      </c>
      <c r="M5" s="3956" t="s">
        <v>1078</v>
      </c>
      <c r="N5" s="3956" t="s">
        <v>1079</v>
      </c>
      <c r="O5" s="3956" t="s">
        <v>1080</v>
      </c>
      <c r="P5" s="3956" t="s">
        <v>193</v>
      </c>
      <c r="Q5" s="94"/>
      <c r="R5" s="3817" t="s">
        <v>1135</v>
      </c>
      <c r="S5" s="3817" t="s">
        <v>1136</v>
      </c>
      <c r="T5" s="3817" t="s">
        <v>1137</v>
      </c>
      <c r="U5" s="3799" t="s">
        <v>1138</v>
      </c>
      <c r="V5" s="3799" t="s">
        <v>1139</v>
      </c>
      <c r="W5" s="3955" t="s">
        <v>1140</v>
      </c>
      <c r="X5" s="94"/>
      <c r="Y5" s="3955" t="s">
        <v>1089</v>
      </c>
      <c r="Z5" s="3955" t="s">
        <v>1141</v>
      </c>
      <c r="AA5" s="3955" t="s">
        <v>1142</v>
      </c>
      <c r="AB5" s="3955" t="s">
        <v>1143</v>
      </c>
      <c r="AC5" s="3955" t="s">
        <v>1144</v>
      </c>
      <c r="AD5" s="3955" t="s">
        <v>1145</v>
      </c>
      <c r="AE5" s="3955" t="s">
        <v>1146</v>
      </c>
      <c r="AF5" s="94"/>
      <c r="AG5" s="3955" t="s">
        <v>1075</v>
      </c>
      <c r="AH5" s="3955" t="s">
        <v>1147</v>
      </c>
      <c r="AI5" s="3955" t="s">
        <v>487</v>
      </c>
      <c r="AJ5" s="863"/>
      <c r="AK5" s="3926" t="s">
        <v>1076</v>
      </c>
      <c r="AL5" s="3926" t="s">
        <v>1077</v>
      </c>
      <c r="AM5" s="3926" t="s">
        <v>1078</v>
      </c>
      <c r="AN5" s="3926" t="s">
        <v>1079</v>
      </c>
      <c r="AO5" s="3926" t="s">
        <v>1080</v>
      </c>
      <c r="AP5" s="3926" t="s">
        <v>487</v>
      </c>
      <c r="AQ5" s="108"/>
      <c r="AR5" s="108"/>
      <c r="AS5" s="108"/>
      <c r="AT5" s="108"/>
      <c r="AU5" s="108"/>
      <c r="AV5" s="108"/>
      <c r="AW5" s="108"/>
      <c r="AX5" s="108"/>
      <c r="AY5" s="108"/>
      <c r="AZ5" s="108"/>
    </row>
    <row r="6" spans="1:52" ht="5" customHeight="1">
      <c r="A6" s="4167"/>
      <c r="B6" s="4167"/>
      <c r="C6" s="3958"/>
      <c r="D6" s="4168"/>
      <c r="E6" s="3958"/>
      <c r="F6" s="3959"/>
      <c r="G6" s="94"/>
      <c r="H6" s="4691"/>
      <c r="I6" s="4691"/>
      <c r="J6" s="3956"/>
      <c r="K6" s="3956"/>
      <c r="L6" s="3956"/>
      <c r="M6" s="3956"/>
      <c r="N6" s="3956"/>
      <c r="O6" s="3956"/>
      <c r="P6" s="3956"/>
      <c r="Q6" s="94"/>
      <c r="R6" s="3817"/>
      <c r="S6" s="3817"/>
      <c r="T6" s="3817"/>
      <c r="U6" s="3799"/>
      <c r="V6" s="3801"/>
      <c r="W6" s="3955"/>
      <c r="X6" s="94"/>
      <c r="Y6" s="3955"/>
      <c r="Z6" s="3955"/>
      <c r="AA6" s="3955"/>
      <c r="AB6" s="3955"/>
      <c r="AC6" s="3955"/>
      <c r="AD6" s="3955"/>
      <c r="AE6" s="3955"/>
      <c r="AF6" s="94"/>
      <c r="AG6" s="3955"/>
      <c r="AH6" s="3955"/>
      <c r="AI6" s="3955"/>
      <c r="AJ6" s="863"/>
      <c r="AK6" s="3926"/>
      <c r="AL6" s="3926"/>
      <c r="AM6" s="3926"/>
      <c r="AN6" s="3926"/>
      <c r="AO6" s="3926"/>
      <c r="AP6" s="3926"/>
      <c r="AQ6" s="108"/>
      <c r="AR6" s="108"/>
      <c r="AS6" s="108"/>
      <c r="AT6" s="108"/>
      <c r="AU6" s="108"/>
      <c r="AV6" s="108"/>
      <c r="AW6" s="108"/>
      <c r="AX6" s="108"/>
      <c r="AY6" s="108"/>
      <c r="AZ6" s="108"/>
    </row>
    <row r="7" spans="1:52" ht="30">
      <c r="A7" s="576"/>
      <c r="B7" s="65"/>
      <c r="C7" s="65"/>
      <c r="D7" s="542" t="s">
        <v>64</v>
      </c>
      <c r="E7" s="542"/>
      <c r="F7" s="163"/>
      <c r="G7" s="95"/>
      <c r="H7" s="161"/>
      <c r="I7" s="160"/>
      <c r="J7" s="162"/>
      <c r="K7" s="162"/>
      <c r="L7" s="162"/>
      <c r="M7" s="162"/>
      <c r="N7" s="162"/>
      <c r="O7" s="162"/>
      <c r="P7" s="162"/>
      <c r="Q7" s="95"/>
      <c r="R7" s="849"/>
      <c r="S7" s="849"/>
      <c r="T7" s="849"/>
      <c r="U7" s="849"/>
      <c r="V7" s="849"/>
      <c r="W7" s="164"/>
      <c r="X7" s="95"/>
      <c r="Y7" s="163"/>
      <c r="Z7" s="160"/>
      <c r="AA7" s="160"/>
      <c r="AB7" s="165"/>
      <c r="AC7" s="66">
        <f>+AC8+AC174+AC304+AC400</f>
        <v>0</v>
      </c>
      <c r="AD7" s="66">
        <f>+AD8+AD174+AD304+AD400+AD438+AD439</f>
        <v>59656000</v>
      </c>
      <c r="AE7" s="1106">
        <f>60000000-AD7</f>
        <v>344000</v>
      </c>
      <c r="AF7" s="95"/>
      <c r="AG7" s="66">
        <f>+AG8+AG174+AG304+AG400+AG438+AG439</f>
        <v>59352000</v>
      </c>
      <c r="AH7" s="66">
        <f>+AH8+AH174+AH304+AH400+AH438+AH439</f>
        <v>0</v>
      </c>
      <c r="AI7" s="66">
        <f>+AI8+AI174+AI304+AI400+AI438+AI439</f>
        <v>59259500</v>
      </c>
      <c r="AJ7" s="864"/>
      <c r="AK7" s="971">
        <f>+AK8+AK174+AK304+AK400+AK438+AK439</f>
        <v>2800550</v>
      </c>
      <c r="AL7" s="971">
        <f>+AL8+AL174+AL304+AL400+AL438+AL439</f>
        <v>10171550</v>
      </c>
      <c r="AM7" s="971">
        <f>+AM8+AM174+AM304+AM400+AM438+AM439</f>
        <v>11295800</v>
      </c>
      <c r="AN7" s="972">
        <f>+AN8+AN174+AN304+AN400+AN438+AN439</f>
        <v>10451800</v>
      </c>
      <c r="AO7" s="971">
        <f>+AO8+AO174+AO304+AO400+AO438+AO439</f>
        <v>7705800</v>
      </c>
      <c r="AP7" s="971">
        <f>SUM(AK7:AO7)</f>
        <v>42425500</v>
      </c>
      <c r="AQ7" s="108"/>
      <c r="AR7" s="1027"/>
      <c r="AS7" s="108"/>
      <c r="AT7" s="108"/>
      <c r="AU7" s="108"/>
      <c r="AV7" s="108"/>
      <c r="AW7" s="108"/>
      <c r="AX7" s="108"/>
      <c r="AY7" s="108"/>
      <c r="AZ7" s="108"/>
    </row>
    <row r="8" spans="1:52" s="878" customFormat="1" ht="25.25" customHeight="1">
      <c r="A8" s="577"/>
      <c r="B8" s="67" t="s">
        <v>494</v>
      </c>
      <c r="C8" s="67"/>
      <c r="D8" s="543" t="s">
        <v>495</v>
      </c>
      <c r="E8" s="543" t="s">
        <v>4</v>
      </c>
      <c r="F8" s="68"/>
      <c r="G8" s="95"/>
      <c r="H8" s="167"/>
      <c r="I8" s="166"/>
      <c r="J8" s="168"/>
      <c r="K8" s="168"/>
      <c r="L8" s="168"/>
      <c r="M8" s="168"/>
      <c r="N8" s="168"/>
      <c r="O8" s="168"/>
      <c r="P8" s="168"/>
      <c r="Q8" s="95"/>
      <c r="R8" s="370"/>
      <c r="S8" s="370"/>
      <c r="T8" s="370"/>
      <c r="U8" s="370"/>
      <c r="V8" s="370"/>
      <c r="W8" s="169"/>
      <c r="X8" s="95"/>
      <c r="Y8" s="68"/>
      <c r="Z8" s="166"/>
      <c r="AA8" s="166"/>
      <c r="AB8" s="170"/>
      <c r="AC8" s="69"/>
      <c r="AD8" s="69">
        <f>AD9+AD47+AD105+AD139</f>
        <v>36867000</v>
      </c>
      <c r="AE8" s="69">
        <f>28000000-AD8</f>
        <v>-8867000</v>
      </c>
      <c r="AF8" s="95"/>
      <c r="AG8" s="69">
        <f>AG9+AG47+AG105+AG139</f>
        <v>36867000</v>
      </c>
      <c r="AH8" s="69">
        <f>AH9+AH47+AH105+AH139</f>
        <v>0</v>
      </c>
      <c r="AI8" s="69">
        <f>AI9+AI47+AI105+AI139</f>
        <v>36807000</v>
      </c>
      <c r="AJ8" s="864"/>
      <c r="AK8" s="974">
        <f>AK9+AK47+AK105+AK139</f>
        <v>615000</v>
      </c>
      <c r="AL8" s="974">
        <f>AL9+AL47+AL105+AL139</f>
        <v>4326000</v>
      </c>
      <c r="AM8" s="974">
        <f>AM9+AM47+AM105+AM139</f>
        <v>6908000</v>
      </c>
      <c r="AN8" s="975">
        <f>AN9+AN47+AN105+AN139</f>
        <v>7520000</v>
      </c>
      <c r="AO8" s="973">
        <f>AO9+AO47+AO105+AO139</f>
        <v>4011000</v>
      </c>
      <c r="AP8" s="973">
        <f t="shared" ref="AP8:AP64" si="0">SUM(AK8:AO8)</f>
        <v>23380000</v>
      </c>
      <c r="AQ8" s="153"/>
      <c r="AR8" s="1027"/>
      <c r="AS8" s="153"/>
      <c r="AT8" s="153"/>
      <c r="AU8" s="153"/>
      <c r="AV8" s="153"/>
      <c r="AW8" s="153"/>
      <c r="AX8" s="153"/>
      <c r="AY8" s="153"/>
      <c r="AZ8" s="153"/>
    </row>
    <row r="9" spans="1:52" s="153" customFormat="1" ht="24" customHeight="1" outlineLevel="1">
      <c r="A9" s="578"/>
      <c r="B9" s="428" t="s">
        <v>496</v>
      </c>
      <c r="C9" s="428"/>
      <c r="D9" s="539" t="s">
        <v>11</v>
      </c>
      <c r="E9" s="539" t="s">
        <v>4</v>
      </c>
      <c r="F9" s="427"/>
      <c r="G9" s="96"/>
      <c r="H9" s="429"/>
      <c r="I9" s="425"/>
      <c r="J9" s="430"/>
      <c r="K9" s="430"/>
      <c r="L9" s="430"/>
      <c r="M9" s="430"/>
      <c r="N9" s="430"/>
      <c r="O9" s="430"/>
      <c r="P9" s="430"/>
      <c r="Q9" s="96"/>
      <c r="R9" s="850"/>
      <c r="S9" s="850"/>
      <c r="T9" s="850"/>
      <c r="U9" s="850"/>
      <c r="V9" s="850"/>
      <c r="W9" s="431"/>
      <c r="X9" s="96"/>
      <c r="Y9" s="426"/>
      <c r="Z9" s="425"/>
      <c r="AA9" s="425"/>
      <c r="AB9" s="432"/>
      <c r="AC9" s="433"/>
      <c r="AD9" s="433">
        <f>+AD10+AD28+AD41+AD35+AD44</f>
        <v>6997000</v>
      </c>
      <c r="AE9" s="685"/>
      <c r="AF9" s="96"/>
      <c r="AG9" s="433">
        <f>+AG10+AG28+AG41+AG35+AG44</f>
        <v>6997000</v>
      </c>
      <c r="AH9" s="433">
        <f>+AH10+AH28+AH41+AH35+AH44</f>
        <v>0</v>
      </c>
      <c r="AI9" s="433">
        <f>+AI10+AI28+AI41+AI35+AI44</f>
        <v>6997000</v>
      </c>
      <c r="AJ9" s="865"/>
      <c r="AK9" s="977"/>
      <c r="AL9" s="977"/>
      <c r="AM9" s="977"/>
      <c r="AN9" s="978"/>
      <c r="AO9" s="976"/>
      <c r="AP9" s="976">
        <f t="shared" si="0"/>
        <v>0</v>
      </c>
      <c r="AR9" s="1027"/>
    </row>
    <row r="10" spans="1:52" s="153" customFormat="1" ht="45" hidden="1" outlineLevel="2">
      <c r="A10" s="172"/>
      <c r="B10" s="171" t="s">
        <v>499</v>
      </c>
      <c r="C10" s="171"/>
      <c r="D10" s="538" t="s">
        <v>195</v>
      </c>
      <c r="E10" s="538" t="s">
        <v>4</v>
      </c>
      <c r="F10" s="106" t="s">
        <v>1176</v>
      </c>
      <c r="G10" s="96"/>
      <c r="H10" s="357" t="str">
        <f>+'1_MdR_Limpia'!C27</f>
        <v>Informe</v>
      </c>
      <c r="I10" s="357">
        <f>+'1_MdR_Limpia'!D27</f>
        <v>0</v>
      </c>
      <c r="J10" s="357">
        <f>+'1_MdR_Limpia'!E27</f>
        <v>2021</v>
      </c>
      <c r="K10" s="357" t="str">
        <f>+'1_MdR_Limpia'!G27</f>
        <v>-</v>
      </c>
      <c r="L10" s="357" t="str">
        <f>+'1_MdR_Limpia'!H27</f>
        <v>-</v>
      </c>
      <c r="M10" s="357">
        <f>+'1_MdR_Limpia'!I27</f>
        <v>1</v>
      </c>
      <c r="N10" s="357">
        <f>+'1_MdR_Limpia'!J27</f>
        <v>1</v>
      </c>
      <c r="O10" s="357">
        <f>+'1_MdR_Limpia'!K27</f>
        <v>1</v>
      </c>
      <c r="P10" s="357">
        <f>+'1_MdR_Limpia'!L27</f>
        <v>3</v>
      </c>
      <c r="Q10" s="96"/>
      <c r="R10" s="358"/>
      <c r="S10" s="358"/>
      <c r="T10" s="358"/>
      <c r="U10" s="358"/>
      <c r="V10" s="358"/>
      <c r="W10" s="174"/>
      <c r="X10" s="96"/>
      <c r="Y10" s="106"/>
      <c r="Z10" s="172"/>
      <c r="AA10" s="172"/>
      <c r="AB10" s="171"/>
      <c r="AC10" s="176"/>
      <c r="AD10" s="176">
        <f>+AD11+AD16+AD17+AD18+AD19+AD23</f>
        <v>3450000</v>
      </c>
      <c r="AE10" s="686"/>
      <c r="AF10" s="96"/>
      <c r="AG10" s="176">
        <f>+AG11+AG16+AG17+AG18+AG19+AG23</f>
        <v>3450000</v>
      </c>
      <c r="AH10" s="176">
        <f>+AH11+AH16+AH17+AH18+AH19+AH23</f>
        <v>0</v>
      </c>
      <c r="AI10" s="176">
        <f>+AI11+AI16+AI17+AI18+AI19+AI23</f>
        <v>3450000</v>
      </c>
      <c r="AJ10" s="865"/>
      <c r="AK10" s="176">
        <f>+AK11+AK16+AK17+AK18+AK19+AK23</f>
        <v>10320000</v>
      </c>
      <c r="AL10" s="176">
        <f>+AL11+AL16+AL17+AL18+AL19+AL23</f>
        <v>11021500</v>
      </c>
      <c r="AM10" s="176">
        <f>+AM11+AM16+AM17+AM18+AM19+AM23</f>
        <v>13397500</v>
      </c>
      <c r="AN10" s="176">
        <f>+AN11+AN16+AN17+AN18+AN19+AN23</f>
        <v>13835000</v>
      </c>
      <c r="AO10" s="176">
        <f>+AO11+AO16+AO17+AO18+AO19+AO23</f>
        <v>12960000</v>
      </c>
      <c r="AP10" s="979">
        <f t="shared" si="0"/>
        <v>61534000</v>
      </c>
      <c r="AR10" s="1027"/>
    </row>
    <row r="11" spans="1:52" s="153" customFormat="1" ht="27.5" hidden="1" customHeight="1" outlineLevel="3">
      <c r="A11" s="397"/>
      <c r="B11" s="395" t="s">
        <v>497</v>
      </c>
      <c r="C11" s="395"/>
      <c r="D11" s="1249" t="s">
        <v>498</v>
      </c>
      <c r="E11" s="1249" t="s">
        <v>4</v>
      </c>
      <c r="F11" s="1250" t="s">
        <v>1177</v>
      </c>
      <c r="G11" s="96"/>
      <c r="H11" s="401" t="e">
        <f>+'1_MdR_Limpia'!#REF!</f>
        <v>#REF!</v>
      </c>
      <c r="I11" s="401" t="e">
        <f>+'1_MdR_Limpia'!#REF!</f>
        <v>#REF!</v>
      </c>
      <c r="J11" s="401" t="e">
        <f>+'1_MdR_Limpia'!#REF!</f>
        <v>#REF!</v>
      </c>
      <c r="K11" s="401" t="e">
        <f>+'1_MdR_Limpia'!#REF!</f>
        <v>#REF!</v>
      </c>
      <c r="L11" s="401" t="e">
        <f>+'1_MdR_Limpia'!#REF!</f>
        <v>#REF!</v>
      </c>
      <c r="M11" s="401" t="e">
        <f>+'1_MdR_Limpia'!#REF!</f>
        <v>#REF!</v>
      </c>
      <c r="N11" s="401" t="e">
        <f>+'1_MdR_Limpia'!#REF!</f>
        <v>#REF!</v>
      </c>
      <c r="O11" s="401" t="e">
        <f>+'1_MdR_Limpia'!#REF!</f>
        <v>#REF!</v>
      </c>
      <c r="P11" s="401" t="e">
        <f>+'1_MdR_Limpia'!#REF!</f>
        <v>#REF!</v>
      </c>
      <c r="Q11" s="96"/>
      <c r="R11" s="851"/>
      <c r="S11" s="851"/>
      <c r="T11" s="851"/>
      <c r="U11" s="851"/>
      <c r="V11" s="851"/>
      <c r="W11" s="1250"/>
      <c r="X11" s="96"/>
      <c r="Y11" s="1254"/>
      <c r="Z11" s="1255"/>
      <c r="AA11" s="1255"/>
      <c r="AB11" s="1256"/>
      <c r="AC11" s="1257"/>
      <c r="AD11" s="1257">
        <f>SUM(AD12:AD15)</f>
        <v>860000</v>
      </c>
      <c r="AE11" s="691"/>
      <c r="AF11" s="96"/>
      <c r="AG11" s="398">
        <f>SUM(AG12:AG15)</f>
        <v>860000</v>
      </c>
      <c r="AH11" s="398">
        <f>SUM(AH12:AH15)</f>
        <v>0</v>
      </c>
      <c r="AI11" s="398">
        <f>SUM(AI12:AI15)</f>
        <v>860000</v>
      </c>
      <c r="AJ11" s="865"/>
      <c r="AK11" s="992">
        <f>SUM(AK12:AK15)</f>
        <v>10320000</v>
      </c>
      <c r="AL11" s="992">
        <f>SUM(AL12:AL15)</f>
        <v>10320000</v>
      </c>
      <c r="AM11" s="992">
        <f>SUM(AM12:AM15)</f>
        <v>0</v>
      </c>
      <c r="AN11" s="993">
        <f>SUM(AN12:AN15)</f>
        <v>0</v>
      </c>
      <c r="AO11" s="994">
        <f>SUM(AO12:AO15)</f>
        <v>0</v>
      </c>
      <c r="AP11" s="994">
        <f>SUM(AK11:AO11)</f>
        <v>20640000</v>
      </c>
      <c r="AR11" s="968"/>
    </row>
    <row r="12" spans="1:52" s="108" customFormat="1" ht="33" hidden="1" customHeight="1" outlineLevel="4">
      <c r="A12" s="580"/>
      <c r="B12" s="107" t="s">
        <v>616</v>
      </c>
      <c r="C12" s="107" t="s">
        <v>1279</v>
      </c>
      <c r="D12" s="703" t="s">
        <v>617</v>
      </c>
      <c r="E12" s="703"/>
      <c r="F12" s="103"/>
      <c r="G12" s="97"/>
      <c r="H12" s="366"/>
      <c r="I12" s="366"/>
      <c r="J12" s="366"/>
      <c r="K12" s="366"/>
      <c r="L12" s="366"/>
      <c r="M12" s="366"/>
      <c r="N12" s="366"/>
      <c r="O12" s="366"/>
      <c r="P12" s="366"/>
      <c r="Q12" s="97"/>
      <c r="R12" s="3897" t="s">
        <v>3326</v>
      </c>
      <c r="S12" s="364" t="s">
        <v>1075</v>
      </c>
      <c r="T12" s="364"/>
      <c r="U12" s="364"/>
      <c r="V12" s="3897"/>
      <c r="W12" s="3990" t="s">
        <v>3327</v>
      </c>
      <c r="X12" s="867"/>
      <c r="Y12" s="4681" t="s">
        <v>1179</v>
      </c>
      <c r="Z12" s="4682">
        <v>1</v>
      </c>
      <c r="AA12" s="4683"/>
      <c r="AB12" s="4683"/>
      <c r="AC12" s="4684">
        <v>860000</v>
      </c>
      <c r="AD12" s="4684">
        <f>+AC12*Z12</f>
        <v>860000</v>
      </c>
      <c r="AE12" s="4680" t="s">
        <v>3328</v>
      </c>
      <c r="AF12" s="97"/>
      <c r="AG12" s="502">
        <f t="shared" ref="AG12:AG17" si="1">+AD12</f>
        <v>860000</v>
      </c>
      <c r="AH12" s="1032">
        <v>0</v>
      </c>
      <c r="AI12" s="503">
        <f>+AG12+AH12</f>
        <v>860000</v>
      </c>
      <c r="AJ12" s="867"/>
      <c r="AK12" s="728">
        <f>+$AC$12*12</f>
        <v>10320000</v>
      </c>
      <c r="AL12" s="728">
        <f>+$AC$12*12</f>
        <v>10320000</v>
      </c>
      <c r="AM12" s="986"/>
      <c r="AN12" s="987"/>
      <c r="AO12" s="1038"/>
      <c r="AP12" s="1038">
        <f>SUM(AK12:AO12)</f>
        <v>20640000</v>
      </c>
      <c r="AR12" s="1027"/>
    </row>
    <row r="13" spans="1:52" s="108" customFormat="1" ht="33" hidden="1" customHeight="1" outlineLevel="4">
      <c r="A13" s="580"/>
      <c r="B13" s="107" t="s">
        <v>618</v>
      </c>
      <c r="C13" s="107" t="s">
        <v>1279</v>
      </c>
      <c r="D13" s="703" t="s">
        <v>619</v>
      </c>
      <c r="E13" s="703"/>
      <c r="F13" s="103"/>
      <c r="G13" s="97"/>
      <c r="H13" s="366"/>
      <c r="I13" s="366"/>
      <c r="J13" s="366"/>
      <c r="K13" s="366"/>
      <c r="L13" s="366"/>
      <c r="M13" s="366"/>
      <c r="N13" s="366"/>
      <c r="O13" s="366"/>
      <c r="P13" s="366"/>
      <c r="Q13" s="97"/>
      <c r="R13" s="3898"/>
      <c r="S13" s="364" t="s">
        <v>1075</v>
      </c>
      <c r="T13" s="364"/>
      <c r="U13" s="364"/>
      <c r="V13" s="3898"/>
      <c r="W13" s="3991"/>
      <c r="X13" s="867"/>
      <c r="Y13" s="4681"/>
      <c r="Z13" s="4682"/>
      <c r="AA13" s="4683"/>
      <c r="AB13" s="4683"/>
      <c r="AC13" s="4684"/>
      <c r="AD13" s="4684"/>
      <c r="AE13" s="4680"/>
      <c r="AF13" s="97"/>
      <c r="AG13" s="502">
        <f t="shared" si="1"/>
        <v>0</v>
      </c>
      <c r="AH13" s="1032">
        <v>0</v>
      </c>
      <c r="AI13" s="503">
        <f>+AG13+AH13</f>
        <v>0</v>
      </c>
      <c r="AJ13" s="867"/>
      <c r="AK13" s="728">
        <f>+$AC$13*12</f>
        <v>0</v>
      </c>
      <c r="AL13" s="728">
        <f>+$AC$13*12</f>
        <v>0</v>
      </c>
      <c r="AM13" s="986"/>
      <c r="AN13" s="987"/>
      <c r="AO13" s="1038"/>
      <c r="AP13" s="1038">
        <f>SUM(AK13:AO13)</f>
        <v>0</v>
      </c>
      <c r="AR13" s="1027"/>
    </row>
    <row r="14" spans="1:52" s="108" customFormat="1" ht="31.25" hidden="1" customHeight="1" outlineLevel="4">
      <c r="A14" s="580"/>
      <c r="B14" s="107" t="s">
        <v>620</v>
      </c>
      <c r="C14" s="107" t="s">
        <v>1279</v>
      </c>
      <c r="D14" s="703" t="s">
        <v>621</v>
      </c>
      <c r="E14" s="703"/>
      <c r="F14" s="103"/>
      <c r="G14" s="97"/>
      <c r="H14" s="366"/>
      <c r="I14" s="366"/>
      <c r="J14" s="366"/>
      <c r="K14" s="366"/>
      <c r="L14" s="366"/>
      <c r="M14" s="366"/>
      <c r="N14" s="366"/>
      <c r="O14" s="366"/>
      <c r="P14" s="366"/>
      <c r="Q14" s="97"/>
      <c r="R14" s="364" t="s">
        <v>763</v>
      </c>
      <c r="S14" s="364" t="s">
        <v>1075</v>
      </c>
      <c r="T14" s="364" t="s">
        <v>1187</v>
      </c>
      <c r="U14" s="852"/>
      <c r="V14" s="3898"/>
      <c r="W14" s="3991"/>
      <c r="X14" s="97"/>
      <c r="Y14" s="1309"/>
      <c r="Z14" s="1311"/>
      <c r="AA14" s="1315"/>
      <c r="AB14" s="1315"/>
      <c r="AC14" s="1313"/>
      <c r="AD14" s="1313"/>
      <c r="AE14" s="4675"/>
      <c r="AF14" s="97"/>
      <c r="AG14" s="502">
        <f t="shared" si="1"/>
        <v>0</v>
      </c>
      <c r="AH14" s="1032">
        <v>0</v>
      </c>
      <c r="AI14" s="503">
        <f>+AG14+AH14</f>
        <v>0</v>
      </c>
      <c r="AJ14" s="867"/>
      <c r="AK14" s="728">
        <f>+$AC$14*12*2</f>
        <v>0</v>
      </c>
      <c r="AL14" s="728">
        <f>+$AC$14*12*2</f>
        <v>0</v>
      </c>
      <c r="AM14" s="988"/>
      <c r="AN14" s="989"/>
      <c r="AO14" s="1040"/>
      <c r="AP14" s="1038">
        <f>SUM(AK14:AO14)</f>
        <v>0</v>
      </c>
      <c r="AR14" s="1027"/>
    </row>
    <row r="15" spans="1:52" s="108" customFormat="1" ht="32" hidden="1" customHeight="1" outlineLevel="4">
      <c r="A15" s="580"/>
      <c r="B15" s="107" t="s">
        <v>622</v>
      </c>
      <c r="C15" s="107" t="s">
        <v>1279</v>
      </c>
      <c r="D15" s="533" t="s">
        <v>623</v>
      </c>
      <c r="E15" s="533"/>
      <c r="F15" s="103"/>
      <c r="G15" s="97"/>
      <c r="H15" s="366"/>
      <c r="I15" s="366"/>
      <c r="J15" s="366"/>
      <c r="K15" s="366"/>
      <c r="L15" s="366"/>
      <c r="M15" s="366"/>
      <c r="N15" s="366"/>
      <c r="O15" s="366"/>
      <c r="P15" s="366"/>
      <c r="Q15" s="97"/>
      <c r="R15" s="852" t="s">
        <v>763</v>
      </c>
      <c r="S15" s="364" t="s">
        <v>1075</v>
      </c>
      <c r="T15" s="852" t="s">
        <v>1187</v>
      </c>
      <c r="U15" s="852"/>
      <c r="V15" s="3899"/>
      <c r="W15" s="4603"/>
      <c r="X15" s="97"/>
      <c r="Y15" s="1310"/>
      <c r="Z15" s="1312"/>
      <c r="AA15" s="1316"/>
      <c r="AB15" s="1316"/>
      <c r="AC15" s="1314"/>
      <c r="AD15" s="1314"/>
      <c r="AE15" s="530"/>
      <c r="AF15" s="97"/>
      <c r="AG15" s="724">
        <f t="shared" si="1"/>
        <v>0</v>
      </c>
      <c r="AH15" s="1039">
        <v>0</v>
      </c>
      <c r="AI15" s="724">
        <f>AG15+AH15</f>
        <v>0</v>
      </c>
      <c r="AJ15" s="867"/>
      <c r="AK15" s="990">
        <f>+AI15*75%</f>
        <v>0</v>
      </c>
      <c r="AL15" s="990">
        <f>+AG15*25%</f>
        <v>0</v>
      </c>
      <c r="AM15" s="990"/>
      <c r="AN15" s="990"/>
      <c r="AO15" s="990"/>
      <c r="AP15" s="990">
        <f>SUM(AK15:AO15)</f>
        <v>0</v>
      </c>
      <c r="AR15" s="1027"/>
    </row>
    <row r="16" spans="1:52" s="879" customFormat="1" ht="59.5" hidden="1" customHeight="1" outlineLevel="3" collapsed="1">
      <c r="A16" s="579" t="s">
        <v>2629</v>
      </c>
      <c r="B16" s="490" t="s">
        <v>624</v>
      </c>
      <c r="C16" s="490" t="s">
        <v>1279</v>
      </c>
      <c r="D16" s="1242" t="s">
        <v>625</v>
      </c>
      <c r="E16" s="537"/>
      <c r="F16" s="491"/>
      <c r="G16" s="492"/>
      <c r="H16" s="493"/>
      <c r="I16" s="493"/>
      <c r="J16" s="493"/>
      <c r="K16" s="493"/>
      <c r="L16" s="493"/>
      <c r="M16" s="493"/>
      <c r="N16" s="493"/>
      <c r="O16" s="493"/>
      <c r="P16" s="493"/>
      <c r="Q16" s="492"/>
      <c r="R16" s="494" t="s">
        <v>763</v>
      </c>
      <c r="S16" s="494"/>
      <c r="T16" s="1244" t="s">
        <v>1187</v>
      </c>
      <c r="U16" s="494"/>
      <c r="V16" s="494"/>
      <c r="W16" s="496" t="s">
        <v>3329</v>
      </c>
      <c r="X16" s="492"/>
      <c r="Y16" s="498"/>
      <c r="Z16" s="499"/>
      <c r="AA16" s="500"/>
      <c r="AB16" s="501"/>
      <c r="AC16" s="502"/>
      <c r="AD16" s="1243">
        <f>+AC16+Z16</f>
        <v>0</v>
      </c>
      <c r="AE16" s="678" t="s">
        <v>3330</v>
      </c>
      <c r="AF16" s="492"/>
      <c r="AG16" s="502">
        <f t="shared" si="1"/>
        <v>0</v>
      </c>
      <c r="AH16" s="502">
        <v>0</v>
      </c>
      <c r="AI16" s="503">
        <f>+AG16+AH16</f>
        <v>0</v>
      </c>
      <c r="AJ16" s="866"/>
      <c r="AK16" s="983"/>
      <c r="AL16" s="983"/>
      <c r="AM16" s="983"/>
      <c r="AN16" s="984"/>
      <c r="AO16" s="985"/>
      <c r="AP16" s="985">
        <f t="shared" si="0"/>
        <v>0</v>
      </c>
      <c r="AR16" s="1027"/>
    </row>
    <row r="17" spans="1:44" s="879" customFormat="1" ht="116" hidden="1" customHeight="1" outlineLevel="3" collapsed="1">
      <c r="A17" s="579" t="s">
        <v>2629</v>
      </c>
      <c r="B17" s="490" t="s">
        <v>626</v>
      </c>
      <c r="C17" s="490" t="s">
        <v>1279</v>
      </c>
      <c r="D17" s="1242" t="s">
        <v>627</v>
      </c>
      <c r="E17" s="537"/>
      <c r="F17" s="491"/>
      <c r="G17" s="492"/>
      <c r="H17" s="493"/>
      <c r="I17" s="493"/>
      <c r="J17" s="493"/>
      <c r="K17" s="493"/>
      <c r="L17" s="493"/>
      <c r="M17" s="493"/>
      <c r="N17" s="493"/>
      <c r="O17" s="493"/>
      <c r="P17" s="493"/>
      <c r="Q17" s="492"/>
      <c r="R17" s="494" t="s">
        <v>763</v>
      </c>
      <c r="S17" s="494"/>
      <c r="T17" s="1244" t="s">
        <v>1187</v>
      </c>
      <c r="U17" s="494"/>
      <c r="V17" s="494" t="s">
        <v>1266</v>
      </c>
      <c r="W17" s="496" t="s">
        <v>3331</v>
      </c>
      <c r="X17" s="492"/>
      <c r="Y17" s="498" t="s">
        <v>1280</v>
      </c>
      <c r="Z17" s="499">
        <v>1</v>
      </c>
      <c r="AA17" s="500">
        <v>6</v>
      </c>
      <c r="AB17" s="501"/>
      <c r="AC17" s="502">
        <v>6000</v>
      </c>
      <c r="AD17" s="1243">
        <f>+AC17*Z17*AA17</f>
        <v>36000</v>
      </c>
      <c r="AE17" s="678" t="s">
        <v>1402</v>
      </c>
      <c r="AF17" s="492"/>
      <c r="AG17" s="502">
        <f t="shared" si="1"/>
        <v>36000</v>
      </c>
      <c r="AH17" s="502">
        <v>0</v>
      </c>
      <c r="AI17" s="503">
        <f>+AG17+AH17</f>
        <v>36000</v>
      </c>
      <c r="AJ17" s="866"/>
      <c r="AK17" s="983"/>
      <c r="AL17" s="983"/>
      <c r="AM17" s="983"/>
      <c r="AN17" s="984"/>
      <c r="AO17" s="985"/>
      <c r="AP17" s="985">
        <f t="shared" si="0"/>
        <v>0</v>
      </c>
      <c r="AR17" s="1027"/>
    </row>
    <row r="18" spans="1:44" s="108" customFormat="1" ht="75" hidden="1" outlineLevel="3" collapsed="1">
      <c r="A18" s="580"/>
      <c r="B18" s="107" t="s">
        <v>628</v>
      </c>
      <c r="C18" s="107" t="s">
        <v>1279</v>
      </c>
      <c r="D18" s="533" t="s">
        <v>629</v>
      </c>
      <c r="E18" s="533"/>
      <c r="F18" s="103"/>
      <c r="G18" s="97"/>
      <c r="H18" s="363"/>
      <c r="I18" s="363"/>
      <c r="J18" s="363"/>
      <c r="K18" s="363"/>
      <c r="L18" s="363"/>
      <c r="M18" s="363"/>
      <c r="N18" s="363"/>
      <c r="O18" s="363"/>
      <c r="P18" s="363"/>
      <c r="Q18" s="97"/>
      <c r="R18" s="852" t="str">
        <f>+'9.3_PA_Det'!E32</f>
        <v>Selección Basada en Calidad y Costo</v>
      </c>
      <c r="S18" s="364" t="s">
        <v>1075</v>
      </c>
      <c r="T18" s="852" t="s">
        <v>1198</v>
      </c>
      <c r="U18" s="852"/>
      <c r="V18" s="852"/>
      <c r="W18" s="181" t="s">
        <v>3332</v>
      </c>
      <c r="X18" s="97"/>
      <c r="Y18" s="711" t="s">
        <v>1179</v>
      </c>
      <c r="Z18" s="712" t="s">
        <v>494</v>
      </c>
      <c r="AA18" s="179"/>
      <c r="AB18" s="180"/>
      <c r="AC18" s="725">
        <f>300000-36000</f>
        <v>264000</v>
      </c>
      <c r="AD18" s="724">
        <f>+AC18*Z18</f>
        <v>264000</v>
      </c>
      <c r="AE18" s="726"/>
      <c r="AF18" s="97"/>
      <c r="AG18" s="502">
        <f>+AC18</f>
        <v>264000</v>
      </c>
      <c r="AH18" s="502">
        <v>0</v>
      </c>
      <c r="AI18" s="503">
        <f>+AG18+AH18</f>
        <v>264000</v>
      </c>
      <c r="AJ18" s="867"/>
      <c r="AK18" s="986"/>
      <c r="AL18" s="986">
        <f>+AG18</f>
        <v>264000</v>
      </c>
      <c r="AM18" s="986"/>
      <c r="AN18" s="987"/>
      <c r="AO18" s="991"/>
      <c r="AP18" s="991">
        <f t="shared" si="0"/>
        <v>264000</v>
      </c>
      <c r="AR18" s="1027"/>
    </row>
    <row r="19" spans="1:44" s="153" customFormat="1" ht="26.5" hidden="1" customHeight="1" outlineLevel="3">
      <c r="A19" s="581"/>
      <c r="B19" s="400" t="s">
        <v>630</v>
      </c>
      <c r="C19" s="400"/>
      <c r="D19" s="536" t="s">
        <v>631</v>
      </c>
      <c r="E19" s="536"/>
      <c r="F19" s="399"/>
      <c r="G19" s="96"/>
      <c r="H19" s="401"/>
      <c r="I19" s="401"/>
      <c r="J19" s="401"/>
      <c r="K19" s="401"/>
      <c r="L19" s="401"/>
      <c r="M19" s="401"/>
      <c r="N19" s="401"/>
      <c r="O19" s="401"/>
      <c r="P19" s="401"/>
      <c r="Q19" s="96"/>
      <c r="R19" s="837"/>
      <c r="S19" s="851"/>
      <c r="T19" s="851"/>
      <c r="U19" s="851"/>
      <c r="V19" s="851"/>
      <c r="W19" s="399"/>
      <c r="X19" s="96"/>
      <c r="Y19" s="396"/>
      <c r="Z19" s="397"/>
      <c r="AA19" s="397"/>
      <c r="AB19" s="395"/>
      <c r="AC19" s="398"/>
      <c r="AD19" s="398">
        <f>AD20+AD21+AD22</f>
        <v>1750000</v>
      </c>
      <c r="AE19" s="680"/>
      <c r="AF19" s="96"/>
      <c r="AG19" s="398">
        <f>AG20+AG21+AG22</f>
        <v>1750000</v>
      </c>
      <c r="AH19" s="398">
        <f>AH20+AH21+AH22</f>
        <v>0</v>
      </c>
      <c r="AI19" s="398">
        <f>AI20+AI21+AI22</f>
        <v>1750000</v>
      </c>
      <c r="AJ19" s="865"/>
      <c r="AK19" s="992">
        <f>AK20+AK21+AK22</f>
        <v>0</v>
      </c>
      <c r="AL19" s="992">
        <f>AL20+AL21+AL22</f>
        <v>437500</v>
      </c>
      <c r="AM19" s="992">
        <f>AM20+AM21+AM22</f>
        <v>437500</v>
      </c>
      <c r="AN19" s="993">
        <f>AN20+AN21+AN22</f>
        <v>875000</v>
      </c>
      <c r="AO19" s="994">
        <f>AO20+AO21+AO22</f>
        <v>0</v>
      </c>
      <c r="AP19" s="994">
        <f t="shared" si="0"/>
        <v>1750000</v>
      </c>
      <c r="AR19" s="1027"/>
    </row>
    <row r="20" spans="1:44" s="108" customFormat="1" ht="14" hidden="1" customHeight="1" outlineLevel="4">
      <c r="A20" s="580"/>
      <c r="B20" s="107" t="s">
        <v>632</v>
      </c>
      <c r="C20" s="107"/>
      <c r="D20" s="533" t="s">
        <v>633</v>
      </c>
      <c r="E20" s="533"/>
      <c r="F20" s="103"/>
      <c r="G20" s="97"/>
      <c r="H20" s="363"/>
      <c r="I20" s="363"/>
      <c r="J20" s="363"/>
      <c r="K20" s="363"/>
      <c r="L20" s="363"/>
      <c r="M20" s="363"/>
      <c r="N20" s="363"/>
      <c r="O20" s="363"/>
      <c r="P20" s="363"/>
      <c r="Q20" s="97"/>
      <c r="R20" s="3897" t="s">
        <v>723</v>
      </c>
      <c r="S20" s="3897"/>
      <c r="T20" s="3897"/>
      <c r="U20" s="3897"/>
      <c r="V20" s="852"/>
      <c r="W20" s="3903" t="s">
        <v>3333</v>
      </c>
      <c r="X20" s="97"/>
      <c r="Y20" s="529" t="s">
        <v>1179</v>
      </c>
      <c r="Z20" s="723">
        <v>2</v>
      </c>
      <c r="AA20" s="723"/>
      <c r="AB20" s="723"/>
      <c r="AC20" s="724">
        <v>250000</v>
      </c>
      <c r="AD20" s="724">
        <f>Z20*AC20</f>
        <v>500000</v>
      </c>
      <c r="AE20" s="530"/>
      <c r="AF20" s="97"/>
      <c r="AG20" s="724">
        <f>+AD20</f>
        <v>500000</v>
      </c>
      <c r="AH20" s="1039">
        <v>0</v>
      </c>
      <c r="AI20" s="724">
        <f>AG20+AH20</f>
        <v>500000</v>
      </c>
      <c r="AJ20" s="867"/>
      <c r="AK20" s="990"/>
      <c r="AL20" s="990">
        <f>+$AG$20*25%</f>
        <v>125000</v>
      </c>
      <c r="AM20" s="990">
        <f>+$AG$20*25%</f>
        <v>125000</v>
      </c>
      <c r="AN20" s="990">
        <f>+$AG$20*50%</f>
        <v>250000</v>
      </c>
      <c r="AO20" s="990"/>
      <c r="AP20" s="990">
        <f t="shared" si="0"/>
        <v>500000</v>
      </c>
      <c r="AR20" s="1027"/>
    </row>
    <row r="21" spans="1:44" s="108" customFormat="1" ht="14.5" hidden="1" customHeight="1" outlineLevel="4">
      <c r="A21" s="580"/>
      <c r="B21" s="107" t="s">
        <v>635</v>
      </c>
      <c r="C21" s="107"/>
      <c r="D21" s="533" t="s">
        <v>636</v>
      </c>
      <c r="E21" s="533"/>
      <c r="F21" s="103"/>
      <c r="G21" s="97"/>
      <c r="H21" s="363"/>
      <c r="I21" s="363"/>
      <c r="J21" s="363"/>
      <c r="K21" s="363"/>
      <c r="L21" s="363"/>
      <c r="M21" s="363"/>
      <c r="N21" s="363"/>
      <c r="O21" s="363"/>
      <c r="P21" s="363"/>
      <c r="Q21" s="97"/>
      <c r="R21" s="3898"/>
      <c r="S21" s="3898"/>
      <c r="T21" s="3898"/>
      <c r="U21" s="3898"/>
      <c r="V21" s="1190"/>
      <c r="W21" s="3903"/>
      <c r="X21" s="97"/>
      <c r="Y21" s="529" t="s">
        <v>1179</v>
      </c>
      <c r="Z21" s="723">
        <v>1</v>
      </c>
      <c r="AA21" s="723"/>
      <c r="AB21" s="723"/>
      <c r="AC21" s="724">
        <v>500000</v>
      </c>
      <c r="AD21" s="724">
        <f>Z21*AC21</f>
        <v>500000</v>
      </c>
      <c r="AE21" s="530"/>
      <c r="AF21" s="97"/>
      <c r="AG21" s="724">
        <f>+AD21</f>
        <v>500000</v>
      </c>
      <c r="AH21" s="1039">
        <v>0</v>
      </c>
      <c r="AI21" s="724">
        <f>AG21+AH21</f>
        <v>500000</v>
      </c>
      <c r="AJ21" s="867"/>
      <c r="AK21" s="990"/>
      <c r="AL21" s="990">
        <f>+$AG$21*25%</f>
        <v>125000</v>
      </c>
      <c r="AM21" s="990">
        <f>+$AG$21*25%</f>
        <v>125000</v>
      </c>
      <c r="AN21" s="990">
        <f>+$AG$21*50%</f>
        <v>250000</v>
      </c>
      <c r="AO21" s="990"/>
      <c r="AP21" s="990">
        <f t="shared" si="0"/>
        <v>500000</v>
      </c>
      <c r="AR21" s="1027"/>
    </row>
    <row r="22" spans="1:44" s="108" customFormat="1" ht="39.5" hidden="1" customHeight="1" outlineLevel="4">
      <c r="A22" s="580"/>
      <c r="B22" s="107" t="s">
        <v>637</v>
      </c>
      <c r="C22" s="107"/>
      <c r="D22" s="533" t="s">
        <v>638</v>
      </c>
      <c r="E22" s="533"/>
      <c r="F22" s="103"/>
      <c r="G22" s="97"/>
      <c r="H22" s="363"/>
      <c r="I22" s="363"/>
      <c r="J22" s="363"/>
      <c r="K22" s="363"/>
      <c r="L22" s="363"/>
      <c r="M22" s="363"/>
      <c r="N22" s="363"/>
      <c r="O22" s="363"/>
      <c r="P22" s="363"/>
      <c r="Q22" s="97"/>
      <c r="R22" s="3899"/>
      <c r="S22" s="3899"/>
      <c r="T22" s="3899"/>
      <c r="U22" s="3899"/>
      <c r="V22" s="1190"/>
      <c r="W22" s="3903"/>
      <c r="X22" s="97"/>
      <c r="Y22" s="529" t="s">
        <v>1179</v>
      </c>
      <c r="Z22" s="723">
        <v>1</v>
      </c>
      <c r="AA22" s="723"/>
      <c r="AB22" s="723"/>
      <c r="AC22" s="724">
        <v>750000</v>
      </c>
      <c r="AD22" s="724">
        <f>Z22*AC22</f>
        <v>750000</v>
      </c>
      <c r="AE22" s="530"/>
      <c r="AF22" s="97"/>
      <c r="AG22" s="724">
        <f>+AD22</f>
        <v>750000</v>
      </c>
      <c r="AH22" s="1039">
        <v>0</v>
      </c>
      <c r="AI22" s="724">
        <f>AG22+AH22</f>
        <v>750000</v>
      </c>
      <c r="AJ22" s="867"/>
      <c r="AK22" s="990"/>
      <c r="AL22" s="990">
        <f>+$AG$22*25%</f>
        <v>187500</v>
      </c>
      <c r="AM22" s="990">
        <f>+$AG$22*25%</f>
        <v>187500</v>
      </c>
      <c r="AN22" s="990">
        <f>+$AG$22*50%</f>
        <v>375000</v>
      </c>
      <c r="AO22" s="990"/>
      <c r="AP22" s="990">
        <f t="shared" si="0"/>
        <v>750000</v>
      </c>
      <c r="AR22" s="1027"/>
    </row>
    <row r="23" spans="1:44" s="153" customFormat="1" ht="24.5" hidden="1" customHeight="1" outlineLevel="3" collapsed="1">
      <c r="A23" s="581"/>
      <c r="B23" s="400" t="s">
        <v>648</v>
      </c>
      <c r="C23" s="400"/>
      <c r="D23" s="399" t="s">
        <v>649</v>
      </c>
      <c r="E23" s="399"/>
      <c r="F23" s="399"/>
      <c r="G23" s="96"/>
      <c r="H23" s="401"/>
      <c r="I23" s="401"/>
      <c r="J23" s="401"/>
      <c r="K23" s="401"/>
      <c r="L23" s="401"/>
      <c r="M23" s="401"/>
      <c r="N23" s="401"/>
      <c r="O23" s="401"/>
      <c r="P23" s="401"/>
      <c r="Q23" s="96"/>
      <c r="R23" s="837"/>
      <c r="S23" s="851"/>
      <c r="T23" s="851"/>
      <c r="U23" s="851"/>
      <c r="V23" s="851"/>
      <c r="W23" s="399"/>
      <c r="X23" s="96"/>
      <c r="Y23" s="396"/>
      <c r="Z23" s="397"/>
      <c r="AA23" s="397"/>
      <c r="AB23" s="395"/>
      <c r="AC23" s="398"/>
      <c r="AD23" s="398">
        <f>+AD24+AD25+AD26</f>
        <v>540000</v>
      </c>
      <c r="AE23" s="680"/>
      <c r="AF23" s="96"/>
      <c r="AG23" s="398">
        <f>+AG24+AG25+AG26</f>
        <v>540000</v>
      </c>
      <c r="AH23" s="398">
        <f>+AH24+AH25+AH26</f>
        <v>0</v>
      </c>
      <c r="AI23" s="398">
        <f>+AI24+AI25+AI26</f>
        <v>540000</v>
      </c>
      <c r="AJ23" s="865"/>
      <c r="AK23" s="992">
        <f>+AK24+AK26</f>
        <v>0</v>
      </c>
      <c r="AL23" s="992">
        <f>+AL24+AL26</f>
        <v>0</v>
      </c>
      <c r="AM23" s="992">
        <f>+AM24+AM26</f>
        <v>12960000</v>
      </c>
      <c r="AN23" s="993">
        <f>+AN24+AN26</f>
        <v>12960000</v>
      </c>
      <c r="AO23" s="994">
        <f>+AO24+AO26</f>
        <v>12960000</v>
      </c>
      <c r="AP23" s="994">
        <f t="shared" si="0"/>
        <v>38880000</v>
      </c>
      <c r="AR23" s="1027"/>
    </row>
    <row r="24" spans="1:44" s="108" customFormat="1" ht="27.5" hidden="1" customHeight="1" outlineLevel="4">
      <c r="A24" s="580"/>
      <c r="B24" s="107" t="s">
        <v>650</v>
      </c>
      <c r="C24" s="107" t="s">
        <v>1279</v>
      </c>
      <c r="D24" s="703" t="s">
        <v>617</v>
      </c>
      <c r="E24" s="703"/>
      <c r="F24" s="103"/>
      <c r="G24" s="97"/>
      <c r="H24" s="363"/>
      <c r="I24" s="363"/>
      <c r="J24" s="363"/>
      <c r="K24" s="363"/>
      <c r="L24" s="363"/>
      <c r="M24" s="363"/>
      <c r="N24" s="363"/>
      <c r="O24" s="363"/>
      <c r="P24" s="363"/>
      <c r="Q24" s="97"/>
      <c r="R24" s="3838" t="s">
        <v>3334</v>
      </c>
      <c r="S24" s="364" t="s">
        <v>1075</v>
      </c>
      <c r="T24" s="364"/>
      <c r="U24" s="364"/>
      <c r="V24" s="364"/>
      <c r="W24" s="4601" t="s">
        <v>3335</v>
      </c>
      <c r="X24" s="97"/>
      <c r="Y24" s="3903" t="s">
        <v>1179</v>
      </c>
      <c r="Z24" s="3841">
        <v>1</v>
      </c>
      <c r="AA24" s="3915"/>
      <c r="AB24" s="3915"/>
      <c r="AC24" s="3787">
        <v>540000</v>
      </c>
      <c r="AD24" s="3787">
        <f>+Z24*AC24</f>
        <v>540000</v>
      </c>
      <c r="AE24" s="4675" t="s">
        <v>3328</v>
      </c>
      <c r="AF24" s="97"/>
      <c r="AG24" s="1032">
        <f>+AD24</f>
        <v>540000</v>
      </c>
      <c r="AH24" s="1032">
        <v>0</v>
      </c>
      <c r="AI24" s="1041">
        <f>+AG24+AH24</f>
        <v>540000</v>
      </c>
      <c r="AJ24" s="867"/>
      <c r="AK24" s="986"/>
      <c r="AL24" s="986"/>
      <c r="AM24" s="986">
        <f t="shared" ref="AM24:AO25" si="2">+$AC$24*12*2</f>
        <v>12960000</v>
      </c>
      <c r="AN24" s="986">
        <f t="shared" si="2"/>
        <v>12960000</v>
      </c>
      <c r="AO24" s="986">
        <f t="shared" si="2"/>
        <v>12960000</v>
      </c>
      <c r="AP24" s="1038">
        <f t="shared" si="0"/>
        <v>38880000</v>
      </c>
      <c r="AR24" s="1027"/>
    </row>
    <row r="25" spans="1:44" s="108" customFormat="1" ht="27.5" hidden="1" customHeight="1" outlineLevel="4">
      <c r="A25" s="580"/>
      <c r="B25" s="107" t="s">
        <v>651</v>
      </c>
      <c r="C25" s="107" t="s">
        <v>1279</v>
      </c>
      <c r="D25" s="703" t="s">
        <v>619</v>
      </c>
      <c r="E25" s="703"/>
      <c r="F25" s="103"/>
      <c r="G25" s="97"/>
      <c r="H25" s="363"/>
      <c r="I25" s="363"/>
      <c r="J25" s="363"/>
      <c r="K25" s="363"/>
      <c r="L25" s="363"/>
      <c r="M25" s="363"/>
      <c r="N25" s="363"/>
      <c r="O25" s="363"/>
      <c r="P25" s="363"/>
      <c r="Q25" s="97"/>
      <c r="R25" s="3839"/>
      <c r="S25" s="364" t="s">
        <v>1075</v>
      </c>
      <c r="T25" s="364"/>
      <c r="U25" s="364"/>
      <c r="V25" s="364"/>
      <c r="W25" s="4678"/>
      <c r="X25" s="97"/>
      <c r="Y25" s="3933"/>
      <c r="Z25" s="3842"/>
      <c r="AA25" s="3916"/>
      <c r="AB25" s="3916"/>
      <c r="AC25" s="3788"/>
      <c r="AD25" s="3788"/>
      <c r="AE25" s="4675"/>
      <c r="AF25" s="97"/>
      <c r="AG25" s="1032">
        <f>+AD25</f>
        <v>0</v>
      </c>
      <c r="AH25" s="1032">
        <v>0</v>
      </c>
      <c r="AI25" s="1041">
        <f>+AG25+AH25</f>
        <v>0</v>
      </c>
      <c r="AJ25" s="867"/>
      <c r="AK25" s="986"/>
      <c r="AL25" s="986"/>
      <c r="AM25" s="986">
        <f t="shared" si="2"/>
        <v>12960000</v>
      </c>
      <c r="AN25" s="986">
        <f t="shared" si="2"/>
        <v>12960000</v>
      </c>
      <c r="AO25" s="986">
        <f t="shared" si="2"/>
        <v>12960000</v>
      </c>
      <c r="AP25" s="1038">
        <f>SUM(AK25:AO25)</f>
        <v>38880000</v>
      </c>
      <c r="AR25" s="1027"/>
    </row>
    <row r="26" spans="1:44" s="108" customFormat="1" ht="30" hidden="1" outlineLevel="4">
      <c r="A26" s="580"/>
      <c r="B26" s="107" t="s">
        <v>652</v>
      </c>
      <c r="C26" s="107" t="s">
        <v>1279</v>
      </c>
      <c r="D26" s="703" t="s">
        <v>3336</v>
      </c>
      <c r="E26" s="703"/>
      <c r="F26" s="103"/>
      <c r="G26" s="97"/>
      <c r="H26" s="363"/>
      <c r="I26" s="363"/>
      <c r="J26" s="363"/>
      <c r="K26" s="363"/>
      <c r="L26" s="363"/>
      <c r="M26" s="363"/>
      <c r="N26" s="363"/>
      <c r="O26" s="363"/>
      <c r="P26" s="363"/>
      <c r="Q26" s="97"/>
      <c r="R26" s="3840"/>
      <c r="S26" s="364" t="s">
        <v>1075</v>
      </c>
      <c r="T26" s="364"/>
      <c r="U26" s="852"/>
      <c r="V26" s="852"/>
      <c r="W26" s="4602"/>
      <c r="X26" s="97"/>
      <c r="Y26" s="3934"/>
      <c r="Z26" s="3843"/>
      <c r="AA26" s="3917"/>
      <c r="AB26" s="3917"/>
      <c r="AC26" s="3789"/>
      <c r="AD26" s="3789"/>
      <c r="AE26" s="4675"/>
      <c r="AF26" s="97"/>
      <c r="AG26" s="1032">
        <f>+AD26</f>
        <v>0</v>
      </c>
      <c r="AH26" s="1032">
        <v>0</v>
      </c>
      <c r="AI26" s="1041">
        <f>+AG26+AH26</f>
        <v>0</v>
      </c>
      <c r="AJ26" s="867"/>
      <c r="AK26" s="988"/>
      <c r="AL26" s="988"/>
      <c r="AM26" s="986">
        <f>+$AC$26*12*2</f>
        <v>0</v>
      </c>
      <c r="AN26" s="986">
        <f>+$AC$26*12*2</f>
        <v>0</v>
      </c>
      <c r="AO26" s="986">
        <f>+$AC$26*12*2</f>
        <v>0</v>
      </c>
      <c r="AP26" s="1038">
        <f t="shared" si="0"/>
        <v>0</v>
      </c>
      <c r="AR26" s="1027"/>
    </row>
    <row r="27" spans="1:44" s="108" customFormat="1" ht="14" hidden="1" customHeight="1" outlineLevel="3" collapsed="1">
      <c r="A27" s="580"/>
      <c r="B27" s="107"/>
      <c r="C27" s="107"/>
      <c r="D27" s="533"/>
      <c r="E27" s="533"/>
      <c r="F27" s="103"/>
      <c r="G27" s="97"/>
      <c r="H27" s="363"/>
      <c r="I27" s="363"/>
      <c r="J27" s="363"/>
      <c r="K27" s="363"/>
      <c r="L27" s="363"/>
      <c r="M27" s="363"/>
      <c r="N27" s="363"/>
      <c r="O27" s="363"/>
      <c r="P27" s="363"/>
      <c r="Q27" s="97"/>
      <c r="R27" s="852"/>
      <c r="S27" s="852"/>
      <c r="T27" s="364"/>
      <c r="U27" s="852"/>
      <c r="V27" s="852"/>
      <c r="W27" s="934"/>
      <c r="X27" s="97"/>
      <c r="Y27" s="711"/>
      <c r="Z27" s="763"/>
      <c r="AA27" s="531"/>
      <c r="AB27" s="532"/>
      <c r="AC27" s="1039"/>
      <c r="AD27" s="1032"/>
      <c r="AE27" s="758"/>
      <c r="AF27" s="97"/>
      <c r="AG27" s="1032"/>
      <c r="AH27" s="1032"/>
      <c r="AI27" s="1041"/>
      <c r="AJ27" s="867"/>
      <c r="AK27" s="988"/>
      <c r="AL27" s="988"/>
      <c r="AM27" s="988"/>
      <c r="AN27" s="989"/>
      <c r="AO27" s="1040"/>
      <c r="AP27" s="1038">
        <f t="shared" si="0"/>
        <v>0</v>
      </c>
      <c r="AR27" s="1027"/>
    </row>
    <row r="28" spans="1:44" s="153" customFormat="1" ht="21.5" hidden="1" customHeight="1" outlineLevel="2" collapsed="1">
      <c r="A28" s="172"/>
      <c r="B28" s="171" t="s">
        <v>501</v>
      </c>
      <c r="C28" s="171"/>
      <c r="D28" s="538" t="s">
        <v>13</v>
      </c>
      <c r="E28" s="538" t="s">
        <v>4</v>
      </c>
      <c r="F28" s="106" t="s">
        <v>1277</v>
      </c>
      <c r="G28" s="96"/>
      <c r="H28" s="357" t="str">
        <f>+'1_MdR_Limpia'!C29</f>
        <v>Portal mejorado</v>
      </c>
      <c r="I28" s="357">
        <f>+'1_MdR_Limpia'!D29</f>
        <v>0</v>
      </c>
      <c r="J28" s="357">
        <f>+'1_MdR_Limpia'!E29</f>
        <v>2021</v>
      </c>
      <c r="K28" s="357" t="str">
        <f>+'1_MdR_Limpia'!G29</f>
        <v>-</v>
      </c>
      <c r="L28" s="357">
        <f>+'1_MdR_Limpia'!H29</f>
        <v>0</v>
      </c>
      <c r="M28" s="357" t="str">
        <f>+'1_MdR_Limpia'!J29</f>
        <v>-</v>
      </c>
      <c r="N28" s="357" t="str">
        <f>+'1_MdR_Limpia'!K29</f>
        <v>-</v>
      </c>
      <c r="O28" s="357" t="str">
        <f>+'1_MdR_Limpia'!K29</f>
        <v>-</v>
      </c>
      <c r="P28" s="357">
        <f>+'1_MdR_Limpia'!L29</f>
        <v>1</v>
      </c>
      <c r="Q28" s="96"/>
      <c r="R28" s="358"/>
      <c r="S28" s="358"/>
      <c r="T28" s="358"/>
      <c r="U28" s="358"/>
      <c r="V28" s="358"/>
      <c r="W28" s="174"/>
      <c r="X28" s="96"/>
      <c r="Y28" s="106"/>
      <c r="Z28" s="172"/>
      <c r="AA28" s="172"/>
      <c r="AB28" s="171"/>
      <c r="AC28" s="176"/>
      <c r="AD28" s="176">
        <f>+AD29+AD30+AD31+AD32</f>
        <v>550000</v>
      </c>
      <c r="AE28" s="686"/>
      <c r="AF28" s="96"/>
      <c r="AG28" s="176">
        <f>+AG29+AG30+AG31+AG32</f>
        <v>550000</v>
      </c>
      <c r="AH28" s="176">
        <f>+AH29+AH30+AH31+AH32</f>
        <v>0</v>
      </c>
      <c r="AI28" s="176">
        <f>+AI29+AI30+AI31+AI32</f>
        <v>550000</v>
      </c>
      <c r="AJ28" s="865"/>
      <c r="AK28" s="176">
        <f>+AK29+AK30+AK31+AK32</f>
        <v>0</v>
      </c>
      <c r="AL28" s="176">
        <f>+AL29+AL30+AL31+AL32</f>
        <v>50000</v>
      </c>
      <c r="AM28" s="176">
        <f>+AM29+AM30+AM31+AM32</f>
        <v>125000</v>
      </c>
      <c r="AN28" s="176">
        <f>+AN29+AN30+AN31+AN32</f>
        <v>375000</v>
      </c>
      <c r="AO28" s="176">
        <f>+AO29+AO30+AO31+AO32</f>
        <v>0</v>
      </c>
      <c r="AP28" s="979">
        <f t="shared" si="0"/>
        <v>550000</v>
      </c>
      <c r="AR28" s="1027"/>
    </row>
    <row r="29" spans="1:44" s="108" customFormat="1" ht="15" hidden="1" outlineLevel="3">
      <c r="A29" s="580"/>
      <c r="B29" s="107" t="s">
        <v>677</v>
      </c>
      <c r="C29" s="107" t="s">
        <v>1279</v>
      </c>
      <c r="D29" s="1238" t="s">
        <v>3337</v>
      </c>
      <c r="E29" s="703"/>
      <c r="F29" s="103"/>
      <c r="G29" s="97"/>
      <c r="H29" s="363"/>
      <c r="I29" s="363"/>
      <c r="J29" s="363"/>
      <c r="K29" s="363"/>
      <c r="L29" s="363"/>
      <c r="M29" s="363"/>
      <c r="N29" s="363"/>
      <c r="O29" s="363"/>
      <c r="P29" s="363"/>
      <c r="Q29" s="97"/>
      <c r="R29" s="1239" t="s">
        <v>3338</v>
      </c>
      <c r="S29" s="1207"/>
      <c r="T29" s="1207"/>
      <c r="U29" s="1207"/>
      <c r="V29" s="1207"/>
      <c r="W29" s="1234"/>
      <c r="X29" s="97"/>
      <c r="Y29" s="711"/>
      <c r="Z29" s="763"/>
      <c r="AA29" s="531"/>
      <c r="AB29" s="532"/>
      <c r="AC29" s="1240"/>
      <c r="AD29" s="1241">
        <f>+AC29*Z29</f>
        <v>0</v>
      </c>
      <c r="AE29" s="1235"/>
      <c r="AF29" s="97"/>
      <c r="AG29" s="1048"/>
      <c r="AH29" s="1048"/>
      <c r="AI29" s="1053"/>
      <c r="AJ29" s="867"/>
      <c r="AK29" s="1194"/>
      <c r="AL29" s="1194"/>
      <c r="AM29" s="1194"/>
      <c r="AN29" s="1236"/>
      <c r="AO29" s="1237"/>
      <c r="AP29" s="1007"/>
      <c r="AR29" s="1027"/>
    </row>
    <row r="30" spans="1:44" s="108" customFormat="1" ht="30" hidden="1" outlineLevel="3">
      <c r="A30" s="580"/>
      <c r="B30" s="107" t="s">
        <v>696</v>
      </c>
      <c r="C30" s="107" t="s">
        <v>1279</v>
      </c>
      <c r="D30" s="1238" t="s">
        <v>3339</v>
      </c>
      <c r="E30" s="703"/>
      <c r="F30" s="103"/>
      <c r="G30" s="97"/>
      <c r="H30" s="363"/>
      <c r="I30" s="363"/>
      <c r="J30" s="363"/>
      <c r="K30" s="363"/>
      <c r="L30" s="363"/>
      <c r="M30" s="363"/>
      <c r="N30" s="363"/>
      <c r="O30" s="363"/>
      <c r="P30" s="363"/>
      <c r="Q30" s="97"/>
      <c r="R30" s="1207" t="s">
        <v>763</v>
      </c>
      <c r="S30" s="1207"/>
      <c r="T30" s="1207"/>
      <c r="U30" s="1207"/>
      <c r="V30" s="1207"/>
      <c r="W30" s="1234"/>
      <c r="X30" s="97"/>
      <c r="Y30" s="711"/>
      <c r="Z30" s="763"/>
      <c r="AA30" s="531"/>
      <c r="AB30" s="532"/>
      <c r="AC30" s="1240"/>
      <c r="AD30" s="1241">
        <f>+AC30*Z30</f>
        <v>0</v>
      </c>
      <c r="AE30" s="1235"/>
      <c r="AF30" s="97"/>
      <c r="AG30" s="1048"/>
      <c r="AH30" s="1048"/>
      <c r="AI30" s="1053"/>
      <c r="AJ30" s="867"/>
      <c r="AK30" s="1194"/>
      <c r="AL30" s="1194"/>
      <c r="AM30" s="1194"/>
      <c r="AN30" s="1236"/>
      <c r="AO30" s="1237"/>
      <c r="AP30" s="1007"/>
      <c r="AR30" s="1027"/>
    </row>
    <row r="31" spans="1:44" s="108" customFormat="1" ht="42.5" hidden="1" customHeight="1" outlineLevel="3">
      <c r="A31" s="580"/>
      <c r="B31" s="107" t="s">
        <v>2270</v>
      </c>
      <c r="C31" s="107"/>
      <c r="D31" s="533" t="s">
        <v>3340</v>
      </c>
      <c r="E31" s="533"/>
      <c r="F31" s="103"/>
      <c r="G31" s="97"/>
      <c r="H31" s="363"/>
      <c r="I31" s="363"/>
      <c r="J31" s="363"/>
      <c r="K31" s="363"/>
      <c r="L31" s="363"/>
      <c r="M31" s="363"/>
      <c r="N31" s="363"/>
      <c r="O31" s="363"/>
      <c r="P31" s="363"/>
      <c r="Q31" s="97"/>
      <c r="R31" s="4672" t="s">
        <v>853</v>
      </c>
      <c r="S31" s="3897" t="s">
        <v>1075</v>
      </c>
      <c r="T31" s="3897" t="s">
        <v>1198</v>
      </c>
      <c r="U31" s="3897">
        <f>+'9.3_PA_Det'!$F$36</f>
        <v>11</v>
      </c>
      <c r="V31" s="3897"/>
      <c r="W31" s="3918"/>
      <c r="X31" s="97"/>
      <c r="Y31" s="711" t="s">
        <v>1179</v>
      </c>
      <c r="Z31" s="763">
        <v>1</v>
      </c>
      <c r="AA31" s="531"/>
      <c r="AB31" s="532"/>
      <c r="AC31" s="1039">
        <v>50000</v>
      </c>
      <c r="AD31" s="725">
        <f>+Z31*AC31</f>
        <v>50000</v>
      </c>
      <c r="AE31" s="4675" t="s">
        <v>1281</v>
      </c>
      <c r="AF31" s="97"/>
      <c r="AG31" s="1032">
        <f>+AD31</f>
        <v>50000</v>
      </c>
      <c r="AH31" s="1032">
        <v>0</v>
      </c>
      <c r="AI31" s="1041">
        <f>+AG31+AH31</f>
        <v>50000</v>
      </c>
      <c r="AJ31" s="867"/>
      <c r="AK31" s="988"/>
      <c r="AL31" s="988">
        <f>+AG31</f>
        <v>50000</v>
      </c>
      <c r="AM31" s="988"/>
      <c r="AN31" s="989"/>
      <c r="AO31" s="1040"/>
      <c r="AP31" s="991">
        <f t="shared" si="0"/>
        <v>50000</v>
      </c>
      <c r="AR31" s="1027"/>
    </row>
    <row r="32" spans="1:44" s="108" customFormat="1" ht="60" hidden="1" outlineLevel="3">
      <c r="A32" s="580"/>
      <c r="B32" s="107" t="s">
        <v>2271</v>
      </c>
      <c r="C32" s="107"/>
      <c r="D32" s="533" t="s">
        <v>3341</v>
      </c>
      <c r="E32" s="533"/>
      <c r="F32" s="103"/>
      <c r="G32" s="97"/>
      <c r="H32" s="363"/>
      <c r="I32" s="363"/>
      <c r="J32" s="363"/>
      <c r="K32" s="363"/>
      <c r="L32" s="363"/>
      <c r="M32" s="363"/>
      <c r="N32" s="363"/>
      <c r="O32" s="363"/>
      <c r="P32" s="363"/>
      <c r="Q32" s="97"/>
      <c r="R32" s="4673"/>
      <c r="S32" s="3899"/>
      <c r="T32" s="3898"/>
      <c r="U32" s="3898"/>
      <c r="V32" s="3898"/>
      <c r="W32" s="3919"/>
      <c r="X32" s="97"/>
      <c r="Y32" s="3838" t="s">
        <v>1179</v>
      </c>
      <c r="Z32" s="3841">
        <v>1</v>
      </c>
      <c r="AA32" s="3915"/>
      <c r="AB32" s="3915"/>
      <c r="AC32" s="3946">
        <v>500000</v>
      </c>
      <c r="AD32" s="3946">
        <f>+Z32*AC32</f>
        <v>500000</v>
      </c>
      <c r="AE32" s="4676"/>
      <c r="AF32" s="97"/>
      <c r="AG32" s="1032">
        <f>+AD32</f>
        <v>500000</v>
      </c>
      <c r="AH32" s="1032">
        <v>0</v>
      </c>
      <c r="AI32" s="1041">
        <f>+AG32+AH32</f>
        <v>500000</v>
      </c>
      <c r="AJ32" s="867"/>
      <c r="AK32" s="988"/>
      <c r="AL32" s="988"/>
      <c r="AM32" s="988">
        <f>+AG32*25%</f>
        <v>125000</v>
      </c>
      <c r="AN32" s="989">
        <f>+AG32*75%</f>
        <v>375000</v>
      </c>
      <c r="AO32" s="1040"/>
      <c r="AP32" s="991">
        <f t="shared" si="0"/>
        <v>500000</v>
      </c>
      <c r="AR32" s="1027"/>
    </row>
    <row r="33" spans="1:44" s="880" customFormat="1" ht="27" hidden="1" customHeight="1" outlineLevel="3">
      <c r="A33" s="533"/>
      <c r="B33" s="107" t="s">
        <v>2272</v>
      </c>
      <c r="C33" s="1080"/>
      <c r="D33" s="1202" t="s">
        <v>693</v>
      </c>
      <c r="E33" s="703"/>
      <c r="F33" s="703"/>
      <c r="G33" s="703"/>
      <c r="H33" s="703"/>
      <c r="I33" s="703"/>
      <c r="J33" s="703"/>
      <c r="K33" s="703"/>
      <c r="L33" s="703"/>
      <c r="M33" s="703"/>
      <c r="N33" s="703"/>
      <c r="O33" s="703"/>
      <c r="P33" s="703"/>
      <c r="Q33" s="703"/>
      <c r="R33" s="4673"/>
      <c r="S33" s="367"/>
      <c r="T33" s="3898"/>
      <c r="U33" s="3898"/>
      <c r="V33" s="3898"/>
      <c r="W33" s="3919"/>
      <c r="X33" s="703"/>
      <c r="Y33" s="3839"/>
      <c r="Z33" s="3842"/>
      <c r="AA33" s="3916"/>
      <c r="AB33" s="3916"/>
      <c r="AC33" s="3947"/>
      <c r="AD33" s="3947"/>
      <c r="AE33" s="4676"/>
      <c r="AF33" s="533"/>
      <c r="AG33" s="728">
        <f>+AD33</f>
        <v>0</v>
      </c>
      <c r="AH33" s="728">
        <v>0</v>
      </c>
      <c r="AI33" s="728">
        <f>+AG33+AH33</f>
        <v>0</v>
      </c>
      <c r="AJ33" s="868"/>
      <c r="AL33" s="728">
        <f>+AG33</f>
        <v>0</v>
      </c>
      <c r="AM33" s="728"/>
      <c r="AN33" s="728"/>
      <c r="AO33" s="728"/>
      <c r="AP33" s="1038">
        <f>SUM(AK33:AO33)</f>
        <v>0</v>
      </c>
      <c r="AQ33" s="1111"/>
      <c r="AR33" s="1027"/>
    </row>
    <row r="34" spans="1:44" s="880" customFormat="1" ht="27" hidden="1" customHeight="1" outlineLevel="3">
      <c r="A34" s="533"/>
      <c r="B34" s="107" t="s">
        <v>2359</v>
      </c>
      <c r="C34" s="1080"/>
      <c r="D34" s="1202" t="s">
        <v>695</v>
      </c>
      <c r="E34" s="703"/>
      <c r="F34" s="703"/>
      <c r="G34" s="703"/>
      <c r="H34" s="703"/>
      <c r="I34" s="703"/>
      <c r="J34" s="703"/>
      <c r="K34" s="703"/>
      <c r="L34" s="703"/>
      <c r="M34" s="703"/>
      <c r="N34" s="703"/>
      <c r="O34" s="703"/>
      <c r="P34" s="703"/>
      <c r="Q34" s="703"/>
      <c r="R34" s="4674"/>
      <c r="S34" s="367"/>
      <c r="T34" s="3899"/>
      <c r="U34" s="3899"/>
      <c r="V34" s="3899"/>
      <c r="W34" s="3920"/>
      <c r="X34" s="703"/>
      <c r="Y34" s="3840"/>
      <c r="Z34" s="3843"/>
      <c r="AA34" s="3917"/>
      <c r="AB34" s="3917"/>
      <c r="AC34" s="4679"/>
      <c r="AD34" s="4679"/>
      <c r="AE34" s="4677"/>
      <c r="AF34" s="533"/>
      <c r="AG34" s="728">
        <f>+AD34</f>
        <v>0</v>
      </c>
      <c r="AH34" s="728">
        <v>0</v>
      </c>
      <c r="AI34" s="728">
        <f>+AG34+AH34</f>
        <v>0</v>
      </c>
      <c r="AJ34" s="868"/>
      <c r="AK34" s="728"/>
      <c r="AL34" s="728"/>
      <c r="AM34" s="728">
        <f>+AG34</f>
        <v>0</v>
      </c>
      <c r="AN34" s="728"/>
      <c r="AO34" s="728"/>
      <c r="AP34" s="1038">
        <f>SUM(AK34:AO34)</f>
        <v>0</v>
      </c>
      <c r="AQ34" s="1111"/>
      <c r="AR34" s="1027"/>
    </row>
    <row r="35" spans="1:44" s="153" customFormat="1" ht="15" hidden="1" outlineLevel="2" collapsed="1">
      <c r="A35" s="172"/>
      <c r="B35" s="171" t="s">
        <v>502</v>
      </c>
      <c r="C35" s="171"/>
      <c r="D35" s="538" t="s">
        <v>14</v>
      </c>
      <c r="E35" s="538" t="s">
        <v>4</v>
      </c>
      <c r="F35" s="106" t="s">
        <v>4</v>
      </c>
      <c r="G35" s="96"/>
      <c r="H35" s="357" t="str">
        <f>+'1_MdR_Limpia'!C31</f>
        <v>Tablero</v>
      </c>
      <c r="I35" s="357">
        <f>+'1_MdR_Limpia'!D31</f>
        <v>0</v>
      </c>
      <c r="J35" s="357">
        <f>+'1_MdR_Limpia'!E31</f>
        <v>2021</v>
      </c>
      <c r="K35" s="357" t="str">
        <f>+'1_MdR_Limpia'!G31</f>
        <v>-</v>
      </c>
      <c r="L35" s="357" t="str">
        <f>+'1_MdR_Limpia'!H31</f>
        <v>-</v>
      </c>
      <c r="M35" s="357" t="str">
        <f>+'1_MdR_Limpia'!I31</f>
        <v>-</v>
      </c>
      <c r="N35" s="357">
        <f>+'1_MdR_Limpia'!J31</f>
        <v>1</v>
      </c>
      <c r="O35" s="357" t="str">
        <f>+'1_MdR_Limpia'!K31</f>
        <v>-</v>
      </c>
      <c r="P35" s="357">
        <f>+'1_MdR_Limpia'!L31</f>
        <v>1</v>
      </c>
      <c r="Q35" s="96"/>
      <c r="R35" s="358"/>
      <c r="S35" s="358"/>
      <c r="T35" s="358"/>
      <c r="U35" s="358"/>
      <c r="V35" s="358"/>
      <c r="W35" s="174"/>
      <c r="X35" s="96"/>
      <c r="Y35" s="106"/>
      <c r="Z35" s="172"/>
      <c r="AA35" s="172"/>
      <c r="AB35" s="171"/>
      <c r="AC35" s="176"/>
      <c r="AD35" s="176">
        <f>+AD36</f>
        <v>1000000</v>
      </c>
      <c r="AE35" s="686"/>
      <c r="AF35" s="96"/>
      <c r="AG35" s="176">
        <f>+AG36</f>
        <v>1000000</v>
      </c>
      <c r="AH35" s="176">
        <f>+AH36</f>
        <v>0</v>
      </c>
      <c r="AI35" s="176">
        <f>+AI36</f>
        <v>1000000</v>
      </c>
      <c r="AJ35" s="865"/>
      <c r="AK35" s="176">
        <f>+AK36</f>
        <v>0</v>
      </c>
      <c r="AL35" s="176">
        <f>+AL36</f>
        <v>0</v>
      </c>
      <c r="AM35" s="176">
        <f>+AM36</f>
        <v>500000</v>
      </c>
      <c r="AN35" s="176">
        <f>+AN36</f>
        <v>500000</v>
      </c>
      <c r="AO35" s="979">
        <f>+AO36+AO37+AO39+AO40</f>
        <v>0</v>
      </c>
      <c r="AP35" s="176">
        <f>+AP36</f>
        <v>1000000</v>
      </c>
      <c r="AR35" s="1027"/>
    </row>
    <row r="36" spans="1:44" s="880" customFormat="1" ht="56" hidden="1" customHeight="1" outlineLevel="3">
      <c r="A36" s="533"/>
      <c r="B36" s="1080" t="s">
        <v>705</v>
      </c>
      <c r="C36" s="1080"/>
      <c r="D36" s="703" t="s">
        <v>1286</v>
      </c>
      <c r="E36" s="703"/>
      <c r="F36" s="703"/>
      <c r="G36" s="703"/>
      <c r="H36" s="703"/>
      <c r="I36" s="703"/>
      <c r="J36" s="703"/>
      <c r="K36" s="703"/>
      <c r="L36" s="703"/>
      <c r="M36" s="703"/>
      <c r="N36" s="703"/>
      <c r="O36" s="703"/>
      <c r="P36" s="703"/>
      <c r="Q36" s="703"/>
      <c r="R36" s="1212"/>
      <c r="S36" s="1212"/>
      <c r="T36" s="1212"/>
      <c r="U36" s="1212"/>
      <c r="V36" s="1195"/>
      <c r="W36" s="1209"/>
      <c r="X36" s="703"/>
      <c r="Y36" s="703"/>
      <c r="Z36" s="712"/>
      <c r="AA36" s="703"/>
      <c r="AB36" s="703"/>
      <c r="AC36" s="1048"/>
      <c r="AD36" s="1124">
        <f>SUM(AD38:AD40)</f>
        <v>1000000</v>
      </c>
      <c r="AE36" s="4668" t="s">
        <v>1287</v>
      </c>
      <c r="AF36" s="533"/>
      <c r="AG36" s="1105">
        <f>SUM(AG37:AG40)</f>
        <v>1000000</v>
      </c>
      <c r="AH36" s="1105">
        <f>SUM(AH37:AH40)</f>
        <v>0</v>
      </c>
      <c r="AI36" s="1105">
        <f>SUM(AI37:AI40)</f>
        <v>1000000</v>
      </c>
      <c r="AJ36" s="868"/>
      <c r="AK36" s="1105">
        <f>SUM(AK37:AK40)</f>
        <v>0</v>
      </c>
      <c r="AL36" s="1105">
        <f>SUM(AL37:AL40)</f>
        <v>0</v>
      </c>
      <c r="AM36" s="1105">
        <f>SUM(AM37:AM40)</f>
        <v>500000</v>
      </c>
      <c r="AN36" s="1105">
        <f>SUM(AN37:AN40)</f>
        <v>500000</v>
      </c>
      <c r="AO36" s="1105">
        <f>SUM(AO37:AO40)</f>
        <v>0</v>
      </c>
      <c r="AP36" s="1038">
        <f t="shared" si="0"/>
        <v>1000000</v>
      </c>
      <c r="AQ36" s="1111"/>
      <c r="AR36" s="1027"/>
    </row>
    <row r="37" spans="1:44" s="880" customFormat="1" ht="29" hidden="1" customHeight="1" outlineLevel="3">
      <c r="A37" s="533"/>
      <c r="B37" s="1080" t="s">
        <v>2361</v>
      </c>
      <c r="C37" s="1080" t="s">
        <v>1279</v>
      </c>
      <c r="D37" s="703" t="s">
        <v>699</v>
      </c>
      <c r="E37" s="703"/>
      <c r="F37" s="703"/>
      <c r="G37" s="703"/>
      <c r="H37" s="703"/>
      <c r="I37" s="703"/>
      <c r="J37" s="703"/>
      <c r="K37" s="703"/>
      <c r="L37" s="703"/>
      <c r="M37" s="703"/>
      <c r="N37" s="703"/>
      <c r="O37" s="703"/>
      <c r="P37" s="703"/>
      <c r="Q37" s="703"/>
      <c r="R37" s="367" t="s">
        <v>763</v>
      </c>
      <c r="S37" s="1213"/>
      <c r="T37" s="1213" t="s">
        <v>1289</v>
      </c>
      <c r="U37" s="1213"/>
      <c r="V37" s="367"/>
      <c r="W37" s="1211" t="s">
        <v>3342</v>
      </c>
      <c r="X37" s="1210"/>
      <c r="Y37" s="703"/>
      <c r="Z37" s="712"/>
      <c r="AA37" s="703"/>
      <c r="AB37" s="703"/>
      <c r="AC37" s="1048"/>
      <c r="AD37" s="1317">
        <f>Z37*AC37</f>
        <v>0</v>
      </c>
      <c r="AE37" s="4669"/>
      <c r="AF37" s="533"/>
      <c r="AG37" s="728"/>
      <c r="AH37" s="728">
        <v>0</v>
      </c>
      <c r="AI37" s="728">
        <f>+AG37+AH37</f>
        <v>0</v>
      </c>
      <c r="AJ37" s="868"/>
      <c r="AK37" s="986">
        <f>+$AG$37*50%</f>
        <v>0</v>
      </c>
      <c r="AL37" s="986">
        <f>+$AG$37*50%</f>
        <v>0</v>
      </c>
      <c r="AM37" s="728"/>
      <c r="AN37" s="728"/>
      <c r="AO37" s="1038"/>
      <c r="AP37" s="1038">
        <f t="shared" si="0"/>
        <v>0</v>
      </c>
      <c r="AQ37" s="1111"/>
      <c r="AR37" s="1027"/>
    </row>
    <row r="38" spans="1:44" s="880" customFormat="1" ht="29" hidden="1" customHeight="1" outlineLevel="3">
      <c r="A38" s="533"/>
      <c r="B38" s="1080" t="s">
        <v>2362</v>
      </c>
      <c r="C38" s="1080" t="s">
        <v>1279</v>
      </c>
      <c r="D38" s="703" t="s">
        <v>701</v>
      </c>
      <c r="E38" s="703"/>
      <c r="F38" s="703"/>
      <c r="G38" s="703"/>
      <c r="H38" s="703"/>
      <c r="I38" s="703"/>
      <c r="J38" s="703"/>
      <c r="K38" s="703"/>
      <c r="L38" s="703"/>
      <c r="M38" s="703"/>
      <c r="N38" s="703"/>
      <c r="O38" s="703"/>
      <c r="P38" s="703"/>
      <c r="Q38" s="703"/>
      <c r="R38" s="4671" t="s">
        <v>3343</v>
      </c>
      <c r="S38" s="4671"/>
      <c r="T38" s="4671" t="s">
        <v>3344</v>
      </c>
      <c r="U38" s="4671"/>
      <c r="V38" s="4671"/>
      <c r="W38" s="4665" t="s">
        <v>3343</v>
      </c>
      <c r="X38" s="1210"/>
      <c r="Y38" s="4665" t="s">
        <v>1179</v>
      </c>
      <c r="Z38" s="3841" t="s">
        <v>494</v>
      </c>
      <c r="AA38" s="4665"/>
      <c r="AB38" s="4665"/>
      <c r="AC38" s="3793">
        <v>1000000</v>
      </c>
      <c r="AD38" s="3793">
        <f>Z38*AC38</f>
        <v>1000000</v>
      </c>
      <c r="AE38" s="4669"/>
      <c r="AF38" s="533"/>
      <c r="AG38" s="728">
        <f>+AD38</f>
        <v>1000000</v>
      </c>
      <c r="AH38" s="728"/>
      <c r="AI38" s="728">
        <f>+AG38+AH38</f>
        <v>1000000</v>
      </c>
      <c r="AJ38" s="868"/>
      <c r="AK38" s="986"/>
      <c r="AL38" s="986"/>
      <c r="AM38" s="728">
        <f>+AG38*50%</f>
        <v>500000</v>
      </c>
      <c r="AN38" s="728">
        <f>+AG38*50%</f>
        <v>500000</v>
      </c>
      <c r="AO38" s="1038"/>
      <c r="AP38" s="1038">
        <f t="shared" si="0"/>
        <v>1000000</v>
      </c>
      <c r="AQ38" s="1111"/>
      <c r="AR38" s="1027"/>
    </row>
    <row r="39" spans="1:44" s="880" customFormat="1" ht="27.5" hidden="1" customHeight="1" outlineLevel="3">
      <c r="A39" s="533"/>
      <c r="B39" s="1080" t="s">
        <v>2363</v>
      </c>
      <c r="C39" s="1080" t="s">
        <v>1279</v>
      </c>
      <c r="D39" s="703" t="s">
        <v>703</v>
      </c>
      <c r="E39" s="703"/>
      <c r="F39" s="703"/>
      <c r="G39" s="703"/>
      <c r="H39" s="703"/>
      <c r="I39" s="703"/>
      <c r="J39" s="703"/>
      <c r="K39" s="703"/>
      <c r="L39" s="703"/>
      <c r="M39" s="703"/>
      <c r="N39" s="703"/>
      <c r="O39" s="703"/>
      <c r="P39" s="703"/>
      <c r="Q39" s="703"/>
      <c r="R39" s="4671"/>
      <c r="S39" s="4671"/>
      <c r="T39" s="4671"/>
      <c r="U39" s="4671"/>
      <c r="V39" s="4671"/>
      <c r="W39" s="4666"/>
      <c r="X39" s="703"/>
      <c r="Y39" s="4666"/>
      <c r="Z39" s="3842"/>
      <c r="AA39" s="4666"/>
      <c r="AB39" s="4666"/>
      <c r="AC39" s="3794"/>
      <c r="AD39" s="3794"/>
      <c r="AE39" s="4669"/>
      <c r="AF39" s="533"/>
      <c r="AG39" s="728">
        <f>+AD39</f>
        <v>0</v>
      </c>
      <c r="AH39" s="728">
        <v>0</v>
      </c>
      <c r="AI39" s="728">
        <f>+AG39+AH39</f>
        <v>0</v>
      </c>
      <c r="AJ39" s="868"/>
      <c r="AK39" s="986"/>
      <c r="AL39" s="986">
        <f>+$AG$39*10%</f>
        <v>0</v>
      </c>
      <c r="AM39" s="728">
        <f>+$AG$39*20%</f>
        <v>0</v>
      </c>
      <c r="AN39" s="986">
        <f>+$AG$39*70%</f>
        <v>0</v>
      </c>
      <c r="AO39" s="1038"/>
      <c r="AP39" s="1038">
        <f t="shared" si="0"/>
        <v>0</v>
      </c>
      <c r="AQ39" s="1111"/>
      <c r="AR39" s="1027"/>
    </row>
    <row r="40" spans="1:44" s="880" customFormat="1" ht="14.5" hidden="1" customHeight="1" outlineLevel="3">
      <c r="A40" s="533"/>
      <c r="B40" s="1080" t="s">
        <v>2364</v>
      </c>
      <c r="C40" s="1080" t="s">
        <v>1279</v>
      </c>
      <c r="D40" s="703" t="s">
        <v>693</v>
      </c>
      <c r="E40" s="703"/>
      <c r="F40" s="703"/>
      <c r="G40" s="703"/>
      <c r="H40" s="703"/>
      <c r="I40" s="703"/>
      <c r="J40" s="703"/>
      <c r="K40" s="703"/>
      <c r="L40" s="703"/>
      <c r="M40" s="703"/>
      <c r="N40" s="703"/>
      <c r="O40" s="703"/>
      <c r="P40" s="703"/>
      <c r="Q40" s="703"/>
      <c r="R40" s="4671"/>
      <c r="S40" s="4671"/>
      <c r="T40" s="4671"/>
      <c r="U40" s="4671"/>
      <c r="V40" s="4671"/>
      <c r="W40" s="4667"/>
      <c r="X40" s="703"/>
      <c r="Y40" s="4667"/>
      <c r="Z40" s="3843"/>
      <c r="AA40" s="4667"/>
      <c r="AB40" s="4667"/>
      <c r="AC40" s="3795"/>
      <c r="AD40" s="3795"/>
      <c r="AE40" s="4670"/>
      <c r="AF40" s="533"/>
      <c r="AG40" s="728">
        <f>+AD40</f>
        <v>0</v>
      </c>
      <c r="AH40" s="728">
        <v>0</v>
      </c>
      <c r="AI40" s="728">
        <f>+AG40+AH40</f>
        <v>0</v>
      </c>
      <c r="AJ40" s="868"/>
      <c r="AK40" s="728">
        <f>+$AG$40*25%</f>
        <v>0</v>
      </c>
      <c r="AL40" s="728">
        <f>+$AG$40*25%</f>
        <v>0</v>
      </c>
      <c r="AM40" s="728">
        <f>+$AG$40*25%</f>
        <v>0</v>
      </c>
      <c r="AN40" s="728">
        <f>+$AG$40*25%</f>
        <v>0</v>
      </c>
      <c r="AO40" s="728"/>
      <c r="AP40" s="1038">
        <f t="shared" si="0"/>
        <v>0</v>
      </c>
      <c r="AQ40" s="1111"/>
      <c r="AR40" s="1027"/>
    </row>
    <row r="41" spans="1:44" s="153" customFormat="1" ht="29.5" hidden="1" customHeight="1" outlineLevel="2" collapsed="1">
      <c r="A41" s="172"/>
      <c r="B41" s="171" t="s">
        <v>503</v>
      </c>
      <c r="C41" s="171"/>
      <c r="D41" s="538" t="s">
        <v>15</v>
      </c>
      <c r="E41" s="538" t="s">
        <v>4</v>
      </c>
      <c r="F41" s="106" t="s">
        <v>1295</v>
      </c>
      <c r="G41" s="96"/>
      <c r="H41" s="357" t="str">
        <f>+'1_MdR_Limpia'!C34</f>
        <v>Número</v>
      </c>
      <c r="I41" s="357">
        <f>+'1_MdR_Limpia'!D34</f>
        <v>0</v>
      </c>
      <c r="J41" s="357">
        <f>+'1_MdR_Limpia'!E34</f>
        <v>2021</v>
      </c>
      <c r="K41" s="357" t="str">
        <f>+'1_MdR_Limpia'!G34</f>
        <v>-</v>
      </c>
      <c r="L41" s="357" t="str">
        <f>+'1_MdR_Limpia'!H34</f>
        <v>-</v>
      </c>
      <c r="M41" s="357" t="str">
        <f>+'1_MdR_Limpia'!I34</f>
        <v>-</v>
      </c>
      <c r="N41" s="357" t="str">
        <f>+'1_MdR_Limpia'!J34</f>
        <v>-</v>
      </c>
      <c r="O41" s="357">
        <f>+'1_MdR_Limpia'!K34</f>
        <v>1</v>
      </c>
      <c r="P41" s="357">
        <f>+'1_MdR_Limpia'!L34</f>
        <v>1</v>
      </c>
      <c r="Q41" s="96"/>
      <c r="R41" s="358"/>
      <c r="S41" s="358"/>
      <c r="T41" s="358"/>
      <c r="U41" s="358"/>
      <c r="V41" s="358"/>
      <c r="W41" s="174"/>
      <c r="X41" s="96"/>
      <c r="Y41" s="106"/>
      <c r="Z41" s="172"/>
      <c r="AA41" s="172"/>
      <c r="AB41" s="171"/>
      <c r="AC41" s="176"/>
      <c r="AD41" s="1123">
        <f>+AD42+AD43</f>
        <v>497000</v>
      </c>
      <c r="AE41" s="686"/>
      <c r="AF41" s="96"/>
      <c r="AG41" s="176">
        <f>+AG42+AG43</f>
        <v>497000</v>
      </c>
      <c r="AH41" s="176">
        <f>+AH42+AH43</f>
        <v>0</v>
      </c>
      <c r="AI41" s="176">
        <f>+AI42+AI43</f>
        <v>497000</v>
      </c>
      <c r="AJ41" s="865"/>
      <c r="AK41" s="1112">
        <f>+AK42+AK43</f>
        <v>0</v>
      </c>
      <c r="AL41" s="980">
        <f>+AL42+AL43</f>
        <v>49700</v>
      </c>
      <c r="AM41" s="980">
        <f>+AM42+AM43</f>
        <v>99400</v>
      </c>
      <c r="AN41" s="981">
        <f>+AN42+AN43</f>
        <v>248500</v>
      </c>
      <c r="AO41" s="979">
        <f>+AO42+AO43</f>
        <v>99400</v>
      </c>
      <c r="AP41" s="979">
        <f t="shared" si="0"/>
        <v>497000</v>
      </c>
      <c r="AR41" s="1027"/>
    </row>
    <row r="42" spans="1:44" s="879" customFormat="1" ht="92" hidden="1" customHeight="1" outlineLevel="3">
      <c r="A42" s="579"/>
      <c r="B42" s="490" t="s">
        <v>2365</v>
      </c>
      <c r="C42" s="490" t="s">
        <v>1279</v>
      </c>
      <c r="D42" s="1242" t="s">
        <v>706</v>
      </c>
      <c r="E42" s="537"/>
      <c r="F42" s="491"/>
      <c r="G42" s="492"/>
      <c r="H42" s="493"/>
      <c r="I42" s="494"/>
      <c r="J42" s="495"/>
      <c r="K42" s="495"/>
      <c r="L42" s="495"/>
      <c r="M42" s="495"/>
      <c r="N42" s="495"/>
      <c r="O42" s="495"/>
      <c r="P42" s="495"/>
      <c r="Q42" s="492"/>
      <c r="R42" s="494" t="s">
        <v>763</v>
      </c>
      <c r="S42" s="494"/>
      <c r="T42" s="1244" t="s">
        <v>1187</v>
      </c>
      <c r="U42" s="494"/>
      <c r="V42" s="494"/>
      <c r="W42" s="496" t="s">
        <v>3345</v>
      </c>
      <c r="X42" s="492"/>
      <c r="Y42" s="498"/>
      <c r="Z42" s="499"/>
      <c r="AA42" s="500"/>
      <c r="AB42" s="501"/>
      <c r="AC42" s="1243"/>
      <c r="AD42" s="1243">
        <f>Z42*AC42</f>
        <v>0</v>
      </c>
      <c r="AE42" s="775" t="s">
        <v>3346</v>
      </c>
      <c r="AF42" s="492"/>
      <c r="AG42" s="502">
        <f>+AD42</f>
        <v>0</v>
      </c>
      <c r="AH42" s="502"/>
      <c r="AI42" s="503">
        <f>AG42+AH42</f>
        <v>0</v>
      </c>
      <c r="AJ42" s="866"/>
      <c r="AK42" s="983"/>
      <c r="AL42" s="983"/>
      <c r="AM42" s="983"/>
      <c r="AN42" s="984"/>
      <c r="AO42" s="985"/>
      <c r="AP42" s="985">
        <f t="shared" si="0"/>
        <v>0</v>
      </c>
      <c r="AR42" s="1027"/>
    </row>
    <row r="43" spans="1:44" s="108" customFormat="1" ht="240" hidden="1" outlineLevel="3">
      <c r="A43" s="580"/>
      <c r="B43" s="107" t="s">
        <v>2273</v>
      </c>
      <c r="C43" s="107"/>
      <c r="D43" s="533" t="s">
        <v>708</v>
      </c>
      <c r="E43" s="533"/>
      <c r="F43" s="103"/>
      <c r="G43" s="97"/>
      <c r="H43" s="363"/>
      <c r="I43" s="364"/>
      <c r="J43" s="365"/>
      <c r="K43" s="365"/>
      <c r="L43" s="365"/>
      <c r="M43" s="365"/>
      <c r="N43" s="365"/>
      <c r="O43" s="365"/>
      <c r="P43" s="365"/>
      <c r="Q43" s="97"/>
      <c r="R43" s="364" t="s">
        <v>853</v>
      </c>
      <c r="S43" s="364" t="s">
        <v>1075</v>
      </c>
      <c r="T43" s="364" t="s">
        <v>1198</v>
      </c>
      <c r="U43" s="364">
        <f>+'9.3_PA_Det'!$F$41</f>
        <v>13</v>
      </c>
      <c r="V43" s="364"/>
      <c r="W43" s="181" t="s">
        <v>3347</v>
      </c>
      <c r="X43" s="97"/>
      <c r="Y43" s="711" t="s">
        <v>1179</v>
      </c>
      <c r="Z43" s="712">
        <v>1</v>
      </c>
      <c r="AA43" s="179"/>
      <c r="AB43" s="180"/>
      <c r="AC43" s="1048">
        <v>497000</v>
      </c>
      <c r="AD43" s="1048">
        <f>Z43*AC43</f>
        <v>497000</v>
      </c>
      <c r="AE43" s="1042"/>
      <c r="AF43" s="97"/>
      <c r="AG43" s="1032">
        <f>+AD43</f>
        <v>497000</v>
      </c>
      <c r="AH43" s="1032"/>
      <c r="AI43" s="1041">
        <f>AG43+AH43</f>
        <v>497000</v>
      </c>
      <c r="AJ43" s="867"/>
      <c r="AK43" s="986"/>
      <c r="AL43" s="986">
        <f>+$AG$43*10%</f>
        <v>49700</v>
      </c>
      <c r="AM43" s="986">
        <f>+$AG$43*20%</f>
        <v>99400</v>
      </c>
      <c r="AN43" s="986">
        <f>+$AG$43*50%</f>
        <v>248500</v>
      </c>
      <c r="AO43" s="986">
        <f>+$AG$43*20%</f>
        <v>99400</v>
      </c>
      <c r="AP43" s="1038">
        <f t="shared" si="0"/>
        <v>497000</v>
      </c>
      <c r="AR43" s="1027"/>
    </row>
    <row r="44" spans="1:44" s="153" customFormat="1" ht="29.5" hidden="1" customHeight="1" outlineLevel="2" collapsed="1">
      <c r="A44" s="172"/>
      <c r="B44" s="171" t="s">
        <v>504</v>
      </c>
      <c r="C44" s="171"/>
      <c r="D44" s="538" t="s">
        <v>17</v>
      </c>
      <c r="E44" s="538" t="s">
        <v>4</v>
      </c>
      <c r="F44" s="106"/>
      <c r="G44" s="96"/>
      <c r="H44" s="357" t="e">
        <f>+'1_MdR_Limpia'!#REF!</f>
        <v>#REF!</v>
      </c>
      <c r="I44" s="357" t="e">
        <f>+'1_MdR_Limpia'!#REF!</f>
        <v>#REF!</v>
      </c>
      <c r="J44" s="357" t="e">
        <f>+'1_MdR_Limpia'!#REF!</f>
        <v>#REF!</v>
      </c>
      <c r="K44" s="357" t="e">
        <f>+'1_MdR_Limpia'!#REF!</f>
        <v>#REF!</v>
      </c>
      <c r="L44" s="357" t="e">
        <f>+'1_MdR_Limpia'!#REF!</f>
        <v>#REF!</v>
      </c>
      <c r="M44" s="357" t="e">
        <f>+'1_MdR_Limpia'!#REF!</f>
        <v>#REF!</v>
      </c>
      <c r="N44" s="357" t="e">
        <f>+'1_MdR_Limpia'!#REF!</f>
        <v>#REF!</v>
      </c>
      <c r="O44" s="357" t="e">
        <f>+'1_MdR_Limpia'!#REF!</f>
        <v>#REF!</v>
      </c>
      <c r="P44" s="357" t="e">
        <f>+'1_MdR_Limpia'!#REF!</f>
        <v>#REF!</v>
      </c>
      <c r="Q44" s="96"/>
      <c r="R44" s="358"/>
      <c r="S44" s="358"/>
      <c r="T44" s="358"/>
      <c r="U44" s="358"/>
      <c r="V44" s="358"/>
      <c r="W44" s="174"/>
      <c r="X44" s="96"/>
      <c r="Y44" s="106"/>
      <c r="Z44" s="172"/>
      <c r="AA44" s="172"/>
      <c r="AB44" s="171"/>
      <c r="AC44" s="176"/>
      <c r="AD44" s="176">
        <f>+AD45</f>
        <v>1500000</v>
      </c>
      <c r="AE44" s="686"/>
      <c r="AF44" s="96"/>
      <c r="AG44" s="176">
        <f>+AG45</f>
        <v>1500000</v>
      </c>
      <c r="AH44" s="176">
        <f>+AH45</f>
        <v>0</v>
      </c>
      <c r="AI44" s="176">
        <f>+AI45</f>
        <v>1500000</v>
      </c>
      <c r="AJ44" s="865"/>
      <c r="AK44" s="1112">
        <f>+AK45</f>
        <v>0</v>
      </c>
      <c r="AL44" s="980">
        <f>+AL45</f>
        <v>49700</v>
      </c>
      <c r="AM44" s="980">
        <f>+AM45</f>
        <v>99400</v>
      </c>
      <c r="AN44" s="981">
        <f>+AN45</f>
        <v>248500</v>
      </c>
      <c r="AO44" s="979">
        <f>+AO45</f>
        <v>99400</v>
      </c>
      <c r="AP44" s="979">
        <f>SUM(AK44:AO44)</f>
        <v>497000</v>
      </c>
      <c r="AR44" s="1027"/>
    </row>
    <row r="45" spans="1:44" s="108" customFormat="1" ht="30" hidden="1" outlineLevel="3">
      <c r="A45" s="580"/>
      <c r="B45" s="107" t="s">
        <v>2366</v>
      </c>
      <c r="C45" s="107" t="s">
        <v>1279</v>
      </c>
      <c r="D45" s="533" t="s">
        <v>675</v>
      </c>
      <c r="E45" s="533"/>
      <c r="F45" s="103"/>
      <c r="G45" s="97"/>
      <c r="H45" s="363"/>
      <c r="I45" s="364"/>
      <c r="J45" s="365"/>
      <c r="K45" s="365"/>
      <c r="L45" s="365"/>
      <c r="M45" s="365"/>
      <c r="N45" s="365"/>
      <c r="O45" s="365"/>
      <c r="P45" s="365"/>
      <c r="Q45" s="97"/>
      <c r="R45" s="364" t="s">
        <v>3343</v>
      </c>
      <c r="S45" s="364"/>
      <c r="T45" s="364"/>
      <c r="U45" s="364"/>
      <c r="V45" s="364"/>
      <c r="W45" s="181"/>
      <c r="X45" s="97"/>
      <c r="Y45" s="711" t="s">
        <v>1179</v>
      </c>
      <c r="Z45" s="712">
        <v>1</v>
      </c>
      <c r="AA45" s="179"/>
      <c r="AB45" s="180"/>
      <c r="AC45" s="1048">
        <v>1500000</v>
      </c>
      <c r="AD45" s="1048">
        <f>Z45*AC45</f>
        <v>1500000</v>
      </c>
      <c r="AE45" s="1042"/>
      <c r="AF45" s="97"/>
      <c r="AG45" s="1032">
        <f>+AD45</f>
        <v>1500000</v>
      </c>
      <c r="AH45" s="1032"/>
      <c r="AI45" s="1041">
        <f>AG45+AH45</f>
        <v>1500000</v>
      </c>
      <c r="AJ45" s="867"/>
      <c r="AK45" s="986"/>
      <c r="AL45" s="986">
        <f>+$AG$43*10%</f>
        <v>49700</v>
      </c>
      <c r="AM45" s="986">
        <f>+$AG$43*20%</f>
        <v>99400</v>
      </c>
      <c r="AN45" s="986">
        <f>+$AG$43*50%</f>
        <v>248500</v>
      </c>
      <c r="AO45" s="986">
        <f>+$AG$43*20%</f>
        <v>99400</v>
      </c>
      <c r="AP45" s="1038">
        <f>SUM(AK45:AO45)</f>
        <v>497000</v>
      </c>
      <c r="AR45" s="1027"/>
    </row>
    <row r="46" spans="1:44" s="153" customFormat="1" ht="14" hidden="1" customHeight="1" outlineLevel="2" collapsed="1">
      <c r="A46" s="582"/>
      <c r="B46" s="434"/>
      <c r="C46" s="434"/>
      <c r="D46" s="544"/>
      <c r="E46" s="544"/>
      <c r="F46" s="177"/>
      <c r="G46" s="96"/>
      <c r="H46" s="435"/>
      <c r="I46" s="704"/>
      <c r="J46" s="766"/>
      <c r="K46" s="766"/>
      <c r="L46" s="766"/>
      <c r="M46" s="766"/>
      <c r="N46" s="766"/>
      <c r="O46" s="766"/>
      <c r="P46" s="766"/>
      <c r="Q46" s="96"/>
      <c r="R46" s="853"/>
      <c r="S46" s="853"/>
      <c r="T46" s="853"/>
      <c r="U46" s="853"/>
      <c r="V46" s="853"/>
      <c r="W46" s="436"/>
      <c r="X46" s="96"/>
      <c r="Y46" s="173"/>
      <c r="Z46" s="704"/>
      <c r="AA46" s="704"/>
      <c r="AB46" s="354"/>
      <c r="AC46" s="439"/>
      <c r="AD46" s="439"/>
      <c r="AE46" s="688"/>
      <c r="AF46" s="96"/>
      <c r="AG46" s="439">
        <f>+AD46</f>
        <v>0</v>
      </c>
      <c r="AH46" s="439"/>
      <c r="AI46" s="439"/>
      <c r="AJ46" s="865"/>
      <c r="AK46" s="996"/>
      <c r="AL46" s="996"/>
      <c r="AM46" s="996"/>
      <c r="AN46" s="997"/>
      <c r="AO46" s="995"/>
      <c r="AP46" s="995">
        <f t="shared" si="0"/>
        <v>0</v>
      </c>
      <c r="AR46" s="1027"/>
    </row>
    <row r="47" spans="1:44" s="153" customFormat="1" ht="24" customHeight="1" outlineLevel="1" collapsed="1">
      <c r="A47" s="578"/>
      <c r="B47" s="428" t="s">
        <v>505</v>
      </c>
      <c r="C47" s="428"/>
      <c r="D47" s="539" t="s">
        <v>19</v>
      </c>
      <c r="E47" s="539" t="s">
        <v>4</v>
      </c>
      <c r="F47" s="427"/>
      <c r="G47" s="96"/>
      <c r="H47" s="429"/>
      <c r="I47" s="425"/>
      <c r="J47" s="430"/>
      <c r="K47" s="430"/>
      <c r="L47" s="430"/>
      <c r="M47" s="430"/>
      <c r="N47" s="430"/>
      <c r="O47" s="430"/>
      <c r="P47" s="430"/>
      <c r="Q47" s="96"/>
      <c r="R47" s="850"/>
      <c r="S47" s="850"/>
      <c r="T47" s="850"/>
      <c r="U47" s="850"/>
      <c r="V47" s="850"/>
      <c r="W47" s="431"/>
      <c r="X47" s="96"/>
      <c r="Y47" s="426"/>
      <c r="Z47" s="425"/>
      <c r="AA47" s="425"/>
      <c r="AB47" s="432"/>
      <c r="AC47" s="433"/>
      <c r="AD47" s="433">
        <f>AD48+AD79+AD91+AD98+AD72</f>
        <v>15750000</v>
      </c>
      <c r="AE47" s="685"/>
      <c r="AF47" s="96"/>
      <c r="AG47" s="433">
        <f>AG48+AG79+AG91+AG98+AG72</f>
        <v>15750000</v>
      </c>
      <c r="AH47" s="433">
        <f>AH48+AH79+AH91+AH98+AH72</f>
        <v>0</v>
      </c>
      <c r="AI47" s="433">
        <f>AI48+AI79+AI91+AI98+AI72</f>
        <v>15750000</v>
      </c>
      <c r="AJ47" s="865"/>
      <c r="AK47" s="977">
        <f>AK48+AK79+AK91+AK98+AK72</f>
        <v>35000</v>
      </c>
      <c r="AL47" s="977">
        <f>AL48+AL79+AL91+AL98+AL72</f>
        <v>3148000</v>
      </c>
      <c r="AM47" s="977">
        <f>AM48+AM79+AM91+AM98+AM72</f>
        <v>5113000</v>
      </c>
      <c r="AN47" s="978">
        <f>AN48+AN79+AN91+AN98+AN72</f>
        <v>4303000</v>
      </c>
      <c r="AO47" s="976">
        <f>AO48+AO79+AO91+AO98+AO72</f>
        <v>3151000</v>
      </c>
      <c r="AP47" s="976">
        <f t="shared" si="0"/>
        <v>15750000</v>
      </c>
      <c r="AR47" s="1027"/>
    </row>
    <row r="48" spans="1:44" s="153" customFormat="1" ht="50" hidden="1" customHeight="1" outlineLevel="2">
      <c r="A48" s="172"/>
      <c r="B48" s="171" t="s">
        <v>506</v>
      </c>
      <c r="C48" s="171"/>
      <c r="D48" s="538" t="s">
        <v>20</v>
      </c>
      <c r="E48" s="538" t="s">
        <v>4</v>
      </c>
      <c r="F48" s="106" t="s">
        <v>3348</v>
      </c>
      <c r="G48" s="96"/>
      <c r="H48" s="357" t="str">
        <f>+'1_MdR_Limpia'!C39</f>
        <v>Número</v>
      </c>
      <c r="I48" s="357">
        <f>+'1_MdR_Limpia'!D39</f>
        <v>0</v>
      </c>
      <c r="J48" s="357">
        <f>+'1_MdR_Limpia'!E39</f>
        <v>2021</v>
      </c>
      <c r="K48" s="357" t="str">
        <f>+'1_MdR_Limpia'!F39</f>
        <v>-</v>
      </c>
      <c r="L48" s="357" t="str">
        <f>+'1_MdR_Limpia'!G39</f>
        <v>-</v>
      </c>
      <c r="M48" s="357" t="str">
        <f>+'1_MdR_Limpia'!H39</f>
        <v>-</v>
      </c>
      <c r="N48" s="357">
        <f>+'1_MdR_Limpia'!J39</f>
        <v>1</v>
      </c>
      <c r="O48" s="357">
        <f>+'1_MdR_Limpia'!L39</f>
        <v>1</v>
      </c>
      <c r="P48" s="357">
        <f>+'1_MdR_Limpia'!L39</f>
        <v>1</v>
      </c>
      <c r="Q48" s="96"/>
      <c r="R48" s="854"/>
      <c r="S48" s="358"/>
      <c r="T48" s="358"/>
      <c r="U48" s="358"/>
      <c r="V48" s="358"/>
      <c r="W48" s="175"/>
      <c r="X48" s="96"/>
      <c r="Y48" s="394"/>
      <c r="Z48" s="172"/>
      <c r="AA48" s="172"/>
      <c r="AB48" s="171"/>
      <c r="AC48" s="176"/>
      <c r="AD48" s="176">
        <f>+AD49+AD52+AD55+AD60+AD65+AD68</f>
        <v>11060000</v>
      </c>
      <c r="AE48" s="689"/>
      <c r="AF48" s="96"/>
      <c r="AG48" s="176">
        <f>+AG49+AG52+AG55+AG60+AG65+AG68</f>
        <v>11060000</v>
      </c>
      <c r="AH48" s="176">
        <f>+AH49+AH52+AH55+AH60+AH65+AH68</f>
        <v>0</v>
      </c>
      <c r="AI48" s="176">
        <f>+AG48+AH48</f>
        <v>11060000</v>
      </c>
      <c r="AJ48" s="865"/>
      <c r="AK48" s="176">
        <f>+AK49+AK52+AK55+AK60+AK65+AK68</f>
        <v>35000</v>
      </c>
      <c r="AL48" s="176">
        <f>+AL49+AL52+AL55+AL60+AL65+AL68</f>
        <v>550000</v>
      </c>
      <c r="AM48" s="176">
        <f>+AM49+AM52+AM55+AM60+AM65+AM68</f>
        <v>3985000</v>
      </c>
      <c r="AN48" s="176">
        <f>+AN49+AN52+AN55+AN60+AN65+AN68</f>
        <v>3835000</v>
      </c>
      <c r="AO48" s="176">
        <f>+AO49+AO52+AO55+AO60+AO65+AO68</f>
        <v>2655000</v>
      </c>
      <c r="AP48" s="176">
        <f t="shared" si="0"/>
        <v>11060000</v>
      </c>
      <c r="AR48" s="1027"/>
    </row>
    <row r="49" spans="1:52" s="153" customFormat="1" ht="17.5" hidden="1" customHeight="1" outlineLevel="3">
      <c r="A49" s="581"/>
      <c r="B49" s="400" t="s">
        <v>711</v>
      </c>
      <c r="C49" s="400"/>
      <c r="D49" s="536" t="s">
        <v>712</v>
      </c>
      <c r="E49" s="536"/>
      <c r="F49" s="399"/>
      <c r="G49" s="96"/>
      <c r="H49" s="401"/>
      <c r="I49" s="621"/>
      <c r="J49" s="622"/>
      <c r="K49" s="622"/>
      <c r="L49" s="622"/>
      <c r="M49" s="622"/>
      <c r="N49" s="622"/>
      <c r="O49" s="622"/>
      <c r="P49" s="622"/>
      <c r="Q49" s="96"/>
      <c r="R49" s="837"/>
      <c r="S49" s="851"/>
      <c r="T49" s="851"/>
      <c r="U49" s="851"/>
      <c r="V49" s="851"/>
      <c r="W49" s="399"/>
      <c r="X49" s="96"/>
      <c r="Y49" s="1254"/>
      <c r="Z49" s="1255"/>
      <c r="AA49" s="1255"/>
      <c r="AB49" s="1256"/>
      <c r="AC49" s="1257"/>
      <c r="AD49" s="1257">
        <f>SUM(AD50:AD51)</f>
        <v>535000</v>
      </c>
      <c r="AE49" s="1258"/>
      <c r="AF49" s="1259"/>
      <c r="AG49" s="1257">
        <f>SUM(AG50:AG51)</f>
        <v>535000</v>
      </c>
      <c r="AH49" s="1257">
        <f>SUM(AH50:AH51)</f>
        <v>0</v>
      </c>
      <c r="AI49" s="1257">
        <f t="shared" ref="AI49:AI97" si="3">+AG49+AH49</f>
        <v>535000</v>
      </c>
      <c r="AJ49" s="865"/>
      <c r="AK49" s="398">
        <f>SUM(AK50:AK51)</f>
        <v>35000</v>
      </c>
      <c r="AL49" s="398">
        <f>SUM(AL50:AL51)</f>
        <v>500000</v>
      </c>
      <c r="AM49" s="398">
        <f>SUM(AM50:AM51)</f>
        <v>0</v>
      </c>
      <c r="AN49" s="398">
        <f>SUM(AN50:AN51)</f>
        <v>0</v>
      </c>
      <c r="AO49" s="398">
        <f>SUM(AO50:AO51)</f>
        <v>0</v>
      </c>
      <c r="AP49" s="398">
        <f t="shared" si="0"/>
        <v>535000</v>
      </c>
      <c r="AR49" s="1027"/>
    </row>
    <row r="50" spans="1:52" s="881" customFormat="1" ht="47" hidden="1" customHeight="1" outlineLevel="4">
      <c r="A50" s="580"/>
      <c r="B50" s="107" t="s">
        <v>713</v>
      </c>
      <c r="C50" s="107" t="s">
        <v>1279</v>
      </c>
      <c r="D50" s="1393" t="s">
        <v>3349</v>
      </c>
      <c r="E50" s="935"/>
      <c r="F50" s="103" t="s">
        <v>1297</v>
      </c>
      <c r="G50" s="3972"/>
      <c r="H50" s="3974" t="s">
        <v>1298</v>
      </c>
      <c r="I50" s="3972"/>
      <c r="J50" s="3972"/>
      <c r="K50" s="3972"/>
      <c r="L50" s="3972"/>
      <c r="M50" s="3972"/>
      <c r="N50" s="3972"/>
      <c r="O50" s="3972"/>
      <c r="P50" s="3972"/>
      <c r="Q50" s="3972"/>
      <c r="R50" s="1252" t="s">
        <v>715</v>
      </c>
      <c r="S50" s="1252"/>
      <c r="T50" s="1252"/>
      <c r="U50" s="1252"/>
      <c r="V50" s="1252"/>
      <c r="W50" s="1252"/>
      <c r="X50" s="4661"/>
      <c r="Y50" s="620" t="s">
        <v>1179</v>
      </c>
      <c r="Z50" s="619">
        <v>1</v>
      </c>
      <c r="AA50" s="619"/>
      <c r="AB50" s="619"/>
      <c r="AC50" s="619">
        <v>35000</v>
      </c>
      <c r="AD50" s="619">
        <f>+AC50*Z50</f>
        <v>35000</v>
      </c>
      <c r="AE50" s="620"/>
      <c r="AF50" s="620"/>
      <c r="AG50" s="619">
        <f>+AD50</f>
        <v>35000</v>
      </c>
      <c r="AH50" s="619"/>
      <c r="AI50" s="619">
        <f t="shared" si="3"/>
        <v>35000</v>
      </c>
      <c r="AJ50" s="4663"/>
      <c r="AK50" s="1253">
        <f>AI50</f>
        <v>35000</v>
      </c>
      <c r="AL50" s="983"/>
      <c r="AM50" s="983"/>
      <c r="AN50" s="984"/>
      <c r="AO50" s="985"/>
      <c r="AP50" s="985">
        <f t="shared" si="0"/>
        <v>35000</v>
      </c>
      <c r="AQ50" s="108"/>
      <c r="AR50" s="1027"/>
    </row>
    <row r="51" spans="1:52" s="882" customFormat="1" ht="33" hidden="1" customHeight="1" outlineLevel="4">
      <c r="A51" s="580"/>
      <c r="B51" s="107" t="s">
        <v>716</v>
      </c>
      <c r="C51" s="107" t="s">
        <v>1279</v>
      </c>
      <c r="D51" s="1393" t="s">
        <v>3350</v>
      </c>
      <c r="E51" s="935"/>
      <c r="F51" s="103" t="s">
        <v>1300</v>
      </c>
      <c r="G51" s="3973"/>
      <c r="H51" s="3975"/>
      <c r="I51" s="3973"/>
      <c r="J51" s="3973"/>
      <c r="K51" s="3973"/>
      <c r="L51" s="3973"/>
      <c r="M51" s="3973"/>
      <c r="N51" s="3973"/>
      <c r="O51" s="3973"/>
      <c r="P51" s="3973"/>
      <c r="Q51" s="3973"/>
      <c r="R51" s="1252" t="s">
        <v>718</v>
      </c>
      <c r="S51" s="1252"/>
      <c r="T51" s="1252"/>
      <c r="U51" s="1252"/>
      <c r="V51" s="1252"/>
      <c r="W51" s="1252"/>
      <c r="X51" s="4662"/>
      <c r="Y51" s="620" t="s">
        <v>1179</v>
      </c>
      <c r="Z51" s="619">
        <v>1</v>
      </c>
      <c r="AA51" s="619"/>
      <c r="AB51" s="619"/>
      <c r="AC51" s="619">
        <v>500000</v>
      </c>
      <c r="AD51" s="619">
        <f>+AC51*Z51</f>
        <v>500000</v>
      </c>
      <c r="AE51" s="620" t="s">
        <v>3351</v>
      </c>
      <c r="AF51" s="620"/>
      <c r="AG51" s="619">
        <f>+AD51</f>
        <v>500000</v>
      </c>
      <c r="AH51" s="619"/>
      <c r="AI51" s="619">
        <f t="shared" si="3"/>
        <v>500000</v>
      </c>
      <c r="AJ51" s="4664"/>
      <c r="AK51" s="1293"/>
      <c r="AL51" s="1293">
        <f>AI51</f>
        <v>500000</v>
      </c>
      <c r="AM51" s="1293"/>
      <c r="AN51" s="1293"/>
      <c r="AO51" s="1293"/>
      <c r="AP51" s="1293">
        <f t="shared" si="0"/>
        <v>500000</v>
      </c>
      <c r="AQ51" s="108"/>
      <c r="AR51" s="1027"/>
      <c r="AS51" s="881"/>
      <c r="AT51" s="881"/>
      <c r="AU51" s="881"/>
      <c r="AV51" s="881"/>
      <c r="AW51" s="881"/>
      <c r="AX51" s="881"/>
      <c r="AY51" s="881"/>
      <c r="AZ51" s="881"/>
    </row>
    <row r="52" spans="1:52" s="153" customFormat="1" ht="14" hidden="1" customHeight="1" outlineLevel="3">
      <c r="A52" s="581"/>
      <c r="B52" s="400" t="s">
        <v>719</v>
      </c>
      <c r="C52" s="400"/>
      <c r="D52" s="536" t="s">
        <v>720</v>
      </c>
      <c r="E52" s="536"/>
      <c r="F52" s="399" t="s">
        <v>1297</v>
      </c>
      <c r="G52" s="96"/>
      <c r="H52" s="401"/>
      <c r="I52" s="621"/>
      <c r="J52" s="622"/>
      <c r="K52" s="622"/>
      <c r="L52" s="622"/>
      <c r="M52" s="622"/>
      <c r="N52" s="622"/>
      <c r="O52" s="622"/>
      <c r="P52" s="622"/>
      <c r="Q52" s="96"/>
      <c r="R52" s="837"/>
      <c r="S52" s="851"/>
      <c r="T52" s="851"/>
      <c r="U52" s="851"/>
      <c r="V52" s="851"/>
      <c r="W52" s="399"/>
      <c r="X52" s="96"/>
      <c r="Y52" s="1260"/>
      <c r="Z52" s="1261"/>
      <c r="AA52" s="1261"/>
      <c r="AB52" s="1262"/>
      <c r="AC52" s="1263"/>
      <c r="AD52" s="1263">
        <f>SUM(AD53:AD54)</f>
        <v>425000</v>
      </c>
      <c r="AE52" s="1264"/>
      <c r="AF52" s="1265"/>
      <c r="AG52" s="1263">
        <f>SUM(AG53:AG54)</f>
        <v>425000</v>
      </c>
      <c r="AH52" s="1263">
        <f>SUM(AH53:AH54)</f>
        <v>0</v>
      </c>
      <c r="AI52" s="1263">
        <f t="shared" si="3"/>
        <v>425000</v>
      </c>
      <c r="AJ52" s="865"/>
      <c r="AK52" s="992">
        <f>SUM(AK53:AK54)</f>
        <v>0</v>
      </c>
      <c r="AL52" s="992">
        <f>SUM(AL53:AL54)</f>
        <v>50000</v>
      </c>
      <c r="AM52" s="992">
        <f>SUM(AM53:AM54)</f>
        <v>125000</v>
      </c>
      <c r="AN52" s="993">
        <f>SUM(AN53:AN54)</f>
        <v>125000</v>
      </c>
      <c r="AO52" s="994">
        <f>SUM(AO53:AO54)</f>
        <v>125000</v>
      </c>
      <c r="AP52" s="994">
        <f t="shared" si="0"/>
        <v>425000</v>
      </c>
      <c r="AR52" s="1027"/>
    </row>
    <row r="53" spans="1:52" s="881" customFormat="1" ht="27.5" hidden="1" customHeight="1" outlineLevel="4">
      <c r="A53" s="580"/>
      <c r="B53" s="107" t="s">
        <v>721</v>
      </c>
      <c r="C53" s="107"/>
      <c r="D53" s="935" t="s">
        <v>722</v>
      </c>
      <c r="E53" s="935"/>
      <c r="F53" s="103" t="s">
        <v>1300</v>
      </c>
      <c r="G53" s="97"/>
      <c r="H53" s="611" t="s">
        <v>247</v>
      </c>
      <c r="I53" s="361"/>
      <c r="J53" s="361"/>
      <c r="K53" s="361"/>
      <c r="L53" s="361"/>
      <c r="M53" s="361"/>
      <c r="N53" s="361"/>
      <c r="O53" s="361"/>
      <c r="P53" s="361"/>
      <c r="Q53" s="97"/>
      <c r="R53" s="362" t="s">
        <v>723</v>
      </c>
      <c r="S53" s="362"/>
      <c r="T53" s="856"/>
      <c r="U53" s="362"/>
      <c r="V53" s="362"/>
      <c r="W53" s="178"/>
      <c r="X53" s="97"/>
      <c r="Y53" s="711" t="s">
        <v>1179</v>
      </c>
      <c r="Z53" s="712">
        <v>1</v>
      </c>
      <c r="AA53" s="179"/>
      <c r="AB53" s="180"/>
      <c r="AC53" s="618">
        <v>25000</v>
      </c>
      <c r="AD53" s="1032">
        <f>+AC53*Z53</f>
        <v>25000</v>
      </c>
      <c r="AE53" s="1043"/>
      <c r="AF53" s="97"/>
      <c r="AG53" s="1032">
        <f>+AD53</f>
        <v>25000</v>
      </c>
      <c r="AH53" s="1032"/>
      <c r="AI53" s="1041">
        <f t="shared" si="3"/>
        <v>25000</v>
      </c>
      <c r="AJ53" s="867"/>
      <c r="AK53" s="986"/>
      <c r="AL53" s="986">
        <f>+AG53</f>
        <v>25000</v>
      </c>
      <c r="AM53" s="986"/>
      <c r="AN53" s="987"/>
      <c r="AO53" s="728"/>
      <c r="AP53" s="728">
        <f t="shared" si="0"/>
        <v>25000</v>
      </c>
      <c r="AQ53" s="108"/>
      <c r="AR53" s="1027"/>
    </row>
    <row r="54" spans="1:52" s="881" customFormat="1" ht="41.5" hidden="1" customHeight="1" outlineLevel="4">
      <c r="A54" s="580"/>
      <c r="B54" s="107" t="s">
        <v>724</v>
      </c>
      <c r="C54" s="107" t="s">
        <v>1279</v>
      </c>
      <c r="D54" s="935" t="s">
        <v>725</v>
      </c>
      <c r="E54" s="935"/>
      <c r="F54" s="103" t="s">
        <v>1300</v>
      </c>
      <c r="G54" s="97"/>
      <c r="H54" s="611" t="s">
        <v>1305</v>
      </c>
      <c r="I54" s="361"/>
      <c r="J54" s="361"/>
      <c r="K54" s="361"/>
      <c r="L54" s="361"/>
      <c r="M54" s="361"/>
      <c r="N54" s="361"/>
      <c r="O54" s="361"/>
      <c r="P54" s="361"/>
      <c r="Q54" s="97"/>
      <c r="R54" s="1252" t="s">
        <v>726</v>
      </c>
      <c r="S54" s="1252"/>
      <c r="T54" s="1252"/>
      <c r="U54" s="1252"/>
      <c r="V54" s="1252"/>
      <c r="W54" s="1252"/>
      <c r="X54" s="97"/>
      <c r="Y54" s="711" t="s">
        <v>1179</v>
      </c>
      <c r="Z54" s="712">
        <v>1</v>
      </c>
      <c r="AA54" s="179"/>
      <c r="AB54" s="180"/>
      <c r="AC54" s="618">
        <v>400000</v>
      </c>
      <c r="AD54" s="1032">
        <f>+AC54*Z54</f>
        <v>400000</v>
      </c>
      <c r="AE54" s="1043"/>
      <c r="AF54" s="97"/>
      <c r="AG54" s="1032">
        <f>+AD54</f>
        <v>400000</v>
      </c>
      <c r="AH54" s="1032"/>
      <c r="AI54" s="1041">
        <f t="shared" si="3"/>
        <v>400000</v>
      </c>
      <c r="AJ54" s="867"/>
      <c r="AK54" s="986"/>
      <c r="AL54" s="986">
        <v>25000</v>
      </c>
      <c r="AM54" s="986">
        <v>125000</v>
      </c>
      <c r="AN54" s="986">
        <v>125000</v>
      </c>
      <c r="AO54" s="986">
        <v>125000</v>
      </c>
      <c r="AP54" s="986">
        <f t="shared" si="0"/>
        <v>400000</v>
      </c>
      <c r="AQ54" s="108"/>
      <c r="AR54" s="1027"/>
    </row>
    <row r="55" spans="1:52" s="153" customFormat="1" ht="30.75" hidden="1" customHeight="1" outlineLevel="3">
      <c r="A55" s="581"/>
      <c r="B55" s="400" t="s">
        <v>727</v>
      </c>
      <c r="C55" s="400"/>
      <c r="D55" s="536" t="s">
        <v>728</v>
      </c>
      <c r="E55" s="536"/>
      <c r="F55" s="399" t="s">
        <v>1297</v>
      </c>
      <c r="G55" s="96"/>
      <c r="H55" s="401"/>
      <c r="I55" s="621"/>
      <c r="J55" s="622"/>
      <c r="K55" s="622"/>
      <c r="L55" s="622"/>
      <c r="M55" s="622"/>
      <c r="N55" s="622"/>
      <c r="O55" s="622"/>
      <c r="P55" s="622"/>
      <c r="Q55" s="96"/>
      <c r="R55" s="837"/>
      <c r="S55" s="851"/>
      <c r="T55" s="851"/>
      <c r="U55" s="851"/>
      <c r="V55" s="851"/>
      <c r="W55" s="399"/>
      <c r="X55" s="96"/>
      <c r="Y55" s="396"/>
      <c r="Z55" s="397"/>
      <c r="AA55" s="397"/>
      <c r="AB55" s="395"/>
      <c r="AC55" s="398"/>
      <c r="AD55" s="398">
        <f>SUM(AD56:AD59)</f>
        <v>5100000</v>
      </c>
      <c r="AE55" s="691"/>
      <c r="AF55" s="96"/>
      <c r="AG55" s="398">
        <f>SUM(AG56:AG59)</f>
        <v>5100000</v>
      </c>
      <c r="AH55" s="398">
        <f>SUM(AH56:AH59)</f>
        <v>0</v>
      </c>
      <c r="AI55" s="398">
        <f t="shared" si="3"/>
        <v>5100000</v>
      </c>
      <c r="AJ55" s="865"/>
      <c r="AK55" s="992">
        <f>SUM(AK56:AK59)</f>
        <v>0</v>
      </c>
      <c r="AL55" s="992">
        <f>SUM(AL56:AL59)</f>
        <v>0</v>
      </c>
      <c r="AM55" s="992">
        <f>SUM(AM56:AM59)</f>
        <v>2120000</v>
      </c>
      <c r="AN55" s="992">
        <f>SUM(AN56:AN59)</f>
        <v>2220000</v>
      </c>
      <c r="AO55" s="992">
        <f>SUM(AO56:AO59)</f>
        <v>760000</v>
      </c>
      <c r="AP55" s="992">
        <f t="shared" si="0"/>
        <v>5100000</v>
      </c>
      <c r="AR55" s="1027"/>
    </row>
    <row r="56" spans="1:52" s="881" customFormat="1" ht="41.5" hidden="1" customHeight="1" outlineLevel="4">
      <c r="A56" s="580"/>
      <c r="B56" s="107" t="s">
        <v>729</v>
      </c>
      <c r="C56" s="107"/>
      <c r="D56" s="935" t="s">
        <v>730</v>
      </c>
      <c r="E56" s="935"/>
      <c r="F56" s="103" t="s">
        <v>1300</v>
      </c>
      <c r="G56" s="97"/>
      <c r="H56" s="611" t="s">
        <v>1298</v>
      </c>
      <c r="I56" s="361"/>
      <c r="J56" s="361"/>
      <c r="K56" s="361"/>
      <c r="L56" s="361"/>
      <c r="M56" s="361"/>
      <c r="N56" s="361"/>
      <c r="O56" s="361"/>
      <c r="P56" s="361"/>
      <c r="Q56" s="97"/>
      <c r="R56" s="362"/>
      <c r="S56" s="362"/>
      <c r="T56" s="856"/>
      <c r="U56" s="362"/>
      <c r="V56" s="362"/>
      <c r="W56" s="178"/>
      <c r="X56" s="97"/>
      <c r="Y56" s="711" t="s">
        <v>1179</v>
      </c>
      <c r="Z56" s="712">
        <v>1</v>
      </c>
      <c r="AA56" s="179"/>
      <c r="AB56" s="180"/>
      <c r="AC56" s="618">
        <v>3800000</v>
      </c>
      <c r="AD56" s="1032">
        <f t="shared" ref="AD56:AD70" si="4">+AC56*Z56</f>
        <v>3800000</v>
      </c>
      <c r="AE56" s="1043"/>
      <c r="AF56" s="97"/>
      <c r="AG56" s="1032">
        <f>+AD56</f>
        <v>3800000</v>
      </c>
      <c r="AH56" s="1032"/>
      <c r="AI56" s="1041">
        <f t="shared" si="3"/>
        <v>3800000</v>
      </c>
      <c r="AJ56" s="867"/>
      <c r="AK56" s="1294"/>
      <c r="AL56" s="1294"/>
      <c r="AM56" s="1033">
        <f>40%*$AC$56</f>
        <v>1520000</v>
      </c>
      <c r="AN56" s="1033">
        <f>40%*$AC$56</f>
        <v>1520000</v>
      </c>
      <c r="AO56" s="1033">
        <f>20%*$AC$56</f>
        <v>760000</v>
      </c>
      <c r="AP56" s="1033">
        <f t="shared" si="0"/>
        <v>3800000</v>
      </c>
      <c r="AQ56" s="108"/>
      <c r="AR56" s="1027"/>
    </row>
    <row r="57" spans="1:52" s="881" customFormat="1" ht="41.5" hidden="1" customHeight="1" outlineLevel="4">
      <c r="A57" s="580"/>
      <c r="B57" s="107" t="s">
        <v>731</v>
      </c>
      <c r="C57" s="107"/>
      <c r="D57" s="935" t="s">
        <v>732</v>
      </c>
      <c r="E57" s="935"/>
      <c r="F57" s="103"/>
      <c r="G57" s="97"/>
      <c r="H57" s="611" t="s">
        <v>247</v>
      </c>
      <c r="I57" s="361"/>
      <c r="J57" s="361"/>
      <c r="K57" s="361"/>
      <c r="L57" s="361"/>
      <c r="M57" s="361"/>
      <c r="N57" s="361"/>
      <c r="O57" s="361"/>
      <c r="P57" s="361"/>
      <c r="Q57" s="97"/>
      <c r="R57" s="362" t="s">
        <v>723</v>
      </c>
      <c r="S57" s="362"/>
      <c r="T57" s="856" t="s">
        <v>1307</v>
      </c>
      <c r="U57" s="362"/>
      <c r="V57" s="362"/>
      <c r="W57" s="178"/>
      <c r="X57" s="97"/>
      <c r="Y57" s="711" t="s">
        <v>1179</v>
      </c>
      <c r="Z57" s="712">
        <v>1</v>
      </c>
      <c r="AA57" s="179"/>
      <c r="AB57" s="180"/>
      <c r="AC57" s="618">
        <v>200000</v>
      </c>
      <c r="AD57" s="1032">
        <f t="shared" si="4"/>
        <v>200000</v>
      </c>
      <c r="AE57" s="1043"/>
      <c r="AF57" s="97"/>
      <c r="AG57" s="1032">
        <f>+AD57</f>
        <v>200000</v>
      </c>
      <c r="AH57" s="1032"/>
      <c r="AI57" s="1041">
        <f t="shared" si="3"/>
        <v>200000</v>
      </c>
      <c r="AJ57" s="867"/>
      <c r="AK57" s="986"/>
      <c r="AL57" s="986"/>
      <c r="AM57" s="986">
        <f>+AG57*50%</f>
        <v>100000</v>
      </c>
      <c r="AN57" s="987">
        <f>+AG57*50%</f>
        <v>100000</v>
      </c>
      <c r="AO57" s="1000"/>
      <c r="AP57" s="1000">
        <f t="shared" si="0"/>
        <v>200000</v>
      </c>
      <c r="AQ57" s="108"/>
      <c r="AR57" s="1027"/>
    </row>
    <row r="58" spans="1:52" s="881" customFormat="1" ht="41.5" hidden="1" customHeight="1" outlineLevel="4">
      <c r="A58" s="580"/>
      <c r="B58" s="107" t="s">
        <v>733</v>
      </c>
      <c r="C58" s="107"/>
      <c r="D58" s="935" t="s">
        <v>734</v>
      </c>
      <c r="E58" s="935"/>
      <c r="F58" s="103"/>
      <c r="G58" s="97"/>
      <c r="H58" s="620" t="s">
        <v>247</v>
      </c>
      <c r="I58" s="361"/>
      <c r="J58" s="361"/>
      <c r="K58" s="361"/>
      <c r="L58" s="361"/>
      <c r="M58" s="361"/>
      <c r="N58" s="361"/>
      <c r="O58" s="361"/>
      <c r="P58" s="361"/>
      <c r="Q58" s="97"/>
      <c r="R58" s="362" t="s">
        <v>723</v>
      </c>
      <c r="S58" s="362"/>
      <c r="T58" s="856" t="s">
        <v>1310</v>
      </c>
      <c r="U58" s="362"/>
      <c r="V58" s="362"/>
      <c r="W58" s="178"/>
      <c r="X58" s="97"/>
      <c r="Y58" s="711" t="s">
        <v>1179</v>
      </c>
      <c r="Z58" s="712">
        <v>1</v>
      </c>
      <c r="AA58" s="179"/>
      <c r="AB58" s="180"/>
      <c r="AC58" s="619">
        <v>100000</v>
      </c>
      <c r="AD58" s="1032">
        <f t="shared" si="4"/>
        <v>100000</v>
      </c>
      <c r="AE58" s="1043"/>
      <c r="AF58" s="97"/>
      <c r="AG58" s="1032">
        <f>+AD58</f>
        <v>100000</v>
      </c>
      <c r="AH58" s="1032"/>
      <c r="AI58" s="1041">
        <f t="shared" si="3"/>
        <v>100000</v>
      </c>
      <c r="AJ58" s="867"/>
      <c r="AK58" s="986"/>
      <c r="AL58" s="986"/>
      <c r="AM58" s="986"/>
      <c r="AN58" s="987">
        <f>AI58</f>
        <v>100000</v>
      </c>
      <c r="AO58" s="1000"/>
      <c r="AP58" s="1000">
        <f t="shared" si="0"/>
        <v>100000</v>
      </c>
      <c r="AQ58" s="108"/>
      <c r="AR58" s="1027"/>
    </row>
    <row r="59" spans="1:52" s="881" customFormat="1" ht="41.5" hidden="1" customHeight="1" outlineLevel="4">
      <c r="A59" s="580"/>
      <c r="B59" s="107" t="s">
        <v>735</v>
      </c>
      <c r="C59" s="107"/>
      <c r="D59" s="935" t="s">
        <v>736</v>
      </c>
      <c r="E59" s="935"/>
      <c r="F59" s="103"/>
      <c r="G59" s="97"/>
      <c r="H59" s="611" t="s">
        <v>247</v>
      </c>
      <c r="I59" s="361"/>
      <c r="J59" s="361"/>
      <c r="K59" s="361"/>
      <c r="L59" s="361"/>
      <c r="M59" s="361"/>
      <c r="N59" s="361"/>
      <c r="O59" s="361"/>
      <c r="P59" s="361"/>
      <c r="Q59" s="97"/>
      <c r="R59" s="362" t="s">
        <v>723</v>
      </c>
      <c r="S59" s="362"/>
      <c r="T59" s="856" t="s">
        <v>1310</v>
      </c>
      <c r="U59" s="362"/>
      <c r="V59" s="362"/>
      <c r="W59" s="178"/>
      <c r="X59" s="97"/>
      <c r="Y59" s="711" t="s">
        <v>1179</v>
      </c>
      <c r="Z59" s="712">
        <v>1</v>
      </c>
      <c r="AA59" s="179"/>
      <c r="AB59" s="180"/>
      <c r="AC59" s="618">
        <v>1000000</v>
      </c>
      <c r="AD59" s="1032">
        <f t="shared" si="4"/>
        <v>1000000</v>
      </c>
      <c r="AE59" s="1043"/>
      <c r="AF59" s="97"/>
      <c r="AG59" s="1032">
        <f>+AD59</f>
        <v>1000000</v>
      </c>
      <c r="AH59" s="1032"/>
      <c r="AI59" s="1041">
        <f t="shared" si="3"/>
        <v>1000000</v>
      </c>
      <c r="AJ59" s="867"/>
      <c r="AK59" s="1015"/>
      <c r="AL59" s="1015"/>
      <c r="AM59" s="1015">
        <f>+AG59*50%</f>
        <v>500000</v>
      </c>
      <c r="AN59" s="1031">
        <f>+AG59*50%</f>
        <v>500000</v>
      </c>
      <c r="AO59" s="1295"/>
      <c r="AP59" s="1295">
        <f t="shared" si="0"/>
        <v>1000000</v>
      </c>
      <c r="AQ59" s="108"/>
      <c r="AR59" s="1027"/>
    </row>
    <row r="60" spans="1:52" s="153" customFormat="1" ht="39.5" hidden="1" customHeight="1" outlineLevel="3">
      <c r="A60" s="581"/>
      <c r="B60" s="400" t="s">
        <v>737</v>
      </c>
      <c r="C60" s="400"/>
      <c r="D60" s="536" t="s">
        <v>738</v>
      </c>
      <c r="E60" s="536"/>
      <c r="F60" s="399" t="s">
        <v>1297</v>
      </c>
      <c r="G60" s="96"/>
      <c r="H60" s="401"/>
      <c r="I60" s="621"/>
      <c r="J60" s="622"/>
      <c r="K60" s="622"/>
      <c r="L60" s="622"/>
      <c r="M60" s="622"/>
      <c r="N60" s="622"/>
      <c r="O60" s="622"/>
      <c r="P60" s="622"/>
      <c r="Q60" s="96"/>
      <c r="R60" s="837"/>
      <c r="S60" s="851"/>
      <c r="T60" s="851"/>
      <c r="U60" s="851"/>
      <c r="V60" s="851"/>
      <c r="W60" s="399"/>
      <c r="X60" s="96"/>
      <c r="Y60" s="396"/>
      <c r="Z60" s="397"/>
      <c r="AA60" s="397"/>
      <c r="AB60" s="395"/>
      <c r="AC60" s="398"/>
      <c r="AD60" s="398">
        <f>SUM(AD61:AD64)</f>
        <v>2400000</v>
      </c>
      <c r="AE60" s="691"/>
      <c r="AF60" s="96"/>
      <c r="AG60" s="398">
        <f>SUM(AG61:AG64)</f>
        <v>2400000</v>
      </c>
      <c r="AH60" s="398">
        <f>SUM(AH61:AH64)</f>
        <v>0</v>
      </c>
      <c r="AI60" s="398">
        <f t="shared" si="3"/>
        <v>2400000</v>
      </c>
      <c r="AJ60" s="865"/>
      <c r="AK60" s="992">
        <f>SUM(AK61:AK64)</f>
        <v>0</v>
      </c>
      <c r="AL60" s="992">
        <f>SUM(AL61:AL64)</f>
        <v>0</v>
      </c>
      <c r="AM60" s="992">
        <f>SUM(AM61:AM64)</f>
        <v>0</v>
      </c>
      <c r="AN60" s="993">
        <f>SUM(AN61:AN64)</f>
        <v>1060000</v>
      </c>
      <c r="AO60" s="994">
        <f>SUM(AO61:AO64)</f>
        <v>1340000</v>
      </c>
      <c r="AP60" s="994">
        <f t="shared" si="0"/>
        <v>2400000</v>
      </c>
      <c r="AR60" s="1027"/>
    </row>
    <row r="61" spans="1:52" s="882" customFormat="1" ht="27.5" hidden="1" customHeight="1" outlineLevel="4">
      <c r="A61" s="580"/>
      <c r="B61" s="107" t="s">
        <v>739</v>
      </c>
      <c r="C61" s="107"/>
      <c r="D61" s="1266" t="s">
        <v>740</v>
      </c>
      <c r="E61" s="611"/>
      <c r="F61" s="103" t="s">
        <v>1300</v>
      </c>
      <c r="G61" s="97"/>
      <c r="H61" s="611" t="s">
        <v>247</v>
      </c>
      <c r="I61" s="361"/>
      <c r="J61" s="361"/>
      <c r="K61" s="361"/>
      <c r="L61" s="361"/>
      <c r="M61" s="361"/>
      <c r="N61" s="361"/>
      <c r="O61" s="361"/>
      <c r="P61" s="361"/>
      <c r="Q61" s="97"/>
      <c r="R61" s="362" t="s">
        <v>723</v>
      </c>
      <c r="S61" s="362"/>
      <c r="T61" s="362" t="s">
        <v>1307</v>
      </c>
      <c r="U61" s="362"/>
      <c r="V61" s="362"/>
      <c r="W61" s="178"/>
      <c r="X61" s="97"/>
      <c r="Y61" s="711" t="s">
        <v>1179</v>
      </c>
      <c r="Z61" s="712">
        <v>1</v>
      </c>
      <c r="AA61" s="179"/>
      <c r="AB61" s="180"/>
      <c r="AC61" s="618">
        <v>1400000</v>
      </c>
      <c r="AD61" s="1032">
        <f t="shared" si="4"/>
        <v>1400000</v>
      </c>
      <c r="AE61" s="1267" t="s">
        <v>1314</v>
      </c>
      <c r="AF61" s="97"/>
      <c r="AG61" s="1032">
        <f>+AD61</f>
        <v>1400000</v>
      </c>
      <c r="AH61" s="1032"/>
      <c r="AI61" s="1041">
        <f t="shared" si="3"/>
        <v>1400000</v>
      </c>
      <c r="AJ61" s="867"/>
      <c r="AK61" s="986"/>
      <c r="AL61" s="986"/>
      <c r="AM61" s="986"/>
      <c r="AN61" s="987">
        <f>+AG61*40%</f>
        <v>560000</v>
      </c>
      <c r="AO61" s="986">
        <f>+AI61*60%</f>
        <v>840000</v>
      </c>
      <c r="AP61" s="986">
        <f t="shared" si="0"/>
        <v>1400000</v>
      </c>
      <c r="AQ61" s="108"/>
      <c r="AR61" s="1027"/>
      <c r="AS61" s="881"/>
      <c r="AT61" s="881"/>
      <c r="AU61" s="881"/>
      <c r="AV61" s="881"/>
      <c r="AW61" s="881"/>
      <c r="AX61" s="881"/>
      <c r="AY61" s="881"/>
      <c r="AZ61" s="881"/>
    </row>
    <row r="62" spans="1:52" s="882" customFormat="1" ht="27.5" hidden="1" customHeight="1" outlineLevel="4">
      <c r="A62" s="580"/>
      <c r="B62" s="107" t="s">
        <v>741</v>
      </c>
      <c r="C62" s="107"/>
      <c r="D62" s="611" t="s">
        <v>742</v>
      </c>
      <c r="E62" s="611"/>
      <c r="F62" s="103" t="s">
        <v>1300</v>
      </c>
      <c r="G62" s="97"/>
      <c r="H62" s="611" t="s">
        <v>247</v>
      </c>
      <c r="I62" s="361"/>
      <c r="J62" s="361"/>
      <c r="K62" s="361"/>
      <c r="L62" s="361"/>
      <c r="M62" s="361"/>
      <c r="N62" s="361"/>
      <c r="O62" s="361"/>
      <c r="P62" s="361"/>
      <c r="Q62" s="97"/>
      <c r="R62" s="362" t="s">
        <v>723</v>
      </c>
      <c r="S62" s="362"/>
      <c r="T62" s="362" t="s">
        <v>1315</v>
      </c>
      <c r="U62" s="362"/>
      <c r="V62" s="362"/>
      <c r="W62" s="178"/>
      <c r="X62" s="97"/>
      <c r="Y62" s="711" t="s">
        <v>1179</v>
      </c>
      <c r="Z62" s="712">
        <v>1</v>
      </c>
      <c r="AA62" s="179"/>
      <c r="AB62" s="180"/>
      <c r="AC62" s="618">
        <v>600000</v>
      </c>
      <c r="AD62" s="1032">
        <f t="shared" si="4"/>
        <v>600000</v>
      </c>
      <c r="AE62" s="1043"/>
      <c r="AF62" s="97"/>
      <c r="AG62" s="1032">
        <f t="shared" ref="AG62:AG67" si="5">+AD62</f>
        <v>600000</v>
      </c>
      <c r="AH62" s="1032"/>
      <c r="AI62" s="1041">
        <f t="shared" si="3"/>
        <v>600000</v>
      </c>
      <c r="AJ62" s="867"/>
      <c r="AK62" s="986"/>
      <c r="AL62" s="986"/>
      <c r="AM62" s="986"/>
      <c r="AN62" s="987">
        <f>+AG62*50%</f>
        <v>300000</v>
      </c>
      <c r="AO62" s="986">
        <f>+AI62*50%</f>
        <v>300000</v>
      </c>
      <c r="AP62" s="986">
        <f t="shared" si="0"/>
        <v>600000</v>
      </c>
      <c r="AQ62" s="108"/>
      <c r="AR62" s="1027"/>
      <c r="AS62" s="881"/>
      <c r="AT62" s="881"/>
      <c r="AU62" s="881"/>
      <c r="AV62" s="881"/>
      <c r="AW62" s="881"/>
      <c r="AX62" s="881"/>
      <c r="AY62" s="881"/>
      <c r="AZ62" s="881"/>
    </row>
    <row r="63" spans="1:52" s="882" customFormat="1" ht="27.5" hidden="1" customHeight="1" outlineLevel="4">
      <c r="A63" s="580"/>
      <c r="B63" s="107" t="s">
        <v>743</v>
      </c>
      <c r="C63" s="107"/>
      <c r="D63" s="611" t="s">
        <v>744</v>
      </c>
      <c r="E63" s="611"/>
      <c r="F63" s="103"/>
      <c r="G63" s="97"/>
      <c r="H63" s="611" t="s">
        <v>247</v>
      </c>
      <c r="I63" s="361"/>
      <c r="J63" s="361"/>
      <c r="K63" s="361"/>
      <c r="L63" s="361"/>
      <c r="M63" s="361"/>
      <c r="N63" s="361"/>
      <c r="O63" s="361"/>
      <c r="P63" s="361"/>
      <c r="Q63" s="97"/>
      <c r="R63" s="362" t="s">
        <v>723</v>
      </c>
      <c r="S63" s="362"/>
      <c r="T63" s="362" t="s">
        <v>1315</v>
      </c>
      <c r="U63" s="362"/>
      <c r="V63" s="362"/>
      <c r="W63" s="178"/>
      <c r="X63" s="97"/>
      <c r="Y63" s="711" t="s">
        <v>1179</v>
      </c>
      <c r="Z63" s="712">
        <v>1</v>
      </c>
      <c r="AA63" s="179"/>
      <c r="AB63" s="180"/>
      <c r="AC63" s="618">
        <v>100000</v>
      </c>
      <c r="AD63" s="1032">
        <f t="shared" si="4"/>
        <v>100000</v>
      </c>
      <c r="AE63" s="1043"/>
      <c r="AF63" s="97"/>
      <c r="AG63" s="1032">
        <f t="shared" si="5"/>
        <v>100000</v>
      </c>
      <c r="AH63" s="1032"/>
      <c r="AI63" s="1041">
        <f t="shared" si="3"/>
        <v>100000</v>
      </c>
      <c r="AJ63" s="867"/>
      <c r="AK63" s="986"/>
      <c r="AL63" s="986"/>
      <c r="AM63" s="986"/>
      <c r="AN63" s="987">
        <f>+AI63*50%</f>
        <v>50000</v>
      </c>
      <c r="AO63" s="986">
        <f>+AI63*50%</f>
        <v>50000</v>
      </c>
      <c r="AP63" s="986">
        <f t="shared" si="0"/>
        <v>100000</v>
      </c>
      <c r="AQ63" s="108"/>
      <c r="AR63" s="1027"/>
      <c r="AS63" s="881"/>
      <c r="AT63" s="881"/>
      <c r="AU63" s="881"/>
      <c r="AV63" s="881"/>
      <c r="AW63" s="881"/>
      <c r="AX63" s="881"/>
      <c r="AY63" s="881"/>
      <c r="AZ63" s="881"/>
    </row>
    <row r="64" spans="1:52" s="882" customFormat="1" ht="27.5" hidden="1" customHeight="1" outlineLevel="4">
      <c r="A64" s="580"/>
      <c r="B64" s="107" t="s">
        <v>745</v>
      </c>
      <c r="C64" s="107"/>
      <c r="D64" s="611" t="s">
        <v>746</v>
      </c>
      <c r="E64" s="611"/>
      <c r="F64" s="103"/>
      <c r="G64" s="97"/>
      <c r="H64" s="611" t="s">
        <v>1298</v>
      </c>
      <c r="I64" s="361"/>
      <c r="J64" s="361"/>
      <c r="K64" s="361"/>
      <c r="L64" s="361"/>
      <c r="M64" s="361"/>
      <c r="N64" s="361"/>
      <c r="O64" s="361"/>
      <c r="P64" s="361"/>
      <c r="Q64" s="97"/>
      <c r="R64" s="362" t="s">
        <v>723</v>
      </c>
      <c r="S64" s="362"/>
      <c r="T64" s="362" t="s">
        <v>1315</v>
      </c>
      <c r="U64" s="362"/>
      <c r="V64" s="362"/>
      <c r="W64" s="178"/>
      <c r="X64" s="97"/>
      <c r="Y64" s="711" t="s">
        <v>1179</v>
      </c>
      <c r="Z64" s="712">
        <v>1</v>
      </c>
      <c r="AA64" s="179"/>
      <c r="AB64" s="180"/>
      <c r="AC64" s="618">
        <v>300000</v>
      </c>
      <c r="AD64" s="1032">
        <f t="shared" si="4"/>
        <v>300000</v>
      </c>
      <c r="AE64" s="1043"/>
      <c r="AF64" s="97"/>
      <c r="AG64" s="1032">
        <f t="shared" si="5"/>
        <v>300000</v>
      </c>
      <c r="AH64" s="1032"/>
      <c r="AI64" s="1041">
        <f t="shared" si="3"/>
        <v>300000</v>
      </c>
      <c r="AJ64" s="867"/>
      <c r="AK64" s="986"/>
      <c r="AL64" s="986"/>
      <c r="AM64" s="986"/>
      <c r="AN64" s="987">
        <f>+AG64*50%</f>
        <v>150000</v>
      </c>
      <c r="AO64" s="986">
        <f>+AI64*50%</f>
        <v>150000</v>
      </c>
      <c r="AP64" s="986">
        <f t="shared" si="0"/>
        <v>300000</v>
      </c>
      <c r="AQ64" s="108"/>
      <c r="AR64" s="1027"/>
      <c r="AS64" s="881"/>
      <c r="AT64" s="881"/>
      <c r="AU64" s="881"/>
      <c r="AV64" s="881"/>
      <c r="AW64" s="881"/>
      <c r="AX64" s="881"/>
      <c r="AY64" s="881"/>
      <c r="AZ64" s="881"/>
    </row>
    <row r="65" spans="1:52" s="153" customFormat="1" ht="14" hidden="1" customHeight="1" outlineLevel="3">
      <c r="A65" s="581"/>
      <c r="B65" s="400" t="s">
        <v>747</v>
      </c>
      <c r="C65" s="400"/>
      <c r="D65" s="536" t="s">
        <v>748</v>
      </c>
      <c r="E65" s="536"/>
      <c r="F65" s="399" t="s">
        <v>1297</v>
      </c>
      <c r="G65" s="96"/>
      <c r="H65" s="401"/>
      <c r="I65" s="621"/>
      <c r="J65" s="622"/>
      <c r="K65" s="622"/>
      <c r="L65" s="622"/>
      <c r="M65" s="622"/>
      <c r="N65" s="622"/>
      <c r="O65" s="622"/>
      <c r="P65" s="622"/>
      <c r="Q65" s="96"/>
      <c r="R65" s="837"/>
      <c r="S65" s="851"/>
      <c r="T65" s="851"/>
      <c r="U65" s="851"/>
      <c r="V65" s="851"/>
      <c r="W65" s="399"/>
      <c r="X65" s="96"/>
      <c r="Y65" s="396"/>
      <c r="Z65" s="397"/>
      <c r="AA65" s="397"/>
      <c r="AB65" s="395"/>
      <c r="AC65" s="398"/>
      <c r="AD65" s="398">
        <f>SUM(AD66:AD67)</f>
        <v>2100000</v>
      </c>
      <c r="AE65" s="691"/>
      <c r="AF65" s="96"/>
      <c r="AG65" s="398">
        <f>SUM(AG66:AG67)</f>
        <v>2100000</v>
      </c>
      <c r="AH65" s="398">
        <f>SUM(AH66:AH67)</f>
        <v>0</v>
      </c>
      <c r="AI65" s="398">
        <f>SUM(AI66:AI67)</f>
        <v>2100000</v>
      </c>
      <c r="AJ65" s="865"/>
      <c r="AK65" s="992">
        <f>SUM(AK66:AK67)</f>
        <v>0</v>
      </c>
      <c r="AL65" s="992">
        <f>SUM(AL66:AL67)</f>
        <v>0</v>
      </c>
      <c r="AM65" s="992">
        <f>SUM(AM66:AM67)</f>
        <v>1600000</v>
      </c>
      <c r="AN65" s="993">
        <f>SUM(AN66:AN67)</f>
        <v>250000</v>
      </c>
      <c r="AO65" s="994">
        <f>SUM(AO66:AO67)</f>
        <v>250000</v>
      </c>
      <c r="AP65" s="994">
        <f t="shared" ref="AP65:AP70" si="6">SUM(AK65:AO65)</f>
        <v>2100000</v>
      </c>
      <c r="AR65" s="1027"/>
    </row>
    <row r="66" spans="1:52" s="882" customFormat="1" ht="41.5" hidden="1" customHeight="1" outlineLevel="4">
      <c r="A66" s="580"/>
      <c r="B66" s="107" t="s">
        <v>749</v>
      </c>
      <c r="C66" s="107"/>
      <c r="D66" s="935" t="s">
        <v>750</v>
      </c>
      <c r="E66" s="935"/>
      <c r="F66" s="103" t="s">
        <v>1300</v>
      </c>
      <c r="G66" s="97"/>
      <c r="H66" s="611" t="s">
        <v>1319</v>
      </c>
      <c r="I66" s="361"/>
      <c r="J66" s="361"/>
      <c r="K66" s="361"/>
      <c r="L66" s="361"/>
      <c r="M66" s="361"/>
      <c r="N66" s="361"/>
      <c r="O66" s="361"/>
      <c r="P66" s="361"/>
      <c r="Q66" s="97"/>
      <c r="R66" s="362" t="s">
        <v>723</v>
      </c>
      <c r="S66" s="362"/>
      <c r="T66" s="856" t="s">
        <v>1315</v>
      </c>
      <c r="U66" s="362"/>
      <c r="V66" s="362"/>
      <c r="W66" s="178"/>
      <c r="X66" s="97"/>
      <c r="Y66" s="711" t="s">
        <v>1179</v>
      </c>
      <c r="Z66" s="712">
        <v>1</v>
      </c>
      <c r="AA66" s="179"/>
      <c r="AB66" s="180"/>
      <c r="AC66" s="618">
        <v>1600000</v>
      </c>
      <c r="AD66" s="1032">
        <f t="shared" si="4"/>
        <v>1600000</v>
      </c>
      <c r="AE66" s="1043"/>
      <c r="AF66" s="97"/>
      <c r="AG66" s="1032">
        <f t="shared" si="5"/>
        <v>1600000</v>
      </c>
      <c r="AH66" s="1032"/>
      <c r="AI66" s="1041">
        <f t="shared" si="3"/>
        <v>1600000</v>
      </c>
      <c r="AJ66" s="867"/>
      <c r="AK66" s="986"/>
      <c r="AL66" s="986"/>
      <c r="AM66" s="986">
        <f>+AG66</f>
        <v>1600000</v>
      </c>
      <c r="AN66" s="987"/>
      <c r="AO66" s="987">
        <f>+AH66*50%</f>
        <v>0</v>
      </c>
      <c r="AP66" s="987">
        <f t="shared" si="6"/>
        <v>1600000</v>
      </c>
      <c r="AQ66" s="108"/>
      <c r="AR66" s="1027"/>
      <c r="AS66" s="881"/>
      <c r="AT66" s="881"/>
      <c r="AU66" s="881"/>
      <c r="AV66" s="881"/>
      <c r="AW66" s="881"/>
      <c r="AX66" s="881"/>
      <c r="AY66" s="881"/>
      <c r="AZ66" s="881"/>
    </row>
    <row r="67" spans="1:52" s="882" customFormat="1" ht="41.5" hidden="1" customHeight="1" outlineLevel="4">
      <c r="A67" s="580"/>
      <c r="B67" s="107" t="s">
        <v>751</v>
      </c>
      <c r="C67" s="107"/>
      <c r="D67" s="935" t="s">
        <v>752</v>
      </c>
      <c r="E67" s="935"/>
      <c r="F67" s="103" t="s">
        <v>1300</v>
      </c>
      <c r="G67" s="97"/>
      <c r="H67" s="611" t="s">
        <v>247</v>
      </c>
      <c r="I67" s="361"/>
      <c r="J67" s="361"/>
      <c r="K67" s="361"/>
      <c r="L67" s="361"/>
      <c r="M67" s="361"/>
      <c r="N67" s="361"/>
      <c r="O67" s="361"/>
      <c r="P67" s="361"/>
      <c r="Q67" s="97"/>
      <c r="R67" s="362" t="s">
        <v>723</v>
      </c>
      <c r="S67" s="362"/>
      <c r="T67" s="856" t="s">
        <v>1307</v>
      </c>
      <c r="U67" s="362"/>
      <c r="V67" s="362"/>
      <c r="W67" s="178"/>
      <c r="X67" s="97"/>
      <c r="Y67" s="711" t="s">
        <v>1179</v>
      </c>
      <c r="Z67" s="712">
        <v>1</v>
      </c>
      <c r="AA67" s="179"/>
      <c r="AB67" s="180"/>
      <c r="AC67" s="618">
        <v>500000</v>
      </c>
      <c r="AD67" s="1032">
        <f t="shared" si="4"/>
        <v>500000</v>
      </c>
      <c r="AE67" s="1043"/>
      <c r="AF67" s="97"/>
      <c r="AG67" s="1032">
        <f t="shared" si="5"/>
        <v>500000</v>
      </c>
      <c r="AH67" s="1032"/>
      <c r="AI67" s="1041">
        <f t="shared" si="3"/>
        <v>500000</v>
      </c>
      <c r="AJ67" s="867"/>
      <c r="AK67" s="986"/>
      <c r="AL67" s="986"/>
      <c r="AM67" s="986"/>
      <c r="AN67" s="987">
        <f>+AG67*50%</f>
        <v>250000</v>
      </c>
      <c r="AO67" s="987">
        <f>+AG67*50%</f>
        <v>250000</v>
      </c>
      <c r="AP67" s="987">
        <f t="shared" si="6"/>
        <v>500000</v>
      </c>
      <c r="AQ67" s="108"/>
      <c r="AR67" s="1027"/>
      <c r="AS67" s="881"/>
      <c r="AT67" s="881"/>
      <c r="AU67" s="881"/>
      <c r="AV67" s="881"/>
      <c r="AW67" s="881"/>
      <c r="AX67" s="881"/>
      <c r="AY67" s="881"/>
      <c r="AZ67" s="881"/>
    </row>
    <row r="68" spans="1:52" s="153" customFormat="1" ht="23.5" hidden="1" customHeight="1" outlineLevel="3">
      <c r="A68" s="581"/>
      <c r="B68" s="400" t="s">
        <v>753</v>
      </c>
      <c r="C68" s="400"/>
      <c r="D68" s="536" t="s">
        <v>754</v>
      </c>
      <c r="E68" s="536"/>
      <c r="F68" s="399" t="s">
        <v>1297</v>
      </c>
      <c r="G68" s="96"/>
      <c r="H68" s="401"/>
      <c r="I68" s="621"/>
      <c r="J68" s="622"/>
      <c r="K68" s="622"/>
      <c r="L68" s="622"/>
      <c r="M68" s="622"/>
      <c r="N68" s="622"/>
      <c r="O68" s="622"/>
      <c r="P68" s="622"/>
      <c r="Q68" s="96"/>
      <c r="R68" s="837"/>
      <c r="S68" s="851"/>
      <c r="T68" s="851"/>
      <c r="U68" s="851"/>
      <c r="V68" s="851"/>
      <c r="W68" s="399"/>
      <c r="X68" s="96"/>
      <c r="Y68" s="396"/>
      <c r="Z68" s="397"/>
      <c r="AA68" s="397"/>
      <c r="AB68" s="395"/>
      <c r="AC68" s="398"/>
      <c r="AD68" s="398">
        <f>SUM(AD69:AD70)</f>
        <v>500000</v>
      </c>
      <c r="AE68" s="691"/>
      <c r="AF68" s="96"/>
      <c r="AG68" s="398">
        <f>SUM(AG69:AG70)</f>
        <v>500000</v>
      </c>
      <c r="AH68" s="398">
        <f>SUM(AH69:AH70)</f>
        <v>0</v>
      </c>
      <c r="AI68" s="398">
        <f t="shared" si="3"/>
        <v>500000</v>
      </c>
      <c r="AJ68" s="865"/>
      <c r="AK68" s="992">
        <f>SUM(AK69:AK70)</f>
        <v>0</v>
      </c>
      <c r="AL68" s="992">
        <f>SUM(AL69:AL70)</f>
        <v>0</v>
      </c>
      <c r="AM68" s="992">
        <f>SUM(AM69:AM70)</f>
        <v>140000</v>
      </c>
      <c r="AN68" s="993">
        <f>SUM(AN69:AN70)</f>
        <v>180000</v>
      </c>
      <c r="AO68" s="994">
        <f>SUM(AO69:AO70)</f>
        <v>180000</v>
      </c>
      <c r="AP68" s="994">
        <f t="shared" si="6"/>
        <v>500000</v>
      </c>
      <c r="AR68" s="1027"/>
    </row>
    <row r="69" spans="1:52" s="882" customFormat="1" ht="27.5" hidden="1" customHeight="1" outlineLevel="4">
      <c r="A69" s="580"/>
      <c r="B69" s="107" t="s">
        <v>755</v>
      </c>
      <c r="C69" s="107"/>
      <c r="D69" s="935" t="s">
        <v>756</v>
      </c>
      <c r="E69" s="935"/>
      <c r="F69" s="103" t="s">
        <v>1300</v>
      </c>
      <c r="G69" s="97"/>
      <c r="H69" s="611" t="s">
        <v>1319</v>
      </c>
      <c r="I69" s="361"/>
      <c r="J69" s="361"/>
      <c r="K69" s="361"/>
      <c r="L69" s="361"/>
      <c r="M69" s="361"/>
      <c r="N69" s="361"/>
      <c r="O69" s="361"/>
      <c r="P69" s="361"/>
      <c r="Q69" s="97"/>
      <c r="R69" s="362" t="s">
        <v>723</v>
      </c>
      <c r="S69" s="362"/>
      <c r="T69" s="856" t="s">
        <v>1315</v>
      </c>
      <c r="U69" s="362"/>
      <c r="V69" s="362"/>
      <c r="W69" s="178"/>
      <c r="X69" s="97"/>
      <c r="Y69" s="711" t="s">
        <v>1179</v>
      </c>
      <c r="Z69" s="712">
        <v>1</v>
      </c>
      <c r="AA69" s="179"/>
      <c r="AB69" s="180"/>
      <c r="AC69" s="618">
        <v>100000</v>
      </c>
      <c r="AD69" s="1032">
        <f t="shared" si="4"/>
        <v>100000</v>
      </c>
      <c r="AE69" s="1043"/>
      <c r="AF69" s="97"/>
      <c r="AG69" s="1032">
        <f>+AD69</f>
        <v>100000</v>
      </c>
      <c r="AH69" s="1032"/>
      <c r="AI69" s="1041">
        <f t="shared" si="3"/>
        <v>100000</v>
      </c>
      <c r="AJ69" s="867"/>
      <c r="AK69" s="986"/>
      <c r="AL69" s="986"/>
      <c r="AM69" s="986">
        <f>+AG69</f>
        <v>100000</v>
      </c>
      <c r="AN69" s="987"/>
      <c r="AO69" s="986"/>
      <c r="AP69" s="986">
        <f t="shared" si="6"/>
        <v>100000</v>
      </c>
      <c r="AQ69" s="108"/>
      <c r="AR69" s="1027"/>
      <c r="AS69" s="881"/>
      <c r="AT69" s="881"/>
      <c r="AU69" s="881"/>
      <c r="AV69" s="881"/>
      <c r="AW69" s="881"/>
      <c r="AX69" s="881"/>
      <c r="AY69" s="881"/>
      <c r="AZ69" s="881"/>
    </row>
    <row r="70" spans="1:52" s="882" customFormat="1" ht="27.5" hidden="1" customHeight="1" outlineLevel="4">
      <c r="A70" s="580"/>
      <c r="B70" s="107" t="s">
        <v>757</v>
      </c>
      <c r="C70" s="107"/>
      <c r="D70" s="935" t="s">
        <v>758</v>
      </c>
      <c r="E70" s="935"/>
      <c r="F70" s="103" t="s">
        <v>1300</v>
      </c>
      <c r="G70" s="97"/>
      <c r="H70" s="611" t="s">
        <v>1323</v>
      </c>
      <c r="I70" s="361"/>
      <c r="J70" s="361"/>
      <c r="K70" s="361"/>
      <c r="L70" s="361"/>
      <c r="M70" s="361"/>
      <c r="N70" s="361"/>
      <c r="O70" s="361"/>
      <c r="P70" s="361"/>
      <c r="Q70" s="97"/>
      <c r="R70" s="362" t="s">
        <v>723</v>
      </c>
      <c r="S70" s="362"/>
      <c r="T70" s="856" t="s">
        <v>1307</v>
      </c>
      <c r="U70" s="362"/>
      <c r="V70" s="362"/>
      <c r="W70" s="178"/>
      <c r="X70" s="97"/>
      <c r="Y70" s="711" t="s">
        <v>1179</v>
      </c>
      <c r="Z70" s="712">
        <v>1</v>
      </c>
      <c r="AA70" s="179"/>
      <c r="AB70" s="180"/>
      <c r="AC70" s="618">
        <v>400000</v>
      </c>
      <c r="AD70" s="1032">
        <f t="shared" si="4"/>
        <v>400000</v>
      </c>
      <c r="AE70" s="1043"/>
      <c r="AF70" s="97"/>
      <c r="AG70" s="1032">
        <f>+AD70</f>
        <v>400000</v>
      </c>
      <c r="AH70" s="1032"/>
      <c r="AI70" s="1041">
        <f t="shared" si="3"/>
        <v>400000</v>
      </c>
      <c r="AJ70" s="867"/>
      <c r="AK70" s="986"/>
      <c r="AL70" s="986"/>
      <c r="AM70" s="986">
        <f>+AG70*10%</f>
        <v>40000</v>
      </c>
      <c r="AN70" s="987">
        <v>180000</v>
      </c>
      <c r="AO70" s="986">
        <v>180000</v>
      </c>
      <c r="AP70" s="986">
        <f t="shared" si="6"/>
        <v>400000</v>
      </c>
      <c r="AQ70" s="108"/>
      <c r="AR70" s="1027"/>
      <c r="AS70" s="881"/>
      <c r="AT70" s="881"/>
      <c r="AU70" s="881"/>
      <c r="AV70" s="881"/>
      <c r="AW70" s="881"/>
      <c r="AX70" s="881"/>
      <c r="AY70" s="881"/>
      <c r="AZ70" s="881"/>
    </row>
    <row r="71" spans="1:52" s="882" customFormat="1" ht="14" hidden="1" customHeight="1" outlineLevel="3">
      <c r="A71" s="580"/>
      <c r="B71" s="107"/>
      <c r="C71" s="107"/>
      <c r="D71" s="935"/>
      <c r="E71" s="935"/>
      <c r="F71" s="103"/>
      <c r="G71" s="97"/>
      <c r="H71" s="360"/>
      <c r="I71" s="361"/>
      <c r="J71" s="361"/>
      <c r="K71" s="361"/>
      <c r="L71" s="361"/>
      <c r="M71" s="361"/>
      <c r="N71" s="361"/>
      <c r="O71" s="361"/>
      <c r="P71" s="361"/>
      <c r="Q71" s="97"/>
      <c r="R71" s="362"/>
      <c r="S71" s="362"/>
      <c r="T71" s="362"/>
      <c r="U71" s="362"/>
      <c r="V71" s="362"/>
      <c r="W71" s="178"/>
      <c r="X71" s="97"/>
      <c r="Y71" s="182"/>
      <c r="Z71" s="712"/>
      <c r="AA71" s="179"/>
      <c r="AB71" s="180"/>
      <c r="AC71" s="1032"/>
      <c r="AD71" s="1032"/>
      <c r="AE71" s="1043"/>
      <c r="AF71" s="97"/>
      <c r="AG71" s="1032"/>
      <c r="AH71" s="1032"/>
      <c r="AI71" s="1041">
        <f t="shared" si="3"/>
        <v>0</v>
      </c>
      <c r="AJ71" s="867"/>
      <c r="AK71" s="986"/>
      <c r="AL71" s="986"/>
      <c r="AM71" s="986"/>
      <c r="AN71" s="987"/>
      <c r="AO71" s="1038"/>
      <c r="AP71" s="1038">
        <f>SUM(AK71:AO71)</f>
        <v>0</v>
      </c>
      <c r="AQ71" s="108"/>
      <c r="AR71" s="1027"/>
      <c r="AS71" s="881"/>
      <c r="AT71" s="881"/>
      <c r="AU71" s="881"/>
      <c r="AV71" s="881"/>
      <c r="AW71" s="881"/>
      <c r="AX71" s="881"/>
      <c r="AY71" s="881"/>
      <c r="AZ71" s="881"/>
    </row>
    <row r="72" spans="1:52" s="153" customFormat="1" ht="45" hidden="1" customHeight="1" outlineLevel="2" collapsed="1">
      <c r="A72" s="172"/>
      <c r="B72" s="171" t="s">
        <v>507</v>
      </c>
      <c r="C72" s="171"/>
      <c r="D72" s="538" t="s">
        <v>21</v>
      </c>
      <c r="E72" s="538" t="s">
        <v>4</v>
      </c>
      <c r="F72" s="106" t="s">
        <v>3352</v>
      </c>
      <c r="G72" s="96"/>
      <c r="H72" s="357" t="str">
        <f>+'1_MdR_Limpia'!C43</f>
        <v>Número</v>
      </c>
      <c r="I72" s="357">
        <f>+'1_MdR_Limpia'!D43</f>
        <v>0</v>
      </c>
      <c r="J72" s="357">
        <f>+'1_MdR_Limpia'!E43</f>
        <v>2021</v>
      </c>
      <c r="K72" s="357" t="str">
        <f>+'1_MdR_Limpia'!F43</f>
        <v>-</v>
      </c>
      <c r="L72" s="357" t="str">
        <f>+'1_MdR_Limpia'!G43</f>
        <v>-</v>
      </c>
      <c r="M72" s="357">
        <f>+'1_MdR_Limpia'!I43</f>
        <v>1</v>
      </c>
      <c r="N72" s="357" t="str">
        <f>+'1_MdR_Limpia'!J43</f>
        <v>-</v>
      </c>
      <c r="O72" s="357" t="str">
        <f>+'1_MdR_Limpia'!J43</f>
        <v>-</v>
      </c>
      <c r="P72" s="357">
        <f>+'1_MdR_Limpia'!L43</f>
        <v>1</v>
      </c>
      <c r="Q72" s="96"/>
      <c r="R72" s="358"/>
      <c r="S72" s="358"/>
      <c r="T72" s="358"/>
      <c r="U72" s="358"/>
      <c r="V72" s="358"/>
      <c r="W72" s="174"/>
      <c r="X72" s="96"/>
      <c r="Y72" s="106"/>
      <c r="Z72" s="172"/>
      <c r="AA72" s="172"/>
      <c r="AB72" s="171"/>
      <c r="AC72" s="176"/>
      <c r="AD72" s="176">
        <f>+AD73</f>
        <v>2194000</v>
      </c>
      <c r="AE72" s="686"/>
      <c r="AF72" s="96"/>
      <c r="AG72" s="176">
        <f>+AG73</f>
        <v>2194000</v>
      </c>
      <c r="AH72" s="176">
        <f>+AH73</f>
        <v>0</v>
      </c>
      <c r="AI72" s="176">
        <f>+AI73</f>
        <v>2194000</v>
      </c>
      <c r="AJ72" s="865"/>
      <c r="AK72" s="176">
        <v>0</v>
      </c>
      <c r="AL72" s="176">
        <f>AL73</f>
        <v>1758000</v>
      </c>
      <c r="AM72" s="176">
        <f>AM73</f>
        <v>318000</v>
      </c>
      <c r="AN72" s="176">
        <f>AN73</f>
        <v>118000</v>
      </c>
      <c r="AO72" s="176">
        <f>AO73</f>
        <v>0</v>
      </c>
      <c r="AP72" s="176">
        <f>SUM(AK72:AO72)</f>
        <v>2194000</v>
      </c>
      <c r="AR72" s="1027"/>
    </row>
    <row r="73" spans="1:52" s="153" customFormat="1" ht="19.25" hidden="1" customHeight="1" outlineLevel="3">
      <c r="A73" s="581"/>
      <c r="B73" s="400" t="s">
        <v>809</v>
      </c>
      <c r="C73" s="400"/>
      <c r="D73" s="536" t="s">
        <v>3353</v>
      </c>
      <c r="E73" s="536"/>
      <c r="F73" s="399"/>
      <c r="G73" s="96"/>
      <c r="H73" s="401"/>
      <c r="I73" s="401"/>
      <c r="J73" s="402"/>
      <c r="K73" s="402"/>
      <c r="L73" s="402"/>
      <c r="M73" s="402"/>
      <c r="N73" s="402"/>
      <c r="O73" s="402"/>
      <c r="P73" s="402"/>
      <c r="Q73" s="96"/>
      <c r="R73" s="837"/>
      <c r="S73" s="851"/>
      <c r="T73" s="851"/>
      <c r="U73" s="851"/>
      <c r="V73" s="851"/>
      <c r="W73" s="399"/>
      <c r="X73" s="96"/>
      <c r="Y73" s="1268"/>
      <c r="Z73" s="397"/>
      <c r="AA73" s="397"/>
      <c r="AB73" s="395"/>
      <c r="AC73" s="398"/>
      <c r="AD73" s="398">
        <f>SUM(AD74:AD78)</f>
        <v>2194000</v>
      </c>
      <c r="AE73" s="680"/>
      <c r="AF73" s="96"/>
      <c r="AG73" s="398">
        <f>SUM(AG74:AG78)</f>
        <v>2194000</v>
      </c>
      <c r="AH73" s="398">
        <f>SUM(AH74:AH78)</f>
        <v>0</v>
      </c>
      <c r="AI73" s="398">
        <f>SUM(AI74:AI78)</f>
        <v>2194000</v>
      </c>
      <c r="AJ73" s="865"/>
      <c r="AK73" s="992">
        <f>SUM(AK74:AK78)</f>
        <v>0</v>
      </c>
      <c r="AL73" s="992">
        <f>SUM(AL74:AL78)</f>
        <v>1758000</v>
      </c>
      <c r="AM73" s="992">
        <f>SUM(AM74:AM78)</f>
        <v>318000</v>
      </c>
      <c r="AN73" s="992">
        <f>SUM(AN74:AN78)</f>
        <v>118000</v>
      </c>
      <c r="AO73" s="992">
        <f>SUM(AO74:AO78)</f>
        <v>0</v>
      </c>
      <c r="AP73" s="992">
        <f>SUM(AK73:AO73)</f>
        <v>2194000</v>
      </c>
      <c r="AR73" s="1027"/>
    </row>
    <row r="74" spans="1:52" s="108" customFormat="1" ht="98" hidden="1" customHeight="1" outlineLevel="3">
      <c r="A74" s="580"/>
      <c r="B74" s="702" t="s">
        <v>811</v>
      </c>
      <c r="C74" s="107" t="s">
        <v>1279</v>
      </c>
      <c r="D74" s="533" t="s">
        <v>2368</v>
      </c>
      <c r="E74" s="533"/>
      <c r="F74" s="103"/>
      <c r="G74" s="97"/>
      <c r="H74" s="363"/>
      <c r="I74" s="364"/>
      <c r="J74" s="365"/>
      <c r="K74" s="365"/>
      <c r="L74" s="365"/>
      <c r="M74" s="365"/>
      <c r="N74" s="365"/>
      <c r="O74" s="365"/>
      <c r="P74" s="365"/>
      <c r="Q74" s="97"/>
      <c r="R74" s="1251" t="s">
        <v>1325</v>
      </c>
      <c r="S74" s="1270"/>
      <c r="T74" s="1270"/>
      <c r="U74" s="1270"/>
      <c r="V74" s="1270"/>
      <c r="W74" s="1269" t="s">
        <v>3354</v>
      </c>
      <c r="X74" s="97"/>
      <c r="Y74" s="711" t="s">
        <v>1179</v>
      </c>
      <c r="Z74" s="712">
        <v>1</v>
      </c>
      <c r="AA74" s="179"/>
      <c r="AB74" s="180"/>
      <c r="AC74" s="1048">
        <v>754000</v>
      </c>
      <c r="AD74" s="1032">
        <f>+AC74*Z74</f>
        <v>754000</v>
      </c>
      <c r="AE74" s="1042"/>
      <c r="AF74" s="97"/>
      <c r="AG74" s="1032">
        <f>+AD74</f>
        <v>754000</v>
      </c>
      <c r="AH74" s="1032"/>
      <c r="AI74" s="1041">
        <f t="shared" si="3"/>
        <v>754000</v>
      </c>
      <c r="AJ74" s="867"/>
      <c r="AK74" s="986"/>
      <c r="AL74" s="986">
        <f>(22000*2)+(37000*2)+100000+100000</f>
        <v>318000</v>
      </c>
      <c r="AM74" s="986">
        <f>(22000*2)+(37000*2)+100000+100000</f>
        <v>318000</v>
      </c>
      <c r="AN74" s="986">
        <f>(22000*2)+(37000*2)</f>
        <v>118000</v>
      </c>
      <c r="AO74" s="986"/>
      <c r="AP74" s="986"/>
      <c r="AR74" s="1027"/>
    </row>
    <row r="75" spans="1:52" s="108" customFormat="1" ht="15" hidden="1" outlineLevel="4">
      <c r="A75" s="580"/>
      <c r="B75" s="702" t="s">
        <v>2369</v>
      </c>
      <c r="C75" s="107" t="s">
        <v>1279</v>
      </c>
      <c r="D75" s="1397" t="s">
        <v>3355</v>
      </c>
      <c r="E75" s="533"/>
      <c r="F75" s="103"/>
      <c r="G75" s="97"/>
      <c r="H75" s="363"/>
      <c r="I75" s="364"/>
      <c r="J75" s="365"/>
      <c r="K75" s="365"/>
      <c r="L75" s="365"/>
      <c r="M75" s="365"/>
      <c r="N75" s="365"/>
      <c r="O75" s="365"/>
      <c r="P75" s="365"/>
      <c r="Q75" s="97"/>
      <c r="R75" s="1400" t="s">
        <v>763</v>
      </c>
      <c r="S75" s="1270"/>
      <c r="T75" s="364"/>
      <c r="U75" s="364"/>
      <c r="V75" s="364"/>
      <c r="W75" s="1399"/>
      <c r="X75" s="97"/>
      <c r="Y75" s="194" t="s">
        <v>1326</v>
      </c>
      <c r="Z75" s="712">
        <v>4</v>
      </c>
      <c r="AA75" s="1394"/>
      <c r="AB75" s="619"/>
      <c r="AC75" s="1394"/>
      <c r="AD75" s="1394">
        <f>+AC75*Z75*AA75</f>
        <v>0</v>
      </c>
      <c r="AE75" s="1042"/>
      <c r="AF75" s="97"/>
      <c r="AG75" s="1032"/>
      <c r="AH75" s="1032"/>
      <c r="AI75" s="1041"/>
      <c r="AJ75" s="867"/>
      <c r="AK75" s="986"/>
      <c r="AL75" s="986"/>
      <c r="AM75" s="986"/>
      <c r="AN75" s="986"/>
      <c r="AO75" s="986"/>
      <c r="AP75" s="986"/>
      <c r="AR75" s="1027"/>
    </row>
    <row r="76" spans="1:52" s="108" customFormat="1" ht="15" hidden="1" outlineLevel="4">
      <c r="A76" s="580"/>
      <c r="B76" s="702" t="s">
        <v>2370</v>
      </c>
      <c r="C76" s="107" t="s">
        <v>1279</v>
      </c>
      <c r="D76" s="1397" t="s">
        <v>769</v>
      </c>
      <c r="E76" s="533"/>
      <c r="F76" s="103"/>
      <c r="G76" s="97"/>
      <c r="H76" s="363"/>
      <c r="I76" s="364"/>
      <c r="J76" s="365"/>
      <c r="K76" s="365"/>
      <c r="L76" s="365"/>
      <c r="M76" s="365"/>
      <c r="N76" s="365"/>
      <c r="O76" s="365"/>
      <c r="P76" s="365"/>
      <c r="Q76" s="97"/>
      <c r="R76" s="1400" t="s">
        <v>763</v>
      </c>
      <c r="S76" s="1270"/>
      <c r="T76" s="364"/>
      <c r="U76" s="364"/>
      <c r="V76" s="364"/>
      <c r="W76" s="1399"/>
      <c r="X76" s="97"/>
      <c r="Y76" s="194" t="s">
        <v>1326</v>
      </c>
      <c r="Z76" s="712">
        <v>1</v>
      </c>
      <c r="AA76" s="1394"/>
      <c r="AB76" s="619"/>
      <c r="AC76" s="1394"/>
      <c r="AD76" s="1394">
        <f>+AC76*Z76*AA76</f>
        <v>0</v>
      </c>
      <c r="AE76" s="1042"/>
      <c r="AF76" s="97"/>
      <c r="AG76" s="1032"/>
      <c r="AH76" s="1032"/>
      <c r="AI76" s="1041"/>
      <c r="AJ76" s="867"/>
      <c r="AK76" s="986"/>
      <c r="AL76" s="986"/>
      <c r="AM76" s="986"/>
      <c r="AN76" s="986"/>
      <c r="AO76" s="986"/>
      <c r="AP76" s="986"/>
      <c r="AR76" s="1027"/>
    </row>
    <row r="77" spans="1:52" s="108" customFormat="1" ht="15" hidden="1" outlineLevel="4">
      <c r="A77" s="580"/>
      <c r="B77" s="702" t="s">
        <v>2371</v>
      </c>
      <c r="C77" s="107" t="s">
        <v>1279</v>
      </c>
      <c r="D77" s="1397" t="s">
        <v>771</v>
      </c>
      <c r="E77" s="533"/>
      <c r="F77" s="103"/>
      <c r="G77" s="97"/>
      <c r="H77" s="363"/>
      <c r="I77" s="364"/>
      <c r="J77" s="365"/>
      <c r="K77" s="365"/>
      <c r="L77" s="365"/>
      <c r="M77" s="365"/>
      <c r="N77" s="365"/>
      <c r="O77" s="365"/>
      <c r="P77" s="365"/>
      <c r="Q77" s="97"/>
      <c r="R77" s="1400" t="s">
        <v>763</v>
      </c>
      <c r="S77" s="1270"/>
      <c r="T77" s="364"/>
      <c r="U77" s="364"/>
      <c r="V77" s="364"/>
      <c r="W77" s="1399"/>
      <c r="X77" s="97"/>
      <c r="Y77" s="194" t="s">
        <v>1326</v>
      </c>
      <c r="Z77" s="712">
        <v>1</v>
      </c>
      <c r="AA77" s="1394"/>
      <c r="AB77" s="619"/>
      <c r="AC77" s="1394"/>
      <c r="AD77" s="1394">
        <f>+AC77*Z77*AA77</f>
        <v>0</v>
      </c>
      <c r="AE77" s="1042"/>
      <c r="AF77" s="97"/>
      <c r="AG77" s="1032"/>
      <c r="AH77" s="1032"/>
      <c r="AI77" s="1041"/>
      <c r="AJ77" s="867"/>
      <c r="AK77" s="986"/>
      <c r="AL77" s="986"/>
      <c r="AM77" s="986"/>
      <c r="AN77" s="986"/>
      <c r="AO77" s="986"/>
      <c r="AP77" s="986"/>
      <c r="AR77" s="1027"/>
    </row>
    <row r="78" spans="1:52" s="108" customFormat="1" ht="41.5" hidden="1" customHeight="1" outlineLevel="3">
      <c r="A78" s="580"/>
      <c r="B78" s="702" t="s">
        <v>2373</v>
      </c>
      <c r="C78" s="107" t="s">
        <v>1279</v>
      </c>
      <c r="D78" s="533" t="s">
        <v>773</v>
      </c>
      <c r="E78" s="533"/>
      <c r="F78" s="103"/>
      <c r="G78" s="97"/>
      <c r="H78" s="363"/>
      <c r="I78" s="364"/>
      <c r="J78" s="365"/>
      <c r="K78" s="365"/>
      <c r="L78" s="365"/>
      <c r="M78" s="365"/>
      <c r="N78" s="365"/>
      <c r="O78" s="365"/>
      <c r="P78" s="365"/>
      <c r="Q78" s="97"/>
      <c r="R78" s="1251" t="s">
        <v>3356</v>
      </c>
      <c r="S78" s="1270"/>
      <c r="T78" s="1350" t="s">
        <v>3357</v>
      </c>
      <c r="U78" s="1270"/>
      <c r="V78" s="1270"/>
      <c r="W78" s="1401" t="s">
        <v>3358</v>
      </c>
      <c r="X78" s="97"/>
      <c r="Y78" s="711" t="s">
        <v>1179</v>
      </c>
      <c r="Z78" s="712">
        <v>1</v>
      </c>
      <c r="AA78" s="179"/>
      <c r="AB78" s="180"/>
      <c r="AC78" s="1048">
        <v>1440000</v>
      </c>
      <c r="AD78" s="1032">
        <f>+AC78*Z78</f>
        <v>1440000</v>
      </c>
      <c r="AE78" s="1042"/>
      <c r="AF78" s="97"/>
      <c r="AG78" s="1032">
        <f>+AD78</f>
        <v>1440000</v>
      </c>
      <c r="AH78" s="1032"/>
      <c r="AI78" s="1041">
        <f t="shared" si="3"/>
        <v>1440000</v>
      </c>
      <c r="AJ78" s="867"/>
      <c r="AK78" s="986"/>
      <c r="AL78" s="986">
        <v>1440000</v>
      </c>
      <c r="AM78" s="986"/>
      <c r="AN78" s="986"/>
      <c r="AO78" s="986"/>
      <c r="AP78" s="986"/>
      <c r="AR78" s="1027"/>
    </row>
    <row r="79" spans="1:52" s="878" customFormat="1" ht="26" hidden="1" customHeight="1" outlineLevel="2" collapsed="1">
      <c r="A79" s="172"/>
      <c r="B79" s="171" t="s">
        <v>508</v>
      </c>
      <c r="C79" s="171"/>
      <c r="D79" s="538" t="s">
        <v>592</v>
      </c>
      <c r="E79" s="538" t="s">
        <v>4</v>
      </c>
      <c r="F79" s="106" t="s">
        <v>3359</v>
      </c>
      <c r="G79" s="96"/>
      <c r="H79" s="357" t="str">
        <f>+'1_MdR_Limpia'!C48</f>
        <v>Número</v>
      </c>
      <c r="I79" s="357">
        <f>+'1_MdR_Limpia'!D48</f>
        <v>0</v>
      </c>
      <c r="J79" s="357">
        <f>+'1_MdR_Limpia'!E48</f>
        <v>2021</v>
      </c>
      <c r="K79" s="357" t="str">
        <f>+'1_MdR_Limpia'!F48</f>
        <v>-</v>
      </c>
      <c r="L79" s="357" t="str">
        <f>+'1_MdR_Limpia'!G48</f>
        <v>-</v>
      </c>
      <c r="M79" s="357" t="str">
        <f>+'1_MdR_Limpia'!J48</f>
        <v>-</v>
      </c>
      <c r="N79" s="357" t="str">
        <f>+'1_MdR_Limpia'!I48</f>
        <v>-</v>
      </c>
      <c r="O79" s="357" t="str">
        <f>+'1_MdR_Limpia'!J48</f>
        <v>-</v>
      </c>
      <c r="P79" s="357">
        <f>+'1_MdR_Limpia'!L48</f>
        <v>1</v>
      </c>
      <c r="Q79" s="96"/>
      <c r="R79" s="854"/>
      <c r="S79" s="358"/>
      <c r="T79" s="358"/>
      <c r="U79" s="358"/>
      <c r="V79" s="358"/>
      <c r="W79" s="175"/>
      <c r="X79" s="96"/>
      <c r="Y79" s="106"/>
      <c r="Z79" s="172"/>
      <c r="AA79" s="172"/>
      <c r="AB79" s="171"/>
      <c r="AC79" s="176"/>
      <c r="AD79" s="176">
        <f>+AD80+AD82+AD87</f>
        <v>1550000</v>
      </c>
      <c r="AE79" s="692"/>
      <c r="AF79" s="96"/>
      <c r="AG79" s="176">
        <f>+AG80+AG82+AG87</f>
        <v>1550000</v>
      </c>
      <c r="AH79" s="176">
        <f>+AH80+AH82+AH87</f>
        <v>0</v>
      </c>
      <c r="AI79" s="176">
        <f t="shared" si="3"/>
        <v>1550000</v>
      </c>
      <c r="AJ79" s="865"/>
      <c r="AK79" s="1296">
        <f>AK80+AK82+AK87</f>
        <v>0</v>
      </c>
      <c r="AL79" s="1297">
        <f>AL80+AL82+AL87</f>
        <v>670000</v>
      </c>
      <c r="AM79" s="1297">
        <f>AM80+AM82+AM87</f>
        <v>310000</v>
      </c>
      <c r="AN79" s="1297">
        <f>AN80+AN82+AN87</f>
        <v>310000</v>
      </c>
      <c r="AO79" s="1297">
        <f>AO80+AO82+AO87</f>
        <v>260000</v>
      </c>
      <c r="AP79" s="1297">
        <f>SUM(AK79:AO79)</f>
        <v>1550000</v>
      </c>
      <c r="AQ79" s="153"/>
      <c r="AR79" s="1027"/>
      <c r="AS79" s="153"/>
      <c r="AT79" s="153"/>
      <c r="AU79" s="153"/>
      <c r="AV79" s="153"/>
      <c r="AW79" s="153"/>
      <c r="AX79" s="153"/>
      <c r="AY79" s="153"/>
      <c r="AZ79" s="153"/>
    </row>
    <row r="80" spans="1:52" s="153" customFormat="1" ht="30.75" hidden="1" customHeight="1" outlineLevel="3">
      <c r="A80" s="581"/>
      <c r="B80" s="400" t="s">
        <v>834</v>
      </c>
      <c r="C80" s="400"/>
      <c r="D80" s="536" t="s">
        <v>789</v>
      </c>
      <c r="E80" s="536"/>
      <c r="F80" s="399"/>
      <c r="G80" s="96"/>
      <c r="H80" s="401"/>
      <c r="I80" s="621"/>
      <c r="J80" s="622"/>
      <c r="K80" s="622"/>
      <c r="L80" s="622"/>
      <c r="M80" s="622"/>
      <c r="N80" s="622"/>
      <c r="O80" s="622"/>
      <c r="P80" s="622"/>
      <c r="Q80" s="96"/>
      <c r="R80" s="837"/>
      <c r="S80" s="851"/>
      <c r="T80" s="851"/>
      <c r="U80" s="851"/>
      <c r="V80" s="851"/>
      <c r="W80" s="399"/>
      <c r="X80" s="96"/>
      <c r="Y80" s="396"/>
      <c r="Z80" s="397"/>
      <c r="AA80" s="397"/>
      <c r="AB80" s="395"/>
      <c r="AC80" s="398"/>
      <c r="AD80" s="398">
        <f>+AD81</f>
        <v>50000</v>
      </c>
      <c r="AE80" s="691"/>
      <c r="AF80" s="96"/>
      <c r="AG80" s="398">
        <f>+AG81</f>
        <v>50000</v>
      </c>
      <c r="AH80" s="398">
        <f>+AH81</f>
        <v>0</v>
      </c>
      <c r="AI80" s="398">
        <f>+AH80+AG80</f>
        <v>50000</v>
      </c>
      <c r="AJ80" s="865"/>
      <c r="AK80" s="1298"/>
      <c r="AL80" s="1282">
        <v>50000</v>
      </c>
      <c r="AM80" s="1280"/>
      <c r="AN80" s="1280"/>
      <c r="AO80" s="1280"/>
      <c r="AP80" s="1280"/>
      <c r="AR80" s="1027"/>
    </row>
    <row r="81" spans="1:52" s="882" customFormat="1" ht="51.5" hidden="1" customHeight="1" outlineLevel="4">
      <c r="A81" s="580"/>
      <c r="B81" s="107" t="s">
        <v>1358</v>
      </c>
      <c r="C81" s="107" t="s">
        <v>1279</v>
      </c>
      <c r="D81" s="935" t="s">
        <v>3360</v>
      </c>
      <c r="E81" s="935"/>
      <c r="F81" s="103"/>
      <c r="G81" s="96"/>
      <c r="H81" s="357"/>
      <c r="I81" s="357"/>
      <c r="J81" s="357"/>
      <c r="K81" s="357"/>
      <c r="L81" s="357"/>
      <c r="M81" s="357"/>
      <c r="N81" s="357"/>
      <c r="O81" s="357"/>
      <c r="P81" s="357"/>
      <c r="Q81" s="96"/>
      <c r="R81" s="1252" t="s">
        <v>3361</v>
      </c>
      <c r="S81" s="1252"/>
      <c r="T81" s="1252"/>
      <c r="U81" s="1252"/>
      <c r="V81" s="1252"/>
      <c r="W81" s="1252"/>
      <c r="X81" s="96"/>
      <c r="Y81" s="194" t="s">
        <v>1179</v>
      </c>
      <c r="Z81" s="376">
        <v>1</v>
      </c>
      <c r="AA81" s="619"/>
      <c r="AB81" s="619"/>
      <c r="AC81" s="619">
        <v>50000</v>
      </c>
      <c r="AD81" s="619">
        <f>+AC81*Z81</f>
        <v>50000</v>
      </c>
      <c r="AE81" s="620"/>
      <c r="AF81" s="620"/>
      <c r="AG81" s="1032">
        <f>+AD81</f>
        <v>50000</v>
      </c>
      <c r="AH81" s="619"/>
      <c r="AI81" s="619">
        <f t="shared" ref="AI81:AI89" si="7">+AH81+AG81</f>
        <v>50000</v>
      </c>
      <c r="AJ81" s="865"/>
      <c r="AK81" s="1299" t="s">
        <v>1175</v>
      </c>
      <c r="AL81" s="1300">
        <v>50000</v>
      </c>
      <c r="AM81" s="1301" t="s">
        <v>1175</v>
      </c>
      <c r="AN81" s="1301" t="s">
        <v>1175</v>
      </c>
      <c r="AO81" s="1271" t="s">
        <v>1175</v>
      </c>
      <c r="AP81" s="1271"/>
      <c r="AQ81" s="108"/>
      <c r="AR81" s="1027"/>
      <c r="AS81" s="881"/>
      <c r="AT81" s="881"/>
      <c r="AU81" s="881"/>
      <c r="AV81" s="881"/>
      <c r="AW81" s="881"/>
      <c r="AX81" s="881"/>
      <c r="AY81" s="881"/>
      <c r="AZ81" s="881"/>
    </row>
    <row r="82" spans="1:52" s="153" customFormat="1" ht="30.75" hidden="1" customHeight="1" outlineLevel="3">
      <c r="A82" s="581"/>
      <c r="B82" s="400" t="s">
        <v>839</v>
      </c>
      <c r="C82" s="400"/>
      <c r="D82" s="536" t="s">
        <v>793</v>
      </c>
      <c r="E82" s="536"/>
      <c r="F82" s="399"/>
      <c r="G82" s="96"/>
      <c r="H82" s="401"/>
      <c r="I82" s="621"/>
      <c r="J82" s="622"/>
      <c r="K82" s="622"/>
      <c r="L82" s="622"/>
      <c r="M82" s="622"/>
      <c r="N82" s="622"/>
      <c r="O82" s="622"/>
      <c r="P82" s="622"/>
      <c r="Q82" s="96"/>
      <c r="R82" s="837"/>
      <c r="S82" s="851"/>
      <c r="T82" s="851"/>
      <c r="U82" s="851"/>
      <c r="V82" s="851"/>
      <c r="W82" s="399"/>
      <c r="X82" s="96"/>
      <c r="Y82" s="396"/>
      <c r="Z82" s="397"/>
      <c r="AA82" s="397"/>
      <c r="AB82" s="395"/>
      <c r="AC82" s="398" t="s">
        <v>1175</v>
      </c>
      <c r="AD82" s="398">
        <f>+AD83+AD86</f>
        <v>675000</v>
      </c>
      <c r="AE82" s="691"/>
      <c r="AF82" s="96"/>
      <c r="AG82" s="398">
        <f>+AG83+AG86</f>
        <v>675000</v>
      </c>
      <c r="AH82" s="398">
        <f>+AH83+AH86</f>
        <v>0</v>
      </c>
      <c r="AI82" s="398">
        <f t="shared" si="7"/>
        <v>675000</v>
      </c>
      <c r="AJ82" s="865"/>
      <c r="AK82" s="1298"/>
      <c r="AL82" s="1282">
        <v>295000</v>
      </c>
      <c r="AM82" s="1282">
        <v>135000</v>
      </c>
      <c r="AN82" s="1282">
        <v>135000</v>
      </c>
      <c r="AO82" s="1282">
        <v>110000</v>
      </c>
      <c r="AP82" s="1282"/>
      <c r="AR82" s="1027"/>
    </row>
    <row r="83" spans="1:52" s="882" customFormat="1" ht="60" hidden="1" outlineLevel="4">
      <c r="A83" s="580"/>
      <c r="B83" s="107" t="s">
        <v>841</v>
      </c>
      <c r="C83" s="107" t="s">
        <v>1279</v>
      </c>
      <c r="D83" s="935" t="s">
        <v>795</v>
      </c>
      <c r="E83" s="935"/>
      <c r="F83" s="103"/>
      <c r="G83" s="96"/>
      <c r="H83" s="357"/>
      <c r="I83" s="357"/>
      <c r="J83" s="357"/>
      <c r="K83" s="357"/>
      <c r="L83" s="357"/>
      <c r="M83" s="357"/>
      <c r="N83" s="357"/>
      <c r="O83" s="357"/>
      <c r="P83" s="357"/>
      <c r="Q83" s="96"/>
      <c r="R83" s="1252" t="s">
        <v>3362</v>
      </c>
      <c r="S83" s="1252"/>
      <c r="T83" s="1252"/>
      <c r="U83" s="1252"/>
      <c r="V83" s="1252"/>
      <c r="W83" s="1252"/>
      <c r="X83" s="96"/>
      <c r="Y83" s="194" t="s">
        <v>1179</v>
      </c>
      <c r="Z83" s="376">
        <v>1</v>
      </c>
      <c r="AA83" s="619"/>
      <c r="AB83" s="619"/>
      <c r="AC83" s="619">
        <v>600000</v>
      </c>
      <c r="AD83" s="619">
        <f>+AC83*Z83</f>
        <v>600000</v>
      </c>
      <c r="AE83" s="620"/>
      <c r="AF83" s="620"/>
      <c r="AG83" s="1032">
        <f>+AD83</f>
        <v>600000</v>
      </c>
      <c r="AH83" s="619"/>
      <c r="AI83" s="619">
        <f t="shared" si="7"/>
        <v>600000</v>
      </c>
      <c r="AJ83" s="865"/>
      <c r="AK83" s="1299" t="s">
        <v>1175</v>
      </c>
      <c r="AL83" s="1300">
        <v>270000</v>
      </c>
      <c r="AM83" s="1300">
        <v>110000</v>
      </c>
      <c r="AN83" s="1300">
        <v>110000</v>
      </c>
      <c r="AO83" s="1300">
        <v>110000</v>
      </c>
      <c r="AP83" s="1300"/>
      <c r="AQ83" s="108"/>
      <c r="AR83" s="1027"/>
      <c r="AS83" s="881"/>
      <c r="AT83" s="881"/>
      <c r="AU83" s="881"/>
      <c r="AV83" s="881"/>
      <c r="AW83" s="881"/>
      <c r="AX83" s="881"/>
      <c r="AY83" s="881"/>
      <c r="AZ83" s="881"/>
    </row>
    <row r="84" spans="1:52" s="882" customFormat="1" ht="29.5" hidden="1" customHeight="1" outlineLevel="4">
      <c r="A84" s="580"/>
      <c r="B84" s="107" t="s">
        <v>2374</v>
      </c>
      <c r="C84" s="107" t="s">
        <v>1279</v>
      </c>
      <c r="D84" s="1397" t="s">
        <v>3355</v>
      </c>
      <c r="E84" s="935"/>
      <c r="F84" s="103"/>
      <c r="G84" s="96"/>
      <c r="H84" s="357"/>
      <c r="I84" s="357"/>
      <c r="J84" s="357"/>
      <c r="K84" s="357"/>
      <c r="L84" s="357"/>
      <c r="M84" s="357"/>
      <c r="N84" s="357"/>
      <c r="O84" s="357"/>
      <c r="P84" s="357"/>
      <c r="Q84" s="96"/>
      <c r="R84" s="1398" t="s">
        <v>763</v>
      </c>
      <c r="S84" s="1279"/>
      <c r="T84" s="1279"/>
      <c r="U84" s="1279"/>
      <c r="V84" s="1279"/>
      <c r="W84" s="1279"/>
      <c r="X84" s="96"/>
      <c r="Y84" s="194" t="s">
        <v>1326</v>
      </c>
      <c r="Z84" s="1395">
        <v>4</v>
      </c>
      <c r="AA84" s="1394"/>
      <c r="AB84" s="619"/>
      <c r="AC84" s="1394"/>
      <c r="AD84" s="1394">
        <f>+AC84*Z84*AA84</f>
        <v>0</v>
      </c>
      <c r="AE84" s="620"/>
      <c r="AF84" s="620"/>
      <c r="AG84" s="1032"/>
      <c r="AH84" s="619"/>
      <c r="AI84" s="619"/>
      <c r="AJ84" s="865"/>
      <c r="AK84" s="1299"/>
      <c r="AL84" s="1300"/>
      <c r="AM84" s="1300"/>
      <c r="AN84" s="1300"/>
      <c r="AO84" s="1300"/>
      <c r="AP84" s="1300"/>
      <c r="AQ84" s="108"/>
      <c r="AR84" s="1027"/>
      <c r="AS84" s="881"/>
      <c r="AT84" s="881"/>
      <c r="AU84" s="881"/>
      <c r="AV84" s="881"/>
      <c r="AW84" s="881"/>
      <c r="AX84" s="881"/>
      <c r="AY84" s="881"/>
      <c r="AZ84" s="881"/>
    </row>
    <row r="85" spans="1:52" s="882" customFormat="1" ht="15" hidden="1" outlineLevel="4">
      <c r="A85" s="580"/>
      <c r="B85" s="107" t="s">
        <v>2375</v>
      </c>
      <c r="C85" s="107" t="s">
        <v>1279</v>
      </c>
      <c r="D85" s="1396" t="s">
        <v>3363</v>
      </c>
      <c r="E85" s="935"/>
      <c r="F85" s="103"/>
      <c r="G85" s="96"/>
      <c r="H85" s="357"/>
      <c r="I85" s="357"/>
      <c r="J85" s="357"/>
      <c r="K85" s="357"/>
      <c r="L85" s="357"/>
      <c r="M85" s="357"/>
      <c r="N85" s="357"/>
      <c r="O85" s="357"/>
      <c r="P85" s="357"/>
      <c r="Q85" s="96"/>
      <c r="R85" s="1398" t="s">
        <v>802</v>
      </c>
      <c r="S85" s="1279"/>
      <c r="T85" s="1279"/>
      <c r="U85" s="1279"/>
      <c r="V85" s="1279"/>
      <c r="W85" s="1279"/>
      <c r="X85" s="96"/>
      <c r="Y85" s="194" t="s">
        <v>1341</v>
      </c>
      <c r="Z85" s="1395">
        <v>4</v>
      </c>
      <c r="AA85" s="619"/>
      <c r="AB85" s="619"/>
      <c r="AC85" s="1394"/>
      <c r="AD85" s="1394">
        <f>+AC85*Z85</f>
        <v>0</v>
      </c>
      <c r="AE85" s="620"/>
      <c r="AF85" s="620"/>
      <c r="AG85" s="1032"/>
      <c r="AH85" s="619"/>
      <c r="AI85" s="619"/>
      <c r="AJ85" s="865"/>
      <c r="AK85" s="1299"/>
      <c r="AL85" s="1300"/>
      <c r="AM85" s="1300"/>
      <c r="AN85" s="1300"/>
      <c r="AO85" s="1300"/>
      <c r="AP85" s="1300"/>
      <c r="AQ85" s="108"/>
      <c r="AR85" s="1027"/>
      <c r="AS85" s="881"/>
      <c r="AT85" s="881"/>
      <c r="AU85" s="881"/>
      <c r="AV85" s="881"/>
      <c r="AW85" s="881"/>
      <c r="AX85" s="881"/>
      <c r="AY85" s="881"/>
      <c r="AZ85" s="881"/>
    </row>
    <row r="86" spans="1:52" s="882" customFormat="1" ht="30" hidden="1" outlineLevel="4">
      <c r="A86" s="580"/>
      <c r="B86" s="107" t="s">
        <v>2274</v>
      </c>
      <c r="C86" s="107"/>
      <c r="D86" s="935" t="s">
        <v>804</v>
      </c>
      <c r="E86" s="935"/>
      <c r="F86" s="103"/>
      <c r="G86" s="96"/>
      <c r="H86" s="357"/>
      <c r="I86" s="357"/>
      <c r="J86" s="357"/>
      <c r="K86" s="357"/>
      <c r="L86" s="357"/>
      <c r="M86" s="357"/>
      <c r="N86" s="357"/>
      <c r="O86" s="357"/>
      <c r="P86" s="357"/>
      <c r="Q86" s="96"/>
      <c r="R86" s="1279"/>
      <c r="S86" s="1279"/>
      <c r="T86" s="1279"/>
      <c r="U86" s="1279"/>
      <c r="V86" s="1279"/>
      <c r="W86" s="1279"/>
      <c r="X86" s="96"/>
      <c r="Y86" s="194" t="s">
        <v>1179</v>
      </c>
      <c r="Z86" s="376">
        <v>1</v>
      </c>
      <c r="AA86" s="619"/>
      <c r="AB86" s="619"/>
      <c r="AC86" s="619">
        <v>75000</v>
      </c>
      <c r="AD86" s="619">
        <f>+AC86*Z86</f>
        <v>75000</v>
      </c>
      <c r="AE86" s="620"/>
      <c r="AF86" s="620"/>
      <c r="AG86" s="1032">
        <f>+AD86</f>
        <v>75000</v>
      </c>
      <c r="AH86" s="619"/>
      <c r="AI86" s="619">
        <f t="shared" si="7"/>
        <v>75000</v>
      </c>
      <c r="AJ86" s="865"/>
      <c r="AK86" s="1299" t="s">
        <v>1175</v>
      </c>
      <c r="AL86" s="1300">
        <v>25000</v>
      </c>
      <c r="AM86" s="1300">
        <v>25000</v>
      </c>
      <c r="AN86" s="1300">
        <v>25000</v>
      </c>
      <c r="AO86" s="1302" t="s">
        <v>1175</v>
      </c>
      <c r="AP86" s="1302"/>
      <c r="AQ86" s="108"/>
      <c r="AR86" s="1027"/>
      <c r="AS86" s="881"/>
      <c r="AT86" s="881"/>
      <c r="AU86" s="881"/>
      <c r="AV86" s="881"/>
      <c r="AW86" s="881"/>
      <c r="AX86" s="881"/>
      <c r="AY86" s="881"/>
      <c r="AZ86" s="881"/>
    </row>
    <row r="87" spans="1:52" s="153" customFormat="1" ht="30.75" hidden="1" customHeight="1" outlineLevel="3">
      <c r="A87" s="581"/>
      <c r="B87" s="400" t="s">
        <v>834</v>
      </c>
      <c r="C87" s="400"/>
      <c r="D87" s="536" t="s">
        <v>806</v>
      </c>
      <c r="E87" s="536"/>
      <c r="F87" s="399"/>
      <c r="G87" s="96"/>
      <c r="H87" s="401" t="s">
        <v>247</v>
      </c>
      <c r="I87" s="621"/>
      <c r="J87" s="622"/>
      <c r="K87" s="622"/>
      <c r="L87" s="622"/>
      <c r="M87" s="622"/>
      <c r="N87" s="622"/>
      <c r="O87" s="622"/>
      <c r="P87" s="622"/>
      <c r="Q87" s="96"/>
      <c r="R87" s="837"/>
      <c r="S87" s="851"/>
      <c r="T87" s="851"/>
      <c r="U87" s="851"/>
      <c r="V87" s="851"/>
      <c r="W87" s="399"/>
      <c r="X87" s="96"/>
      <c r="Y87" s="396"/>
      <c r="Z87" s="397"/>
      <c r="AA87" s="397"/>
      <c r="AB87" s="395"/>
      <c r="AC87" s="398" t="s">
        <v>1175</v>
      </c>
      <c r="AD87" s="398">
        <f>+AD88+AD89</f>
        <v>825000</v>
      </c>
      <c r="AE87" s="691"/>
      <c r="AF87" s="96"/>
      <c r="AG87" s="398">
        <f>+AG88+AG89</f>
        <v>825000</v>
      </c>
      <c r="AH87" s="398">
        <f>+AH88+AH89</f>
        <v>0</v>
      </c>
      <c r="AI87" s="398">
        <f t="shared" si="7"/>
        <v>825000</v>
      </c>
      <c r="AJ87" s="865"/>
      <c r="AK87" s="1298"/>
      <c r="AL87" s="1282">
        <v>325000</v>
      </c>
      <c r="AM87" s="1282">
        <v>175000</v>
      </c>
      <c r="AN87" s="1282">
        <v>175000</v>
      </c>
      <c r="AO87" s="1282">
        <v>150000</v>
      </c>
      <c r="AP87" s="1282">
        <f>SUM(AK87:AO87)</f>
        <v>825000</v>
      </c>
      <c r="AR87" s="1027"/>
    </row>
    <row r="88" spans="1:52" s="882" customFormat="1" ht="15" hidden="1" outlineLevel="4">
      <c r="A88" s="580"/>
      <c r="B88" s="107" t="s">
        <v>839</v>
      </c>
      <c r="C88" s="107"/>
      <c r="D88" s="1283" t="s">
        <v>808</v>
      </c>
      <c r="E88" s="906"/>
      <c r="F88" s="126"/>
      <c r="G88" s="97"/>
      <c r="H88" s="906" t="s">
        <v>247</v>
      </c>
      <c r="I88" s="362"/>
      <c r="J88" s="361"/>
      <c r="K88" s="361"/>
      <c r="L88" s="361"/>
      <c r="M88" s="361"/>
      <c r="N88" s="361"/>
      <c r="O88" s="361"/>
      <c r="P88" s="361"/>
      <c r="Q88" s="907"/>
      <c r="R88" s="1278"/>
      <c r="S88" s="1276"/>
      <c r="T88" s="1277"/>
      <c r="U88" s="1276"/>
      <c r="V88" s="1191"/>
      <c r="W88" s="920"/>
      <c r="X88" s="907"/>
      <c r="Y88" s="194" t="s">
        <v>1179</v>
      </c>
      <c r="Z88" s="376">
        <v>1</v>
      </c>
      <c r="AA88" s="185"/>
      <c r="AB88" s="186"/>
      <c r="AC88" s="908">
        <v>750000</v>
      </c>
      <c r="AD88" s="619">
        <f>+AC88*Z88</f>
        <v>750000</v>
      </c>
      <c r="AE88" s="1043"/>
      <c r="AF88" s="97"/>
      <c r="AG88" s="1032">
        <f>+AD88</f>
        <v>750000</v>
      </c>
      <c r="AH88" s="1032"/>
      <c r="AI88" s="1041">
        <f t="shared" si="7"/>
        <v>750000</v>
      </c>
      <c r="AJ88" s="867"/>
      <c r="AK88" s="1299" t="s">
        <v>1175</v>
      </c>
      <c r="AL88" s="1300">
        <v>300000</v>
      </c>
      <c r="AM88" s="1300">
        <v>150000</v>
      </c>
      <c r="AN88" s="1300">
        <v>150000</v>
      </c>
      <c r="AO88" s="1300">
        <v>150000</v>
      </c>
      <c r="AP88" s="1300">
        <f>SUM(AK88:AO88)</f>
        <v>750000</v>
      </c>
      <c r="AQ88" s="108"/>
      <c r="AR88" s="1027"/>
      <c r="AS88" s="881"/>
      <c r="AT88" s="881"/>
      <c r="AU88" s="881"/>
      <c r="AV88" s="881"/>
      <c r="AW88" s="881"/>
      <c r="AX88" s="881"/>
      <c r="AY88" s="881"/>
      <c r="AZ88" s="881"/>
    </row>
    <row r="89" spans="1:52" s="882" customFormat="1" ht="30" hidden="1" outlineLevel="4">
      <c r="A89" s="580"/>
      <c r="B89" s="107"/>
      <c r="C89" s="107"/>
      <c r="D89" s="1283" t="s">
        <v>3364</v>
      </c>
      <c r="E89" s="906"/>
      <c r="F89" s="126"/>
      <c r="G89" s="97"/>
      <c r="H89" s="906"/>
      <c r="I89" s="362"/>
      <c r="J89" s="361"/>
      <c r="K89" s="361"/>
      <c r="L89" s="361"/>
      <c r="M89" s="361"/>
      <c r="N89" s="361"/>
      <c r="O89" s="361"/>
      <c r="P89" s="361"/>
      <c r="Q89" s="907"/>
      <c r="R89" s="1291"/>
      <c r="S89" s="362"/>
      <c r="T89" s="1292"/>
      <c r="U89" s="362"/>
      <c r="V89" s="362"/>
      <c r="W89" s="1275"/>
      <c r="X89" s="907"/>
      <c r="Y89" s="194" t="s">
        <v>1179</v>
      </c>
      <c r="Z89" s="376">
        <v>1</v>
      </c>
      <c r="AA89" s="185"/>
      <c r="AB89" s="186"/>
      <c r="AC89" s="908">
        <v>75000</v>
      </c>
      <c r="AD89" s="619">
        <f>+AC89*Z89</f>
        <v>75000</v>
      </c>
      <c r="AE89" s="1043"/>
      <c r="AF89" s="97"/>
      <c r="AG89" s="1032">
        <f>+AD89</f>
        <v>75000</v>
      </c>
      <c r="AH89" s="1032"/>
      <c r="AI89" s="1041">
        <f t="shared" si="7"/>
        <v>75000</v>
      </c>
      <c r="AJ89" s="867"/>
      <c r="AK89" s="1299" t="s">
        <v>1175</v>
      </c>
      <c r="AL89" s="1300">
        <v>25000</v>
      </c>
      <c r="AM89" s="1300">
        <v>25000</v>
      </c>
      <c r="AN89" s="1300">
        <v>25000</v>
      </c>
      <c r="AO89" s="1302" t="s">
        <v>1175</v>
      </c>
      <c r="AP89" s="1302"/>
      <c r="AQ89" s="108"/>
      <c r="AR89" s="1027"/>
      <c r="AS89" s="881"/>
      <c r="AT89" s="881"/>
      <c r="AU89" s="881"/>
      <c r="AV89" s="881"/>
      <c r="AW89" s="881"/>
      <c r="AX89" s="881"/>
      <c r="AY89" s="881"/>
      <c r="AZ89" s="881"/>
    </row>
    <row r="90" spans="1:52" s="882" customFormat="1" hidden="1" outlineLevel="3">
      <c r="A90" s="580"/>
      <c r="B90" s="107"/>
      <c r="C90" s="107"/>
      <c r="D90" s="1283"/>
      <c r="E90" s="906"/>
      <c r="F90" s="126"/>
      <c r="G90" s="97"/>
      <c r="H90" s="906"/>
      <c r="I90" s="362"/>
      <c r="J90" s="361"/>
      <c r="K90" s="361"/>
      <c r="L90" s="361"/>
      <c r="M90" s="361"/>
      <c r="N90" s="361"/>
      <c r="O90" s="361"/>
      <c r="P90" s="361"/>
      <c r="Q90" s="907"/>
      <c r="R90" s="1272"/>
      <c r="S90" s="1273"/>
      <c r="T90" s="1274"/>
      <c r="U90" s="1273"/>
      <c r="V90" s="1273"/>
      <c r="W90" s="1275"/>
      <c r="X90" s="907"/>
      <c r="Y90" s="194"/>
      <c r="Z90" s="376"/>
      <c r="AA90" s="185"/>
      <c r="AB90" s="186"/>
      <c r="AC90" s="908"/>
      <c r="AD90" s="1032"/>
      <c r="AE90" s="1043"/>
      <c r="AF90" s="97"/>
      <c r="AG90" s="1032"/>
      <c r="AH90" s="1032"/>
      <c r="AI90" s="1041"/>
      <c r="AJ90" s="867"/>
      <c r="AK90" s="1003"/>
      <c r="AL90" s="1003"/>
      <c r="AM90" s="1003"/>
      <c r="AN90" s="1003"/>
      <c r="AO90" s="1003"/>
      <c r="AP90" s="1003"/>
      <c r="AQ90" s="108"/>
      <c r="AR90" s="1027"/>
      <c r="AS90" s="881"/>
      <c r="AT90" s="881"/>
      <c r="AU90" s="881"/>
      <c r="AV90" s="881"/>
      <c r="AW90" s="881"/>
      <c r="AX90" s="881"/>
      <c r="AY90" s="881"/>
      <c r="AZ90" s="881"/>
    </row>
    <row r="91" spans="1:52" s="878" customFormat="1" ht="75" hidden="1" outlineLevel="2" collapsed="1">
      <c r="A91" s="172"/>
      <c r="B91" s="171" t="s">
        <v>509</v>
      </c>
      <c r="C91" s="171"/>
      <c r="D91" s="538" t="s">
        <v>3365</v>
      </c>
      <c r="E91" s="538" t="s">
        <v>4</v>
      </c>
      <c r="F91" s="106" t="s">
        <v>3366</v>
      </c>
      <c r="G91" s="96"/>
      <c r="H91" s="357" t="str">
        <f>+'1_MdR_Limpia'!C49</f>
        <v>Número</v>
      </c>
      <c r="I91" s="357">
        <f>+'1_MdR_Limpia'!D49</f>
        <v>0</v>
      </c>
      <c r="J91" s="357">
        <f>+'1_MdR_Limpia'!E49</f>
        <v>2021</v>
      </c>
      <c r="K91" s="357" t="str">
        <f>+'1_MdR_Limpia'!F49</f>
        <v>-</v>
      </c>
      <c r="L91" s="357" t="str">
        <f>+'1_MdR_Limpia'!G49</f>
        <v>-</v>
      </c>
      <c r="M91" s="357" t="str">
        <f>+'1_MdR_Limpia'!H49</f>
        <v>-</v>
      </c>
      <c r="N91" s="357">
        <f>+'1_MdR_Limpia'!I49</f>
        <v>1</v>
      </c>
      <c r="O91" s="357" t="str">
        <f>+'1_MdR_Limpia'!J49</f>
        <v>-</v>
      </c>
      <c r="P91" s="357">
        <f>+'1_MdR_Limpia'!L49</f>
        <v>1</v>
      </c>
      <c r="Q91" s="96"/>
      <c r="R91" s="909"/>
      <c r="S91" s="909"/>
      <c r="T91" s="909"/>
      <c r="U91" s="909"/>
      <c r="V91" s="909"/>
      <c r="W91" s="917"/>
      <c r="X91" s="96"/>
      <c r="Y91" s="106"/>
      <c r="Z91" s="172"/>
      <c r="AA91" s="172"/>
      <c r="AB91" s="171"/>
      <c r="AC91" s="176"/>
      <c r="AD91" s="176">
        <f>+AD92</f>
        <v>446000</v>
      </c>
      <c r="AE91" s="538" t="s">
        <v>593</v>
      </c>
      <c r="AF91" s="96"/>
      <c r="AG91" s="176">
        <f>+AG92</f>
        <v>446000</v>
      </c>
      <c r="AH91" s="176">
        <f>+AH92</f>
        <v>0</v>
      </c>
      <c r="AI91" s="176">
        <f t="shared" si="3"/>
        <v>446000</v>
      </c>
      <c r="AJ91" s="865"/>
      <c r="AK91" s="1296">
        <f>AK92</f>
        <v>0</v>
      </c>
      <c r="AL91" s="1297">
        <f>AL92</f>
        <v>50000</v>
      </c>
      <c r="AM91" s="1297">
        <f>AM92</f>
        <v>120000</v>
      </c>
      <c r="AN91" s="1297">
        <f>AN92</f>
        <v>40000</v>
      </c>
      <c r="AO91" s="1297">
        <f>AO92</f>
        <v>236000</v>
      </c>
      <c r="AP91" s="1297">
        <f t="shared" ref="AP91:AP102" si="8">SUM(AK91:AO91)</f>
        <v>446000</v>
      </c>
      <c r="AQ91" s="153"/>
      <c r="AR91" s="1027"/>
      <c r="AS91" s="153"/>
      <c r="AT91" s="153"/>
      <c r="AU91" s="153"/>
      <c r="AV91" s="153"/>
      <c r="AW91" s="153"/>
      <c r="AX91" s="153"/>
      <c r="AY91" s="153"/>
      <c r="AZ91" s="108"/>
    </row>
    <row r="92" spans="1:52" s="153" customFormat="1" ht="30.75" hidden="1" customHeight="1" outlineLevel="3">
      <c r="A92" s="581"/>
      <c r="B92" s="400" t="s">
        <v>2377</v>
      </c>
      <c r="C92" s="400"/>
      <c r="D92" s="536" t="s">
        <v>3367</v>
      </c>
      <c r="E92" s="536"/>
      <c r="F92" s="399"/>
      <c r="G92" s="96"/>
      <c r="H92" s="401"/>
      <c r="I92" s="621"/>
      <c r="J92" s="622"/>
      <c r="K92" s="622"/>
      <c r="L92" s="622"/>
      <c r="M92" s="622"/>
      <c r="N92" s="622"/>
      <c r="O92" s="622"/>
      <c r="P92" s="622"/>
      <c r="Q92" s="96"/>
      <c r="R92" s="837"/>
      <c r="S92" s="851"/>
      <c r="T92" s="851"/>
      <c r="U92" s="851"/>
      <c r="V92" s="851"/>
      <c r="W92" s="399"/>
      <c r="X92" s="96"/>
      <c r="Y92" s="396"/>
      <c r="Z92" s="397"/>
      <c r="AA92" s="397"/>
      <c r="AB92" s="395"/>
      <c r="AC92" s="398"/>
      <c r="AD92" s="398">
        <f>SUM(AD93:AD97)</f>
        <v>446000</v>
      </c>
      <c r="AE92" s="691"/>
      <c r="AF92" s="96"/>
      <c r="AG92" s="398">
        <f>SUM(AG93:AG97)</f>
        <v>446000</v>
      </c>
      <c r="AH92" s="398">
        <f>SUM(AH93:AH97)</f>
        <v>0</v>
      </c>
      <c r="AI92" s="398">
        <f t="shared" si="3"/>
        <v>446000</v>
      </c>
      <c r="AJ92" s="865"/>
      <c r="AK92" s="1298">
        <f>SUM(AK93:AK97)</f>
        <v>0</v>
      </c>
      <c r="AL92" s="1298">
        <f>SUM(AL93:AL97)</f>
        <v>50000</v>
      </c>
      <c r="AM92" s="1298">
        <f>SUM(AM93:AM97)</f>
        <v>120000</v>
      </c>
      <c r="AN92" s="1298">
        <f>SUM(AN93:AN97)</f>
        <v>40000</v>
      </c>
      <c r="AO92" s="1298">
        <f>SUM(AO93:AO97)</f>
        <v>236000</v>
      </c>
      <c r="AP92" s="1298">
        <f t="shared" si="8"/>
        <v>446000</v>
      </c>
      <c r="AR92" s="1027"/>
    </row>
    <row r="93" spans="1:52" ht="81.5" hidden="1" customHeight="1" outlineLevel="3">
      <c r="A93" s="580"/>
      <c r="B93" s="107" t="s">
        <v>2378</v>
      </c>
      <c r="C93" s="107" t="s">
        <v>1279</v>
      </c>
      <c r="D93" s="611" t="s">
        <v>3368</v>
      </c>
      <c r="E93" s="611"/>
      <c r="F93" s="103"/>
      <c r="G93" s="97"/>
      <c r="H93" s="611" t="s">
        <v>216</v>
      </c>
      <c r="I93" s="367"/>
      <c r="J93" s="367"/>
      <c r="K93" s="367"/>
      <c r="L93" s="367"/>
      <c r="M93" s="367"/>
      <c r="N93" s="367"/>
      <c r="O93" s="367"/>
      <c r="P93" s="367"/>
      <c r="Q93" s="97"/>
      <c r="R93" s="1285" t="s">
        <v>3361</v>
      </c>
      <c r="S93" s="1285"/>
      <c r="T93" s="1286"/>
      <c r="U93" s="1285"/>
      <c r="V93" s="1270"/>
      <c r="W93" s="1287"/>
      <c r="X93" s="97"/>
      <c r="Y93" s="711" t="s">
        <v>1179</v>
      </c>
      <c r="Z93" s="712">
        <v>1</v>
      </c>
      <c r="AA93" s="179"/>
      <c r="AB93" s="180"/>
      <c r="AC93" s="1128">
        <v>50000</v>
      </c>
      <c r="AD93" s="1048">
        <f>Z93*AC93</f>
        <v>50000</v>
      </c>
      <c r="AE93" s="1059"/>
      <c r="AF93" s="97"/>
      <c r="AG93" s="1048">
        <f>+AD93</f>
        <v>50000</v>
      </c>
      <c r="AH93" s="1048"/>
      <c r="AI93" s="1053">
        <f t="shared" si="3"/>
        <v>50000</v>
      </c>
      <c r="AJ93" s="867"/>
      <c r="AK93" s="1299"/>
      <c r="AL93" s="1300">
        <v>50000</v>
      </c>
      <c r="AM93" s="1301" t="s">
        <v>1175</v>
      </c>
      <c r="AN93" s="1301" t="s">
        <v>1175</v>
      </c>
      <c r="AO93" s="1271" t="s">
        <v>1175</v>
      </c>
      <c r="AP93" s="1271">
        <f t="shared" si="8"/>
        <v>50000</v>
      </c>
      <c r="AQ93" s="108"/>
      <c r="AR93" s="1027"/>
      <c r="AS93" s="108"/>
      <c r="AT93" s="108"/>
      <c r="AU93" s="108"/>
      <c r="AV93" s="108"/>
      <c r="AW93" s="108"/>
      <c r="AX93" s="108"/>
      <c r="AY93" s="108"/>
      <c r="AZ93" s="108"/>
    </row>
    <row r="94" spans="1:52" ht="42" hidden="1" customHeight="1" outlineLevel="3">
      <c r="A94" s="580"/>
      <c r="B94" s="107" t="s">
        <v>3369</v>
      </c>
      <c r="C94" s="107"/>
      <c r="D94" s="611" t="s">
        <v>814</v>
      </c>
      <c r="E94" s="611"/>
      <c r="F94" s="103"/>
      <c r="G94" s="97"/>
      <c r="H94" s="611" t="s">
        <v>1611</v>
      </c>
      <c r="I94" s="367"/>
      <c r="J94" s="367"/>
      <c r="K94" s="367"/>
      <c r="L94" s="367"/>
      <c r="M94" s="367"/>
      <c r="N94" s="367"/>
      <c r="O94" s="367"/>
      <c r="P94" s="367"/>
      <c r="Q94" s="97"/>
      <c r="R94" s="931"/>
      <c r="S94" s="931"/>
      <c r="T94" s="1284"/>
      <c r="U94" s="931"/>
      <c r="V94" s="364"/>
      <c r="W94" s="181"/>
      <c r="X94" s="97"/>
      <c r="Y94" s="711" t="s">
        <v>1179</v>
      </c>
      <c r="Z94" s="712">
        <v>1</v>
      </c>
      <c r="AA94" s="179"/>
      <c r="AB94" s="180"/>
      <c r="AC94" s="1128">
        <v>80000</v>
      </c>
      <c r="AD94" s="1048">
        <f>Z94*AC94</f>
        <v>80000</v>
      </c>
      <c r="AE94" s="1059"/>
      <c r="AF94" s="97"/>
      <c r="AG94" s="1048">
        <f>+AD94</f>
        <v>80000</v>
      </c>
      <c r="AH94" s="1048"/>
      <c r="AI94" s="1053">
        <f t="shared" si="3"/>
        <v>80000</v>
      </c>
      <c r="AJ94" s="867"/>
      <c r="AK94" s="1299"/>
      <c r="AL94" s="1301"/>
      <c r="AM94" s="1300">
        <v>80000</v>
      </c>
      <c r="AN94" s="1301" t="s">
        <v>1175</v>
      </c>
      <c r="AO94" s="1271" t="s">
        <v>3370</v>
      </c>
      <c r="AP94" s="1271">
        <f t="shared" si="8"/>
        <v>80000</v>
      </c>
      <c r="AQ94" s="108"/>
      <c r="AR94" s="1027"/>
      <c r="AS94" s="108"/>
      <c r="AT94" s="108"/>
      <c r="AU94" s="108"/>
      <c r="AV94" s="108"/>
      <c r="AW94" s="108"/>
      <c r="AX94" s="108"/>
      <c r="AY94" s="108"/>
      <c r="AZ94" s="108"/>
    </row>
    <row r="95" spans="1:52" ht="36" hidden="1" customHeight="1" outlineLevel="3">
      <c r="A95" s="580"/>
      <c r="B95" s="107" t="s">
        <v>3371</v>
      </c>
      <c r="C95" s="107"/>
      <c r="D95" s="611" t="s">
        <v>3372</v>
      </c>
      <c r="E95" s="611"/>
      <c r="F95" s="103"/>
      <c r="G95" s="97"/>
      <c r="H95" s="611" t="s">
        <v>1360</v>
      </c>
      <c r="I95" s="367"/>
      <c r="J95" s="367"/>
      <c r="K95" s="367"/>
      <c r="L95" s="367"/>
      <c r="M95" s="367"/>
      <c r="N95" s="367"/>
      <c r="O95" s="367"/>
      <c r="P95" s="367"/>
      <c r="Q95" s="97"/>
      <c r="R95" s="931"/>
      <c r="S95" s="931"/>
      <c r="T95" s="1284"/>
      <c r="U95" s="931"/>
      <c r="V95" s="364"/>
      <c r="W95" s="181"/>
      <c r="X95" s="97"/>
      <c r="Y95" s="711" t="s">
        <v>1179</v>
      </c>
      <c r="Z95" s="712">
        <v>1</v>
      </c>
      <c r="AA95" s="179"/>
      <c r="AB95" s="180"/>
      <c r="AC95" s="1128">
        <v>80000</v>
      </c>
      <c r="AD95" s="1048">
        <f>Z95*AC95</f>
        <v>80000</v>
      </c>
      <c r="AE95" s="1059"/>
      <c r="AF95" s="97"/>
      <c r="AG95" s="1048">
        <f>+AD95</f>
        <v>80000</v>
      </c>
      <c r="AH95" s="1048"/>
      <c r="AI95" s="1053">
        <f t="shared" si="3"/>
        <v>80000</v>
      </c>
      <c r="AJ95" s="867"/>
      <c r="AK95" s="1299"/>
      <c r="AL95" s="1301" t="s">
        <v>1175</v>
      </c>
      <c r="AM95" s="1300">
        <v>40000</v>
      </c>
      <c r="AN95" s="1300">
        <v>40000</v>
      </c>
      <c r="AO95" s="1271" t="s">
        <v>1175</v>
      </c>
      <c r="AP95" s="1271">
        <f t="shared" si="8"/>
        <v>80000</v>
      </c>
      <c r="AQ95" s="108"/>
      <c r="AR95" s="1027"/>
      <c r="AS95" s="108"/>
      <c r="AT95" s="108"/>
      <c r="AU95" s="108"/>
      <c r="AV95" s="108"/>
      <c r="AW95" s="108"/>
      <c r="AX95" s="108"/>
      <c r="AY95" s="108"/>
      <c r="AZ95" s="108"/>
    </row>
    <row r="96" spans="1:52" ht="27" hidden="1" customHeight="1" outlineLevel="3">
      <c r="A96" s="580"/>
      <c r="B96" s="107" t="s">
        <v>3373</v>
      </c>
      <c r="C96" s="107"/>
      <c r="D96" s="611" t="s">
        <v>3374</v>
      </c>
      <c r="E96" s="611"/>
      <c r="F96" s="103"/>
      <c r="G96" s="97"/>
      <c r="H96" s="611" t="s">
        <v>1360</v>
      </c>
      <c r="I96" s="367"/>
      <c r="J96" s="367"/>
      <c r="K96" s="367"/>
      <c r="L96" s="367"/>
      <c r="M96" s="367"/>
      <c r="N96" s="367"/>
      <c r="O96" s="367"/>
      <c r="P96" s="367"/>
      <c r="Q96" s="97"/>
      <c r="R96" s="931"/>
      <c r="S96" s="931"/>
      <c r="T96" s="1284"/>
      <c r="U96" s="931"/>
      <c r="V96" s="364"/>
      <c r="W96" s="181"/>
      <c r="X96" s="97"/>
      <c r="Y96" s="711" t="s">
        <v>1179</v>
      </c>
      <c r="Z96" s="712">
        <v>1</v>
      </c>
      <c r="AA96" s="179"/>
      <c r="AB96" s="180"/>
      <c r="AC96" s="1128">
        <v>166000</v>
      </c>
      <c r="AD96" s="1048">
        <f>Z96*AC96</f>
        <v>166000</v>
      </c>
      <c r="AE96" s="1059"/>
      <c r="AF96" s="97"/>
      <c r="AG96" s="1048">
        <f>+AD96</f>
        <v>166000</v>
      </c>
      <c r="AH96" s="1048"/>
      <c r="AI96" s="1053">
        <f t="shared" si="3"/>
        <v>166000</v>
      </c>
      <c r="AJ96" s="867"/>
      <c r="AK96" s="1299"/>
      <c r="AL96" s="1301" t="s">
        <v>1175</v>
      </c>
      <c r="AM96" s="1301" t="s">
        <v>1175</v>
      </c>
      <c r="AN96" s="1301" t="s">
        <v>1175</v>
      </c>
      <c r="AO96" s="1281">
        <v>166000</v>
      </c>
      <c r="AP96" s="1281">
        <f t="shared" si="8"/>
        <v>166000</v>
      </c>
      <c r="AQ96" s="108"/>
      <c r="AR96" s="1027"/>
      <c r="AS96" s="108"/>
      <c r="AT96" s="108"/>
      <c r="AU96" s="108"/>
      <c r="AV96" s="108"/>
      <c r="AW96" s="108"/>
      <c r="AX96" s="108"/>
      <c r="AY96" s="108"/>
      <c r="AZ96" s="108"/>
    </row>
    <row r="97" spans="1:52" ht="27" hidden="1" customHeight="1" outlineLevel="3">
      <c r="A97" s="580"/>
      <c r="B97" s="107" t="s">
        <v>3375</v>
      </c>
      <c r="C97" s="107"/>
      <c r="D97" s="611" t="s">
        <v>3376</v>
      </c>
      <c r="E97" s="611"/>
      <c r="F97" s="103"/>
      <c r="G97" s="97"/>
      <c r="H97" s="611" t="s">
        <v>1611</v>
      </c>
      <c r="I97" s="367"/>
      <c r="J97" s="367"/>
      <c r="K97" s="367"/>
      <c r="L97" s="367"/>
      <c r="M97" s="367"/>
      <c r="N97" s="367"/>
      <c r="O97" s="367"/>
      <c r="P97" s="367"/>
      <c r="Q97" s="97"/>
      <c r="R97" s="931"/>
      <c r="S97" s="931"/>
      <c r="T97" s="1284"/>
      <c r="U97" s="931"/>
      <c r="V97" s="364"/>
      <c r="W97" s="181"/>
      <c r="X97" s="97"/>
      <c r="Y97" s="711" t="s">
        <v>1179</v>
      </c>
      <c r="Z97" s="712">
        <v>1</v>
      </c>
      <c r="AA97" s="179"/>
      <c r="AB97" s="180"/>
      <c r="AC97" s="1128">
        <v>70000</v>
      </c>
      <c r="AD97" s="1048">
        <f>Z97*AC97</f>
        <v>70000</v>
      </c>
      <c r="AE97" s="1059"/>
      <c r="AF97" s="97"/>
      <c r="AG97" s="1048">
        <f>+AD97</f>
        <v>70000</v>
      </c>
      <c r="AH97" s="1048"/>
      <c r="AI97" s="1053">
        <f t="shared" si="3"/>
        <v>70000</v>
      </c>
      <c r="AJ97" s="867"/>
      <c r="AK97" s="1299"/>
      <c r="AL97" s="1301" t="s">
        <v>1175</v>
      </c>
      <c r="AM97" s="1301" t="s">
        <v>1175</v>
      </c>
      <c r="AN97" s="1301" t="s">
        <v>1175</v>
      </c>
      <c r="AO97" s="1281">
        <v>70000</v>
      </c>
      <c r="AP97" s="1281">
        <f t="shared" si="8"/>
        <v>70000</v>
      </c>
      <c r="AQ97" s="108"/>
      <c r="AR97" s="1027"/>
      <c r="AS97" s="108"/>
      <c r="AT97" s="108"/>
      <c r="AU97" s="108"/>
      <c r="AV97" s="108"/>
      <c r="AW97" s="108"/>
      <c r="AX97" s="108"/>
      <c r="AY97" s="108"/>
      <c r="AZ97" s="108"/>
    </row>
    <row r="98" spans="1:52" s="153" customFormat="1" ht="75" hidden="1" outlineLevel="2" collapsed="1">
      <c r="A98" s="172"/>
      <c r="B98" s="171" t="s">
        <v>510</v>
      </c>
      <c r="C98" s="171"/>
      <c r="D98" s="538" t="s">
        <v>27</v>
      </c>
      <c r="E98" s="538" t="s">
        <v>4</v>
      </c>
      <c r="F98" s="106" t="s">
        <v>3377</v>
      </c>
      <c r="G98" s="96"/>
      <c r="H98" s="357" t="str">
        <f>+'1_MdR_Limpia'!C54</f>
        <v>Número</v>
      </c>
      <c r="I98" s="357">
        <f>+'1_MdR_Limpia'!D54</f>
        <v>0</v>
      </c>
      <c r="J98" s="357">
        <f>+'1_MdR_Limpia'!E54</f>
        <v>2021</v>
      </c>
      <c r="K98" s="357" t="str">
        <f>+'1_MdR_Limpia'!F54</f>
        <v>-</v>
      </c>
      <c r="L98" s="357" t="str">
        <f>+'1_MdR_Limpia'!G54</f>
        <v>-</v>
      </c>
      <c r="M98" s="357">
        <f>+'1_MdR_Limpia'!H54</f>
        <v>1</v>
      </c>
      <c r="N98" s="357" t="str">
        <f>+'1_MdR_Limpia'!I54</f>
        <v>-</v>
      </c>
      <c r="O98" s="357" t="str">
        <f>+'1_MdR_Limpia'!J54</f>
        <v>-</v>
      </c>
      <c r="P98" s="357">
        <f>+'1_MdR_Limpia'!L54</f>
        <v>1</v>
      </c>
      <c r="Q98" s="96"/>
      <c r="R98" s="358"/>
      <c r="S98" s="358"/>
      <c r="T98" s="358"/>
      <c r="U98" s="358"/>
      <c r="V98" s="358"/>
      <c r="W98" s="538"/>
      <c r="X98" s="96"/>
      <c r="Y98" s="106"/>
      <c r="Z98" s="172"/>
      <c r="AA98" s="172"/>
      <c r="AB98" s="171"/>
      <c r="AC98" s="176"/>
      <c r="AD98" s="176">
        <f>+AD99+AD101</f>
        <v>500000</v>
      </c>
      <c r="AE98" s="538"/>
      <c r="AF98" s="96"/>
      <c r="AG98" s="176">
        <f>+AG99+AG101</f>
        <v>500000</v>
      </c>
      <c r="AH98" s="176">
        <f>+AH99+AH101</f>
        <v>0</v>
      </c>
      <c r="AI98" s="176">
        <f>+AH98+AG98</f>
        <v>500000</v>
      </c>
      <c r="AJ98" s="865"/>
      <c r="AK98" s="980">
        <f>AK99+AK101</f>
        <v>0</v>
      </c>
      <c r="AL98" s="980">
        <f>AL99+AL101</f>
        <v>120000</v>
      </c>
      <c r="AM98" s="980">
        <f>AM99+AM101</f>
        <v>380000</v>
      </c>
      <c r="AN98" s="980">
        <f>AN99+AN101</f>
        <v>0</v>
      </c>
      <c r="AO98" s="980">
        <f>AO99+AO101</f>
        <v>0</v>
      </c>
      <c r="AP98" s="980">
        <f t="shared" si="8"/>
        <v>500000</v>
      </c>
      <c r="AR98" s="1027"/>
      <c r="AZ98" s="108"/>
    </row>
    <row r="99" spans="1:52" s="878" customFormat="1" ht="30" hidden="1" outlineLevel="3">
      <c r="A99" s="581"/>
      <c r="B99" s="400" t="s">
        <v>2387</v>
      </c>
      <c r="C99" s="400"/>
      <c r="D99" s="536" t="s">
        <v>835</v>
      </c>
      <c r="E99" s="536"/>
      <c r="F99" s="399"/>
      <c r="G99" s="96"/>
      <c r="H99" s="401" t="s">
        <v>1357</v>
      </c>
      <c r="I99" s="401"/>
      <c r="J99" s="402"/>
      <c r="K99" s="402"/>
      <c r="L99" s="402"/>
      <c r="M99" s="402"/>
      <c r="N99" s="402"/>
      <c r="O99" s="402"/>
      <c r="P99" s="402"/>
      <c r="Q99" s="96"/>
      <c r="R99" s="837"/>
      <c r="S99" s="851"/>
      <c r="T99" s="851"/>
      <c r="U99" s="851"/>
      <c r="V99" s="851"/>
      <c r="W99" s="581"/>
      <c r="X99" s="96"/>
      <c r="Y99" s="396"/>
      <c r="Z99" s="397"/>
      <c r="AA99" s="397"/>
      <c r="AB99" s="395"/>
      <c r="AC99" s="398"/>
      <c r="AD99" s="398">
        <f>+AD100</f>
        <v>120000</v>
      </c>
      <c r="AE99" s="932"/>
      <c r="AF99" s="96"/>
      <c r="AG99" s="398">
        <f>+AG100</f>
        <v>120000</v>
      </c>
      <c r="AH99" s="398">
        <f>+AH100</f>
        <v>0</v>
      </c>
      <c r="AI99" s="398">
        <f>+AH99+AG99</f>
        <v>120000</v>
      </c>
      <c r="AJ99" s="865"/>
      <c r="AK99" s="992">
        <f>AK100</f>
        <v>0</v>
      </c>
      <c r="AL99" s="992">
        <f>AL100</f>
        <v>120000</v>
      </c>
      <c r="AM99" s="992"/>
      <c r="AN99" s="993"/>
      <c r="AO99" s="994"/>
      <c r="AP99" s="994">
        <f t="shared" si="8"/>
        <v>120000</v>
      </c>
      <c r="AQ99" s="153"/>
      <c r="AR99" s="1027"/>
      <c r="AS99" s="153"/>
      <c r="AT99" s="153"/>
      <c r="AU99" s="153"/>
      <c r="AV99" s="153"/>
      <c r="AW99" s="153"/>
      <c r="AX99" s="153"/>
      <c r="AY99" s="153"/>
      <c r="AZ99" s="153"/>
    </row>
    <row r="100" spans="1:52" s="881" customFormat="1" ht="114.5" hidden="1" customHeight="1" outlineLevel="4">
      <c r="A100" s="580"/>
      <c r="B100" s="107" t="s">
        <v>3378</v>
      </c>
      <c r="C100" s="107" t="s">
        <v>1279</v>
      </c>
      <c r="D100" s="611" t="s">
        <v>1359</v>
      </c>
      <c r="E100" s="611"/>
      <c r="F100" s="103"/>
      <c r="G100" s="97"/>
      <c r="H100" s="611" t="s">
        <v>1360</v>
      </c>
      <c r="I100" s="361"/>
      <c r="J100" s="361"/>
      <c r="K100" s="361"/>
      <c r="L100" s="361"/>
      <c r="M100" s="361"/>
      <c r="N100" s="361"/>
      <c r="O100" s="361"/>
      <c r="P100" s="361"/>
      <c r="Q100" s="97"/>
      <c r="R100" s="1402" t="s">
        <v>3379</v>
      </c>
      <c r="S100" s="1288"/>
      <c r="T100" s="1288"/>
      <c r="U100" s="1288"/>
      <c r="V100" s="1288"/>
      <c r="W100" s="1289"/>
      <c r="X100" s="97"/>
      <c r="Y100" s="711" t="s">
        <v>1179</v>
      </c>
      <c r="Z100" s="712">
        <v>1</v>
      </c>
      <c r="AA100" s="179"/>
      <c r="AB100" s="180"/>
      <c r="AC100" s="1128">
        <v>120000</v>
      </c>
      <c r="AD100" s="1032">
        <f>Z100*AC100</f>
        <v>120000</v>
      </c>
      <c r="AE100" s="1043"/>
      <c r="AF100" s="97"/>
      <c r="AG100" s="1032">
        <f>+AD100</f>
        <v>120000</v>
      </c>
      <c r="AH100" s="1032"/>
      <c r="AI100" s="1041">
        <f>+AH100+AG100</f>
        <v>120000</v>
      </c>
      <c r="AJ100" s="867"/>
      <c r="AK100" s="986"/>
      <c r="AL100" s="986">
        <f>AI100</f>
        <v>120000</v>
      </c>
      <c r="AM100" s="986"/>
      <c r="AN100" s="987"/>
      <c r="AO100" s="728"/>
      <c r="AP100" s="728">
        <f t="shared" si="8"/>
        <v>120000</v>
      </c>
      <c r="AQ100" s="108"/>
      <c r="AR100" s="1027"/>
    </row>
    <row r="101" spans="1:52" s="878" customFormat="1" ht="15" hidden="1" outlineLevel="3">
      <c r="A101" s="581"/>
      <c r="B101" s="400" t="s">
        <v>2279</v>
      </c>
      <c r="C101" s="400"/>
      <c r="D101" s="536" t="s">
        <v>840</v>
      </c>
      <c r="E101" s="536"/>
      <c r="F101" s="399"/>
      <c r="G101" s="96"/>
      <c r="H101" s="401"/>
      <c r="I101" s="401"/>
      <c r="J101" s="402"/>
      <c r="K101" s="402"/>
      <c r="L101" s="402"/>
      <c r="M101" s="402"/>
      <c r="N101" s="402"/>
      <c r="O101" s="402"/>
      <c r="P101" s="402"/>
      <c r="Q101" s="96"/>
      <c r="R101" s="837"/>
      <c r="S101" s="851"/>
      <c r="T101" s="851"/>
      <c r="U101" s="851"/>
      <c r="V101" s="851"/>
      <c r="W101" s="581"/>
      <c r="X101" s="96"/>
      <c r="Y101" s="396"/>
      <c r="Z101" s="397"/>
      <c r="AA101" s="397"/>
      <c r="AB101" s="395"/>
      <c r="AC101" s="398"/>
      <c r="AD101" s="398">
        <f>+AD102</f>
        <v>380000</v>
      </c>
      <c r="AE101" s="932"/>
      <c r="AF101" s="96"/>
      <c r="AG101" s="398">
        <f>+AG102</f>
        <v>380000</v>
      </c>
      <c r="AH101" s="398">
        <f>+AH102</f>
        <v>0</v>
      </c>
      <c r="AI101" s="398">
        <f>+AH101+AG101</f>
        <v>380000</v>
      </c>
      <c r="AJ101" s="865"/>
      <c r="AK101" s="992">
        <f>AK102</f>
        <v>0</v>
      </c>
      <c r="AL101" s="992">
        <f>AL102</f>
        <v>0</v>
      </c>
      <c r="AM101" s="992">
        <f>AM102</f>
        <v>380000</v>
      </c>
      <c r="AN101" s="992">
        <f>AN102</f>
        <v>0</v>
      </c>
      <c r="AO101" s="992">
        <f>AO102</f>
        <v>0</v>
      </c>
      <c r="AP101" s="992">
        <f t="shared" si="8"/>
        <v>380000</v>
      </c>
      <c r="AQ101" s="153"/>
      <c r="AR101" s="1027"/>
      <c r="AS101" s="153"/>
      <c r="AT101" s="153"/>
      <c r="AU101" s="153"/>
      <c r="AV101" s="153"/>
      <c r="AW101" s="153"/>
      <c r="AX101" s="153"/>
      <c r="AY101" s="153"/>
      <c r="AZ101" s="153"/>
    </row>
    <row r="102" spans="1:52" s="881" customFormat="1" ht="47.5" hidden="1" customHeight="1" outlineLevel="4">
      <c r="A102" s="580"/>
      <c r="B102" s="107" t="s">
        <v>2391</v>
      </c>
      <c r="C102" s="107"/>
      <c r="D102" s="611" t="s">
        <v>842</v>
      </c>
      <c r="E102" s="611"/>
      <c r="F102" s="103"/>
      <c r="G102" s="97"/>
      <c r="H102" s="611"/>
      <c r="I102" s="361"/>
      <c r="J102" s="361"/>
      <c r="K102" s="361"/>
      <c r="L102" s="361"/>
      <c r="M102" s="361"/>
      <c r="N102" s="361"/>
      <c r="O102" s="361"/>
      <c r="P102" s="361"/>
      <c r="Q102" s="97"/>
      <c r="R102" s="362"/>
      <c r="S102" s="362"/>
      <c r="T102" s="856"/>
      <c r="U102" s="362"/>
      <c r="V102" s="362"/>
      <c r="W102" s="184"/>
      <c r="X102" s="97"/>
      <c r="Y102" s="711" t="s">
        <v>1179</v>
      </c>
      <c r="Z102" s="712">
        <v>1</v>
      </c>
      <c r="AA102" s="179"/>
      <c r="AB102" s="180"/>
      <c r="AC102" s="618">
        <v>380000</v>
      </c>
      <c r="AD102" s="1032">
        <f>Z102*AC102</f>
        <v>380000</v>
      </c>
      <c r="AE102" s="722"/>
      <c r="AF102" s="97"/>
      <c r="AG102" s="1032">
        <f>+AD102</f>
        <v>380000</v>
      </c>
      <c r="AH102" s="1032"/>
      <c r="AI102" s="1041">
        <f>+AH102+AG102</f>
        <v>380000</v>
      </c>
      <c r="AJ102" s="867"/>
      <c r="AK102" s="986"/>
      <c r="AL102" s="986"/>
      <c r="AM102" s="986">
        <f>+AG102</f>
        <v>380000</v>
      </c>
      <c r="AN102" s="987"/>
      <c r="AO102" s="728"/>
      <c r="AP102" s="728">
        <f t="shared" si="8"/>
        <v>380000</v>
      </c>
      <c r="AQ102" s="108"/>
      <c r="AR102" s="1027"/>
    </row>
    <row r="103" spans="1:52" s="881" customFormat="1" ht="17.5" hidden="1" customHeight="1" outlineLevel="3">
      <c r="A103" s="580"/>
      <c r="B103" s="107"/>
      <c r="C103" s="107"/>
      <c r="D103" s="611"/>
      <c r="E103" s="611"/>
      <c r="F103" s="103"/>
      <c r="G103" s="97"/>
      <c r="H103" s="611"/>
      <c r="I103" s="361"/>
      <c r="J103" s="361"/>
      <c r="K103" s="361"/>
      <c r="L103" s="361"/>
      <c r="M103" s="361"/>
      <c r="N103" s="361"/>
      <c r="O103" s="361"/>
      <c r="P103" s="361"/>
      <c r="Q103" s="97"/>
      <c r="R103" s="362"/>
      <c r="S103" s="362"/>
      <c r="T103" s="856"/>
      <c r="U103" s="362"/>
      <c r="V103" s="362"/>
      <c r="W103" s="184"/>
      <c r="X103" s="97"/>
      <c r="Y103" s="711"/>
      <c r="Z103" s="712"/>
      <c r="AA103" s="179"/>
      <c r="AB103" s="180"/>
      <c r="AC103" s="618"/>
      <c r="AD103" s="1032"/>
      <c r="AE103" s="722"/>
      <c r="AF103" s="97"/>
      <c r="AG103" s="1032"/>
      <c r="AH103" s="1032"/>
      <c r="AI103" s="1041"/>
      <c r="AJ103" s="867"/>
      <c r="AK103" s="986"/>
      <c r="AL103" s="986"/>
      <c r="AM103" s="986"/>
      <c r="AN103" s="987"/>
      <c r="AO103" s="728"/>
      <c r="AP103" s="1038"/>
      <c r="AQ103" s="108"/>
      <c r="AR103" s="1027"/>
    </row>
    <row r="104" spans="1:52" s="108" customFormat="1" ht="14" hidden="1" customHeight="1" outlineLevel="2" collapsed="1">
      <c r="A104" s="580"/>
      <c r="B104" s="107"/>
      <c r="C104" s="107"/>
      <c r="D104" s="533"/>
      <c r="E104" s="533"/>
      <c r="F104" s="103"/>
      <c r="G104" s="97"/>
      <c r="H104" s="363"/>
      <c r="I104" s="364"/>
      <c r="J104" s="365"/>
      <c r="K104" s="365"/>
      <c r="L104" s="365"/>
      <c r="M104" s="365"/>
      <c r="N104" s="365"/>
      <c r="O104" s="365"/>
      <c r="P104" s="365"/>
      <c r="Q104" s="97"/>
      <c r="R104" s="364"/>
      <c r="S104" s="364"/>
      <c r="T104" s="364"/>
      <c r="U104" s="364"/>
      <c r="V104" s="364"/>
      <c r="W104" s="181"/>
      <c r="X104" s="97"/>
      <c r="Y104" s="711"/>
      <c r="Z104" s="712"/>
      <c r="AA104" s="179"/>
      <c r="AB104" s="180"/>
      <c r="AC104" s="1032"/>
      <c r="AD104" s="1032"/>
      <c r="AE104" s="1042"/>
      <c r="AF104" s="97"/>
      <c r="AG104" s="1032"/>
      <c r="AH104" s="1032"/>
      <c r="AI104" s="1041"/>
      <c r="AJ104" s="867"/>
      <c r="AK104" s="986"/>
      <c r="AL104" s="986"/>
      <c r="AM104" s="986"/>
      <c r="AN104" s="987"/>
      <c r="AO104" s="1038"/>
      <c r="AP104" s="1038">
        <f>SUM(AK104:AO104)</f>
        <v>0</v>
      </c>
      <c r="AR104" s="1027"/>
    </row>
    <row r="105" spans="1:52" s="153" customFormat="1" ht="30" customHeight="1" outlineLevel="1" collapsed="1">
      <c r="A105" s="578"/>
      <c r="B105" s="428" t="s">
        <v>511</v>
      </c>
      <c r="C105" s="428"/>
      <c r="D105" s="545" t="s">
        <v>29</v>
      </c>
      <c r="E105" s="545" t="s">
        <v>4</v>
      </c>
      <c r="F105" s="427"/>
      <c r="G105" s="96"/>
      <c r="H105" s="429"/>
      <c r="I105" s="425"/>
      <c r="J105" s="430"/>
      <c r="K105" s="430"/>
      <c r="L105" s="430"/>
      <c r="M105" s="430"/>
      <c r="N105" s="430"/>
      <c r="O105" s="430"/>
      <c r="P105" s="430"/>
      <c r="Q105" s="96"/>
      <c r="R105" s="850"/>
      <c r="S105" s="850"/>
      <c r="T105" s="850"/>
      <c r="U105" s="850"/>
      <c r="V105" s="850"/>
      <c r="W105" s="431"/>
      <c r="X105" s="96"/>
      <c r="Y105" s="426"/>
      <c r="Z105" s="425"/>
      <c r="AA105" s="425"/>
      <c r="AB105" s="432"/>
      <c r="AC105" s="433"/>
      <c r="AD105" s="433">
        <f>+AD121+AD106+AD132</f>
        <v>8000000</v>
      </c>
      <c r="AE105" s="685"/>
      <c r="AF105" s="96"/>
      <c r="AG105" s="433">
        <f>+AG121+AG106+AG132</f>
        <v>8000000</v>
      </c>
      <c r="AH105" s="433">
        <f>+AH121+AH106+AH132</f>
        <v>0</v>
      </c>
      <c r="AI105" s="433">
        <f>+AI121+AI106+AI132</f>
        <v>7940000</v>
      </c>
      <c r="AJ105" s="865"/>
      <c r="AK105" s="977">
        <f>+AK121+AK106</f>
        <v>430000</v>
      </c>
      <c r="AL105" s="977">
        <f>+AL121+AL106</f>
        <v>1094000</v>
      </c>
      <c r="AM105" s="977">
        <f>+AM121+AM106</f>
        <v>1543000</v>
      </c>
      <c r="AN105" s="978">
        <f>+AN121+AN106</f>
        <v>2713000</v>
      </c>
      <c r="AO105" s="976">
        <f>+AO121+AO106</f>
        <v>860000</v>
      </c>
      <c r="AP105" s="976">
        <f>SUM(AK105:AO105)</f>
        <v>6640000</v>
      </c>
      <c r="AR105" s="1027"/>
    </row>
    <row r="106" spans="1:52" s="153" customFormat="1" ht="43.5" hidden="1" customHeight="1" outlineLevel="2" collapsed="1">
      <c r="A106" s="172"/>
      <c r="B106" s="171" t="s">
        <v>512</v>
      </c>
      <c r="C106" s="171"/>
      <c r="D106" s="538" t="s">
        <v>30</v>
      </c>
      <c r="E106" s="538" t="s">
        <v>4</v>
      </c>
      <c r="F106" s="106" t="s">
        <v>1363</v>
      </c>
      <c r="G106" s="96"/>
      <c r="H106" s="357" t="str">
        <f>+'1_MdR_Limpia'!C58</f>
        <v>Número</v>
      </c>
      <c r="I106" s="357">
        <f>+'1_MdR_Limpia'!D58</f>
        <v>0</v>
      </c>
      <c r="J106" s="357">
        <f>+'1_MdR_Limpia'!E58</f>
        <v>2021</v>
      </c>
      <c r="K106" s="357" t="str">
        <f>+'1_MdR_Limpia'!F58</f>
        <v>-</v>
      </c>
      <c r="L106" s="357" t="str">
        <f>+'1_MdR_Limpia'!G58</f>
        <v>-</v>
      </c>
      <c r="M106" s="357" t="str">
        <f>+'1_MdR_Limpia'!H58</f>
        <v>-</v>
      </c>
      <c r="N106" s="357">
        <f>+'1_MdR_Limpia'!I58</f>
        <v>1</v>
      </c>
      <c r="O106" s="357" t="str">
        <f>+'1_MdR_Limpia'!J58</f>
        <v>-</v>
      </c>
      <c r="P106" s="357">
        <f>+'1_MdR_Limpia'!L58</f>
        <v>1</v>
      </c>
      <c r="Q106" s="96"/>
      <c r="R106" s="358"/>
      <c r="S106" s="358"/>
      <c r="T106" s="358"/>
      <c r="U106" s="358"/>
      <c r="V106" s="358"/>
      <c r="W106" s="174"/>
      <c r="X106" s="96"/>
      <c r="Y106" s="106"/>
      <c r="Z106" s="172"/>
      <c r="AA106" s="172"/>
      <c r="AB106" s="171"/>
      <c r="AC106" s="176"/>
      <c r="AD106" s="176">
        <f>+AD109+AD113</f>
        <v>3140000</v>
      </c>
      <c r="AE106" s="686" t="s">
        <v>3380</v>
      </c>
      <c r="AF106" s="96"/>
      <c r="AG106" s="176">
        <f>+AG109+AG113</f>
        <v>3140000</v>
      </c>
      <c r="AH106" s="176">
        <f>+AH109+AH113</f>
        <v>0</v>
      </c>
      <c r="AI106" s="176">
        <f>+AG106+AH106</f>
        <v>3140000</v>
      </c>
      <c r="AJ106" s="865"/>
      <c r="AK106" s="980">
        <f>+AK109+AK113</f>
        <v>0</v>
      </c>
      <c r="AL106" s="980">
        <f>+AL109+AL113</f>
        <v>234000</v>
      </c>
      <c r="AM106" s="980">
        <f>+AM109+AM113</f>
        <v>468000</v>
      </c>
      <c r="AN106" s="981">
        <f>+AN109+AN113</f>
        <v>1638000</v>
      </c>
      <c r="AO106" s="979">
        <f>+AO109+AO113</f>
        <v>0</v>
      </c>
      <c r="AP106" s="979">
        <f>SUM(AK106:AO106)</f>
        <v>2340000</v>
      </c>
      <c r="AR106" s="1027"/>
    </row>
    <row r="107" spans="1:52" s="879" customFormat="1" ht="30" hidden="1" outlineLevel="3">
      <c r="A107" s="579"/>
      <c r="B107" s="107" t="s">
        <v>843</v>
      </c>
      <c r="C107" s="490" t="s">
        <v>1279</v>
      </c>
      <c r="D107" s="1321" t="s">
        <v>3381</v>
      </c>
      <c r="E107" s="1202"/>
      <c r="F107" s="491"/>
      <c r="G107" s="492"/>
      <c r="H107" s="493"/>
      <c r="I107" s="494"/>
      <c r="J107" s="1322"/>
      <c r="K107" s="1322"/>
      <c r="L107" s="1322"/>
      <c r="M107" s="1322"/>
      <c r="N107" s="1322"/>
      <c r="O107" s="1322"/>
      <c r="P107" s="1322"/>
      <c r="Q107" s="492"/>
      <c r="R107" s="1323"/>
      <c r="S107" s="1323"/>
      <c r="T107" s="1319" t="s">
        <v>1413</v>
      </c>
      <c r="U107" s="1323"/>
      <c r="V107" s="1323"/>
      <c r="W107" s="1324"/>
      <c r="X107" s="492"/>
      <c r="Y107" s="1346"/>
      <c r="Z107" s="1345">
        <v>1</v>
      </c>
      <c r="AA107" s="1327"/>
      <c r="AB107" s="1328"/>
      <c r="AC107" s="1320"/>
      <c r="AD107" s="1320"/>
      <c r="AE107" s="1330"/>
      <c r="AF107" s="492"/>
      <c r="AG107" s="1329"/>
      <c r="AH107" s="1329"/>
      <c r="AI107" s="1331"/>
      <c r="AJ107" s="866"/>
      <c r="AK107" s="1332"/>
      <c r="AL107" s="1332"/>
      <c r="AM107" s="1332"/>
      <c r="AN107" s="1333"/>
      <c r="AO107" s="1334"/>
      <c r="AP107" s="1334"/>
      <c r="AR107" s="1027"/>
    </row>
    <row r="108" spans="1:52" s="879" customFormat="1" ht="31.25" hidden="1" customHeight="1" outlineLevel="3">
      <c r="A108" s="579"/>
      <c r="B108" s="107" t="s">
        <v>1368</v>
      </c>
      <c r="C108" s="490" t="s">
        <v>1279</v>
      </c>
      <c r="D108" s="1202" t="s">
        <v>3382</v>
      </c>
      <c r="E108" s="1202"/>
      <c r="F108" s="491"/>
      <c r="G108" s="492"/>
      <c r="H108" s="493"/>
      <c r="I108" s="494"/>
      <c r="J108" s="1322"/>
      <c r="K108" s="1322"/>
      <c r="L108" s="1322"/>
      <c r="M108" s="1322"/>
      <c r="N108" s="1322"/>
      <c r="O108" s="1322"/>
      <c r="P108" s="1322"/>
      <c r="Q108" s="492"/>
      <c r="R108" s="1323"/>
      <c r="S108" s="1323"/>
      <c r="T108" s="1323"/>
      <c r="U108" s="1323"/>
      <c r="V108" s="1323"/>
      <c r="W108" s="1324" t="s">
        <v>3383</v>
      </c>
      <c r="X108" s="492"/>
      <c r="Y108" s="1325"/>
      <c r="Z108" s="1326">
        <v>1</v>
      </c>
      <c r="AA108" s="1327"/>
      <c r="AB108" s="1328"/>
      <c r="AC108" s="1329">
        <v>0</v>
      </c>
      <c r="AD108" s="1329">
        <f>+AC108*Z108</f>
        <v>0</v>
      </c>
      <c r="AE108" s="1330"/>
      <c r="AF108" s="492"/>
      <c r="AG108" s="1329"/>
      <c r="AH108" s="1329"/>
      <c r="AI108" s="1331"/>
      <c r="AJ108" s="866"/>
      <c r="AK108" s="1332"/>
      <c r="AL108" s="1332"/>
      <c r="AM108" s="1332"/>
      <c r="AN108" s="1333"/>
      <c r="AO108" s="1334"/>
      <c r="AP108" s="1334"/>
      <c r="AR108" s="1027"/>
    </row>
    <row r="109" spans="1:52" s="108" customFormat="1" ht="41.5" hidden="1" customHeight="1" outlineLevel="4">
      <c r="A109" s="580"/>
      <c r="B109" s="107" t="s">
        <v>854</v>
      </c>
      <c r="C109" s="107"/>
      <c r="D109" s="533" t="s">
        <v>3353</v>
      </c>
      <c r="E109" s="533"/>
      <c r="F109" s="103"/>
      <c r="G109" s="97"/>
      <c r="H109" s="363"/>
      <c r="I109" s="364"/>
      <c r="J109" s="365"/>
      <c r="K109" s="365"/>
      <c r="L109" s="365"/>
      <c r="M109" s="365"/>
      <c r="N109" s="365"/>
      <c r="O109" s="365"/>
      <c r="P109" s="365"/>
      <c r="Q109" s="97"/>
      <c r="R109" s="364"/>
      <c r="S109" s="364"/>
      <c r="T109" s="852" t="s">
        <v>3384</v>
      </c>
      <c r="U109" s="364"/>
      <c r="V109" s="364"/>
      <c r="W109" s="181"/>
      <c r="X109" s="97"/>
      <c r="Y109" s="711" t="s">
        <v>1179</v>
      </c>
      <c r="Z109" s="712">
        <v>1</v>
      </c>
      <c r="AA109" s="179"/>
      <c r="AB109" s="180"/>
      <c r="AC109" s="1032">
        <v>2340000</v>
      </c>
      <c r="AD109" s="1032">
        <f>Z109*AC109</f>
        <v>2340000</v>
      </c>
      <c r="AE109" s="1042"/>
      <c r="AF109" s="97"/>
      <c r="AG109" s="1032">
        <f>+AD109</f>
        <v>2340000</v>
      </c>
      <c r="AH109" s="1032"/>
      <c r="AI109" s="1041">
        <f>AG109+AH109</f>
        <v>2340000</v>
      </c>
      <c r="AJ109" s="867"/>
      <c r="AK109" s="986"/>
      <c r="AL109" s="986">
        <f>+$AG$109*10%</f>
        <v>234000</v>
      </c>
      <c r="AM109" s="986">
        <f>+$AG$109*20%</f>
        <v>468000</v>
      </c>
      <c r="AN109" s="986">
        <f>+$AG$109*70%</f>
        <v>1638000</v>
      </c>
      <c r="AO109" s="1038"/>
      <c r="AP109" s="1038">
        <f>SUM(AK109:AO109)</f>
        <v>2340000</v>
      </c>
      <c r="AR109" s="1027"/>
    </row>
    <row r="110" spans="1:52" s="108" customFormat="1" ht="41.5" hidden="1" customHeight="1" outlineLevel="3" collapsed="1">
      <c r="A110" s="580"/>
      <c r="B110" s="107" t="s">
        <v>857</v>
      </c>
      <c r="C110" s="107" t="s">
        <v>1279</v>
      </c>
      <c r="D110" s="1351" t="s">
        <v>3385</v>
      </c>
      <c r="E110" s="533"/>
      <c r="F110" s="103"/>
      <c r="G110" s="97"/>
      <c r="H110" s="363"/>
      <c r="I110" s="364"/>
      <c r="J110" s="365"/>
      <c r="K110" s="365"/>
      <c r="L110" s="365"/>
      <c r="M110" s="365"/>
      <c r="N110" s="365"/>
      <c r="O110" s="365"/>
      <c r="P110" s="365"/>
      <c r="Q110" s="97"/>
      <c r="R110" s="1350" t="s">
        <v>3386</v>
      </c>
      <c r="S110" s="931"/>
      <c r="T110" s="364"/>
      <c r="U110" s="931"/>
      <c r="V110" s="364"/>
      <c r="W110" s="159"/>
      <c r="X110" s="97"/>
      <c r="Y110" s="1308" t="s">
        <v>1179</v>
      </c>
      <c r="Z110" s="1307">
        <v>1</v>
      </c>
      <c r="AA110" s="1307"/>
      <c r="AB110" s="1307"/>
      <c r="AC110" s="1352"/>
      <c r="AD110" s="1352">
        <f>+AC110*Z110</f>
        <v>0</v>
      </c>
      <c r="AE110" s="1355"/>
      <c r="AF110" s="97"/>
      <c r="AG110" s="1039"/>
      <c r="AH110" s="1039"/>
      <c r="AI110" s="1356"/>
      <c r="AJ110" s="865"/>
      <c r="AK110" s="988"/>
      <c r="AL110" s="988"/>
      <c r="AM110" s="988"/>
      <c r="AN110" s="988"/>
      <c r="AO110" s="1040"/>
      <c r="AP110" s="1040"/>
      <c r="AR110" s="1027"/>
    </row>
    <row r="111" spans="1:52" s="108" customFormat="1" ht="41.5" hidden="1" customHeight="1" outlineLevel="3">
      <c r="A111" s="580"/>
      <c r="B111" s="107" t="s">
        <v>860</v>
      </c>
      <c r="C111" s="107"/>
      <c r="D111" s="1351" t="s">
        <v>1473</v>
      </c>
      <c r="E111" s="533"/>
      <c r="F111" s="103"/>
      <c r="G111" s="97"/>
      <c r="H111" s="363"/>
      <c r="I111" s="364"/>
      <c r="J111" s="365"/>
      <c r="K111" s="365"/>
      <c r="L111" s="365"/>
      <c r="M111" s="365"/>
      <c r="N111" s="365"/>
      <c r="O111" s="365"/>
      <c r="P111" s="365"/>
      <c r="Q111" s="97"/>
      <c r="R111" s="1341" t="s">
        <v>3387</v>
      </c>
      <c r="S111" s="1335"/>
      <c r="T111" s="852"/>
      <c r="U111" s="1335"/>
      <c r="V111" s="852"/>
      <c r="W111" s="1318"/>
      <c r="X111" s="97"/>
      <c r="Y111" s="1308" t="s">
        <v>1179</v>
      </c>
      <c r="Z111" s="1307">
        <v>1</v>
      </c>
      <c r="AA111" s="1307"/>
      <c r="AB111" s="1307"/>
      <c r="AC111" s="1352"/>
      <c r="AD111" s="1352">
        <f>+AC111*Z111</f>
        <v>0</v>
      </c>
      <c r="AE111" s="1355"/>
      <c r="AF111" s="97"/>
      <c r="AG111" s="1039"/>
      <c r="AH111" s="1039"/>
      <c r="AI111" s="1356"/>
      <c r="AJ111" s="865"/>
      <c r="AK111" s="988"/>
      <c r="AL111" s="988"/>
      <c r="AM111" s="988"/>
      <c r="AN111" s="988"/>
      <c r="AO111" s="1040"/>
      <c r="AP111" s="1040"/>
      <c r="AR111" s="1027"/>
    </row>
    <row r="112" spans="1:52" s="108" customFormat="1" ht="41.5" hidden="1" customHeight="1" outlineLevel="4">
      <c r="A112" s="580"/>
      <c r="B112" s="107" t="s">
        <v>872</v>
      </c>
      <c r="C112" s="107"/>
      <c r="D112" s="1339" t="s">
        <v>1369</v>
      </c>
      <c r="E112" s="533"/>
      <c r="F112" s="103"/>
      <c r="G112" s="97"/>
      <c r="H112" s="363"/>
      <c r="I112" s="364"/>
      <c r="J112" s="365"/>
      <c r="K112" s="365"/>
      <c r="L112" s="365"/>
      <c r="M112" s="365"/>
      <c r="N112" s="365"/>
      <c r="O112" s="365"/>
      <c r="P112" s="365"/>
      <c r="Q112" s="97"/>
      <c r="R112" s="364"/>
      <c r="S112" s="956"/>
      <c r="T112" s="1341"/>
      <c r="U112" s="957"/>
      <c r="V112" s="364"/>
      <c r="W112" s="181"/>
      <c r="X112" s="97"/>
      <c r="Y112" s="711"/>
      <c r="Z112" s="712"/>
      <c r="AA112" s="179"/>
      <c r="AB112" s="180"/>
      <c r="AC112" s="1340"/>
      <c r="AD112" s="1320">
        <f>+AC112*Z112</f>
        <v>0</v>
      </c>
      <c r="AE112" s="1042"/>
      <c r="AF112" s="97"/>
      <c r="AG112" s="1032"/>
      <c r="AH112" s="1032"/>
      <c r="AI112" s="1041"/>
      <c r="AJ112" s="867"/>
      <c r="AK112" s="986"/>
      <c r="AL112" s="986"/>
      <c r="AM112" s="986"/>
      <c r="AN112" s="986"/>
      <c r="AO112" s="1038"/>
      <c r="AP112" s="1038"/>
      <c r="AR112" s="1027"/>
    </row>
    <row r="113" spans="1:52" s="153" customFormat="1" ht="14.5" hidden="1" customHeight="1" outlineLevel="3" collapsed="1">
      <c r="A113" s="581"/>
      <c r="B113" s="1347" t="s">
        <v>885</v>
      </c>
      <c r="C113" s="400"/>
      <c r="D113" s="536" t="s">
        <v>855</v>
      </c>
      <c r="E113" s="536"/>
      <c r="F113" s="399"/>
      <c r="G113" s="96"/>
      <c r="H113" s="401"/>
      <c r="I113" s="401"/>
      <c r="J113" s="402"/>
      <c r="K113" s="402"/>
      <c r="L113" s="402"/>
      <c r="M113" s="402"/>
      <c r="N113" s="402"/>
      <c r="O113" s="402"/>
      <c r="P113" s="402"/>
      <c r="Q113" s="96"/>
      <c r="R113" s="837"/>
      <c r="S113" s="1337"/>
      <c r="T113" s="4659" t="s">
        <v>856</v>
      </c>
      <c r="U113" s="1338"/>
      <c r="V113" s="851"/>
      <c r="W113" s="399"/>
      <c r="X113" s="96"/>
      <c r="Y113" s="396"/>
      <c r="Z113" s="397"/>
      <c r="AA113" s="397"/>
      <c r="AB113" s="395"/>
      <c r="AC113" s="398"/>
      <c r="AD113" s="398">
        <v>800000</v>
      </c>
      <c r="AE113" s="680"/>
      <c r="AF113" s="96"/>
      <c r="AG113" s="398">
        <f>+AD113</f>
        <v>800000</v>
      </c>
      <c r="AH113" s="398">
        <f>SUM(AH114:AH117)</f>
        <v>0</v>
      </c>
      <c r="AI113" s="398">
        <f>SUM(AI114:AI117)</f>
        <v>0</v>
      </c>
      <c r="AJ113" s="865"/>
      <c r="AK113" s="992">
        <f>SUM(AK114:AK117)</f>
        <v>0</v>
      </c>
      <c r="AL113" s="992">
        <f>SUM(AL114:AL117)</f>
        <v>0</v>
      </c>
      <c r="AM113" s="992">
        <f>SUM(AM114:AM117)</f>
        <v>0</v>
      </c>
      <c r="AN113" s="993">
        <f>SUM(AN114:AN117)</f>
        <v>0</v>
      </c>
      <c r="AO113" s="994">
        <f>SUM(AO114:AO117)</f>
        <v>0</v>
      </c>
      <c r="AP113" s="994">
        <f>SUM(AK113:AO113)</f>
        <v>0</v>
      </c>
      <c r="AR113" s="1027"/>
    </row>
    <row r="114" spans="1:52" s="108" customFormat="1" ht="14" hidden="1" customHeight="1" outlineLevel="4">
      <c r="A114" s="580"/>
      <c r="B114" s="107" t="s">
        <v>3388</v>
      </c>
      <c r="C114" s="107"/>
      <c r="D114" s="1070" t="s">
        <v>858</v>
      </c>
      <c r="E114" s="533"/>
      <c r="F114" s="103"/>
      <c r="G114" s="97"/>
      <c r="H114" s="363"/>
      <c r="I114" s="364"/>
      <c r="J114" s="365"/>
      <c r="K114" s="365"/>
      <c r="L114" s="365"/>
      <c r="M114" s="365"/>
      <c r="N114" s="365"/>
      <c r="O114" s="365"/>
      <c r="P114" s="365"/>
      <c r="Q114" s="97"/>
      <c r="R114" s="364"/>
      <c r="S114" s="956"/>
      <c r="T114" s="4659"/>
      <c r="U114" s="957"/>
      <c r="V114" s="364"/>
      <c r="W114" s="181"/>
      <c r="X114" s="97"/>
      <c r="Y114" s="711" t="s">
        <v>1189</v>
      </c>
      <c r="Z114" s="712"/>
      <c r="AA114" s="179"/>
      <c r="AB114" s="180"/>
      <c r="AC114" s="1032"/>
      <c r="AD114" s="1032">
        <f>Z114*AA114*AC114</f>
        <v>0</v>
      </c>
      <c r="AE114" s="1042"/>
      <c r="AF114" s="97"/>
      <c r="AG114" s="1032">
        <f>+AD114</f>
        <v>0</v>
      </c>
      <c r="AH114" s="1032">
        <v>0</v>
      </c>
      <c r="AI114" s="1041">
        <f>AG114+AH114</f>
        <v>0</v>
      </c>
      <c r="AJ114" s="867"/>
      <c r="AK114" s="986"/>
      <c r="AL114" s="986"/>
      <c r="AM114" s="986"/>
      <c r="AN114" s="986"/>
      <c r="AO114" s="1038"/>
      <c r="AP114" s="1038">
        <f>SUM(AK114:AO114)</f>
        <v>0</v>
      </c>
      <c r="AR114" s="1027"/>
    </row>
    <row r="115" spans="1:52" s="108" customFormat="1" ht="14.5" hidden="1" customHeight="1" outlineLevel="4">
      <c r="A115" s="580"/>
      <c r="B115" s="107" t="s">
        <v>3389</v>
      </c>
      <c r="C115" s="107"/>
      <c r="D115" s="1070" t="s">
        <v>861</v>
      </c>
      <c r="E115" s="533"/>
      <c r="F115" s="103"/>
      <c r="G115" s="97"/>
      <c r="H115" s="363"/>
      <c r="I115" s="364"/>
      <c r="J115" s="365"/>
      <c r="K115" s="365"/>
      <c r="L115" s="365"/>
      <c r="M115" s="365"/>
      <c r="N115" s="365"/>
      <c r="O115" s="365"/>
      <c r="P115" s="365"/>
      <c r="Q115" s="97"/>
      <c r="R115" s="364"/>
      <c r="S115" s="956"/>
      <c r="T115" s="4659"/>
      <c r="U115" s="957"/>
      <c r="V115" s="364"/>
      <c r="W115" s="181"/>
      <c r="X115" s="97"/>
      <c r="Y115" s="711" t="s">
        <v>1189</v>
      </c>
      <c r="Z115" s="712"/>
      <c r="AA115" s="179"/>
      <c r="AB115" s="180"/>
      <c r="AC115" s="1032"/>
      <c r="AD115" s="1032">
        <f>Z115*AA115*AC115</f>
        <v>0</v>
      </c>
      <c r="AE115" s="1042"/>
      <c r="AF115" s="97"/>
      <c r="AG115" s="1032">
        <f>+AD115</f>
        <v>0</v>
      </c>
      <c r="AH115" s="1032">
        <v>0</v>
      </c>
      <c r="AI115" s="1041">
        <f>AG115+AH115</f>
        <v>0</v>
      </c>
      <c r="AJ115" s="867"/>
      <c r="AK115" s="986"/>
      <c r="AL115" s="986"/>
      <c r="AM115" s="986"/>
      <c r="AN115" s="986"/>
      <c r="AO115" s="1038"/>
      <c r="AP115" s="1038">
        <f>SUM(AK115:AO115)</f>
        <v>0</v>
      </c>
      <c r="AR115" s="1027"/>
    </row>
    <row r="116" spans="1:52" s="108" customFormat="1" ht="14.5" hidden="1" customHeight="1" outlineLevel="4">
      <c r="A116" s="580"/>
      <c r="B116" s="107" t="s">
        <v>3390</v>
      </c>
      <c r="C116" s="107"/>
      <c r="D116" s="1070" t="s">
        <v>865</v>
      </c>
      <c r="E116" s="533"/>
      <c r="F116" s="103"/>
      <c r="G116" s="97"/>
      <c r="H116" s="363"/>
      <c r="I116" s="364"/>
      <c r="J116" s="365"/>
      <c r="K116" s="365"/>
      <c r="L116" s="365"/>
      <c r="M116" s="365"/>
      <c r="N116" s="365"/>
      <c r="O116" s="365"/>
      <c r="P116" s="365"/>
      <c r="Q116" s="97"/>
      <c r="R116" s="364"/>
      <c r="S116" s="956"/>
      <c r="T116" s="4659"/>
      <c r="U116" s="957"/>
      <c r="V116" s="364"/>
      <c r="W116" s="181"/>
      <c r="X116" s="97"/>
      <c r="Y116" s="711" t="s">
        <v>1189</v>
      </c>
      <c r="Z116" s="712"/>
      <c r="AA116" s="179"/>
      <c r="AB116" s="180"/>
      <c r="AC116" s="1032"/>
      <c r="AD116" s="1032">
        <f>Z116*AA116*AC116</f>
        <v>0</v>
      </c>
      <c r="AE116" s="1042"/>
      <c r="AF116" s="97"/>
      <c r="AG116" s="1032">
        <f>+AD116</f>
        <v>0</v>
      </c>
      <c r="AH116" s="1032">
        <v>0</v>
      </c>
      <c r="AI116" s="1041">
        <f>AG116+AH116</f>
        <v>0</v>
      </c>
      <c r="AJ116" s="867"/>
      <c r="AK116" s="986"/>
      <c r="AL116" s="986"/>
      <c r="AM116" s="986"/>
      <c r="AN116" s="986"/>
      <c r="AO116" s="1038"/>
      <c r="AP116" s="1038">
        <f>SUM(AK116:AO116)</f>
        <v>0</v>
      </c>
      <c r="AR116" s="1027"/>
    </row>
    <row r="117" spans="1:52" s="108" customFormat="1" ht="30" hidden="1" outlineLevel="4">
      <c r="A117" s="580"/>
      <c r="B117" s="107" t="s">
        <v>3391</v>
      </c>
      <c r="C117" s="107"/>
      <c r="D117" s="1070" t="s">
        <v>867</v>
      </c>
      <c r="E117" s="533"/>
      <c r="F117" s="103"/>
      <c r="G117" s="97"/>
      <c r="H117" s="363"/>
      <c r="I117" s="364"/>
      <c r="J117" s="365"/>
      <c r="K117" s="365"/>
      <c r="L117" s="365"/>
      <c r="M117" s="365"/>
      <c r="N117" s="365"/>
      <c r="O117" s="365"/>
      <c r="P117" s="365"/>
      <c r="Q117" s="97"/>
      <c r="R117" s="364"/>
      <c r="S117" s="956"/>
      <c r="T117" s="4659"/>
      <c r="U117" s="957"/>
      <c r="V117" s="364"/>
      <c r="W117" s="181"/>
      <c r="X117" s="97"/>
      <c r="Y117" s="711" t="s">
        <v>1189</v>
      </c>
      <c r="Z117" s="712"/>
      <c r="AA117" s="179"/>
      <c r="AB117" s="180"/>
      <c r="AC117" s="1032"/>
      <c r="AD117" s="1032">
        <f>Z117*AA117*AC117</f>
        <v>0</v>
      </c>
      <c r="AE117" s="1042"/>
      <c r="AF117" s="97"/>
      <c r="AG117" s="1032">
        <f>+AD117</f>
        <v>0</v>
      </c>
      <c r="AH117" s="1032">
        <v>0</v>
      </c>
      <c r="AI117" s="1041">
        <f>AG117+AH117</f>
        <v>0</v>
      </c>
      <c r="AJ117" s="867"/>
      <c r="AK117" s="986"/>
      <c r="AL117" s="986"/>
      <c r="AM117" s="986"/>
      <c r="AN117" s="986"/>
      <c r="AO117" s="1038"/>
      <c r="AP117" s="1038">
        <f>SUM(AK117:AO117)</f>
        <v>0</v>
      </c>
      <c r="AR117" s="1027"/>
    </row>
    <row r="118" spans="1:52" s="108" customFormat="1" ht="14.5" hidden="1" customHeight="1" outlineLevel="4">
      <c r="A118" s="580"/>
      <c r="B118" s="107" t="s">
        <v>3392</v>
      </c>
      <c r="C118" s="107"/>
      <c r="D118" s="1303" t="s">
        <v>869</v>
      </c>
      <c r="E118" s="533"/>
      <c r="F118" s="103"/>
      <c r="G118" s="97"/>
      <c r="H118" s="363"/>
      <c r="I118" s="364"/>
      <c r="J118" s="365"/>
      <c r="K118" s="365"/>
      <c r="L118" s="365"/>
      <c r="M118" s="365"/>
      <c r="N118" s="365"/>
      <c r="O118" s="365"/>
      <c r="P118" s="365"/>
      <c r="Q118" s="97"/>
      <c r="R118" s="364"/>
      <c r="S118" s="956"/>
      <c r="T118" s="4659"/>
      <c r="U118" s="957"/>
      <c r="V118" s="364"/>
      <c r="W118" s="181"/>
      <c r="X118" s="97"/>
      <c r="Y118" s="711" t="s">
        <v>1189</v>
      </c>
      <c r="Z118" s="712"/>
      <c r="AA118" s="179"/>
      <c r="AB118" s="180"/>
      <c r="AC118" s="1032"/>
      <c r="AD118" s="1032"/>
      <c r="AE118" s="1042"/>
      <c r="AF118" s="97"/>
      <c r="AG118" s="1032"/>
      <c r="AH118" s="1032"/>
      <c r="AI118" s="1041"/>
      <c r="AJ118" s="867"/>
      <c r="AK118" s="986"/>
      <c r="AL118" s="986"/>
      <c r="AM118" s="986"/>
      <c r="AN118" s="986"/>
      <c r="AO118" s="1038"/>
      <c r="AP118" s="1038"/>
      <c r="AR118" s="1027"/>
    </row>
    <row r="119" spans="1:52" s="108" customFormat="1" ht="14.5" hidden="1" customHeight="1" outlineLevel="4">
      <c r="A119" s="580"/>
      <c r="B119" s="107" t="s">
        <v>3393</v>
      </c>
      <c r="C119" s="107"/>
      <c r="D119" s="1303" t="s">
        <v>871</v>
      </c>
      <c r="E119" s="533"/>
      <c r="F119" s="103"/>
      <c r="G119" s="97"/>
      <c r="H119" s="363"/>
      <c r="I119" s="364"/>
      <c r="J119" s="365"/>
      <c r="K119" s="365"/>
      <c r="L119" s="365"/>
      <c r="M119" s="365"/>
      <c r="N119" s="365"/>
      <c r="O119" s="365"/>
      <c r="P119" s="365"/>
      <c r="Q119" s="97"/>
      <c r="R119" s="364"/>
      <c r="S119" s="956"/>
      <c r="T119" s="4659"/>
      <c r="U119" s="957"/>
      <c r="V119" s="364"/>
      <c r="W119" s="181"/>
      <c r="X119" s="97"/>
      <c r="Y119" s="711" t="s">
        <v>1189</v>
      </c>
      <c r="Z119" s="712"/>
      <c r="AA119" s="179"/>
      <c r="AB119" s="180"/>
      <c r="AC119" s="1032"/>
      <c r="AD119" s="1032"/>
      <c r="AE119" s="1042"/>
      <c r="AF119" s="97"/>
      <c r="AG119" s="1032"/>
      <c r="AH119" s="1032"/>
      <c r="AI119" s="1041"/>
      <c r="AJ119" s="867"/>
      <c r="AK119" s="986"/>
      <c r="AL119" s="986"/>
      <c r="AM119" s="986"/>
      <c r="AN119" s="986"/>
      <c r="AO119" s="1038"/>
      <c r="AP119" s="1038"/>
      <c r="AR119" s="1027"/>
    </row>
    <row r="120" spans="1:52" s="108" customFormat="1" hidden="1" outlineLevel="3" collapsed="1">
      <c r="A120" s="580"/>
      <c r="B120" s="107"/>
      <c r="C120" s="107"/>
      <c r="D120" s="1303"/>
      <c r="E120" s="533"/>
      <c r="F120" s="103"/>
      <c r="G120" s="97"/>
      <c r="H120" s="363"/>
      <c r="I120" s="364"/>
      <c r="J120" s="365"/>
      <c r="K120" s="365"/>
      <c r="L120" s="365"/>
      <c r="M120" s="365"/>
      <c r="N120" s="365"/>
      <c r="O120" s="365"/>
      <c r="P120" s="365"/>
      <c r="Q120" s="97"/>
      <c r="R120" s="364"/>
      <c r="S120" s="364"/>
      <c r="T120" s="364"/>
      <c r="U120" s="364"/>
      <c r="V120" s="364"/>
      <c r="W120" s="181"/>
      <c r="X120" s="97"/>
      <c r="Y120" s="711"/>
      <c r="Z120" s="712"/>
      <c r="AA120" s="179"/>
      <c r="AB120" s="180"/>
      <c r="AC120" s="1032"/>
      <c r="AD120" s="1032"/>
      <c r="AE120" s="1042"/>
      <c r="AF120" s="97"/>
      <c r="AG120" s="1032"/>
      <c r="AH120" s="1032"/>
      <c r="AI120" s="1041"/>
      <c r="AJ120" s="867"/>
      <c r="AK120" s="986"/>
      <c r="AL120" s="986"/>
      <c r="AM120" s="986"/>
      <c r="AN120" s="986"/>
      <c r="AO120" s="1038"/>
      <c r="AP120" s="1038"/>
      <c r="AR120" s="1027"/>
    </row>
    <row r="121" spans="1:52" s="878" customFormat="1" ht="27.5" hidden="1" customHeight="1" outlineLevel="2" collapsed="1">
      <c r="A121" s="172"/>
      <c r="B121" s="171" t="s">
        <v>513</v>
      </c>
      <c r="C121" s="171"/>
      <c r="D121" s="538" t="s">
        <v>3394</v>
      </c>
      <c r="E121" s="538" t="s">
        <v>4</v>
      </c>
      <c r="F121" s="106" t="s">
        <v>1399</v>
      </c>
      <c r="G121" s="96"/>
      <c r="H121" s="357" t="str">
        <f>+'1_MdR_Limpia'!C59</f>
        <v>Número</v>
      </c>
      <c r="I121" s="357">
        <f>+'1_MdR_Limpia'!D59</f>
        <v>0</v>
      </c>
      <c r="J121" s="357">
        <f>+'1_MdR_Limpia'!E59</f>
        <v>2021</v>
      </c>
      <c r="K121" s="357" t="str">
        <f>+'1_MdR_Limpia'!F59</f>
        <v>-</v>
      </c>
      <c r="L121" s="357" t="str">
        <f>+'1_MdR_Limpia'!G59</f>
        <v>-</v>
      </c>
      <c r="M121" s="357" t="str">
        <f>+'1_MdR_Limpia'!H59</f>
        <v>-</v>
      </c>
      <c r="N121" s="357" t="str">
        <f>+'1_MdR_Limpia'!J59</f>
        <v>-</v>
      </c>
      <c r="O121" s="357">
        <f>+'1_MdR_Limpia'!L59</f>
        <v>1</v>
      </c>
      <c r="P121" s="357">
        <f>+'1_MdR_Limpia'!L59</f>
        <v>1</v>
      </c>
      <c r="Q121" s="96"/>
      <c r="R121" s="358"/>
      <c r="S121" s="358"/>
      <c r="T121" s="358"/>
      <c r="U121" s="358"/>
      <c r="V121" s="358"/>
      <c r="W121" s="174"/>
      <c r="X121" s="96"/>
      <c r="Y121" s="106"/>
      <c r="Z121" s="172"/>
      <c r="AA121" s="172"/>
      <c r="AB121" s="171"/>
      <c r="AC121" s="176"/>
      <c r="AD121" s="176">
        <f>SUM(AD122:AD131)</f>
        <v>4360000</v>
      </c>
      <c r="AE121" s="686" t="s">
        <v>1400</v>
      </c>
      <c r="AF121" s="96"/>
      <c r="AG121" s="176">
        <f>SUM(AG122:AG131)</f>
        <v>4360000</v>
      </c>
      <c r="AH121" s="176">
        <f>SUM(AH122:AH131)</f>
        <v>0</v>
      </c>
      <c r="AI121" s="176">
        <f>SUM(AI122:AI131)</f>
        <v>4300000</v>
      </c>
      <c r="AJ121" s="865"/>
      <c r="AK121" s="980">
        <f>SUM(AK122:AK131)</f>
        <v>430000</v>
      </c>
      <c r="AL121" s="980">
        <f>SUM(AL122:AL131)</f>
        <v>860000</v>
      </c>
      <c r="AM121" s="980">
        <f>SUM(AM122:AM131)</f>
        <v>1075000</v>
      </c>
      <c r="AN121" s="981">
        <f>SUM(AN122:AN131)</f>
        <v>1075000</v>
      </c>
      <c r="AO121" s="979">
        <f>SUM(AO122:AO131)</f>
        <v>860000</v>
      </c>
      <c r="AP121" s="979">
        <f>SUM(AK121:AO121)</f>
        <v>4300000</v>
      </c>
      <c r="AQ121" s="153"/>
      <c r="AR121" s="1027"/>
      <c r="AS121" s="153"/>
      <c r="AT121" s="153"/>
      <c r="AU121" s="153"/>
      <c r="AV121" s="153"/>
      <c r="AW121" s="153"/>
      <c r="AX121" s="153"/>
      <c r="AY121" s="153"/>
      <c r="AZ121" s="153"/>
    </row>
    <row r="122" spans="1:52" s="879" customFormat="1" ht="53" hidden="1" customHeight="1" outlineLevel="3">
      <c r="A122" s="579"/>
      <c r="B122" s="490" t="s">
        <v>2401</v>
      </c>
      <c r="C122" s="490"/>
      <c r="D122" s="537" t="s">
        <v>875</v>
      </c>
      <c r="E122" s="537"/>
      <c r="F122" s="491"/>
      <c r="G122" s="492"/>
      <c r="H122" s="493"/>
      <c r="I122" s="494"/>
      <c r="J122" s="495"/>
      <c r="K122" s="495"/>
      <c r="L122" s="495"/>
      <c r="M122" s="495"/>
      <c r="N122" s="495"/>
      <c r="O122" s="495"/>
      <c r="P122" s="495"/>
      <c r="Q122" s="492"/>
      <c r="R122" s="494" t="s">
        <v>876</v>
      </c>
      <c r="S122" s="494"/>
      <c r="T122" s="494"/>
      <c r="U122" s="494"/>
      <c r="V122" s="494"/>
      <c r="W122" s="496" t="s">
        <v>1401</v>
      </c>
      <c r="X122" s="492"/>
      <c r="Y122" s="498"/>
      <c r="Z122" s="499"/>
      <c r="AA122" s="500"/>
      <c r="AB122" s="501"/>
      <c r="AC122" s="502"/>
      <c r="AD122" s="502">
        <f>+AC122+Z122</f>
        <v>0</v>
      </c>
      <c r="AE122" s="678" t="s">
        <v>1402</v>
      </c>
      <c r="AF122" s="492"/>
      <c r="AG122" s="502">
        <f>+AD122</f>
        <v>0</v>
      </c>
      <c r="AH122" s="502">
        <v>0</v>
      </c>
      <c r="AI122" s="503">
        <f>+AG122+AH122</f>
        <v>0</v>
      </c>
      <c r="AJ122" s="866"/>
      <c r="AK122" s="983"/>
      <c r="AL122" s="983"/>
      <c r="AM122" s="983"/>
      <c r="AN122" s="984"/>
      <c r="AO122" s="985"/>
      <c r="AP122" s="985">
        <f>SUM(AK122:AO122)</f>
        <v>0</v>
      </c>
      <c r="AR122" s="1027"/>
    </row>
    <row r="123" spans="1:52" s="108" customFormat="1" ht="81" hidden="1" customHeight="1" outlineLevel="3">
      <c r="A123" s="580"/>
      <c r="B123" s="107" t="s">
        <v>2402</v>
      </c>
      <c r="C123" s="107" t="s">
        <v>1279</v>
      </c>
      <c r="D123" s="703" t="s">
        <v>3382</v>
      </c>
      <c r="E123" s="533"/>
      <c r="F123" s="103"/>
      <c r="G123" s="97"/>
      <c r="H123" s="363"/>
      <c r="I123" s="364"/>
      <c r="J123" s="365"/>
      <c r="K123" s="365"/>
      <c r="L123" s="365"/>
      <c r="M123" s="365"/>
      <c r="N123" s="365"/>
      <c r="O123" s="365"/>
      <c r="P123" s="365"/>
      <c r="Q123" s="97"/>
      <c r="R123" s="852"/>
      <c r="S123" s="852"/>
      <c r="T123" s="1341"/>
      <c r="U123" s="852"/>
      <c r="V123" s="852" t="s">
        <v>1266</v>
      </c>
      <c r="W123" s="530"/>
      <c r="X123" s="97"/>
      <c r="Y123" s="759" t="s">
        <v>1267</v>
      </c>
      <c r="Z123" s="763">
        <v>1</v>
      </c>
      <c r="AA123" s="531">
        <v>6</v>
      </c>
      <c r="AB123" s="532"/>
      <c r="AC123" s="1320">
        <v>5000</v>
      </c>
      <c r="AD123" s="1320">
        <f>+AC123*AA123</f>
        <v>30000</v>
      </c>
      <c r="AE123" s="1342" t="s">
        <v>3395</v>
      </c>
      <c r="AF123" s="97"/>
      <c r="AG123" s="1343">
        <f>+AD123</f>
        <v>30000</v>
      </c>
      <c r="AH123" s="1343"/>
      <c r="AI123" s="1344"/>
      <c r="AJ123" s="867"/>
      <c r="AK123" s="988"/>
      <c r="AL123" s="988"/>
      <c r="AM123" s="988"/>
      <c r="AN123" s="989"/>
      <c r="AO123" s="990"/>
      <c r="AP123" s="990"/>
      <c r="AR123" s="1027"/>
    </row>
    <row r="124" spans="1:52" s="108" customFormat="1" ht="41.5" hidden="1" customHeight="1" outlineLevel="3">
      <c r="A124" s="580"/>
      <c r="B124" s="107" t="s">
        <v>2404</v>
      </c>
      <c r="C124" s="107"/>
      <c r="D124" s="533" t="s">
        <v>3396</v>
      </c>
      <c r="E124" s="533"/>
      <c r="F124" s="103"/>
      <c r="G124" s="97"/>
      <c r="H124" s="363"/>
      <c r="I124" s="364"/>
      <c r="J124" s="365"/>
      <c r="K124" s="365"/>
      <c r="L124" s="365"/>
      <c r="M124" s="365"/>
      <c r="N124" s="365"/>
      <c r="O124" s="365"/>
      <c r="P124" s="365"/>
      <c r="Q124" s="97"/>
      <c r="R124" s="3897" t="s">
        <v>853</v>
      </c>
      <c r="S124" s="1335"/>
      <c r="T124" s="3897" t="s">
        <v>3397</v>
      </c>
      <c r="U124" s="1335"/>
      <c r="V124" s="3897"/>
      <c r="W124" s="3918" t="s">
        <v>3398</v>
      </c>
      <c r="X124" s="97"/>
      <c r="Y124" s="4660" t="s">
        <v>1179</v>
      </c>
      <c r="Z124" s="4654">
        <v>1</v>
      </c>
      <c r="AA124" s="4654"/>
      <c r="AB124" s="4654"/>
      <c r="AC124" s="4655">
        <f>4360000-30000-30000</f>
        <v>4300000</v>
      </c>
      <c r="AD124" s="4655">
        <f>+AC124*Z124</f>
        <v>4300000</v>
      </c>
      <c r="AE124" s="4656"/>
      <c r="AF124" s="97"/>
      <c r="AG124" s="3787">
        <f>+AD124</f>
        <v>4300000</v>
      </c>
      <c r="AH124" s="3872">
        <v>0</v>
      </c>
      <c r="AI124" s="3787">
        <f>+AG124+AH124</f>
        <v>4300000</v>
      </c>
      <c r="AJ124" s="865"/>
      <c r="AK124" s="4641">
        <f>+$AG$124*10%</f>
        <v>430000</v>
      </c>
      <c r="AL124" s="4641">
        <f>+$AG$124*20%</f>
        <v>860000</v>
      </c>
      <c r="AM124" s="4641">
        <f>+$AG$124*25%</f>
        <v>1075000</v>
      </c>
      <c r="AN124" s="4641">
        <f>+$AG$124*25%</f>
        <v>1075000</v>
      </c>
      <c r="AO124" s="4641">
        <f>+$AG$124*20%</f>
        <v>860000</v>
      </c>
      <c r="AP124" s="4645">
        <f>SUM(AK124:AO124)</f>
        <v>4300000</v>
      </c>
      <c r="AR124" s="1027"/>
    </row>
    <row r="125" spans="1:52" s="108" customFormat="1" ht="60" hidden="1" outlineLevel="3">
      <c r="A125" s="580"/>
      <c r="B125" s="107" t="s">
        <v>3399</v>
      </c>
      <c r="C125" s="107"/>
      <c r="D125" s="533" t="s">
        <v>3400</v>
      </c>
      <c r="E125" s="533"/>
      <c r="F125" s="103"/>
      <c r="G125" s="97"/>
      <c r="H125" s="363"/>
      <c r="I125" s="364"/>
      <c r="J125" s="365"/>
      <c r="K125" s="365"/>
      <c r="L125" s="365"/>
      <c r="M125" s="365"/>
      <c r="N125" s="365"/>
      <c r="O125" s="365"/>
      <c r="P125" s="365"/>
      <c r="Q125" s="97"/>
      <c r="R125" s="3898"/>
      <c r="S125" s="1336"/>
      <c r="T125" s="3898"/>
      <c r="U125" s="1336"/>
      <c r="V125" s="3898"/>
      <c r="W125" s="3919"/>
      <c r="X125" s="97"/>
      <c r="Y125" s="4660"/>
      <c r="Z125" s="4654"/>
      <c r="AA125" s="4654"/>
      <c r="AB125" s="4654"/>
      <c r="AC125" s="4655"/>
      <c r="AD125" s="4655"/>
      <c r="AE125" s="4657"/>
      <c r="AF125" s="97"/>
      <c r="AG125" s="3788"/>
      <c r="AH125" s="4653"/>
      <c r="AI125" s="3788"/>
      <c r="AJ125" s="865"/>
      <c r="AK125" s="4642"/>
      <c r="AL125" s="4642"/>
      <c r="AM125" s="4642"/>
      <c r="AN125" s="4642"/>
      <c r="AO125" s="4642"/>
      <c r="AP125" s="4646">
        <f>SUM(AK125:AO125)</f>
        <v>0</v>
      </c>
      <c r="AR125" s="1027"/>
    </row>
    <row r="126" spans="1:52" s="108" customFormat="1" ht="17.5" hidden="1" customHeight="1" outlineLevel="3">
      <c r="A126" s="580"/>
      <c r="B126" s="107" t="s">
        <v>3401</v>
      </c>
      <c r="C126" s="107"/>
      <c r="D126" s="533" t="s">
        <v>3402</v>
      </c>
      <c r="E126" s="533"/>
      <c r="F126" s="103"/>
      <c r="G126" s="97"/>
      <c r="H126" s="363"/>
      <c r="I126" s="364"/>
      <c r="J126" s="365"/>
      <c r="K126" s="365"/>
      <c r="L126" s="365"/>
      <c r="M126" s="365"/>
      <c r="N126" s="365"/>
      <c r="O126" s="365"/>
      <c r="P126" s="365"/>
      <c r="Q126" s="97"/>
      <c r="R126" s="3898"/>
      <c r="S126" s="1336"/>
      <c r="T126" s="3898"/>
      <c r="U126" s="1336"/>
      <c r="V126" s="3898"/>
      <c r="W126" s="3919"/>
      <c r="X126" s="97"/>
      <c r="Y126" s="4660"/>
      <c r="Z126" s="4654"/>
      <c r="AA126" s="4654"/>
      <c r="AB126" s="4654"/>
      <c r="AC126" s="4655"/>
      <c r="AD126" s="4655"/>
      <c r="AE126" s="4657"/>
      <c r="AF126" s="97"/>
      <c r="AG126" s="3788"/>
      <c r="AH126" s="4653"/>
      <c r="AI126" s="3788"/>
      <c r="AJ126" s="865"/>
      <c r="AK126" s="4642"/>
      <c r="AL126" s="4642"/>
      <c r="AM126" s="4642"/>
      <c r="AN126" s="4642"/>
      <c r="AO126" s="4642"/>
      <c r="AP126" s="4646">
        <f>SUM(AK126:AO126)</f>
        <v>0</v>
      </c>
      <c r="AR126" s="1027"/>
    </row>
    <row r="127" spans="1:52" s="108" customFormat="1" ht="45" hidden="1" outlineLevel="3">
      <c r="A127" s="580"/>
      <c r="B127" s="107" t="s">
        <v>3403</v>
      </c>
      <c r="C127" s="107"/>
      <c r="D127" s="533" t="s">
        <v>3404</v>
      </c>
      <c r="E127" s="533"/>
      <c r="F127" s="103"/>
      <c r="G127" s="97"/>
      <c r="H127" s="363"/>
      <c r="I127" s="364"/>
      <c r="J127" s="365"/>
      <c r="K127" s="365"/>
      <c r="L127" s="365"/>
      <c r="M127" s="365"/>
      <c r="N127" s="365"/>
      <c r="O127" s="365"/>
      <c r="P127" s="365"/>
      <c r="Q127" s="97"/>
      <c r="R127" s="3898"/>
      <c r="S127" s="1336"/>
      <c r="T127" s="3898"/>
      <c r="U127" s="1336"/>
      <c r="V127" s="3898"/>
      <c r="W127" s="3919"/>
      <c r="X127" s="97"/>
      <c r="Y127" s="4660"/>
      <c r="Z127" s="4654"/>
      <c r="AA127" s="4654"/>
      <c r="AB127" s="4654"/>
      <c r="AC127" s="4655"/>
      <c r="AD127" s="4655"/>
      <c r="AE127" s="4657"/>
      <c r="AF127" s="97"/>
      <c r="AG127" s="3788"/>
      <c r="AH127" s="4653"/>
      <c r="AI127" s="3788"/>
      <c r="AJ127" s="865"/>
      <c r="AK127" s="4642"/>
      <c r="AL127" s="4642"/>
      <c r="AM127" s="4642"/>
      <c r="AN127" s="4642"/>
      <c r="AO127" s="4642"/>
      <c r="AP127" s="4646">
        <f>SUM(AK127:AO127)</f>
        <v>0</v>
      </c>
      <c r="AR127" s="1027"/>
    </row>
    <row r="128" spans="1:52" s="108" customFormat="1" ht="15" hidden="1" outlineLevel="3">
      <c r="A128" s="580"/>
      <c r="B128" s="107"/>
      <c r="C128" s="107" t="s">
        <v>1279</v>
      </c>
      <c r="D128" s="1351" t="s">
        <v>3385</v>
      </c>
      <c r="E128" s="533"/>
      <c r="F128" s="103"/>
      <c r="G128" s="97"/>
      <c r="H128" s="363"/>
      <c r="I128" s="364"/>
      <c r="J128" s="365"/>
      <c r="K128" s="365"/>
      <c r="L128" s="365"/>
      <c r="M128" s="365"/>
      <c r="N128" s="365"/>
      <c r="O128" s="365"/>
      <c r="P128" s="365"/>
      <c r="Q128" s="97"/>
      <c r="R128" s="1350" t="s">
        <v>3386</v>
      </c>
      <c r="S128" s="931"/>
      <c r="T128" s="364"/>
      <c r="U128" s="931"/>
      <c r="V128" s="364"/>
      <c r="W128" s="159"/>
      <c r="X128" s="97"/>
      <c r="Y128" s="1308" t="s">
        <v>1179</v>
      </c>
      <c r="Z128" s="1307">
        <v>1</v>
      </c>
      <c r="AA128" s="1307"/>
      <c r="AB128" s="1307"/>
      <c r="AC128" s="1352"/>
      <c r="AD128" s="1352">
        <f>+AC128*Z128</f>
        <v>0</v>
      </c>
      <c r="AE128" s="4657"/>
      <c r="AF128" s="97"/>
      <c r="AG128" s="1313"/>
      <c r="AH128" s="1403"/>
      <c r="AI128" s="1313"/>
      <c r="AJ128" s="865"/>
      <c r="AK128" s="4642"/>
      <c r="AL128" s="4642"/>
      <c r="AM128" s="4642"/>
      <c r="AN128" s="4642"/>
      <c r="AO128" s="4642"/>
      <c r="AP128" s="4646"/>
      <c r="AR128" s="1027"/>
    </row>
    <row r="129" spans="1:52" s="108" customFormat="1" ht="15" hidden="1" outlineLevel="3">
      <c r="A129" s="580"/>
      <c r="B129" s="107"/>
      <c r="C129" s="107"/>
      <c r="D129" s="1351" t="s">
        <v>1473</v>
      </c>
      <c r="E129" s="533"/>
      <c r="F129" s="103"/>
      <c r="G129" s="97"/>
      <c r="H129" s="363"/>
      <c r="I129" s="364"/>
      <c r="J129" s="365"/>
      <c r="K129" s="365"/>
      <c r="L129" s="365"/>
      <c r="M129" s="365"/>
      <c r="N129" s="365"/>
      <c r="O129" s="365"/>
      <c r="P129" s="365"/>
      <c r="Q129" s="97"/>
      <c r="R129" s="1341" t="s">
        <v>3387</v>
      </c>
      <c r="S129" s="1335"/>
      <c r="T129" s="852"/>
      <c r="U129" s="1335"/>
      <c r="V129" s="852"/>
      <c r="W129" s="1318"/>
      <c r="X129" s="97"/>
      <c r="Y129" s="1308" t="s">
        <v>1179</v>
      </c>
      <c r="Z129" s="1307">
        <v>1</v>
      </c>
      <c r="AA129" s="1307"/>
      <c r="AB129" s="1307"/>
      <c r="AC129" s="1352"/>
      <c r="AD129" s="1352">
        <f>+AC129*Z129</f>
        <v>0</v>
      </c>
      <c r="AE129" s="4657"/>
      <c r="AF129" s="97"/>
      <c r="AG129" s="1313"/>
      <c r="AH129" s="1403"/>
      <c r="AI129" s="1313"/>
      <c r="AJ129" s="865"/>
      <c r="AK129" s="4642"/>
      <c r="AL129" s="4642"/>
      <c r="AM129" s="4642"/>
      <c r="AN129" s="4642"/>
      <c r="AO129" s="4642"/>
      <c r="AP129" s="4646"/>
      <c r="AR129" s="1027"/>
    </row>
    <row r="130" spans="1:52" s="108" customFormat="1" ht="75" hidden="1" outlineLevel="3">
      <c r="A130" s="580"/>
      <c r="B130" s="107" t="s">
        <v>3405</v>
      </c>
      <c r="C130" s="107" t="s">
        <v>1279</v>
      </c>
      <c r="D130" s="703" t="s">
        <v>3406</v>
      </c>
      <c r="E130" s="533"/>
      <c r="F130" s="103"/>
      <c r="G130" s="97"/>
      <c r="H130" s="363"/>
      <c r="I130" s="364"/>
      <c r="J130" s="365"/>
      <c r="K130" s="365"/>
      <c r="L130" s="365"/>
      <c r="M130" s="365"/>
      <c r="N130" s="365"/>
      <c r="O130" s="365"/>
      <c r="P130" s="365"/>
      <c r="Q130" s="97"/>
      <c r="R130" s="852"/>
      <c r="S130" s="852"/>
      <c r="T130" s="1341"/>
      <c r="U130" s="852"/>
      <c r="V130" s="852" t="s">
        <v>1266</v>
      </c>
      <c r="W130" s="530"/>
      <c r="X130" s="97"/>
      <c r="Y130" s="759" t="s">
        <v>1267</v>
      </c>
      <c r="Z130" s="763">
        <v>1</v>
      </c>
      <c r="AA130" s="531">
        <v>6</v>
      </c>
      <c r="AB130" s="532"/>
      <c r="AC130" s="1320">
        <v>5000</v>
      </c>
      <c r="AD130" s="1320">
        <f>+AC130*AA130</f>
        <v>30000</v>
      </c>
      <c r="AE130" s="4657"/>
      <c r="AF130" s="97"/>
      <c r="AG130" s="1313">
        <f>+AD130</f>
        <v>30000</v>
      </c>
      <c r="AH130" s="1403"/>
      <c r="AI130" s="1313"/>
      <c r="AJ130" s="867"/>
      <c r="AK130" s="4642"/>
      <c r="AL130" s="4642"/>
      <c r="AM130" s="4642"/>
      <c r="AN130" s="4642"/>
      <c r="AO130" s="4642"/>
      <c r="AP130" s="4646"/>
      <c r="AR130" s="1027"/>
    </row>
    <row r="131" spans="1:52" s="108" customFormat="1" ht="30" hidden="1" outlineLevel="3">
      <c r="A131" s="580"/>
      <c r="B131" s="107" t="s">
        <v>3407</v>
      </c>
      <c r="C131" s="107"/>
      <c r="D131" s="533" t="s">
        <v>3408</v>
      </c>
      <c r="E131" s="533"/>
      <c r="F131" s="103"/>
      <c r="G131" s="97"/>
      <c r="H131" s="363"/>
      <c r="I131" s="364"/>
      <c r="J131" s="365"/>
      <c r="K131" s="365"/>
      <c r="L131" s="365"/>
      <c r="M131" s="365"/>
      <c r="N131" s="365"/>
      <c r="O131" s="365"/>
      <c r="P131" s="365"/>
      <c r="Q131" s="97"/>
      <c r="R131" s="931"/>
      <c r="S131" s="931"/>
      <c r="T131" s="1350" t="s">
        <v>3409</v>
      </c>
      <c r="U131" s="931"/>
      <c r="V131" s="364"/>
      <c r="W131" s="181" t="s">
        <v>3410</v>
      </c>
      <c r="X131" s="97"/>
      <c r="Y131" s="619" t="s">
        <v>1179</v>
      </c>
      <c r="Z131" s="1348">
        <v>1</v>
      </c>
      <c r="AA131" s="1348"/>
      <c r="AB131" s="1348"/>
      <c r="AC131" s="1349"/>
      <c r="AD131" s="1349"/>
      <c r="AE131" s="4658"/>
      <c r="AF131" s="97"/>
      <c r="AG131" s="1314"/>
      <c r="AH131" s="1404"/>
      <c r="AI131" s="1314"/>
      <c r="AJ131" s="865"/>
      <c r="AK131" s="4644"/>
      <c r="AL131" s="4644"/>
      <c r="AM131" s="4644"/>
      <c r="AN131" s="4644"/>
      <c r="AO131" s="4644"/>
      <c r="AP131" s="4647">
        <f>SUM(AK131:AO131)</f>
        <v>0</v>
      </c>
      <c r="AR131" s="1027"/>
    </row>
    <row r="132" spans="1:52" s="878" customFormat="1" ht="60" hidden="1" outlineLevel="2" collapsed="1">
      <c r="A132" s="172"/>
      <c r="B132" s="171" t="s">
        <v>514</v>
      </c>
      <c r="C132" s="171"/>
      <c r="D132" s="538" t="s">
        <v>244</v>
      </c>
      <c r="E132" s="538"/>
      <c r="F132" s="106"/>
      <c r="G132" s="96"/>
      <c r="H132" s="357"/>
      <c r="I132" s="357"/>
      <c r="J132" s="357"/>
      <c r="K132" s="357"/>
      <c r="L132" s="357"/>
      <c r="M132" s="357"/>
      <c r="N132" s="357"/>
      <c r="O132" s="357"/>
      <c r="P132" s="357"/>
      <c r="Q132" s="96"/>
      <c r="R132" s="358"/>
      <c r="S132" s="358"/>
      <c r="T132" s="358"/>
      <c r="U132" s="358"/>
      <c r="V132" s="358"/>
      <c r="W132" s="174"/>
      <c r="X132" s="96"/>
      <c r="Y132" s="106" t="s">
        <v>1179</v>
      </c>
      <c r="Z132" s="172">
        <v>1</v>
      </c>
      <c r="AA132" s="172"/>
      <c r="AB132" s="171"/>
      <c r="AC132" s="1391">
        <v>500000</v>
      </c>
      <c r="AD132" s="1391">
        <v>500000</v>
      </c>
      <c r="AE132" s="686"/>
      <c r="AF132" s="96"/>
      <c r="AG132" s="176">
        <f>+AD132</f>
        <v>500000</v>
      </c>
      <c r="AH132" s="176"/>
      <c r="AI132" s="176">
        <f>+AH132+AG132</f>
        <v>500000</v>
      </c>
      <c r="AJ132" s="865"/>
      <c r="AK132" s="980"/>
      <c r="AL132" s="980"/>
      <c r="AM132" s="980"/>
      <c r="AN132" s="981"/>
      <c r="AO132" s="979"/>
      <c r="AP132" s="979">
        <f t="shared" ref="AP132:AP229" si="9">SUM(AK132:AO132)</f>
        <v>0</v>
      </c>
      <c r="AQ132" s="153"/>
      <c r="AR132" s="1027"/>
      <c r="AS132" s="153"/>
      <c r="AT132" s="153"/>
      <c r="AU132" s="153"/>
      <c r="AV132" s="153"/>
      <c r="AW132" s="153"/>
      <c r="AX132" s="153"/>
      <c r="AY132" s="153"/>
      <c r="AZ132" s="153"/>
    </row>
    <row r="133" spans="1:52" s="1388" customFormat="1" ht="15" hidden="1" outlineLevel="3">
      <c r="A133" s="1372"/>
      <c r="B133" s="1392" t="s">
        <v>2406</v>
      </c>
      <c r="C133" s="1373" t="s">
        <v>1279</v>
      </c>
      <c r="D133" s="1374" t="s">
        <v>3411</v>
      </c>
      <c r="E133" s="1374"/>
      <c r="F133" s="1375"/>
      <c r="G133" s="1376"/>
      <c r="H133" s="1377"/>
      <c r="I133" s="1378"/>
      <c r="J133" s="1379"/>
      <c r="K133" s="1379"/>
      <c r="L133" s="1379"/>
      <c r="M133" s="1379"/>
      <c r="N133" s="1379"/>
      <c r="O133" s="1379"/>
      <c r="P133" s="1379"/>
      <c r="Q133" s="1376"/>
      <c r="R133" s="1378"/>
      <c r="S133" s="1378"/>
      <c r="T133" s="1378"/>
      <c r="U133" s="1378"/>
      <c r="V133" s="1378"/>
      <c r="W133" s="1380"/>
      <c r="X133" s="1376"/>
      <c r="Y133" s="1381"/>
      <c r="Z133" s="1382"/>
      <c r="AA133" s="1383"/>
      <c r="AB133" s="1384"/>
      <c r="AC133" s="1048"/>
      <c r="AD133" s="1048"/>
      <c r="AE133" s="1059"/>
      <c r="AF133" s="1376"/>
      <c r="AG133" s="1048"/>
      <c r="AH133" s="1048"/>
      <c r="AI133" s="1053"/>
      <c r="AJ133" s="1385"/>
      <c r="AK133" s="1386"/>
      <c r="AL133" s="1386"/>
      <c r="AM133" s="1386"/>
      <c r="AN133" s="1387"/>
      <c r="AO133" s="1044"/>
      <c r="AP133" s="1044"/>
      <c r="AR133" s="1389"/>
    </row>
    <row r="134" spans="1:52" s="108" customFormat="1" ht="14" hidden="1" customHeight="1" outlineLevel="3">
      <c r="A134" s="580"/>
      <c r="B134" s="1392" t="s">
        <v>2280</v>
      </c>
      <c r="C134" s="107"/>
      <c r="D134" s="533" t="s">
        <v>3412</v>
      </c>
      <c r="E134" s="533"/>
      <c r="F134" s="103"/>
      <c r="G134" s="97"/>
      <c r="H134" s="363"/>
      <c r="I134" s="364"/>
      <c r="J134" s="365"/>
      <c r="K134" s="365"/>
      <c r="L134" s="365"/>
      <c r="M134" s="365"/>
      <c r="N134" s="365"/>
      <c r="O134" s="365"/>
      <c r="P134" s="365"/>
      <c r="Q134" s="97"/>
      <c r="R134" s="364"/>
      <c r="S134" s="364"/>
      <c r="T134" s="1350"/>
      <c r="U134" s="364"/>
      <c r="V134" s="364"/>
      <c r="W134" s="181"/>
      <c r="X134" s="97"/>
      <c r="Y134" s="711"/>
      <c r="Z134" s="712"/>
      <c r="AA134" s="179"/>
      <c r="AB134" s="180"/>
      <c r="AC134" s="1340"/>
      <c r="AD134" s="1340"/>
      <c r="AE134" s="1042"/>
      <c r="AF134" s="97"/>
      <c r="AG134" s="1032"/>
      <c r="AH134" s="1032"/>
      <c r="AI134" s="1041"/>
      <c r="AJ134" s="867"/>
      <c r="AK134" s="986"/>
      <c r="AL134" s="986"/>
      <c r="AM134" s="986"/>
      <c r="AN134" s="987"/>
      <c r="AO134" s="1038"/>
      <c r="AP134" s="1038">
        <f t="shared" si="9"/>
        <v>0</v>
      </c>
      <c r="AR134" s="1027"/>
    </row>
    <row r="135" spans="1:52" s="108" customFormat="1" ht="14" hidden="1" customHeight="1" outlineLevel="3">
      <c r="A135" s="580"/>
      <c r="B135" s="107" t="s">
        <v>3413</v>
      </c>
      <c r="C135" s="107" t="s">
        <v>1279</v>
      </c>
      <c r="D135" s="1351" t="s">
        <v>1340</v>
      </c>
      <c r="E135" s="533"/>
      <c r="F135" s="103"/>
      <c r="G135" s="97"/>
      <c r="H135" s="363"/>
      <c r="I135" s="364"/>
      <c r="J135" s="365"/>
      <c r="K135" s="365"/>
      <c r="L135" s="365"/>
      <c r="M135" s="365"/>
      <c r="N135" s="365"/>
      <c r="O135" s="365"/>
      <c r="P135" s="365"/>
      <c r="Q135" s="97"/>
      <c r="R135" s="364"/>
      <c r="S135" s="364"/>
      <c r="T135" s="1350"/>
      <c r="U135" s="364"/>
      <c r="V135" s="364"/>
      <c r="W135" s="181"/>
      <c r="X135" s="97"/>
      <c r="Y135" s="711"/>
      <c r="Z135" s="712"/>
      <c r="AA135" s="179"/>
      <c r="AB135" s="180"/>
      <c r="AC135" s="1340"/>
      <c r="AD135" s="1340"/>
      <c r="AE135" s="1042"/>
      <c r="AF135" s="97"/>
      <c r="AG135" s="1032"/>
      <c r="AH135" s="1032"/>
      <c r="AI135" s="1041"/>
      <c r="AJ135" s="867"/>
      <c r="AK135" s="986"/>
      <c r="AL135" s="986"/>
      <c r="AM135" s="986"/>
      <c r="AN135" s="987"/>
      <c r="AO135" s="1038"/>
      <c r="AP135" s="1038"/>
      <c r="AR135" s="1027"/>
    </row>
    <row r="136" spans="1:52" s="108" customFormat="1" ht="14" hidden="1" customHeight="1" outlineLevel="3">
      <c r="A136" s="580"/>
      <c r="B136" s="107" t="s">
        <v>3414</v>
      </c>
      <c r="C136" s="107" t="s">
        <v>1279</v>
      </c>
      <c r="D136" s="1351" t="s">
        <v>3415</v>
      </c>
      <c r="E136" s="533"/>
      <c r="F136" s="103"/>
      <c r="G136" s="97"/>
      <c r="H136" s="363"/>
      <c r="I136" s="364"/>
      <c r="J136" s="365"/>
      <c r="K136" s="365"/>
      <c r="L136" s="365"/>
      <c r="M136" s="365"/>
      <c r="N136" s="365"/>
      <c r="O136" s="365"/>
      <c r="P136" s="365"/>
      <c r="Q136" s="97"/>
      <c r="R136" s="364"/>
      <c r="S136" s="364"/>
      <c r="T136" s="1350"/>
      <c r="U136" s="364"/>
      <c r="V136" s="364"/>
      <c r="W136" s="181"/>
      <c r="X136" s="97"/>
      <c r="Y136" s="711"/>
      <c r="Z136" s="712"/>
      <c r="AA136" s="179"/>
      <c r="AB136" s="180"/>
      <c r="AC136" s="1340"/>
      <c r="AD136" s="1340"/>
      <c r="AE136" s="1042"/>
      <c r="AF136" s="97"/>
      <c r="AG136" s="1032"/>
      <c r="AH136" s="1032"/>
      <c r="AI136" s="1041"/>
      <c r="AJ136" s="867"/>
      <c r="AK136" s="986"/>
      <c r="AL136" s="986"/>
      <c r="AM136" s="986"/>
      <c r="AN136" s="987"/>
      <c r="AO136" s="1038"/>
      <c r="AP136" s="1038"/>
      <c r="AR136" s="1027"/>
    </row>
    <row r="137" spans="1:52" s="108" customFormat="1" ht="14" hidden="1" customHeight="1" outlineLevel="3">
      <c r="A137" s="580"/>
      <c r="B137" s="107" t="s">
        <v>3416</v>
      </c>
      <c r="C137" s="107"/>
      <c r="D137" s="533" t="s">
        <v>3417</v>
      </c>
      <c r="E137" s="533"/>
      <c r="F137" s="103"/>
      <c r="G137" s="97"/>
      <c r="H137" s="363"/>
      <c r="I137" s="364"/>
      <c r="J137" s="365"/>
      <c r="K137" s="365"/>
      <c r="L137" s="365"/>
      <c r="M137" s="365"/>
      <c r="N137" s="365"/>
      <c r="O137" s="365"/>
      <c r="P137" s="365"/>
      <c r="Q137" s="97"/>
      <c r="R137" s="364"/>
      <c r="S137" s="364"/>
      <c r="T137" s="1350"/>
      <c r="U137" s="364"/>
      <c r="V137" s="364"/>
      <c r="W137" s="181"/>
      <c r="X137" s="97"/>
      <c r="Y137" s="711"/>
      <c r="Z137" s="712"/>
      <c r="AA137" s="179"/>
      <c r="AB137" s="180"/>
      <c r="AC137" s="1340"/>
      <c r="AD137" s="1340"/>
      <c r="AE137" s="1042"/>
      <c r="AF137" s="97"/>
      <c r="AG137" s="1032"/>
      <c r="AH137" s="1032"/>
      <c r="AI137" s="1041"/>
      <c r="AJ137" s="867"/>
      <c r="AK137" s="986"/>
      <c r="AL137" s="986"/>
      <c r="AM137" s="986"/>
      <c r="AN137" s="987"/>
      <c r="AO137" s="1038"/>
      <c r="AP137" s="1038"/>
      <c r="AR137" s="1027"/>
    </row>
    <row r="138" spans="1:52" s="108" customFormat="1" ht="14" hidden="1" customHeight="1" outlineLevel="2" collapsed="1">
      <c r="A138" s="580"/>
      <c r="B138" s="107"/>
      <c r="C138" s="107"/>
      <c r="D138" s="533"/>
      <c r="E138" s="533"/>
      <c r="F138" s="103"/>
      <c r="G138" s="97"/>
      <c r="H138" s="363"/>
      <c r="I138" s="364"/>
      <c r="J138" s="365"/>
      <c r="K138" s="365"/>
      <c r="L138" s="365"/>
      <c r="M138" s="365"/>
      <c r="N138" s="365"/>
      <c r="O138" s="365"/>
      <c r="P138" s="365"/>
      <c r="Q138" s="97"/>
      <c r="R138" s="364"/>
      <c r="S138" s="364"/>
      <c r="T138" s="364"/>
      <c r="U138" s="364"/>
      <c r="V138" s="364"/>
      <c r="W138" s="181"/>
      <c r="X138" s="97"/>
      <c r="Y138" s="711"/>
      <c r="Z138" s="712"/>
      <c r="AA138" s="179"/>
      <c r="AB138" s="180"/>
      <c r="AC138" s="1032"/>
      <c r="AD138" s="1032"/>
      <c r="AE138" s="1042"/>
      <c r="AF138" s="97"/>
      <c r="AG138" s="1032"/>
      <c r="AH138" s="1032"/>
      <c r="AI138" s="1041"/>
      <c r="AJ138" s="867"/>
      <c r="AK138" s="986"/>
      <c r="AL138" s="986"/>
      <c r="AM138" s="986"/>
      <c r="AN138" s="987"/>
      <c r="AO138" s="1038"/>
      <c r="AP138" s="1038">
        <f t="shared" si="9"/>
        <v>0</v>
      </c>
      <c r="AR138" s="1027"/>
    </row>
    <row r="139" spans="1:52" s="153" customFormat="1" ht="30" customHeight="1" outlineLevel="1" collapsed="1">
      <c r="A139" s="578"/>
      <c r="B139" s="428" t="s">
        <v>515</v>
      </c>
      <c r="C139" s="428"/>
      <c r="D139" s="545" t="s">
        <v>34</v>
      </c>
      <c r="E139" s="545" t="s">
        <v>4</v>
      </c>
      <c r="F139" s="427"/>
      <c r="G139" s="96"/>
      <c r="H139" s="429"/>
      <c r="I139" s="425"/>
      <c r="J139" s="430"/>
      <c r="K139" s="430"/>
      <c r="L139" s="430"/>
      <c r="M139" s="430"/>
      <c r="N139" s="430"/>
      <c r="O139" s="430"/>
      <c r="P139" s="430"/>
      <c r="Q139" s="96"/>
      <c r="R139" s="850"/>
      <c r="S139" s="850"/>
      <c r="T139" s="850"/>
      <c r="U139" s="850"/>
      <c r="V139" s="850"/>
      <c r="W139" s="431"/>
      <c r="X139" s="96"/>
      <c r="Y139" s="426"/>
      <c r="Z139" s="425"/>
      <c r="AA139" s="425"/>
      <c r="AB139" s="432"/>
      <c r="AC139" s="433"/>
      <c r="AD139" s="433">
        <f>+AD140+AD166</f>
        <v>6120000</v>
      </c>
      <c r="AE139" s="685"/>
      <c r="AF139" s="96"/>
      <c r="AG139" s="433">
        <f>+AG140+AG166</f>
        <v>6120000</v>
      </c>
      <c r="AH139" s="433">
        <f>+AH140+AH166</f>
        <v>0</v>
      </c>
      <c r="AI139" s="433">
        <f>+AI140+AI166</f>
        <v>6120000</v>
      </c>
      <c r="AJ139" s="865"/>
      <c r="AK139" s="977">
        <f>+AK140+AK166</f>
        <v>150000</v>
      </c>
      <c r="AL139" s="977">
        <f>+AL140+AL166</f>
        <v>84000</v>
      </c>
      <c r="AM139" s="977">
        <f>+AM140+AM166</f>
        <v>252000</v>
      </c>
      <c r="AN139" s="978">
        <f>+AN140+AN166</f>
        <v>504000</v>
      </c>
      <c r="AO139" s="976">
        <f>+AO140+AO166</f>
        <v>0</v>
      </c>
      <c r="AP139" s="976">
        <f t="shared" si="9"/>
        <v>990000</v>
      </c>
      <c r="AR139" s="1027"/>
    </row>
    <row r="140" spans="1:52" s="878" customFormat="1" ht="30" outlineLevel="2">
      <c r="A140" s="172"/>
      <c r="B140" s="171" t="s">
        <v>516</v>
      </c>
      <c r="C140" s="171"/>
      <c r="D140" s="538" t="s">
        <v>597</v>
      </c>
      <c r="E140" s="538" t="s">
        <v>4</v>
      </c>
      <c r="F140" s="1176"/>
      <c r="G140" s="96"/>
      <c r="H140" s="357" t="str">
        <f>+'1_MdR_Limpia'!C62</f>
        <v>Sistema</v>
      </c>
      <c r="I140" s="357">
        <f>+'1_MdR_Limpia'!D62</f>
        <v>0</v>
      </c>
      <c r="J140" s="357">
        <f>+'1_MdR_Limpia'!E62</f>
        <v>2021</v>
      </c>
      <c r="K140" s="357" t="str">
        <f>+'1_MdR_Limpia'!F62</f>
        <v>-</v>
      </c>
      <c r="L140" s="357" t="str">
        <f>+'1_MdR_Limpia'!G62</f>
        <v>-</v>
      </c>
      <c r="M140" s="357" t="str">
        <f>+'1_MdR_Limpia'!H62</f>
        <v>-</v>
      </c>
      <c r="N140" s="357" t="str">
        <f>+'1_MdR_Limpia'!I62</f>
        <v>-</v>
      </c>
      <c r="O140" s="357">
        <f>+'1_MdR_Limpia'!J62</f>
        <v>1</v>
      </c>
      <c r="P140" s="357">
        <f>+'1_MdR_Limpia'!L62</f>
        <v>1</v>
      </c>
      <c r="Q140" s="96"/>
      <c r="R140" s="358"/>
      <c r="S140" s="358"/>
      <c r="T140" s="358"/>
      <c r="U140" s="358"/>
      <c r="V140" s="358"/>
      <c r="W140" s="174"/>
      <c r="X140" s="96"/>
      <c r="Y140" s="106"/>
      <c r="Z140" s="172"/>
      <c r="AA140" s="172"/>
      <c r="AB140" s="171"/>
      <c r="AC140" s="176"/>
      <c r="AD140" s="176">
        <f>+AD141+AD144+AD155+AD164</f>
        <v>5180000</v>
      </c>
      <c r="AE140" s="686"/>
      <c r="AF140" s="96"/>
      <c r="AG140" s="176">
        <f>+AG141+AG144+AG155+AG164</f>
        <v>5180000</v>
      </c>
      <c r="AH140" s="176">
        <f>+AH141+AH144+AH155+AH164</f>
        <v>0</v>
      </c>
      <c r="AI140" s="176">
        <f>+AI141+AI144+AI155+AI164</f>
        <v>5180000</v>
      </c>
      <c r="AJ140" s="865"/>
      <c r="AK140" s="980">
        <f>+AK141+AK144+AK155</f>
        <v>50000</v>
      </c>
      <c r="AL140" s="980">
        <f>+AL141+AL144+AL155</f>
        <v>0</v>
      </c>
      <c r="AM140" s="980">
        <f>+AM141+AM144+AM155</f>
        <v>0</v>
      </c>
      <c r="AN140" s="981">
        <f>+AN141+AN144+AN155</f>
        <v>0</v>
      </c>
      <c r="AO140" s="979">
        <f>+AO141+AO144+AO155</f>
        <v>0</v>
      </c>
      <c r="AP140" s="979">
        <f t="shared" si="9"/>
        <v>50000</v>
      </c>
      <c r="AQ140" s="153"/>
      <c r="AR140" s="1027"/>
      <c r="AS140" s="153"/>
      <c r="AT140" s="153"/>
      <c r="AU140" s="153"/>
      <c r="AV140" s="153"/>
      <c r="AW140" s="153"/>
      <c r="AX140" s="153"/>
      <c r="AY140" s="153"/>
      <c r="AZ140" s="153"/>
    </row>
    <row r="141" spans="1:52" s="153" customFormat="1" ht="36" hidden="1" outlineLevel="3">
      <c r="A141" s="397"/>
      <c r="B141" s="395" t="s">
        <v>890</v>
      </c>
      <c r="C141" s="395"/>
      <c r="D141" s="1249" t="s">
        <v>891</v>
      </c>
      <c r="E141" s="1249"/>
      <c r="F141" s="1250"/>
      <c r="G141" s="96"/>
      <c r="H141" s="401"/>
      <c r="I141" s="401"/>
      <c r="J141" s="402"/>
      <c r="K141" s="402"/>
      <c r="L141" s="402"/>
      <c r="M141" s="402"/>
      <c r="N141" s="402"/>
      <c r="O141" s="402"/>
      <c r="P141" s="402"/>
      <c r="Q141" s="96"/>
      <c r="R141" s="851"/>
      <c r="S141" s="851"/>
      <c r="T141" s="851"/>
      <c r="U141" s="851"/>
      <c r="V141" s="851"/>
      <c r="W141" s="1250"/>
      <c r="X141" s="96"/>
      <c r="Y141" s="396"/>
      <c r="Z141" s="397"/>
      <c r="AA141" s="397"/>
      <c r="AB141" s="395"/>
      <c r="AC141" s="398"/>
      <c r="AD141" s="398">
        <f>SUM(AD142:AD143)</f>
        <v>0</v>
      </c>
      <c r="AE141" s="1487" t="s">
        <v>1408</v>
      </c>
      <c r="AF141" s="96"/>
      <c r="AG141" s="398">
        <f>+AD141</f>
        <v>0</v>
      </c>
      <c r="AH141" s="398">
        <f>SUM(AH142:AH143)</f>
        <v>0</v>
      </c>
      <c r="AI141" s="398">
        <f>SUM(AI142:AI143)</f>
        <v>0</v>
      </c>
      <c r="AJ141" s="865"/>
      <c r="AK141" s="992"/>
      <c r="AL141" s="992"/>
      <c r="AM141" s="992"/>
      <c r="AN141" s="993"/>
      <c r="AO141" s="994"/>
      <c r="AP141" s="994">
        <f t="shared" si="9"/>
        <v>0</v>
      </c>
      <c r="AR141" s="968"/>
    </row>
    <row r="142" spans="1:52" s="879" customFormat="1" ht="27.5" hidden="1" customHeight="1" outlineLevel="4">
      <c r="A142" s="579"/>
      <c r="B142" s="490" t="s">
        <v>892</v>
      </c>
      <c r="C142" s="490" t="s">
        <v>1279</v>
      </c>
      <c r="D142" s="537" t="s">
        <v>893</v>
      </c>
      <c r="E142" s="537"/>
      <c r="F142" s="491"/>
      <c r="G142" s="492"/>
      <c r="H142" s="493"/>
      <c r="I142" s="494"/>
      <c r="J142" s="495"/>
      <c r="K142" s="495"/>
      <c r="L142" s="495"/>
      <c r="M142" s="495"/>
      <c r="N142" s="495"/>
      <c r="O142" s="495"/>
      <c r="P142" s="495"/>
      <c r="Q142" s="492"/>
      <c r="R142" s="494"/>
      <c r="S142" s="494"/>
      <c r="T142" s="494"/>
      <c r="U142" s="494"/>
      <c r="V142" s="494"/>
      <c r="W142" s="496"/>
      <c r="X142" s="492"/>
      <c r="Y142" s="498"/>
      <c r="Z142" s="499"/>
      <c r="AA142" s="500"/>
      <c r="AB142" s="501"/>
      <c r="AC142" s="502"/>
      <c r="AD142" s="502">
        <f>Z142*AC142</f>
        <v>0</v>
      </c>
      <c r="AE142" s="4648" t="s">
        <v>1409</v>
      </c>
      <c r="AF142" s="492"/>
      <c r="AG142" s="502">
        <f>+AD142</f>
        <v>0</v>
      </c>
      <c r="AH142" s="502"/>
      <c r="AI142" s="503">
        <f>AG142+AH142</f>
        <v>0</v>
      </c>
      <c r="AJ142" s="866"/>
      <c r="AK142" s="983"/>
      <c r="AL142" s="983"/>
      <c r="AM142" s="983"/>
      <c r="AN142" s="984"/>
      <c r="AO142" s="985"/>
      <c r="AP142" s="985">
        <f t="shared" si="9"/>
        <v>0</v>
      </c>
      <c r="AR142" s="1027"/>
    </row>
    <row r="143" spans="1:52" s="879" customFormat="1" ht="30" hidden="1" outlineLevel="4">
      <c r="A143" s="579"/>
      <c r="B143" s="490" t="s">
        <v>894</v>
      </c>
      <c r="C143" s="490" t="s">
        <v>1279</v>
      </c>
      <c r="D143" s="537" t="s">
        <v>895</v>
      </c>
      <c r="E143" s="537"/>
      <c r="F143" s="491"/>
      <c r="G143" s="492"/>
      <c r="H143" s="493"/>
      <c r="I143" s="494"/>
      <c r="J143" s="495"/>
      <c r="K143" s="495"/>
      <c r="L143" s="495"/>
      <c r="M143" s="495"/>
      <c r="N143" s="495"/>
      <c r="O143" s="495"/>
      <c r="P143" s="495"/>
      <c r="Q143" s="492"/>
      <c r="R143" s="494"/>
      <c r="S143" s="494"/>
      <c r="T143" s="494"/>
      <c r="U143" s="494"/>
      <c r="V143" s="494"/>
      <c r="W143" s="496"/>
      <c r="X143" s="492"/>
      <c r="Y143" s="498"/>
      <c r="Z143" s="499"/>
      <c r="AA143" s="500"/>
      <c r="AB143" s="501"/>
      <c r="AC143" s="502"/>
      <c r="AD143" s="502">
        <f>Z143*AC143</f>
        <v>0</v>
      </c>
      <c r="AE143" s="4649"/>
      <c r="AF143" s="492"/>
      <c r="AG143" s="502">
        <f>+AD143</f>
        <v>0</v>
      </c>
      <c r="AH143" s="502"/>
      <c r="AI143" s="503">
        <f>AG143+AH143</f>
        <v>0</v>
      </c>
      <c r="AJ143" s="866"/>
      <c r="AK143" s="983"/>
      <c r="AL143" s="983"/>
      <c r="AM143" s="983"/>
      <c r="AN143" s="984"/>
      <c r="AO143" s="985"/>
      <c r="AP143" s="985">
        <f t="shared" si="9"/>
        <v>0</v>
      </c>
      <c r="AR143" s="1027"/>
    </row>
    <row r="144" spans="1:52" s="153" customFormat="1" ht="27.5" hidden="1" customHeight="1" outlineLevel="3">
      <c r="A144" s="397"/>
      <c r="B144" s="395" t="s">
        <v>896</v>
      </c>
      <c r="C144" s="395"/>
      <c r="D144" s="1249" t="s">
        <v>897</v>
      </c>
      <c r="E144" s="1249"/>
      <c r="F144" s="1250"/>
      <c r="G144" s="96"/>
      <c r="H144" s="401"/>
      <c r="I144" s="401"/>
      <c r="J144" s="402"/>
      <c r="K144" s="402"/>
      <c r="L144" s="402"/>
      <c r="M144" s="402"/>
      <c r="N144" s="402"/>
      <c r="O144" s="402"/>
      <c r="P144" s="402"/>
      <c r="Q144" s="96"/>
      <c r="R144" s="851"/>
      <c r="S144" s="851"/>
      <c r="T144" s="851"/>
      <c r="U144" s="851"/>
      <c r="V144" s="851"/>
      <c r="W144" s="1250"/>
      <c r="X144" s="96"/>
      <c r="Y144" s="396"/>
      <c r="Z144" s="397"/>
      <c r="AA144" s="397"/>
      <c r="AB144" s="395"/>
      <c r="AC144" s="398"/>
      <c r="AD144" s="398">
        <f>+AD145+AD150</f>
        <v>80000</v>
      </c>
      <c r="AE144" s="691" t="s">
        <v>1410</v>
      </c>
      <c r="AF144" s="96"/>
      <c r="AG144" s="398">
        <f>+AG145+AG150</f>
        <v>80000</v>
      </c>
      <c r="AH144" s="398">
        <f>+AH145+AH150</f>
        <v>0</v>
      </c>
      <c r="AI144" s="398">
        <f>+AI145+AI150</f>
        <v>80000</v>
      </c>
      <c r="AJ144" s="865"/>
      <c r="AK144" s="992">
        <f>SUM(AK145:AK146)</f>
        <v>50000</v>
      </c>
      <c r="AL144" s="992">
        <f>SUM(AL145:AL146)</f>
        <v>0</v>
      </c>
      <c r="AM144" s="992">
        <f>SUM(AM145:AM146)</f>
        <v>0</v>
      </c>
      <c r="AN144" s="993">
        <f>SUM(AN145:AN146)</f>
        <v>0</v>
      </c>
      <c r="AO144" s="994">
        <f>SUM(AO145:AO146)</f>
        <v>0</v>
      </c>
      <c r="AP144" s="994">
        <f t="shared" si="9"/>
        <v>50000</v>
      </c>
      <c r="AR144" s="968"/>
    </row>
    <row r="145" spans="1:52" s="153" customFormat="1" ht="26.5" hidden="1" customHeight="1" outlineLevel="4">
      <c r="A145" s="704"/>
      <c r="B145" s="354" t="s">
        <v>1411</v>
      </c>
      <c r="C145" s="354" t="s">
        <v>1279</v>
      </c>
      <c r="D145" s="544" t="s">
        <v>899</v>
      </c>
      <c r="E145" s="544"/>
      <c r="F145" s="173"/>
      <c r="G145" s="1471"/>
      <c r="H145" s="366"/>
      <c r="I145" s="366"/>
      <c r="J145" s="368"/>
      <c r="K145" s="368"/>
      <c r="L145" s="368"/>
      <c r="M145" s="368"/>
      <c r="N145" s="368"/>
      <c r="O145" s="368"/>
      <c r="P145" s="368"/>
      <c r="Q145" s="1471"/>
      <c r="R145" s="3897" t="s">
        <v>763</v>
      </c>
      <c r="S145" s="1190"/>
      <c r="T145" s="3897" t="s">
        <v>1413</v>
      </c>
      <c r="U145" s="1190"/>
      <c r="V145" s="3799" t="s">
        <v>1414</v>
      </c>
      <c r="W145" s="4650" t="s">
        <v>3418</v>
      </c>
      <c r="X145" s="97"/>
      <c r="Y145" s="3838" t="s">
        <v>1280</v>
      </c>
      <c r="Z145" s="3841">
        <v>1</v>
      </c>
      <c r="AA145" s="3841">
        <v>10</v>
      </c>
      <c r="AB145" s="3841"/>
      <c r="AC145" s="3844">
        <v>5000</v>
      </c>
      <c r="AD145" s="3844">
        <f>+Z145*AA145*AC145</f>
        <v>50000</v>
      </c>
      <c r="AE145" s="1472"/>
      <c r="AF145" s="1471"/>
      <c r="AG145" s="3787">
        <f>+AD145</f>
        <v>50000</v>
      </c>
      <c r="AH145" s="3847"/>
      <c r="AI145" s="3793">
        <f>AG145+AH146</f>
        <v>50000</v>
      </c>
      <c r="AJ145" s="1471"/>
      <c r="AK145" s="4641">
        <f>+AG145</f>
        <v>50000</v>
      </c>
      <c r="AL145" s="4641"/>
      <c r="AM145" s="4641"/>
      <c r="AN145" s="4641"/>
      <c r="AO145" s="4641"/>
      <c r="AP145" s="4641">
        <f t="shared" si="9"/>
        <v>50000</v>
      </c>
      <c r="AR145" s="968"/>
    </row>
    <row r="146" spans="1:52" ht="30" hidden="1" outlineLevel="4">
      <c r="A146" s="159"/>
      <c r="B146" s="702" t="s">
        <v>3419</v>
      </c>
      <c r="C146" s="354" t="s">
        <v>1279</v>
      </c>
      <c r="D146" s="1070" t="s">
        <v>901</v>
      </c>
      <c r="E146" s="533"/>
      <c r="F146" s="177"/>
      <c r="G146" s="97"/>
      <c r="H146" s="363"/>
      <c r="I146" s="363"/>
      <c r="J146" s="367"/>
      <c r="K146" s="367"/>
      <c r="L146" s="367"/>
      <c r="M146" s="367"/>
      <c r="N146" s="367"/>
      <c r="O146" s="367"/>
      <c r="P146" s="367"/>
      <c r="Q146" s="97"/>
      <c r="R146" s="3898"/>
      <c r="S146" s="1336"/>
      <c r="T146" s="3898"/>
      <c r="U146" s="1336"/>
      <c r="V146" s="3800"/>
      <c r="W146" s="4651"/>
      <c r="X146" s="97"/>
      <c r="Y146" s="3839"/>
      <c r="Z146" s="3842"/>
      <c r="AA146" s="3842"/>
      <c r="AB146" s="3842"/>
      <c r="AC146" s="3845"/>
      <c r="AD146" s="3845"/>
      <c r="AE146" s="4643"/>
      <c r="AF146" s="97"/>
      <c r="AG146" s="3788"/>
      <c r="AH146" s="3848"/>
      <c r="AI146" s="3794"/>
      <c r="AJ146" s="97"/>
      <c r="AK146" s="4642"/>
      <c r="AL146" s="4642"/>
      <c r="AM146" s="4642"/>
      <c r="AN146" s="4642"/>
      <c r="AO146" s="4642"/>
      <c r="AP146" s="4642">
        <f t="shared" si="9"/>
        <v>0</v>
      </c>
      <c r="AQ146" s="108"/>
      <c r="AR146" s="1027"/>
      <c r="AS146" s="108"/>
      <c r="AT146" s="108"/>
      <c r="AU146" s="108"/>
      <c r="AV146" s="108"/>
      <c r="AW146" s="108"/>
      <c r="AX146" s="108"/>
      <c r="AY146" s="108"/>
      <c r="AZ146" s="108"/>
    </row>
    <row r="147" spans="1:52" ht="30" hidden="1" outlineLevel="4">
      <c r="A147" s="159"/>
      <c r="B147" s="702" t="s">
        <v>3420</v>
      </c>
      <c r="C147" s="354" t="s">
        <v>1279</v>
      </c>
      <c r="D147" s="1070" t="s">
        <v>903</v>
      </c>
      <c r="E147" s="533"/>
      <c r="F147" s="177"/>
      <c r="G147" s="97"/>
      <c r="H147" s="363"/>
      <c r="I147" s="363"/>
      <c r="J147" s="367"/>
      <c r="K147" s="367"/>
      <c r="L147" s="367"/>
      <c r="M147" s="367"/>
      <c r="N147" s="367"/>
      <c r="O147" s="367"/>
      <c r="P147" s="367"/>
      <c r="Q147" s="97"/>
      <c r="R147" s="3898"/>
      <c r="S147" s="1336"/>
      <c r="T147" s="3898"/>
      <c r="U147" s="1336"/>
      <c r="V147" s="3800"/>
      <c r="W147" s="4651"/>
      <c r="X147" s="97"/>
      <c r="Y147" s="3839"/>
      <c r="Z147" s="3842"/>
      <c r="AA147" s="3842"/>
      <c r="AB147" s="3842"/>
      <c r="AC147" s="3845"/>
      <c r="AD147" s="3845"/>
      <c r="AE147" s="4643"/>
      <c r="AF147" s="97"/>
      <c r="AG147" s="3788"/>
      <c r="AH147" s="3848"/>
      <c r="AI147" s="3794"/>
      <c r="AJ147" s="97"/>
      <c r="AK147" s="4642"/>
      <c r="AL147" s="4642"/>
      <c r="AM147" s="4642"/>
      <c r="AN147" s="4642"/>
      <c r="AO147" s="4642"/>
      <c r="AP147" s="4642"/>
      <c r="AQ147" s="108"/>
      <c r="AR147" s="1027"/>
      <c r="AS147" s="108"/>
      <c r="AT147" s="108"/>
      <c r="AU147" s="108"/>
      <c r="AV147" s="108"/>
      <c r="AW147" s="108"/>
      <c r="AX147" s="108"/>
      <c r="AY147" s="108"/>
      <c r="AZ147" s="108"/>
    </row>
    <row r="148" spans="1:52" ht="30" hidden="1" outlineLevel="4">
      <c r="A148" s="159"/>
      <c r="B148" s="702" t="s">
        <v>3421</v>
      </c>
      <c r="C148" s="354" t="s">
        <v>1279</v>
      </c>
      <c r="D148" s="1070" t="s">
        <v>905</v>
      </c>
      <c r="E148" s="533"/>
      <c r="F148" s="177"/>
      <c r="G148" s="97"/>
      <c r="H148" s="363"/>
      <c r="I148" s="363"/>
      <c r="J148" s="367"/>
      <c r="K148" s="367"/>
      <c r="L148" s="367"/>
      <c r="M148" s="367"/>
      <c r="N148" s="367"/>
      <c r="O148" s="367"/>
      <c r="P148" s="367"/>
      <c r="Q148" s="97"/>
      <c r="R148" s="3898"/>
      <c r="S148" s="1336"/>
      <c r="T148" s="3898"/>
      <c r="U148" s="1336"/>
      <c r="V148" s="3800"/>
      <c r="W148" s="4651"/>
      <c r="X148" s="97"/>
      <c r="Y148" s="3839"/>
      <c r="Z148" s="3842"/>
      <c r="AA148" s="3842"/>
      <c r="AB148" s="3842"/>
      <c r="AC148" s="3845"/>
      <c r="AD148" s="3845"/>
      <c r="AE148" s="4643"/>
      <c r="AF148" s="97"/>
      <c r="AG148" s="3788"/>
      <c r="AH148" s="3848"/>
      <c r="AI148" s="3794"/>
      <c r="AJ148" s="97"/>
      <c r="AK148" s="4642"/>
      <c r="AL148" s="4642"/>
      <c r="AM148" s="4642"/>
      <c r="AN148" s="4642"/>
      <c r="AO148" s="4642"/>
      <c r="AP148" s="4642"/>
      <c r="AQ148" s="108"/>
      <c r="AR148" s="1027"/>
      <c r="AS148" s="108"/>
      <c r="AT148" s="108"/>
      <c r="AU148" s="108"/>
      <c r="AV148" s="108"/>
      <c r="AW148" s="108"/>
      <c r="AX148" s="108"/>
      <c r="AY148" s="108"/>
      <c r="AZ148" s="108"/>
    </row>
    <row r="149" spans="1:52" ht="45" hidden="1" outlineLevel="4">
      <c r="A149" s="159"/>
      <c r="B149" s="702" t="s">
        <v>3422</v>
      </c>
      <c r="C149" s="354" t="s">
        <v>1279</v>
      </c>
      <c r="D149" s="1070" t="s">
        <v>907</v>
      </c>
      <c r="E149" s="533"/>
      <c r="F149" s="177"/>
      <c r="G149" s="97"/>
      <c r="H149" s="363"/>
      <c r="I149" s="363"/>
      <c r="J149" s="367"/>
      <c r="K149" s="367"/>
      <c r="L149" s="367"/>
      <c r="M149" s="367"/>
      <c r="N149" s="367"/>
      <c r="O149" s="367"/>
      <c r="P149" s="367"/>
      <c r="Q149" s="97"/>
      <c r="R149" s="3899"/>
      <c r="S149" s="1512"/>
      <c r="T149" s="3899"/>
      <c r="U149" s="1512"/>
      <c r="V149" s="3801"/>
      <c r="W149" s="4652"/>
      <c r="X149" s="97"/>
      <c r="Y149" s="3840"/>
      <c r="Z149" s="3843"/>
      <c r="AA149" s="3843"/>
      <c r="AB149" s="3843"/>
      <c r="AC149" s="3846"/>
      <c r="AD149" s="3846"/>
      <c r="AE149" s="4643"/>
      <c r="AF149" s="97"/>
      <c r="AG149" s="3789"/>
      <c r="AH149" s="3849"/>
      <c r="AI149" s="3795"/>
      <c r="AJ149" s="97"/>
      <c r="AK149" s="4644"/>
      <c r="AL149" s="4644"/>
      <c r="AM149" s="4644"/>
      <c r="AN149" s="4644"/>
      <c r="AO149" s="4644"/>
      <c r="AP149" s="4644">
        <f t="shared" si="9"/>
        <v>0</v>
      </c>
      <c r="AQ149" s="108"/>
      <c r="AR149" s="1027"/>
      <c r="AS149" s="108"/>
      <c r="AT149" s="108"/>
      <c r="AU149" s="108"/>
      <c r="AV149" s="108"/>
      <c r="AW149" s="108"/>
      <c r="AX149" s="108"/>
      <c r="AY149" s="108"/>
      <c r="AZ149" s="108"/>
    </row>
    <row r="150" spans="1:52" s="153" customFormat="1" ht="26.5" hidden="1" customHeight="1" outlineLevel="4">
      <c r="A150" s="704"/>
      <c r="B150" s="354" t="s">
        <v>898</v>
      </c>
      <c r="C150" s="354" t="s">
        <v>1279</v>
      </c>
      <c r="D150" s="544" t="s">
        <v>909</v>
      </c>
      <c r="E150" s="544"/>
      <c r="F150" s="173"/>
      <c r="G150" s="1471"/>
      <c r="H150" s="366"/>
      <c r="I150" s="366"/>
      <c r="J150" s="368"/>
      <c r="K150" s="368"/>
      <c r="L150" s="368"/>
      <c r="M150" s="368"/>
      <c r="N150" s="368"/>
      <c r="O150" s="368"/>
      <c r="P150" s="368"/>
      <c r="Q150" s="1471"/>
      <c r="R150" s="3897" t="s">
        <v>763</v>
      </c>
      <c r="S150" s="364"/>
      <c r="T150" s="3897" t="s">
        <v>1413</v>
      </c>
      <c r="U150" s="364"/>
      <c r="V150" s="3799" t="s">
        <v>1266</v>
      </c>
      <c r="W150" s="3897" t="s">
        <v>3423</v>
      </c>
      <c r="X150" s="1446"/>
      <c r="Y150" s="3838" t="s">
        <v>1280</v>
      </c>
      <c r="Z150" s="3841">
        <v>1</v>
      </c>
      <c r="AA150" s="3841">
        <v>6</v>
      </c>
      <c r="AB150" s="3841"/>
      <c r="AC150" s="3844">
        <v>5000</v>
      </c>
      <c r="AD150" s="3844">
        <f>+Z150*AA150*AC150</f>
        <v>30000</v>
      </c>
      <c r="AE150" s="1472"/>
      <c r="AF150" s="1471"/>
      <c r="AG150" s="3796">
        <f>+AD150</f>
        <v>30000</v>
      </c>
      <c r="AH150" s="3847"/>
      <c r="AI150" s="3796">
        <f>+AH150+AG150</f>
        <v>30000</v>
      </c>
      <c r="AJ150" s="1471"/>
      <c r="AK150" s="4641"/>
      <c r="AL150" s="4641"/>
      <c r="AM150" s="4641"/>
      <c r="AN150" s="4641"/>
      <c r="AO150" s="4641"/>
      <c r="AP150" s="4641"/>
      <c r="AR150" s="968"/>
    </row>
    <row r="151" spans="1:52" ht="30" hidden="1" outlineLevel="4">
      <c r="A151" s="159"/>
      <c r="B151" s="702" t="s">
        <v>900</v>
      </c>
      <c r="C151" s="354" t="s">
        <v>1279</v>
      </c>
      <c r="D151" s="1070" t="s">
        <v>911</v>
      </c>
      <c r="E151" s="533"/>
      <c r="F151" s="177"/>
      <c r="G151" s="97"/>
      <c r="H151" s="363"/>
      <c r="I151" s="363"/>
      <c r="J151" s="367"/>
      <c r="K151" s="367"/>
      <c r="L151" s="367"/>
      <c r="M151" s="367"/>
      <c r="N151" s="367"/>
      <c r="O151" s="367"/>
      <c r="P151" s="367"/>
      <c r="Q151" s="97"/>
      <c r="R151" s="3898"/>
      <c r="S151" s="1336"/>
      <c r="T151" s="3898"/>
      <c r="U151" s="1336"/>
      <c r="V151" s="3800"/>
      <c r="W151" s="3898"/>
      <c r="X151" s="97"/>
      <c r="Y151" s="3839"/>
      <c r="Z151" s="3842"/>
      <c r="AA151" s="3842"/>
      <c r="AB151" s="3842"/>
      <c r="AC151" s="3845"/>
      <c r="AD151" s="3845"/>
      <c r="AE151" s="4643"/>
      <c r="AF151" s="97"/>
      <c r="AG151" s="3797"/>
      <c r="AH151" s="3848"/>
      <c r="AI151" s="3797"/>
      <c r="AJ151" s="97"/>
      <c r="AK151" s="4642"/>
      <c r="AL151" s="4642"/>
      <c r="AM151" s="4642"/>
      <c r="AN151" s="4642"/>
      <c r="AO151" s="4642"/>
      <c r="AP151" s="4642"/>
      <c r="AQ151" s="108"/>
      <c r="AR151" s="1027"/>
      <c r="AS151" s="108"/>
      <c r="AT151" s="108"/>
      <c r="AU151" s="108"/>
      <c r="AV151" s="108"/>
      <c r="AW151" s="108"/>
      <c r="AX151" s="108"/>
      <c r="AY151" s="108"/>
      <c r="AZ151" s="108"/>
    </row>
    <row r="152" spans="1:52" ht="30" hidden="1" outlineLevel="4">
      <c r="A152" s="159"/>
      <c r="B152" s="702" t="s">
        <v>902</v>
      </c>
      <c r="C152" s="354" t="s">
        <v>1279</v>
      </c>
      <c r="D152" s="1070" t="s">
        <v>913</v>
      </c>
      <c r="E152" s="533"/>
      <c r="F152" s="177"/>
      <c r="G152" s="97"/>
      <c r="H152" s="363"/>
      <c r="I152" s="363"/>
      <c r="J152" s="367"/>
      <c r="K152" s="367"/>
      <c r="L152" s="367"/>
      <c r="M152" s="367"/>
      <c r="N152" s="367"/>
      <c r="O152" s="367"/>
      <c r="P152" s="367"/>
      <c r="Q152" s="97"/>
      <c r="R152" s="3898"/>
      <c r="S152" s="1336"/>
      <c r="T152" s="3898"/>
      <c r="U152" s="1336"/>
      <c r="V152" s="3800"/>
      <c r="W152" s="3898"/>
      <c r="X152" s="97"/>
      <c r="Y152" s="3839"/>
      <c r="Z152" s="3842"/>
      <c r="AA152" s="3842"/>
      <c r="AB152" s="3842"/>
      <c r="AC152" s="3845"/>
      <c r="AD152" s="3845"/>
      <c r="AE152" s="4643"/>
      <c r="AF152" s="97"/>
      <c r="AG152" s="3797"/>
      <c r="AH152" s="3848"/>
      <c r="AI152" s="3797"/>
      <c r="AJ152" s="97"/>
      <c r="AK152" s="4642"/>
      <c r="AL152" s="4642"/>
      <c r="AM152" s="4642"/>
      <c r="AN152" s="4642"/>
      <c r="AO152" s="4642"/>
      <c r="AP152" s="4642"/>
      <c r="AQ152" s="108"/>
      <c r="AR152" s="1027"/>
      <c r="AS152" s="108"/>
      <c r="AT152" s="108"/>
      <c r="AU152" s="108"/>
      <c r="AV152" s="108"/>
      <c r="AW152" s="108"/>
      <c r="AX152" s="108"/>
      <c r="AY152" s="108"/>
      <c r="AZ152" s="108"/>
    </row>
    <row r="153" spans="1:52" ht="30" hidden="1" outlineLevel="4">
      <c r="A153" s="1318"/>
      <c r="B153" s="1490" t="s">
        <v>904</v>
      </c>
      <c r="C153" s="354" t="s">
        <v>1279</v>
      </c>
      <c r="D153" s="1491" t="s">
        <v>915</v>
      </c>
      <c r="E153" s="1492"/>
      <c r="F153" s="1444"/>
      <c r="G153" s="1493"/>
      <c r="H153" s="1494"/>
      <c r="I153" s="1494"/>
      <c r="J153" s="1195"/>
      <c r="K153" s="1195"/>
      <c r="L153" s="1195"/>
      <c r="M153" s="1195"/>
      <c r="N153" s="1195"/>
      <c r="O153" s="1195"/>
      <c r="P153" s="1195"/>
      <c r="Q153" s="1493"/>
      <c r="R153" s="3899"/>
      <c r="S153" s="1336"/>
      <c r="T153" s="3899"/>
      <c r="U153" s="1336"/>
      <c r="V153" s="3801"/>
      <c r="W153" s="3899"/>
      <c r="X153" s="1493"/>
      <c r="Y153" s="3840"/>
      <c r="Z153" s="3843"/>
      <c r="AA153" s="3843"/>
      <c r="AB153" s="3843"/>
      <c r="AC153" s="3846"/>
      <c r="AD153" s="3846"/>
      <c r="AE153" s="4643"/>
      <c r="AF153" s="97"/>
      <c r="AG153" s="3798"/>
      <c r="AH153" s="3849"/>
      <c r="AI153" s="3798"/>
      <c r="AJ153" s="97"/>
      <c r="AK153" s="4642"/>
      <c r="AL153" s="4642"/>
      <c r="AM153" s="4642"/>
      <c r="AN153" s="4642"/>
      <c r="AO153" s="4642"/>
      <c r="AP153" s="4642"/>
      <c r="AQ153" s="108"/>
      <c r="AR153" s="1027"/>
      <c r="AS153" s="108"/>
      <c r="AT153" s="108"/>
      <c r="AU153" s="108"/>
      <c r="AV153" s="108"/>
      <c r="AW153" s="108"/>
      <c r="AX153" s="108"/>
      <c r="AY153" s="108"/>
      <c r="AZ153" s="108"/>
    </row>
    <row r="154" spans="1:52" ht="30" hidden="1" outlineLevel="4">
      <c r="A154" s="159"/>
      <c r="B154" s="702"/>
      <c r="C154" s="354" t="s">
        <v>1279</v>
      </c>
      <c r="D154" s="1070" t="s">
        <v>1412</v>
      </c>
      <c r="E154" s="533"/>
      <c r="F154" s="177"/>
      <c r="G154" s="97"/>
      <c r="H154" s="363"/>
      <c r="I154" s="363"/>
      <c r="J154" s="367"/>
      <c r="K154" s="367"/>
      <c r="L154" s="367"/>
      <c r="M154" s="367"/>
      <c r="N154" s="367"/>
      <c r="O154" s="367"/>
      <c r="P154" s="367"/>
      <c r="Q154" s="97"/>
      <c r="R154" s="364"/>
      <c r="S154" s="364"/>
      <c r="T154" s="364"/>
      <c r="U154" s="364"/>
      <c r="V154" s="364"/>
      <c r="W154" s="364" t="s">
        <v>3424</v>
      </c>
      <c r="X154" s="97"/>
      <c r="Y154" s="182"/>
      <c r="Z154" s="712"/>
      <c r="AA154" s="712"/>
      <c r="AB154" s="712"/>
      <c r="AC154" s="675">
        <v>0</v>
      </c>
      <c r="AD154" s="675">
        <v>0</v>
      </c>
      <c r="AE154" s="1473"/>
      <c r="AF154" s="97"/>
      <c r="AG154" s="1443"/>
      <c r="AH154" s="1463"/>
      <c r="AI154" s="1463"/>
      <c r="AJ154" s="867"/>
      <c r="AK154" s="1445"/>
      <c r="AL154" s="1445"/>
      <c r="AM154" s="1445"/>
      <c r="AN154" s="1445"/>
      <c r="AO154" s="1445"/>
      <c r="AP154" s="1445"/>
      <c r="AQ154" s="108"/>
      <c r="AR154" s="1027"/>
      <c r="AS154" s="108"/>
      <c r="AT154" s="108"/>
      <c r="AU154" s="108"/>
      <c r="AV154" s="108"/>
      <c r="AW154" s="108"/>
      <c r="AX154" s="108"/>
      <c r="AY154" s="108"/>
      <c r="AZ154" s="108"/>
    </row>
    <row r="155" spans="1:52" s="153" customFormat="1" ht="33" hidden="1" customHeight="1" outlineLevel="3">
      <c r="A155" s="397"/>
      <c r="B155" s="395" t="s">
        <v>918</v>
      </c>
      <c r="C155" s="395"/>
      <c r="D155" s="1249" t="s">
        <v>919</v>
      </c>
      <c r="E155" s="1249"/>
      <c r="F155" s="1250" t="s">
        <v>1418</v>
      </c>
      <c r="G155" s="96"/>
      <c r="H155" s="401"/>
      <c r="I155" s="401"/>
      <c r="J155" s="402"/>
      <c r="K155" s="402"/>
      <c r="L155" s="402"/>
      <c r="M155" s="402"/>
      <c r="N155" s="402"/>
      <c r="O155" s="402"/>
      <c r="P155" s="402"/>
      <c r="Q155" s="96"/>
      <c r="R155" s="1488"/>
      <c r="S155" s="1488"/>
      <c r="T155" s="1488"/>
      <c r="U155" s="1488"/>
      <c r="V155" s="1488"/>
      <c r="W155" s="1489"/>
      <c r="X155" s="96"/>
      <c r="Y155" s="396"/>
      <c r="Z155" s="397"/>
      <c r="AA155" s="397"/>
      <c r="AB155" s="395"/>
      <c r="AC155" s="398"/>
      <c r="AD155" s="398">
        <f>SUM(AD157:AD160)</f>
        <v>5020000</v>
      </c>
      <c r="AE155" s="1487" t="s">
        <v>1419</v>
      </c>
      <c r="AF155" s="96"/>
      <c r="AG155" s="398">
        <f>SUM(AG157:AG160)</f>
        <v>5020000</v>
      </c>
      <c r="AH155" s="398">
        <f>SUM(AH157:AH160)</f>
        <v>0</v>
      </c>
      <c r="AI155" s="398">
        <f>SUM(AI157:AI160)</f>
        <v>5020000</v>
      </c>
      <c r="AJ155" s="865"/>
      <c r="AK155" s="992">
        <f>SUM(AK158:AK160)</f>
        <v>0</v>
      </c>
      <c r="AL155" s="992">
        <f>SUM(AL158:AL160)</f>
        <v>0</v>
      </c>
      <c r="AM155" s="992">
        <f>SUM(AM158:AM160)</f>
        <v>0</v>
      </c>
      <c r="AN155" s="993">
        <f>SUM(AN158:AN160)</f>
        <v>0</v>
      </c>
      <c r="AO155" s="994">
        <f>SUM(AO158:AO160)</f>
        <v>0</v>
      </c>
      <c r="AP155" s="994">
        <f t="shared" si="9"/>
        <v>0</v>
      </c>
      <c r="AR155" s="968"/>
    </row>
    <row r="156" spans="1:52" s="108" customFormat="1" ht="45" hidden="1" outlineLevel="3">
      <c r="A156" s="159"/>
      <c r="B156" s="702"/>
      <c r="C156" s="702"/>
      <c r="D156" s="703" t="s">
        <v>917</v>
      </c>
      <c r="E156" s="703"/>
      <c r="F156" s="177" t="s">
        <v>1417</v>
      </c>
      <c r="G156" s="98"/>
      <c r="H156" s="363"/>
      <c r="I156" s="363"/>
      <c r="J156" s="367"/>
      <c r="K156" s="367"/>
      <c r="L156" s="367"/>
      <c r="M156" s="367"/>
      <c r="N156" s="367"/>
      <c r="O156" s="367"/>
      <c r="P156" s="367"/>
      <c r="Q156" s="98"/>
      <c r="R156" s="364"/>
      <c r="S156" s="364"/>
      <c r="T156" s="364"/>
      <c r="U156" s="364"/>
      <c r="V156" s="364"/>
      <c r="W156" s="177" t="s">
        <v>3425</v>
      </c>
      <c r="X156" s="98"/>
      <c r="Y156" s="1499"/>
      <c r="Z156" s="159"/>
      <c r="AA156" s="159"/>
      <c r="AB156" s="702"/>
      <c r="AC156" s="355"/>
      <c r="AD156" s="355">
        <v>0</v>
      </c>
      <c r="AE156" s="1500"/>
      <c r="AF156" s="98"/>
      <c r="AG156" s="355"/>
      <c r="AH156" s="355"/>
      <c r="AI156" s="355"/>
      <c r="AJ156" s="874"/>
      <c r="AK156" s="1033"/>
      <c r="AL156" s="1033"/>
      <c r="AM156" s="1033"/>
      <c r="AN156" s="1034"/>
      <c r="AO156" s="1006"/>
      <c r="AP156" s="1006"/>
      <c r="AR156" s="1027"/>
    </row>
    <row r="157" spans="1:52" s="108" customFormat="1" ht="33" hidden="1" customHeight="1" outlineLevel="3">
      <c r="A157" s="159"/>
      <c r="B157" s="702"/>
      <c r="C157" s="702"/>
      <c r="D157" s="703" t="s">
        <v>921</v>
      </c>
      <c r="E157" s="703"/>
      <c r="F157" s="177"/>
      <c r="G157" s="98"/>
      <c r="H157" s="363"/>
      <c r="I157" s="363"/>
      <c r="J157" s="367"/>
      <c r="K157" s="367"/>
      <c r="L157" s="367"/>
      <c r="M157" s="367"/>
      <c r="N157" s="367"/>
      <c r="O157" s="367"/>
      <c r="P157" s="367"/>
      <c r="Q157" s="98"/>
      <c r="R157" s="364" t="s">
        <v>763</v>
      </c>
      <c r="S157" s="364"/>
      <c r="T157" s="364" t="s">
        <v>1289</v>
      </c>
      <c r="U157" s="364"/>
      <c r="V157" s="364" t="s">
        <v>1421</v>
      </c>
      <c r="W157" s="177" t="s">
        <v>3426</v>
      </c>
      <c r="X157" s="98"/>
      <c r="Y157" s="182" t="s">
        <v>1280</v>
      </c>
      <c r="Z157" s="712">
        <v>1</v>
      </c>
      <c r="AA157" s="712">
        <v>4</v>
      </c>
      <c r="AB157" s="702"/>
      <c r="AC157" s="355">
        <v>5000</v>
      </c>
      <c r="AD157" s="675">
        <f>+Z157*AA157*AC157</f>
        <v>20000</v>
      </c>
      <c r="AE157" s="1500"/>
      <c r="AF157" s="98"/>
      <c r="AG157" s="355">
        <f>+AD157</f>
        <v>20000</v>
      </c>
      <c r="AH157" s="355"/>
      <c r="AI157" s="1041">
        <f>AG157+AH157</f>
        <v>20000</v>
      </c>
      <c r="AJ157" s="874"/>
      <c r="AK157" s="1033"/>
      <c r="AL157" s="1033"/>
      <c r="AM157" s="1033"/>
      <c r="AN157" s="1034"/>
      <c r="AO157" s="1006"/>
      <c r="AP157" s="1006"/>
      <c r="AR157" s="1027"/>
    </row>
    <row r="158" spans="1:52" s="108" customFormat="1" ht="27.5" hidden="1" customHeight="1" outlineLevel="4">
      <c r="A158" s="580"/>
      <c r="B158" s="107" t="s">
        <v>920</v>
      </c>
      <c r="C158" s="107"/>
      <c r="D158" s="533" t="s">
        <v>924</v>
      </c>
      <c r="E158" s="533"/>
      <c r="F158" s="103"/>
      <c r="G158" s="97"/>
      <c r="H158" s="363"/>
      <c r="I158" s="364"/>
      <c r="J158" s="365"/>
      <c r="K158" s="365"/>
      <c r="L158" s="365"/>
      <c r="M158" s="365"/>
      <c r="N158" s="365"/>
      <c r="O158" s="365"/>
      <c r="P158" s="365"/>
      <c r="Q158" s="97"/>
      <c r="R158" s="3897"/>
      <c r="S158" s="3897"/>
      <c r="T158" s="3897" t="s">
        <v>1198</v>
      </c>
      <c r="U158" s="3897"/>
      <c r="V158" s="3897"/>
      <c r="W158" s="3897"/>
      <c r="X158" s="97"/>
      <c r="Y158" s="1032" t="s">
        <v>1179</v>
      </c>
      <c r="Z158" s="1032">
        <v>1</v>
      </c>
      <c r="AA158" s="1032"/>
      <c r="AB158" s="1032"/>
      <c r="AC158" s="1032">
        <v>2500000</v>
      </c>
      <c r="AD158" s="1032">
        <f>+Z158*AC158</f>
        <v>2500000</v>
      </c>
      <c r="AE158" s="3818" t="s">
        <v>1427</v>
      </c>
      <c r="AF158" s="97"/>
      <c r="AG158" s="1032">
        <f>+AD158</f>
        <v>2500000</v>
      </c>
      <c r="AH158" s="1032"/>
      <c r="AI158" s="1041">
        <f>AG158+AH158</f>
        <v>2500000</v>
      </c>
      <c r="AJ158" s="867"/>
      <c r="AK158" s="1038"/>
      <c r="AL158" s="1038"/>
      <c r="AM158" s="1038"/>
      <c r="AN158" s="1038"/>
      <c r="AO158" s="1038"/>
      <c r="AP158" s="1038">
        <f t="shared" si="9"/>
        <v>0</v>
      </c>
      <c r="AR158" s="1027"/>
    </row>
    <row r="159" spans="1:52" s="108" customFormat="1" ht="46.25" hidden="1" customHeight="1" outlineLevel="4">
      <c r="A159" s="580"/>
      <c r="B159" s="107" t="s">
        <v>923</v>
      </c>
      <c r="C159" s="107"/>
      <c r="D159" s="533" t="s">
        <v>927</v>
      </c>
      <c r="E159" s="533"/>
      <c r="F159" s="103"/>
      <c r="G159" s="97"/>
      <c r="H159" s="363"/>
      <c r="I159" s="364"/>
      <c r="J159" s="365"/>
      <c r="K159" s="365"/>
      <c r="L159" s="365"/>
      <c r="M159" s="365"/>
      <c r="N159" s="365"/>
      <c r="O159" s="365"/>
      <c r="P159" s="365"/>
      <c r="Q159" s="97"/>
      <c r="R159" s="3898"/>
      <c r="S159" s="3898"/>
      <c r="T159" s="3898"/>
      <c r="U159" s="3898"/>
      <c r="V159" s="3898"/>
      <c r="W159" s="3898"/>
      <c r="X159" s="97"/>
      <c r="Y159" s="1032" t="s">
        <v>1179</v>
      </c>
      <c r="Z159" s="1032">
        <v>1</v>
      </c>
      <c r="AA159" s="1032"/>
      <c r="AB159" s="1032"/>
      <c r="AC159" s="1032">
        <v>1250000</v>
      </c>
      <c r="AD159" s="1032">
        <f>+Z159*AC159</f>
        <v>1250000</v>
      </c>
      <c r="AE159" s="4639"/>
      <c r="AF159" s="97"/>
      <c r="AG159" s="1032">
        <f>+AD159</f>
        <v>1250000</v>
      </c>
      <c r="AH159" s="1032"/>
      <c r="AI159" s="1041">
        <f>AG159+AH159</f>
        <v>1250000</v>
      </c>
      <c r="AJ159" s="867"/>
      <c r="AK159" s="1038"/>
      <c r="AL159" s="1038"/>
      <c r="AM159" s="1038"/>
      <c r="AN159" s="1038"/>
      <c r="AO159" s="1038"/>
      <c r="AP159" s="1038">
        <f t="shared" si="9"/>
        <v>0</v>
      </c>
      <c r="AR159" s="1027"/>
    </row>
    <row r="160" spans="1:52" s="153" customFormat="1" ht="14" hidden="1" customHeight="1" outlineLevel="4">
      <c r="A160" s="582"/>
      <c r="B160" s="434" t="s">
        <v>926</v>
      </c>
      <c r="C160" s="434"/>
      <c r="D160" s="544" t="s">
        <v>929</v>
      </c>
      <c r="E160" s="544"/>
      <c r="F160" s="1495"/>
      <c r="G160" s="1471"/>
      <c r="H160" s="366"/>
      <c r="I160" s="853"/>
      <c r="J160" s="1496"/>
      <c r="K160" s="1496"/>
      <c r="L160" s="1496"/>
      <c r="M160" s="1496"/>
      <c r="N160" s="1496"/>
      <c r="O160" s="1496"/>
      <c r="P160" s="1496"/>
      <c r="Q160" s="1471"/>
      <c r="R160" s="3898"/>
      <c r="S160" s="3898"/>
      <c r="T160" s="3898"/>
      <c r="U160" s="3898"/>
      <c r="V160" s="3898"/>
      <c r="W160" s="3898"/>
      <c r="X160" s="1471"/>
      <c r="Y160" s="1105"/>
      <c r="Z160" s="1105"/>
      <c r="AA160" s="1105"/>
      <c r="AB160" s="1105"/>
      <c r="AC160" s="1105"/>
      <c r="AD160" s="1105">
        <f>+AD161</f>
        <v>1250000</v>
      </c>
      <c r="AE160" s="4639"/>
      <c r="AF160" s="1471"/>
      <c r="AG160" s="1105">
        <f>+AG161</f>
        <v>1250000</v>
      </c>
      <c r="AH160" s="1105">
        <f>+AH161</f>
        <v>0</v>
      </c>
      <c r="AI160" s="1105">
        <f>+AG160+AH160</f>
        <v>1250000</v>
      </c>
      <c r="AJ160" s="1497"/>
      <c r="AK160" s="1498"/>
      <c r="AL160" s="1498"/>
      <c r="AM160" s="1498"/>
      <c r="AN160" s="1498"/>
      <c r="AO160" s="1498"/>
      <c r="AP160" s="1498">
        <f t="shared" si="9"/>
        <v>0</v>
      </c>
      <c r="AR160" s="968"/>
    </row>
    <row r="161" spans="1:52" s="108" customFormat="1" ht="30" hidden="1" outlineLevel="4">
      <c r="A161" s="580"/>
      <c r="B161" s="107" t="s">
        <v>930</v>
      </c>
      <c r="C161" s="107"/>
      <c r="D161" s="1070" t="s">
        <v>931</v>
      </c>
      <c r="E161" s="533"/>
      <c r="F161" s="103"/>
      <c r="G161" s="97"/>
      <c r="H161" s="363"/>
      <c r="I161" s="364"/>
      <c r="J161" s="365"/>
      <c r="K161" s="365"/>
      <c r="L161" s="365"/>
      <c r="M161" s="365"/>
      <c r="N161" s="365"/>
      <c r="O161" s="365"/>
      <c r="P161" s="365"/>
      <c r="Q161" s="97"/>
      <c r="R161" s="3898"/>
      <c r="S161" s="3898"/>
      <c r="T161" s="3898"/>
      <c r="U161" s="3898"/>
      <c r="V161" s="3898"/>
      <c r="W161" s="3898"/>
      <c r="X161" s="97"/>
      <c r="Y161" s="3787" t="s">
        <v>1179</v>
      </c>
      <c r="Z161" s="3787">
        <v>1</v>
      </c>
      <c r="AA161" s="3787"/>
      <c r="AB161" s="3787"/>
      <c r="AC161" s="3787">
        <v>1250000</v>
      </c>
      <c r="AD161" s="3787">
        <f>+Z161*AC161</f>
        <v>1250000</v>
      </c>
      <c r="AE161" s="4639"/>
      <c r="AF161" s="97"/>
      <c r="AG161" s="3787">
        <f>+AD161</f>
        <v>1250000</v>
      </c>
      <c r="AH161" s="3787"/>
      <c r="AI161" s="3787">
        <f>+AG161+AH161</f>
        <v>1250000</v>
      </c>
      <c r="AJ161" s="867"/>
      <c r="AK161" s="1038"/>
      <c r="AL161" s="1038"/>
      <c r="AM161" s="1038"/>
      <c r="AN161" s="1038"/>
      <c r="AO161" s="1038"/>
      <c r="AP161" s="1038"/>
      <c r="AR161" s="1027"/>
    </row>
    <row r="162" spans="1:52" s="108" customFormat="1" ht="15" hidden="1" outlineLevel="4">
      <c r="A162" s="580"/>
      <c r="B162" s="107" t="s">
        <v>932</v>
      </c>
      <c r="C162" s="107"/>
      <c r="D162" s="1070" t="s">
        <v>933</v>
      </c>
      <c r="E162" s="533"/>
      <c r="F162" s="103"/>
      <c r="G162" s="97"/>
      <c r="H162" s="363"/>
      <c r="I162" s="364"/>
      <c r="J162" s="365"/>
      <c r="K162" s="365"/>
      <c r="L162" s="365"/>
      <c r="M162" s="365"/>
      <c r="N162" s="365"/>
      <c r="O162" s="365"/>
      <c r="P162" s="365"/>
      <c r="Q162" s="97"/>
      <c r="R162" s="3898"/>
      <c r="S162" s="3898"/>
      <c r="T162" s="3898"/>
      <c r="U162" s="3898"/>
      <c r="V162" s="3898"/>
      <c r="W162" s="3898"/>
      <c r="X162" s="97"/>
      <c r="Y162" s="3788"/>
      <c r="Z162" s="3788"/>
      <c r="AA162" s="3788"/>
      <c r="AB162" s="3788"/>
      <c r="AC162" s="3788"/>
      <c r="AD162" s="3788"/>
      <c r="AE162" s="4639"/>
      <c r="AF162" s="97"/>
      <c r="AG162" s="3788"/>
      <c r="AH162" s="3788"/>
      <c r="AI162" s="3788"/>
      <c r="AJ162" s="867"/>
      <c r="AK162" s="1038"/>
      <c r="AL162" s="1038"/>
      <c r="AM162" s="1038"/>
      <c r="AN162" s="1038"/>
      <c r="AO162" s="1038"/>
      <c r="AP162" s="1038"/>
      <c r="AR162" s="1027"/>
    </row>
    <row r="163" spans="1:52" s="108" customFormat="1" ht="30" hidden="1" outlineLevel="4">
      <c r="A163" s="580"/>
      <c r="B163" s="107" t="s">
        <v>934</v>
      </c>
      <c r="C163" s="107"/>
      <c r="D163" s="1070" t="s">
        <v>935</v>
      </c>
      <c r="E163" s="533"/>
      <c r="F163" s="103"/>
      <c r="G163" s="97"/>
      <c r="H163" s="363"/>
      <c r="I163" s="364"/>
      <c r="J163" s="365"/>
      <c r="K163" s="365"/>
      <c r="L163" s="365"/>
      <c r="M163" s="365"/>
      <c r="N163" s="365"/>
      <c r="O163" s="365"/>
      <c r="P163" s="365"/>
      <c r="Q163" s="97"/>
      <c r="R163" s="3899"/>
      <c r="S163" s="3899"/>
      <c r="T163" s="3899"/>
      <c r="U163" s="3899"/>
      <c r="V163" s="3899"/>
      <c r="W163" s="3899"/>
      <c r="X163" s="97"/>
      <c r="Y163" s="3789"/>
      <c r="Z163" s="3789"/>
      <c r="AA163" s="3789"/>
      <c r="AB163" s="3789"/>
      <c r="AC163" s="3789"/>
      <c r="AD163" s="3789"/>
      <c r="AE163" s="4640"/>
      <c r="AF163" s="97"/>
      <c r="AG163" s="3789"/>
      <c r="AH163" s="3789"/>
      <c r="AI163" s="3789"/>
      <c r="AJ163" s="867"/>
      <c r="AK163" s="1038"/>
      <c r="AL163" s="1038"/>
      <c r="AM163" s="1038"/>
      <c r="AN163" s="1038"/>
      <c r="AO163" s="1038"/>
      <c r="AP163" s="1038"/>
      <c r="AR163" s="1027"/>
    </row>
    <row r="164" spans="1:52" s="108" customFormat="1" ht="15" hidden="1" outlineLevel="4">
      <c r="A164" s="580"/>
      <c r="B164" s="107"/>
      <c r="C164" s="107"/>
      <c r="D164" s="1070" t="s">
        <v>3427</v>
      </c>
      <c r="E164" s="533"/>
      <c r="F164" s="103"/>
      <c r="G164" s="97"/>
      <c r="H164" s="363"/>
      <c r="I164" s="364"/>
      <c r="J164" s="365"/>
      <c r="K164" s="365"/>
      <c r="L164" s="365"/>
      <c r="M164" s="365"/>
      <c r="N164" s="365"/>
      <c r="O164" s="365"/>
      <c r="P164" s="365"/>
      <c r="Q164" s="97"/>
      <c r="R164" s="951"/>
      <c r="S164" s="951"/>
      <c r="T164" s="951"/>
      <c r="U164" s="951"/>
      <c r="V164" s="951"/>
      <c r="W164" s="951"/>
      <c r="X164" s="97"/>
      <c r="Y164" s="1032" t="s">
        <v>1179</v>
      </c>
      <c r="Z164" s="1032">
        <v>1</v>
      </c>
      <c r="AA164" s="1407"/>
      <c r="AB164" s="1407"/>
      <c r="AC164" s="1407">
        <f>100000-20000</f>
        <v>80000</v>
      </c>
      <c r="AD164" s="1407">
        <f>+Z164*AC164</f>
        <v>80000</v>
      </c>
      <c r="AE164" s="1474"/>
      <c r="AF164" s="97"/>
      <c r="AG164" s="1407">
        <f>+AD164</f>
        <v>80000</v>
      </c>
      <c r="AH164" s="1407"/>
      <c r="AI164" s="1407">
        <f>+AG164+AH164</f>
        <v>80000</v>
      </c>
      <c r="AJ164" s="867"/>
      <c r="AK164" s="1038"/>
      <c r="AL164" s="1038"/>
      <c r="AM164" s="1038"/>
      <c r="AN164" s="1038"/>
      <c r="AO164" s="1038"/>
      <c r="AP164" s="1038"/>
      <c r="AR164" s="1027"/>
    </row>
    <row r="165" spans="1:52" s="108" customFormat="1" hidden="1" outlineLevel="4">
      <c r="A165" s="580"/>
      <c r="B165" s="107"/>
      <c r="C165" s="107"/>
      <c r="D165" s="1070"/>
      <c r="E165" s="533"/>
      <c r="F165" s="103"/>
      <c r="G165" s="97"/>
      <c r="H165" s="363"/>
      <c r="I165" s="364"/>
      <c r="J165" s="365"/>
      <c r="K165" s="365"/>
      <c r="L165" s="365"/>
      <c r="M165" s="365"/>
      <c r="N165" s="365"/>
      <c r="O165" s="365"/>
      <c r="P165" s="365"/>
      <c r="Q165" s="97"/>
      <c r="R165" s="951"/>
      <c r="S165" s="951"/>
      <c r="T165" s="951"/>
      <c r="U165" s="951"/>
      <c r="V165" s="951"/>
      <c r="W165" s="951"/>
      <c r="X165" s="97"/>
      <c r="Y165" s="1407"/>
      <c r="Z165" s="1407"/>
      <c r="AA165" s="1407"/>
      <c r="AB165" s="1407"/>
      <c r="AC165" s="1407"/>
      <c r="AD165" s="1407"/>
      <c r="AE165" s="1474"/>
      <c r="AF165" s="97"/>
      <c r="AG165" s="1407"/>
      <c r="AH165" s="1407"/>
      <c r="AI165" s="1407"/>
      <c r="AJ165" s="867"/>
      <c r="AK165" s="1038"/>
      <c r="AL165" s="1038"/>
      <c r="AM165" s="1038"/>
      <c r="AN165" s="1038"/>
      <c r="AO165" s="1038"/>
      <c r="AP165" s="1038"/>
      <c r="AR165" s="1027"/>
    </row>
    <row r="166" spans="1:52" s="878" customFormat="1" ht="51.5" customHeight="1" outlineLevel="2" collapsed="1">
      <c r="A166" s="172"/>
      <c r="B166" s="171" t="s">
        <v>517</v>
      </c>
      <c r="C166" s="171"/>
      <c r="D166" s="538" t="s">
        <v>598</v>
      </c>
      <c r="E166" s="538" t="s">
        <v>4</v>
      </c>
      <c r="F166" s="1176"/>
      <c r="G166" s="96"/>
      <c r="H166" s="357" t="str">
        <f>+'1_MdR_Limpia'!C65</f>
        <v>Etapa</v>
      </c>
      <c r="I166" s="357">
        <f>+'1_MdR_Limpia'!D65</f>
        <v>0</v>
      </c>
      <c r="J166" s="357">
        <f>+'1_MdR_Limpia'!E65</f>
        <v>2021</v>
      </c>
      <c r="K166" s="357" t="str">
        <f>+'1_MdR_Limpia'!F65</f>
        <v>-</v>
      </c>
      <c r="L166" s="357" t="str">
        <f>+'1_MdR_Limpia'!G65</f>
        <v>-</v>
      </c>
      <c r="M166" s="357" t="str">
        <f>+'1_MdR_Limpia'!H65</f>
        <v>-</v>
      </c>
      <c r="N166" s="357">
        <f>+'1_MdR_Limpia'!I65</f>
        <v>1</v>
      </c>
      <c r="O166" s="357" t="str">
        <f>+'1_MdR_Limpia'!J65</f>
        <v>-</v>
      </c>
      <c r="P166" s="357">
        <f>+'1_MdR_Limpia'!L65</f>
        <v>1</v>
      </c>
      <c r="Q166" s="96"/>
      <c r="R166" s="358"/>
      <c r="S166" s="358"/>
      <c r="T166" s="358"/>
      <c r="U166" s="358"/>
      <c r="V166" s="358"/>
      <c r="W166" s="174"/>
      <c r="X166" s="96"/>
      <c r="Y166" s="106"/>
      <c r="Z166" s="172"/>
      <c r="AA166" s="172"/>
      <c r="AB166" s="171"/>
      <c r="AC166" s="176"/>
      <c r="AD166" s="176">
        <f>+AD167+AD168+AD169</f>
        <v>940000</v>
      </c>
      <c r="AE166" s="686"/>
      <c r="AF166" s="96"/>
      <c r="AG166" s="176">
        <f>+AG167+AG168+AG169</f>
        <v>940000</v>
      </c>
      <c r="AH166" s="176">
        <f>+AH167+AH168+AH169</f>
        <v>0</v>
      </c>
      <c r="AI166" s="176">
        <f>+AI167+AI168+AI169</f>
        <v>940000</v>
      </c>
      <c r="AJ166" s="865"/>
      <c r="AK166" s="980">
        <f>+AK168+AK169</f>
        <v>100000</v>
      </c>
      <c r="AL166" s="980">
        <f>+AL168+AL169</f>
        <v>84000</v>
      </c>
      <c r="AM166" s="980">
        <f>+AM168+AM169</f>
        <v>252000</v>
      </c>
      <c r="AN166" s="981">
        <f>+AN168+AN169</f>
        <v>504000</v>
      </c>
      <c r="AO166" s="979">
        <f>+AO168+AO169</f>
        <v>0</v>
      </c>
      <c r="AP166" s="979">
        <f t="shared" si="9"/>
        <v>940000</v>
      </c>
      <c r="AQ166" s="153"/>
      <c r="AR166" s="1027"/>
      <c r="AS166" s="153"/>
      <c r="AT166" s="153"/>
      <c r="AU166" s="153"/>
      <c r="AV166" s="153"/>
      <c r="AW166" s="153"/>
      <c r="AX166" s="153"/>
      <c r="AY166" s="153"/>
      <c r="AZ166" s="153"/>
    </row>
    <row r="167" spans="1:52" s="108" customFormat="1" ht="30" hidden="1" outlineLevel="3">
      <c r="A167" s="159"/>
      <c r="B167" s="702"/>
      <c r="C167" s="702" t="s">
        <v>1279</v>
      </c>
      <c r="D167" s="1339" t="s">
        <v>943</v>
      </c>
      <c r="E167" s="703"/>
      <c r="F167" s="177"/>
      <c r="G167" s="98"/>
      <c r="H167" s="363"/>
      <c r="I167" s="363"/>
      <c r="J167" s="363"/>
      <c r="K167" s="363"/>
      <c r="L167" s="363"/>
      <c r="M167" s="363"/>
      <c r="N167" s="363"/>
      <c r="O167" s="363"/>
      <c r="P167" s="363"/>
      <c r="Q167" s="98"/>
      <c r="R167" s="852"/>
      <c r="S167" s="364"/>
      <c r="T167" s="1341"/>
      <c r="U167" s="364"/>
      <c r="V167" s="1513" t="s">
        <v>1421</v>
      </c>
      <c r="W167" s="530"/>
      <c r="X167" s="98"/>
      <c r="Y167" s="1524" t="s">
        <v>1267</v>
      </c>
      <c r="Z167" s="1525" t="s">
        <v>494</v>
      </c>
      <c r="AA167" s="1525" t="s">
        <v>576</v>
      </c>
      <c r="AB167" s="702"/>
      <c r="AC167" s="355">
        <v>5000</v>
      </c>
      <c r="AD167" s="1526">
        <f>+Z167*AA167*AC167</f>
        <v>20000</v>
      </c>
      <c r="AE167" s="693"/>
      <c r="AF167" s="98"/>
      <c r="AG167" s="355">
        <f>+AD167</f>
        <v>20000</v>
      </c>
      <c r="AH167" s="355"/>
      <c r="AI167" s="1041">
        <f>AG167+AH167</f>
        <v>20000</v>
      </c>
      <c r="AJ167" s="874"/>
      <c r="AK167" s="1033"/>
      <c r="AL167" s="1033"/>
      <c r="AM167" s="1033"/>
      <c r="AN167" s="1034"/>
      <c r="AO167" s="1006"/>
      <c r="AP167" s="1006"/>
      <c r="AR167" s="1027"/>
    </row>
    <row r="168" spans="1:52" s="108" customFormat="1" ht="33.5" hidden="1" customHeight="1" outlineLevel="3">
      <c r="A168" s="580"/>
      <c r="B168" s="107" t="s">
        <v>2410</v>
      </c>
      <c r="C168" s="107" t="s">
        <v>1279</v>
      </c>
      <c r="D168" s="533" t="s">
        <v>945</v>
      </c>
      <c r="E168" s="533"/>
      <c r="F168" s="103"/>
      <c r="G168" s="97"/>
      <c r="H168" s="363"/>
      <c r="I168" s="364"/>
      <c r="J168" s="365"/>
      <c r="K168" s="365"/>
      <c r="L168" s="365"/>
      <c r="M168" s="365"/>
      <c r="N168" s="365"/>
      <c r="O168" s="365"/>
      <c r="P168" s="365"/>
      <c r="Q168" s="97"/>
      <c r="R168" s="3897"/>
      <c r="S168" s="931"/>
      <c r="T168" s="4636" t="s">
        <v>3428</v>
      </c>
      <c r="U168" s="931">
        <f>+'9.3_PA_Det'!$F$62</f>
        <v>24</v>
      </c>
      <c r="V168" s="3897"/>
      <c r="W168" s="3918"/>
      <c r="X168" s="97"/>
      <c r="Y168" s="711" t="s">
        <v>1179</v>
      </c>
      <c r="Z168" s="712">
        <v>1</v>
      </c>
      <c r="AA168" s="179"/>
      <c r="AB168" s="180"/>
      <c r="AC168" s="1032">
        <v>100000</v>
      </c>
      <c r="AD168" s="1032">
        <f>Z168*AC168</f>
        <v>100000</v>
      </c>
      <c r="AE168" s="936" t="s">
        <v>1432</v>
      </c>
      <c r="AF168" s="97"/>
      <c r="AG168" s="1032">
        <f>+AD168</f>
        <v>100000</v>
      </c>
      <c r="AH168" s="1032"/>
      <c r="AI168" s="1041">
        <f>AG168+AH168</f>
        <v>100000</v>
      </c>
      <c r="AJ168" s="867"/>
      <c r="AK168" s="986">
        <f>+AG168</f>
        <v>100000</v>
      </c>
      <c r="AL168" s="986"/>
      <c r="AM168" s="986"/>
      <c r="AN168" s="987"/>
      <c r="AO168" s="1038"/>
      <c r="AP168" s="1038">
        <f t="shared" si="9"/>
        <v>100000</v>
      </c>
      <c r="AR168" s="1027"/>
    </row>
    <row r="169" spans="1:52" s="153" customFormat="1" ht="14" hidden="1" customHeight="1" outlineLevel="3">
      <c r="A169" s="581"/>
      <c r="B169" s="400" t="s">
        <v>2411</v>
      </c>
      <c r="C169" s="400" t="s">
        <v>1279</v>
      </c>
      <c r="D169" s="536" t="s">
        <v>947</v>
      </c>
      <c r="E169" s="536"/>
      <c r="F169" s="399"/>
      <c r="G169" s="96"/>
      <c r="H169" s="401"/>
      <c r="I169" s="401"/>
      <c r="J169" s="402"/>
      <c r="K169" s="402"/>
      <c r="L169" s="402"/>
      <c r="M169" s="402"/>
      <c r="N169" s="402"/>
      <c r="O169" s="402"/>
      <c r="P169" s="402"/>
      <c r="Q169" s="96"/>
      <c r="R169" s="3898"/>
      <c r="S169" s="399"/>
      <c r="T169" s="4637"/>
      <c r="U169" s="399"/>
      <c r="V169" s="3898"/>
      <c r="W169" s="3919"/>
      <c r="X169" s="96"/>
      <c r="Y169" s="396"/>
      <c r="Z169" s="397"/>
      <c r="AA169" s="397"/>
      <c r="AB169" s="395"/>
      <c r="AC169" s="398"/>
      <c r="AD169" s="398">
        <f>+AD170+AD171</f>
        <v>820000</v>
      </c>
      <c r="AE169" s="680"/>
      <c r="AF169" s="96"/>
      <c r="AG169" s="398">
        <f>+AG170+AG171</f>
        <v>820000</v>
      </c>
      <c r="AH169" s="398">
        <f>+AH170+AH171</f>
        <v>0</v>
      </c>
      <c r="AI169" s="398">
        <f>+AI170+AI171</f>
        <v>820000</v>
      </c>
      <c r="AJ169" s="865"/>
      <c r="AK169" s="992">
        <f>+AK170+AK171</f>
        <v>0</v>
      </c>
      <c r="AL169" s="992">
        <f>+AL170+AL171</f>
        <v>84000</v>
      </c>
      <c r="AM169" s="992">
        <f>+AM170+AM171</f>
        <v>252000</v>
      </c>
      <c r="AN169" s="993">
        <f>+AN170+AN171</f>
        <v>504000</v>
      </c>
      <c r="AO169" s="994">
        <f>+AO170+AO171</f>
        <v>0</v>
      </c>
      <c r="AP169" s="994">
        <f t="shared" si="9"/>
        <v>840000</v>
      </c>
      <c r="AR169" s="1027"/>
    </row>
    <row r="170" spans="1:52" s="108" customFormat="1" ht="46.25" hidden="1" customHeight="1" outlineLevel="3">
      <c r="A170" s="580"/>
      <c r="B170" s="107" t="s">
        <v>3429</v>
      </c>
      <c r="C170" s="107" t="s">
        <v>1279</v>
      </c>
      <c r="D170" s="533" t="s">
        <v>949</v>
      </c>
      <c r="E170" s="533"/>
      <c r="F170" s="103"/>
      <c r="G170" s="97"/>
      <c r="H170" s="363"/>
      <c r="I170" s="364"/>
      <c r="J170" s="365"/>
      <c r="K170" s="365"/>
      <c r="L170" s="365"/>
      <c r="M170" s="365"/>
      <c r="N170" s="365"/>
      <c r="O170" s="365"/>
      <c r="P170" s="365"/>
      <c r="Q170" s="97"/>
      <c r="R170" s="3898"/>
      <c r="S170" s="931"/>
      <c r="T170" s="4637"/>
      <c r="U170" s="931"/>
      <c r="V170" s="3898"/>
      <c r="W170" s="3919"/>
      <c r="X170" s="97"/>
      <c r="Y170" s="711" t="s">
        <v>1179</v>
      </c>
      <c r="Z170" s="712">
        <v>1</v>
      </c>
      <c r="AA170" s="179"/>
      <c r="AB170" s="180"/>
      <c r="AC170" s="1032">
        <v>420000</v>
      </c>
      <c r="AD170" s="1032">
        <f>Z170*AC170</f>
        <v>420000</v>
      </c>
      <c r="AE170" s="937" t="s">
        <v>3430</v>
      </c>
      <c r="AF170" s="97"/>
      <c r="AG170" s="1032">
        <f>+AD170</f>
        <v>420000</v>
      </c>
      <c r="AH170" s="1032"/>
      <c r="AI170" s="1041">
        <f>AG170+AH170</f>
        <v>420000</v>
      </c>
      <c r="AJ170" s="867"/>
      <c r="AK170" s="986"/>
      <c r="AL170" s="986">
        <f>+$AG$170*10%</f>
        <v>42000</v>
      </c>
      <c r="AM170" s="986">
        <f>+$AG$170*30%</f>
        <v>126000</v>
      </c>
      <c r="AN170" s="986">
        <f>+$AG$170*60%</f>
        <v>252000</v>
      </c>
      <c r="AO170" s="1038"/>
      <c r="AP170" s="1038">
        <f t="shared" si="9"/>
        <v>420000</v>
      </c>
      <c r="AR170" s="1027"/>
    </row>
    <row r="171" spans="1:52" s="108" customFormat="1" ht="46.25" hidden="1" customHeight="1" outlineLevel="3">
      <c r="A171" s="580"/>
      <c r="B171" s="107" t="s">
        <v>3431</v>
      </c>
      <c r="C171" s="107" t="s">
        <v>1279</v>
      </c>
      <c r="D171" s="533" t="s">
        <v>951</v>
      </c>
      <c r="E171" s="533"/>
      <c r="F171" s="103"/>
      <c r="G171" s="97"/>
      <c r="H171" s="363"/>
      <c r="I171" s="364"/>
      <c r="J171" s="365"/>
      <c r="K171" s="365"/>
      <c r="L171" s="365"/>
      <c r="M171" s="365"/>
      <c r="N171" s="365"/>
      <c r="O171" s="365"/>
      <c r="P171" s="365"/>
      <c r="Q171" s="97"/>
      <c r="R171" s="3899"/>
      <c r="S171" s="931"/>
      <c r="T171" s="4638"/>
      <c r="U171" s="931"/>
      <c r="V171" s="3899"/>
      <c r="W171" s="3920"/>
      <c r="X171" s="97"/>
      <c r="Y171" s="711" t="s">
        <v>1179</v>
      </c>
      <c r="Z171" s="712">
        <v>1</v>
      </c>
      <c r="AA171" s="179"/>
      <c r="AB171" s="180"/>
      <c r="AC171" s="1032">
        <v>400000</v>
      </c>
      <c r="AD171" s="1032">
        <f>Z171*AC171</f>
        <v>400000</v>
      </c>
      <c r="AE171" s="937" t="s">
        <v>1437</v>
      </c>
      <c r="AF171" s="97"/>
      <c r="AG171" s="1032">
        <f>+AD171</f>
        <v>400000</v>
      </c>
      <c r="AH171" s="1032"/>
      <c r="AI171" s="1041">
        <f>AG171+AH171</f>
        <v>400000</v>
      </c>
      <c r="AJ171" s="867"/>
      <c r="AK171" s="986"/>
      <c r="AL171" s="986">
        <f>+$AG$170*10%</f>
        <v>42000</v>
      </c>
      <c r="AM171" s="986">
        <f>+$AG$170*30%</f>
        <v>126000</v>
      </c>
      <c r="AN171" s="986">
        <f>+$AG$170*60%</f>
        <v>252000</v>
      </c>
      <c r="AO171" s="1038"/>
      <c r="AP171" s="1038">
        <f t="shared" si="9"/>
        <v>420000</v>
      </c>
      <c r="AR171" s="1027"/>
    </row>
    <row r="172" spans="1:52" s="108" customFormat="1" ht="14" customHeight="1" outlineLevel="2" collapsed="1">
      <c r="A172" s="580"/>
      <c r="B172" s="107"/>
      <c r="C172" s="107"/>
      <c r="D172" s="533"/>
      <c r="E172" s="533"/>
      <c r="F172" s="103"/>
      <c r="G172" s="97"/>
      <c r="H172" s="363"/>
      <c r="I172" s="364"/>
      <c r="J172" s="365"/>
      <c r="K172" s="365"/>
      <c r="L172" s="365"/>
      <c r="M172" s="365"/>
      <c r="N172" s="365"/>
      <c r="O172" s="365"/>
      <c r="P172" s="365"/>
      <c r="Q172" s="97"/>
      <c r="R172" s="364"/>
      <c r="S172" s="364"/>
      <c r="T172" s="364"/>
      <c r="U172" s="364"/>
      <c r="V172" s="364"/>
      <c r="W172" s="181"/>
      <c r="X172" s="97"/>
      <c r="Y172" s="711"/>
      <c r="Z172" s="712"/>
      <c r="AA172" s="179"/>
      <c r="AB172" s="180"/>
      <c r="AC172" s="1032"/>
      <c r="AD172" s="1032"/>
      <c r="AE172" s="937"/>
      <c r="AF172" s="97"/>
      <c r="AG172" s="1032"/>
      <c r="AH172" s="1032"/>
      <c r="AI172" s="1041"/>
      <c r="AJ172" s="867"/>
      <c r="AK172" s="986"/>
      <c r="AL172" s="986"/>
      <c r="AM172" s="986"/>
      <c r="AN172" s="987"/>
      <c r="AO172" s="1038"/>
      <c r="AP172" s="1038">
        <f t="shared" si="9"/>
        <v>0</v>
      </c>
      <c r="AR172" s="1027"/>
    </row>
    <row r="173" spans="1:52" s="878" customFormat="1" outlineLevel="1">
      <c r="A173" s="159"/>
      <c r="B173" s="702"/>
      <c r="C173" s="702"/>
      <c r="D173" s="533"/>
      <c r="E173" s="533"/>
      <c r="F173" s="103"/>
      <c r="G173" s="96"/>
      <c r="H173" s="366"/>
      <c r="I173" s="367"/>
      <c r="J173" s="367"/>
      <c r="K173" s="367"/>
      <c r="L173" s="368"/>
      <c r="M173" s="368"/>
      <c r="N173" s="368"/>
      <c r="O173" s="368"/>
      <c r="P173" s="368"/>
      <c r="Q173" s="96"/>
      <c r="R173" s="364"/>
      <c r="S173" s="364"/>
      <c r="T173" s="364"/>
      <c r="U173" s="364"/>
      <c r="V173" s="364"/>
      <c r="W173" s="173"/>
      <c r="X173" s="96"/>
      <c r="Y173" s="711"/>
      <c r="Z173" s="704"/>
      <c r="AA173" s="704"/>
      <c r="AB173" s="354"/>
      <c r="AC173" s="355"/>
      <c r="AD173" s="355"/>
      <c r="AE173" s="693"/>
      <c r="AF173" s="96"/>
      <c r="AG173" s="455">
        <f>+AD173</f>
        <v>0</v>
      </c>
      <c r="AH173" s="355"/>
      <c r="AI173" s="355"/>
      <c r="AJ173" s="865"/>
      <c r="AK173" s="996"/>
      <c r="AL173" s="996"/>
      <c r="AM173" s="996"/>
      <c r="AN173" s="997"/>
      <c r="AO173" s="1006"/>
      <c r="AP173" s="1006">
        <f t="shared" si="9"/>
        <v>0</v>
      </c>
      <c r="AQ173" s="153"/>
      <c r="AR173" s="1027"/>
      <c r="AS173" s="153"/>
      <c r="AT173" s="153"/>
      <c r="AU173" s="153"/>
      <c r="AV173" s="153"/>
      <c r="AW173" s="153"/>
      <c r="AX173" s="153"/>
      <c r="AY173" s="153"/>
      <c r="AZ173" s="153"/>
    </row>
    <row r="174" spans="1:52" s="878" customFormat="1" ht="28.25" customHeight="1">
      <c r="A174" s="577"/>
      <c r="B174" s="67" t="s">
        <v>518</v>
      </c>
      <c r="C174" s="67"/>
      <c r="D174" s="543" t="s">
        <v>258</v>
      </c>
      <c r="E174" s="543" t="s">
        <v>5</v>
      </c>
      <c r="F174" s="68"/>
      <c r="G174" s="95"/>
      <c r="H174" s="369"/>
      <c r="I174" s="370"/>
      <c r="J174" s="371"/>
      <c r="K174" s="371"/>
      <c r="L174" s="371"/>
      <c r="M174" s="371"/>
      <c r="N174" s="371"/>
      <c r="O174" s="371"/>
      <c r="P174" s="371"/>
      <c r="Q174" s="95"/>
      <c r="R174" s="370"/>
      <c r="S174" s="370"/>
      <c r="T174" s="370"/>
      <c r="U174" s="370"/>
      <c r="V174" s="370"/>
      <c r="W174" s="169"/>
      <c r="X174" s="95"/>
      <c r="Y174" s="68"/>
      <c r="Z174" s="166"/>
      <c r="AA174" s="166"/>
      <c r="AB174" s="170"/>
      <c r="AC174" s="69"/>
      <c r="AD174" s="69">
        <f>+AD175+AD228+AD265</f>
        <v>10280000</v>
      </c>
      <c r="AE174" s="69">
        <f>20000000-AD174</f>
        <v>9720000</v>
      </c>
      <c r="AF174" s="95"/>
      <c r="AG174" s="69">
        <f>+AG175+AG228+AG265</f>
        <v>9976000</v>
      </c>
      <c r="AH174" s="69">
        <f>+AH175+AH228+AH265</f>
        <v>0</v>
      </c>
      <c r="AI174" s="69">
        <f>+AI175+AI228+AI265</f>
        <v>9943500</v>
      </c>
      <c r="AJ174" s="864"/>
      <c r="AK174" s="974">
        <f>+AK175+AK228+AK265</f>
        <v>886550</v>
      </c>
      <c r="AL174" s="974">
        <f>+AL175+AL228+AL265</f>
        <v>3190550</v>
      </c>
      <c r="AM174" s="974">
        <f>+AM175+AM228+AM265</f>
        <v>391800</v>
      </c>
      <c r="AN174" s="975">
        <f>+AN175+AN228+AN265</f>
        <v>391800</v>
      </c>
      <c r="AO174" s="973">
        <f>+AO175+AO228+AO265</f>
        <v>1531800</v>
      </c>
      <c r="AP174" s="973">
        <f t="shared" si="9"/>
        <v>6392500</v>
      </c>
      <c r="AQ174" s="153"/>
      <c r="AR174" s="1027"/>
      <c r="AS174" s="153"/>
      <c r="AT174" s="153"/>
      <c r="AU174" s="153"/>
      <c r="AV174" s="153"/>
      <c r="AW174" s="153"/>
      <c r="AX174" s="153"/>
      <c r="AY174" s="153"/>
      <c r="AZ174" s="153"/>
    </row>
    <row r="175" spans="1:52" s="153" customFormat="1" ht="26.5" customHeight="1" outlineLevel="1">
      <c r="A175" s="578"/>
      <c r="B175" s="428" t="s">
        <v>519</v>
      </c>
      <c r="C175" s="428"/>
      <c r="D175" s="539" t="s">
        <v>259</v>
      </c>
      <c r="E175" s="539" t="s">
        <v>5</v>
      </c>
      <c r="F175" s="427"/>
      <c r="G175" s="96"/>
      <c r="H175" s="429"/>
      <c r="I175" s="425"/>
      <c r="J175" s="430"/>
      <c r="K175" s="430"/>
      <c r="L175" s="430"/>
      <c r="M175" s="430"/>
      <c r="N175" s="430"/>
      <c r="O175" s="430"/>
      <c r="P175" s="430"/>
      <c r="Q175" s="96"/>
      <c r="R175" s="850"/>
      <c r="S175" s="850"/>
      <c r="T175" s="850"/>
      <c r="U175" s="850"/>
      <c r="V175" s="850"/>
      <c r="W175" s="431"/>
      <c r="X175" s="96"/>
      <c r="Y175" s="426"/>
      <c r="Z175" s="425"/>
      <c r="AA175" s="425"/>
      <c r="AB175" s="432"/>
      <c r="AC175" s="433"/>
      <c r="AD175" s="433">
        <f>+AD176+AD189+AD204+AD216</f>
        <v>2307500</v>
      </c>
      <c r="AE175" s="685"/>
      <c r="AF175" s="96"/>
      <c r="AG175" s="433">
        <f>+AG176+AG189+AG204+AG216</f>
        <v>2291500</v>
      </c>
      <c r="AH175" s="433">
        <f>+AH176+AH189+AH204+AH229+AH216</f>
        <v>0</v>
      </c>
      <c r="AI175" s="433">
        <f>+AI176+AI189+AI204+AI216</f>
        <v>2291500</v>
      </c>
      <c r="AJ175" s="865"/>
      <c r="AK175" s="977">
        <f>+AK176+AK189+AK204+AK216</f>
        <v>492950</v>
      </c>
      <c r="AL175" s="977">
        <f>+AL176+AL189+AL204+AL216</f>
        <v>751150</v>
      </c>
      <c r="AM175" s="977">
        <f>+AM176+AM189+AM204+AM216</f>
        <v>76800</v>
      </c>
      <c r="AN175" s="978">
        <f>+AN176+AN189+AN204+AN216</f>
        <v>76800</v>
      </c>
      <c r="AO175" s="976">
        <f>+AO176+AO189+AO204+AO216</f>
        <v>76800</v>
      </c>
      <c r="AP175" s="976">
        <f t="shared" si="9"/>
        <v>1474500</v>
      </c>
      <c r="AR175" s="1027"/>
    </row>
    <row r="176" spans="1:52" s="153" customFormat="1" ht="24.5" customHeight="1" outlineLevel="2">
      <c r="A176" s="172"/>
      <c r="B176" s="171" t="s">
        <v>520</v>
      </c>
      <c r="C176" s="171"/>
      <c r="D176" s="538" t="s">
        <v>3277</v>
      </c>
      <c r="E176" s="538" t="s">
        <v>5</v>
      </c>
      <c r="F176" s="106" t="s">
        <v>3432</v>
      </c>
      <c r="G176" s="96"/>
      <c r="H176" s="357" t="e">
        <f>+'1_MdR_Limpia'!#REF!</f>
        <v>#REF!</v>
      </c>
      <c r="I176" s="357" t="e">
        <f>+'1_MdR_Limpia'!#REF!</f>
        <v>#REF!</v>
      </c>
      <c r="J176" s="357" t="e">
        <f>+'1_MdR_Limpia'!#REF!</f>
        <v>#REF!</v>
      </c>
      <c r="K176" s="357" t="e">
        <f>+'1_MdR_Limpia'!#REF!</f>
        <v>#REF!</v>
      </c>
      <c r="L176" s="357" t="e">
        <f>+'1_MdR_Limpia'!#REF!</f>
        <v>#REF!</v>
      </c>
      <c r="M176" s="357" t="e">
        <f>+'1_MdR_Limpia'!#REF!</f>
        <v>#REF!</v>
      </c>
      <c r="N176" s="357" t="e">
        <f>+'1_MdR_Limpia'!#REF!</f>
        <v>#REF!</v>
      </c>
      <c r="O176" s="357" t="e">
        <f>+'1_MdR_Limpia'!#REF!</f>
        <v>#REF!</v>
      </c>
      <c r="P176" s="357" t="e">
        <f>+'1_MdR_Limpia'!#REF!</f>
        <v>#REF!</v>
      </c>
      <c r="Q176" s="96"/>
      <c r="R176" s="854"/>
      <c r="S176" s="358"/>
      <c r="T176" s="358"/>
      <c r="U176" s="358"/>
      <c r="V176" s="358"/>
      <c r="W176" s="106"/>
      <c r="X176" s="96"/>
      <c r="Y176" s="106"/>
      <c r="Z176" s="172"/>
      <c r="AA176" s="172"/>
      <c r="AB176" s="171"/>
      <c r="AC176" s="176"/>
      <c r="AD176" s="176">
        <f>+SUM(AD178:AD188)</f>
        <v>438000</v>
      </c>
      <c r="AE176" s="692"/>
      <c r="AF176" s="96"/>
      <c r="AG176" s="176">
        <f>+SUM(AG178:AG188)</f>
        <v>438000</v>
      </c>
      <c r="AH176" s="176">
        <f>+SUM(AH178:AH188)</f>
        <v>0</v>
      </c>
      <c r="AI176" s="176">
        <f>+SUM(AI178:AI188)</f>
        <v>438000</v>
      </c>
      <c r="AJ176" s="865"/>
      <c r="AK176" s="980">
        <f>+AK186+AK183</f>
        <v>0</v>
      </c>
      <c r="AL176" s="980">
        <f>+AL186+AL183</f>
        <v>0</v>
      </c>
      <c r="AM176" s="980">
        <f>+AM186+AM183</f>
        <v>0</v>
      </c>
      <c r="AN176" s="981">
        <f>+AN186+AN183</f>
        <v>0</v>
      </c>
      <c r="AO176" s="979">
        <f>+AO186+AO183</f>
        <v>0</v>
      </c>
      <c r="AP176" s="979">
        <f t="shared" si="9"/>
        <v>0</v>
      </c>
      <c r="AR176" s="1027"/>
    </row>
    <row r="177" spans="1:44" s="108" customFormat="1" ht="60" hidden="1" outlineLevel="3">
      <c r="A177" s="159"/>
      <c r="B177" s="702"/>
      <c r="C177" s="702" t="s">
        <v>1279</v>
      </c>
      <c r="D177" s="703" t="s">
        <v>2416</v>
      </c>
      <c r="E177" s="703"/>
      <c r="F177" s="177"/>
      <c r="G177" s="98"/>
      <c r="H177" s="363"/>
      <c r="I177" s="363"/>
      <c r="J177" s="363"/>
      <c r="K177" s="363"/>
      <c r="L177" s="363"/>
      <c r="M177" s="363"/>
      <c r="N177" s="363"/>
      <c r="O177" s="363"/>
      <c r="P177" s="363"/>
      <c r="Q177" s="98"/>
      <c r="R177" s="364"/>
      <c r="S177" s="364"/>
      <c r="T177" s="364"/>
      <c r="U177" s="364"/>
      <c r="V177" s="364"/>
      <c r="W177" s="177"/>
      <c r="X177" s="1552"/>
      <c r="Y177" s="1444"/>
      <c r="Z177" s="1318"/>
      <c r="AA177" s="1318"/>
      <c r="AB177" s="1490"/>
      <c r="AC177" s="1553"/>
      <c r="AD177" s="1553"/>
      <c r="AE177" s="693" t="s">
        <v>3433</v>
      </c>
      <c r="AF177" s="98"/>
      <c r="AG177" s="355"/>
      <c r="AH177" s="355"/>
      <c r="AI177" s="355"/>
      <c r="AJ177" s="874"/>
      <c r="AK177" s="1033"/>
      <c r="AL177" s="1033"/>
      <c r="AM177" s="1033"/>
      <c r="AN177" s="1034"/>
      <c r="AO177" s="1006"/>
      <c r="AP177" s="1006"/>
      <c r="AR177" s="1027"/>
    </row>
    <row r="178" spans="1:44" s="879" customFormat="1" ht="45" hidden="1" customHeight="1" outlineLevel="3">
      <c r="A178" s="583"/>
      <c r="B178" s="550" t="s">
        <v>2415</v>
      </c>
      <c r="C178" s="550"/>
      <c r="D178" s="703" t="s">
        <v>2418</v>
      </c>
      <c r="E178" s="537"/>
      <c r="F178" s="491"/>
      <c r="G178" s="492"/>
      <c r="H178" s="493"/>
      <c r="I178" s="495"/>
      <c r="J178" s="495"/>
      <c r="K178" s="495"/>
      <c r="L178" s="495"/>
      <c r="M178" s="495"/>
      <c r="N178" s="495"/>
      <c r="O178" s="495"/>
      <c r="P178" s="495"/>
      <c r="Q178" s="492"/>
      <c r="R178" s="494"/>
      <c r="S178" s="494"/>
      <c r="T178" s="494"/>
      <c r="U178" s="494"/>
      <c r="V178" s="494"/>
      <c r="W178" s="496"/>
      <c r="X178" s="1441"/>
      <c r="Y178" s="1325"/>
      <c r="Z178" s="1326"/>
      <c r="AA178" s="1327"/>
      <c r="AB178" s="1328"/>
      <c r="AC178" s="1434"/>
      <c r="AD178" s="1435">
        <f>+Z178*AA178*AC178</f>
        <v>0</v>
      </c>
      <c r="AE178" s="678"/>
      <c r="AF178" s="492"/>
      <c r="AG178" s="502">
        <f>+AD178</f>
        <v>0</v>
      </c>
      <c r="AH178" s="502"/>
      <c r="AI178" s="1041">
        <f t="shared" ref="AI178:AI188" si="10">+AH178+AG178</f>
        <v>0</v>
      </c>
      <c r="AJ178" s="866"/>
      <c r="AK178" s="983"/>
      <c r="AL178" s="983"/>
      <c r="AM178" s="983"/>
      <c r="AN178" s="984"/>
      <c r="AO178" s="985"/>
      <c r="AP178" s="1003">
        <f t="shared" si="9"/>
        <v>0</v>
      </c>
      <c r="AQ178" s="153"/>
      <c r="AR178" s="1027"/>
    </row>
    <row r="179" spans="1:44" s="879" customFormat="1" ht="27.5" hidden="1" customHeight="1" outlineLevel="3">
      <c r="A179" s="583"/>
      <c r="B179" s="550" t="s">
        <v>3434</v>
      </c>
      <c r="C179" s="550" t="s">
        <v>1279</v>
      </c>
      <c r="D179" s="1439" t="s">
        <v>2420</v>
      </c>
      <c r="E179" s="537"/>
      <c r="F179" s="491"/>
      <c r="G179" s="492"/>
      <c r="H179" s="493"/>
      <c r="I179" s="495"/>
      <c r="J179" s="495"/>
      <c r="K179" s="495"/>
      <c r="L179" s="495"/>
      <c r="M179" s="495"/>
      <c r="N179" s="495"/>
      <c r="O179" s="495"/>
      <c r="P179" s="495"/>
      <c r="Q179" s="492"/>
      <c r="R179" s="364" t="s">
        <v>763</v>
      </c>
      <c r="S179" s="494"/>
      <c r="T179" s="364" t="s">
        <v>1430</v>
      </c>
      <c r="U179" s="494" t="s">
        <v>1266</v>
      </c>
      <c r="V179" s="364" t="s">
        <v>1266</v>
      </c>
      <c r="W179" s="3990" t="s">
        <v>3435</v>
      </c>
      <c r="X179" s="492"/>
      <c r="Y179" s="711" t="s">
        <v>1267</v>
      </c>
      <c r="Z179" s="712">
        <v>1</v>
      </c>
      <c r="AA179" s="712">
        <v>6</v>
      </c>
      <c r="AB179" s="501"/>
      <c r="AC179" s="1442">
        <v>4000</v>
      </c>
      <c r="AD179" s="1442">
        <f>+AA179*Z179*AC179</f>
        <v>24000</v>
      </c>
      <c r="AE179" s="1440"/>
      <c r="AF179" s="492"/>
      <c r="AG179" s="1032">
        <f t="shared" ref="AG179:AG188" si="11">+AD179</f>
        <v>24000</v>
      </c>
      <c r="AH179" s="1434"/>
      <c r="AI179" s="1041">
        <f t="shared" si="10"/>
        <v>24000</v>
      </c>
      <c r="AJ179" s="866"/>
      <c r="AK179" s="1436"/>
      <c r="AL179" s="1436"/>
      <c r="AM179" s="1436"/>
      <c r="AN179" s="1437"/>
      <c r="AO179" s="1438"/>
      <c r="AP179" s="1003">
        <f t="shared" si="9"/>
        <v>0</v>
      </c>
      <c r="AQ179" s="153"/>
      <c r="AR179" s="1027"/>
    </row>
    <row r="180" spans="1:44" s="879" customFormat="1" ht="27.5" hidden="1" customHeight="1" outlineLevel="3">
      <c r="A180" s="583"/>
      <c r="B180" s="550" t="s">
        <v>3436</v>
      </c>
      <c r="C180" s="550" t="s">
        <v>1279</v>
      </c>
      <c r="D180" s="1439" t="s">
        <v>2422</v>
      </c>
      <c r="E180" s="537"/>
      <c r="F180" s="491"/>
      <c r="G180" s="492"/>
      <c r="H180" s="493"/>
      <c r="I180" s="495"/>
      <c r="J180" s="495"/>
      <c r="K180" s="495"/>
      <c r="L180" s="495"/>
      <c r="M180" s="495"/>
      <c r="N180" s="495"/>
      <c r="O180" s="495"/>
      <c r="P180" s="495"/>
      <c r="Q180" s="492"/>
      <c r="R180" s="364" t="s">
        <v>763</v>
      </c>
      <c r="S180" s="494"/>
      <c r="T180" s="364" t="s">
        <v>1430</v>
      </c>
      <c r="U180" s="494"/>
      <c r="V180" s="364" t="s">
        <v>1266</v>
      </c>
      <c r="W180" s="3991"/>
      <c r="X180" s="492"/>
      <c r="Y180" s="711" t="s">
        <v>1267</v>
      </c>
      <c r="Z180" s="712">
        <v>1</v>
      </c>
      <c r="AA180" s="712">
        <v>6</v>
      </c>
      <c r="AB180" s="501"/>
      <c r="AC180" s="1442">
        <v>4000</v>
      </c>
      <c r="AD180" s="1442">
        <f>+AA180*Z180*AC180</f>
        <v>24000</v>
      </c>
      <c r="AE180" s="1440"/>
      <c r="AF180" s="492"/>
      <c r="AG180" s="1032">
        <f t="shared" si="11"/>
        <v>24000</v>
      </c>
      <c r="AH180" s="1434"/>
      <c r="AI180" s="1041">
        <f t="shared" si="10"/>
        <v>24000</v>
      </c>
      <c r="AJ180" s="866"/>
      <c r="AK180" s="1436"/>
      <c r="AL180" s="1436"/>
      <c r="AM180" s="1436"/>
      <c r="AN180" s="1437"/>
      <c r="AO180" s="1438"/>
      <c r="AP180" s="1003">
        <f t="shared" si="9"/>
        <v>0</v>
      </c>
      <c r="AQ180" s="153"/>
      <c r="AR180" s="1027"/>
    </row>
    <row r="181" spans="1:44" s="879" customFormat="1" ht="27.5" hidden="1" customHeight="1" outlineLevel="3">
      <c r="A181" s="583"/>
      <c r="B181" s="550" t="s">
        <v>3437</v>
      </c>
      <c r="C181" s="550" t="s">
        <v>1279</v>
      </c>
      <c r="D181" s="1439" t="s">
        <v>2424</v>
      </c>
      <c r="E181" s="537"/>
      <c r="F181" s="491"/>
      <c r="G181" s="492"/>
      <c r="H181" s="493"/>
      <c r="I181" s="495"/>
      <c r="J181" s="495"/>
      <c r="K181" s="495"/>
      <c r="L181" s="495"/>
      <c r="M181" s="495"/>
      <c r="N181" s="495"/>
      <c r="O181" s="495"/>
      <c r="P181" s="495"/>
      <c r="Q181" s="492"/>
      <c r="R181" s="364" t="s">
        <v>763</v>
      </c>
      <c r="S181" s="494"/>
      <c r="T181" s="364" t="s">
        <v>1430</v>
      </c>
      <c r="U181" s="494"/>
      <c r="V181" s="364" t="s">
        <v>1266</v>
      </c>
      <c r="W181" s="3991"/>
      <c r="X181" s="492"/>
      <c r="Y181" s="711" t="s">
        <v>1267</v>
      </c>
      <c r="Z181" s="712">
        <v>1</v>
      </c>
      <c r="AA181" s="712">
        <v>6</v>
      </c>
      <c r="AB181" s="501"/>
      <c r="AC181" s="1442">
        <v>4000</v>
      </c>
      <c r="AD181" s="1442">
        <f>+AA181*Z181*AC181</f>
        <v>24000</v>
      </c>
      <c r="AE181" s="1440"/>
      <c r="AF181" s="492"/>
      <c r="AG181" s="1032">
        <f t="shared" si="11"/>
        <v>24000</v>
      </c>
      <c r="AH181" s="1434"/>
      <c r="AI181" s="1041">
        <f t="shared" si="10"/>
        <v>24000</v>
      </c>
      <c r="AJ181" s="866"/>
      <c r="AK181" s="1436"/>
      <c r="AL181" s="1436"/>
      <c r="AM181" s="1436"/>
      <c r="AN181" s="1437"/>
      <c r="AO181" s="1438"/>
      <c r="AP181" s="1003">
        <f t="shared" si="9"/>
        <v>0</v>
      </c>
      <c r="AQ181" s="153"/>
      <c r="AR181" s="1027"/>
    </row>
    <row r="182" spans="1:44" s="879" customFormat="1" ht="27.5" hidden="1" customHeight="1" outlineLevel="3">
      <c r="A182" s="583"/>
      <c r="B182" s="550" t="s">
        <v>3438</v>
      </c>
      <c r="C182" s="550" t="s">
        <v>1279</v>
      </c>
      <c r="D182" s="1439" t="s">
        <v>2426</v>
      </c>
      <c r="E182" s="537"/>
      <c r="F182" s="491"/>
      <c r="G182" s="492"/>
      <c r="H182" s="493"/>
      <c r="I182" s="495"/>
      <c r="J182" s="495"/>
      <c r="K182" s="495"/>
      <c r="L182" s="495"/>
      <c r="M182" s="495"/>
      <c r="N182" s="495"/>
      <c r="O182" s="495"/>
      <c r="P182" s="495"/>
      <c r="Q182" s="492"/>
      <c r="R182" s="364" t="s">
        <v>763</v>
      </c>
      <c r="S182" s="494"/>
      <c r="T182" s="364" t="s">
        <v>1430</v>
      </c>
      <c r="U182" s="494"/>
      <c r="V182" s="364" t="s">
        <v>1388</v>
      </c>
      <c r="W182" s="4603"/>
      <c r="X182" s="492"/>
      <c r="Y182" s="759" t="s">
        <v>1267</v>
      </c>
      <c r="Z182" s="763">
        <v>1</v>
      </c>
      <c r="AA182" s="763">
        <v>12</v>
      </c>
      <c r="AB182" s="1328"/>
      <c r="AC182" s="1405">
        <v>4000</v>
      </c>
      <c r="AD182" s="1405">
        <f>+AA182*Z182*AC182</f>
        <v>48000</v>
      </c>
      <c r="AE182" s="1447"/>
      <c r="AF182" s="492"/>
      <c r="AG182" s="1032">
        <f t="shared" si="11"/>
        <v>48000</v>
      </c>
      <c r="AH182" s="1434"/>
      <c r="AI182" s="1041">
        <f t="shared" si="10"/>
        <v>48000</v>
      </c>
      <c r="AJ182" s="866"/>
      <c r="AK182" s="1436"/>
      <c r="AL182" s="1436"/>
      <c r="AM182" s="1436"/>
      <c r="AN182" s="1437"/>
      <c r="AO182" s="1438"/>
      <c r="AP182" s="1003">
        <f t="shared" si="9"/>
        <v>0</v>
      </c>
      <c r="AQ182" s="153"/>
      <c r="AR182" s="1027"/>
    </row>
    <row r="183" spans="1:44" s="153" customFormat="1" ht="27.5" hidden="1" customHeight="1" outlineLevel="3">
      <c r="A183" s="704"/>
      <c r="B183" s="354" t="s">
        <v>2417</v>
      </c>
      <c r="C183" s="354"/>
      <c r="D183" s="1547" t="s">
        <v>2428</v>
      </c>
      <c r="E183" s="544"/>
      <c r="F183" s="1495"/>
      <c r="G183" s="1471"/>
      <c r="H183" s="366"/>
      <c r="I183" s="853"/>
      <c r="J183" s="1496"/>
      <c r="K183" s="1496"/>
      <c r="L183" s="1496"/>
      <c r="M183" s="1496"/>
      <c r="N183" s="1496"/>
      <c r="O183" s="1496"/>
      <c r="P183" s="1496"/>
      <c r="Q183" s="1471"/>
      <c r="R183" s="1560"/>
      <c r="S183" s="1560"/>
      <c r="T183" s="1560" t="s">
        <v>1195</v>
      </c>
      <c r="U183" s="1560"/>
      <c r="V183" s="1560"/>
      <c r="W183" s="1561"/>
      <c r="X183" s="1497"/>
      <c r="Y183" s="1562" t="s">
        <v>1179</v>
      </c>
      <c r="Z183" s="1563">
        <v>1</v>
      </c>
      <c r="AA183" s="1563"/>
      <c r="AB183" s="1564"/>
      <c r="AC183" s="1565">
        <v>30000</v>
      </c>
      <c r="AD183" s="1566">
        <f>+Z183*AC183</f>
        <v>30000</v>
      </c>
      <c r="AE183" s="1567"/>
      <c r="AF183" s="1568"/>
      <c r="AG183" s="1105">
        <f>+AD183</f>
        <v>30000</v>
      </c>
      <c r="AH183" s="1569"/>
      <c r="AI183" s="1570">
        <f>+AH183+AG183</f>
        <v>30000</v>
      </c>
      <c r="AJ183" s="1497"/>
      <c r="AK183" s="1571"/>
      <c r="AL183" s="1571"/>
      <c r="AM183" s="1571"/>
      <c r="AN183" s="1572"/>
      <c r="AO183" s="1573"/>
      <c r="AP183" s="1574">
        <f>SUM(AK183:AO183)</f>
        <v>0</v>
      </c>
      <c r="AR183" s="968"/>
    </row>
    <row r="184" spans="1:44" s="108" customFormat="1" ht="27.5" hidden="1" customHeight="1" outlineLevel="3">
      <c r="A184" s="159"/>
      <c r="B184" s="702" t="s">
        <v>2419</v>
      </c>
      <c r="C184" s="702"/>
      <c r="D184" s="1125" t="s">
        <v>2430</v>
      </c>
      <c r="E184" s="533"/>
      <c r="F184" s="103"/>
      <c r="G184" s="97"/>
      <c r="H184" s="363"/>
      <c r="I184" s="364"/>
      <c r="J184" s="365"/>
      <c r="K184" s="365"/>
      <c r="L184" s="365"/>
      <c r="M184" s="365"/>
      <c r="N184" s="365"/>
      <c r="O184" s="365"/>
      <c r="P184" s="365"/>
      <c r="Q184" s="97"/>
      <c r="R184" s="364" t="s">
        <v>3439</v>
      </c>
      <c r="S184" s="494"/>
      <c r="T184" s="364"/>
      <c r="U184" s="494"/>
      <c r="V184" s="494"/>
      <c r="W184" s="496"/>
      <c r="X184" s="867"/>
      <c r="Y184" s="762"/>
      <c r="Z184" s="1554"/>
      <c r="AA184" s="1554"/>
      <c r="AB184" s="1555"/>
      <c r="AC184" s="1556"/>
      <c r="AD184" s="1455"/>
      <c r="AE184" s="1045"/>
      <c r="AF184" s="1446"/>
      <c r="AG184" s="1314"/>
      <c r="AH184" s="1403"/>
      <c r="AI184" s="1041"/>
      <c r="AJ184" s="867"/>
      <c r="AK184" s="1557"/>
      <c r="AL184" s="1557"/>
      <c r="AM184" s="1557"/>
      <c r="AN184" s="1558"/>
      <c r="AO184" s="1559"/>
      <c r="AP184" s="1003"/>
      <c r="AQ184" s="153"/>
      <c r="AR184" s="1027"/>
    </row>
    <row r="185" spans="1:44" s="108" customFormat="1" ht="27.5" hidden="1" customHeight="1" outlineLevel="3">
      <c r="A185" s="159"/>
      <c r="B185" s="702" t="s">
        <v>2421</v>
      </c>
      <c r="C185" s="702"/>
      <c r="D185" s="1125" t="s">
        <v>2432</v>
      </c>
      <c r="E185" s="533"/>
      <c r="F185" s="103"/>
      <c r="G185" s="97"/>
      <c r="H185" s="363"/>
      <c r="I185" s="364"/>
      <c r="J185" s="365"/>
      <c r="K185" s="365"/>
      <c r="L185" s="365"/>
      <c r="M185" s="365"/>
      <c r="N185" s="365"/>
      <c r="O185" s="365"/>
      <c r="P185" s="365"/>
      <c r="Q185" s="97"/>
      <c r="R185" s="494"/>
      <c r="S185" s="494"/>
      <c r="T185" s="364" t="s">
        <v>3440</v>
      </c>
      <c r="U185" s="494"/>
      <c r="V185" s="494"/>
      <c r="W185" s="496"/>
      <c r="X185" s="867"/>
      <c r="Y185" s="762"/>
      <c r="Z185" s="1554"/>
      <c r="AA185" s="1554"/>
      <c r="AB185" s="1555"/>
      <c r="AC185" s="1556"/>
      <c r="AD185" s="1455"/>
      <c r="AE185" s="1045"/>
      <c r="AF185" s="1446"/>
      <c r="AG185" s="1314"/>
      <c r="AH185" s="1403"/>
      <c r="AI185" s="1041"/>
      <c r="AJ185" s="867"/>
      <c r="AK185" s="1557"/>
      <c r="AL185" s="1557"/>
      <c r="AM185" s="1557"/>
      <c r="AN185" s="1558"/>
      <c r="AO185" s="1559"/>
      <c r="AP185" s="1003"/>
      <c r="AQ185" s="153"/>
      <c r="AR185" s="1027"/>
    </row>
    <row r="186" spans="1:44" s="108" customFormat="1" ht="51.5" hidden="1" customHeight="1" outlineLevel="3">
      <c r="A186" s="159"/>
      <c r="B186" s="702" t="s">
        <v>2427</v>
      </c>
      <c r="C186" s="702" t="s">
        <v>1279</v>
      </c>
      <c r="D186" s="703" t="s">
        <v>2434</v>
      </c>
      <c r="E186" s="533"/>
      <c r="F186" s="103"/>
      <c r="G186" s="97"/>
      <c r="H186" s="363"/>
      <c r="I186" s="364"/>
      <c r="J186" s="365"/>
      <c r="K186" s="365"/>
      <c r="L186" s="365"/>
      <c r="M186" s="365"/>
      <c r="N186" s="365"/>
      <c r="O186" s="365"/>
      <c r="P186" s="365"/>
      <c r="Q186" s="97"/>
      <c r="R186" s="364" t="s">
        <v>763</v>
      </c>
      <c r="S186" s="494"/>
      <c r="T186" s="364" t="s">
        <v>1430</v>
      </c>
      <c r="U186" s="494"/>
      <c r="V186" s="494"/>
      <c r="W186" s="496" t="s">
        <v>3441</v>
      </c>
      <c r="X186" s="867"/>
      <c r="Y186" s="711" t="s">
        <v>1267</v>
      </c>
      <c r="Z186" s="364">
        <v>1</v>
      </c>
      <c r="AA186" s="364">
        <v>6</v>
      </c>
      <c r="AB186" s="1453"/>
      <c r="AC186" s="1454">
        <v>4000</v>
      </c>
      <c r="AD186" s="1455">
        <f>+Z186*AC186*AA186</f>
        <v>24000</v>
      </c>
      <c r="AE186" s="1042"/>
      <c r="AF186" s="1446"/>
      <c r="AG186" s="1032">
        <f t="shared" si="11"/>
        <v>24000</v>
      </c>
      <c r="AH186" s="1434"/>
      <c r="AI186" s="1041">
        <f t="shared" si="10"/>
        <v>24000</v>
      </c>
      <c r="AJ186" s="867"/>
      <c r="AK186" s="1436"/>
      <c r="AL186" s="1436"/>
      <c r="AM186" s="1436"/>
      <c r="AN186" s="1437"/>
      <c r="AO186" s="1438"/>
      <c r="AP186" s="1003">
        <f t="shared" si="9"/>
        <v>0</v>
      </c>
      <c r="AQ186" s="153"/>
      <c r="AR186" s="1027"/>
    </row>
    <row r="187" spans="1:44" s="108" customFormat="1" ht="48" hidden="1" customHeight="1" outlineLevel="3">
      <c r="B187" s="702" t="s">
        <v>2433</v>
      </c>
      <c r="C187" s="702" t="s">
        <v>1279</v>
      </c>
      <c r="D187" s="703" t="s">
        <v>2436</v>
      </c>
      <c r="E187" s="533"/>
      <c r="F187" s="103"/>
      <c r="G187" s="97"/>
      <c r="H187" s="363"/>
      <c r="I187" s="364"/>
      <c r="J187" s="365"/>
      <c r="K187" s="365"/>
      <c r="L187" s="365"/>
      <c r="M187" s="365"/>
      <c r="N187" s="365"/>
      <c r="O187" s="365"/>
      <c r="P187" s="365"/>
      <c r="Q187" s="97"/>
      <c r="R187" s="364" t="s">
        <v>763</v>
      </c>
      <c r="S187" s="494"/>
      <c r="T187" s="364" t="s">
        <v>1430</v>
      </c>
      <c r="U187" s="494"/>
      <c r="V187" s="494"/>
      <c r="W187" s="496" t="s">
        <v>3442</v>
      </c>
      <c r="X187" s="867"/>
      <c r="Y187" s="711" t="s">
        <v>1267</v>
      </c>
      <c r="Z187" s="364">
        <v>1</v>
      </c>
      <c r="AA187" s="364">
        <v>6</v>
      </c>
      <c r="AB187" s="1453"/>
      <c r="AC187" s="1454">
        <v>4000</v>
      </c>
      <c r="AD187" s="1455">
        <f>+Z187*AC187*AA187</f>
        <v>24000</v>
      </c>
      <c r="AE187" s="1042"/>
      <c r="AF187" s="1446"/>
      <c r="AG187" s="1032">
        <f t="shared" si="11"/>
        <v>24000</v>
      </c>
      <c r="AH187" s="1434"/>
      <c r="AI187" s="1041">
        <f t="shared" si="10"/>
        <v>24000</v>
      </c>
      <c r="AJ187" s="867"/>
      <c r="AK187" s="1436"/>
      <c r="AL187" s="1436"/>
      <c r="AM187" s="1436"/>
      <c r="AN187" s="1437"/>
      <c r="AO187" s="1438"/>
      <c r="AP187" s="1003">
        <f t="shared" si="9"/>
        <v>0</v>
      </c>
      <c r="AQ187" s="153"/>
      <c r="AR187" s="1027"/>
    </row>
    <row r="188" spans="1:44" s="108" customFormat="1" ht="27" hidden="1" customHeight="1" outlineLevel="3">
      <c r="A188" s="159"/>
      <c r="B188" s="702" t="s">
        <v>2435</v>
      </c>
      <c r="C188" s="702" t="s">
        <v>1279</v>
      </c>
      <c r="D188" s="703" t="s">
        <v>2438</v>
      </c>
      <c r="E188" s="533"/>
      <c r="F188" s="103"/>
      <c r="G188" s="97"/>
      <c r="H188" s="363"/>
      <c r="I188" s="364"/>
      <c r="J188" s="365"/>
      <c r="K188" s="365"/>
      <c r="L188" s="365"/>
      <c r="M188" s="365"/>
      <c r="N188" s="365"/>
      <c r="O188" s="365"/>
      <c r="P188" s="365"/>
      <c r="Q188" s="97"/>
      <c r="R188" s="364" t="s">
        <v>763</v>
      </c>
      <c r="S188" s="494"/>
      <c r="T188" s="364" t="s">
        <v>1430</v>
      </c>
      <c r="U188" s="494"/>
      <c r="V188" s="494"/>
      <c r="W188" s="496" t="s">
        <v>3443</v>
      </c>
      <c r="X188" s="867"/>
      <c r="Y188" s="711" t="s">
        <v>1267</v>
      </c>
      <c r="Z188" s="1050">
        <v>1</v>
      </c>
      <c r="AA188" s="1050">
        <v>60</v>
      </c>
      <c r="AB188" s="1453"/>
      <c r="AC188" s="1456">
        <v>4000</v>
      </c>
      <c r="AD188" s="1455">
        <f>+Z188*AC188*AA188</f>
        <v>240000</v>
      </c>
      <c r="AE188" s="1042"/>
      <c r="AF188" s="1446"/>
      <c r="AG188" s="1032">
        <f t="shared" si="11"/>
        <v>240000</v>
      </c>
      <c r="AH188" s="1434"/>
      <c r="AI188" s="1041">
        <f t="shared" si="10"/>
        <v>240000</v>
      </c>
      <c r="AJ188" s="867"/>
      <c r="AK188" s="1436"/>
      <c r="AL188" s="1436"/>
      <c r="AM188" s="1436"/>
      <c r="AN188" s="1437"/>
      <c r="AO188" s="1438"/>
      <c r="AP188" s="1003">
        <f t="shared" si="9"/>
        <v>0</v>
      </c>
      <c r="AQ188" s="153"/>
      <c r="AR188" s="1027"/>
    </row>
    <row r="189" spans="1:44" s="153" customFormat="1" ht="28.25" customHeight="1" outlineLevel="2" collapsed="1">
      <c r="A189" s="172"/>
      <c r="B189" s="171" t="s">
        <v>522</v>
      </c>
      <c r="C189" s="171"/>
      <c r="D189" s="538" t="s">
        <v>3278</v>
      </c>
      <c r="E189" s="538" t="s">
        <v>5</v>
      </c>
      <c r="F189" s="106" t="s">
        <v>3444</v>
      </c>
      <c r="G189" s="96"/>
      <c r="H189" s="357" t="e">
        <f>+'1_MdR_Limpia'!#REF!</f>
        <v>#REF!</v>
      </c>
      <c r="I189" s="357" t="e">
        <f>+'1_MdR_Limpia'!#REF!</f>
        <v>#REF!</v>
      </c>
      <c r="J189" s="357" t="e">
        <f>+'1_MdR_Limpia'!#REF!</f>
        <v>#REF!</v>
      </c>
      <c r="K189" s="357" t="e">
        <f>+'1_MdR_Limpia'!#REF!</f>
        <v>#REF!</v>
      </c>
      <c r="L189" s="357" t="e">
        <f>+'1_MdR_Limpia'!#REF!</f>
        <v>#REF!</v>
      </c>
      <c r="M189" s="357" t="e">
        <f>+'1_MdR_Limpia'!#REF!</f>
        <v>#REF!</v>
      </c>
      <c r="N189" s="357" t="e">
        <f>+'1_MdR_Limpia'!#REF!</f>
        <v>#REF!</v>
      </c>
      <c r="O189" s="357" t="e">
        <f>+'1_MdR_Limpia'!#REF!</f>
        <v>#REF!</v>
      </c>
      <c r="P189" s="357" t="e">
        <f>+'1_MdR_Limpia'!#REF!</f>
        <v>#REF!</v>
      </c>
      <c r="Q189" s="96"/>
      <c r="R189" s="854"/>
      <c r="S189" s="358"/>
      <c r="T189" s="358"/>
      <c r="U189" s="358"/>
      <c r="V189" s="358"/>
      <c r="W189" s="106"/>
      <c r="X189" s="96"/>
      <c r="Y189" s="1448"/>
      <c r="Z189" s="1449"/>
      <c r="AA189" s="1449"/>
      <c r="AB189" s="1450"/>
      <c r="AC189" s="1451"/>
      <c r="AD189" s="176">
        <f>+AD191+AD195+AD190</f>
        <v>935000</v>
      </c>
      <c r="AE189" s="1452"/>
      <c r="AF189" s="96"/>
      <c r="AG189" s="176">
        <f>+AG191+AG195+AG190</f>
        <v>935000</v>
      </c>
      <c r="AH189" s="176">
        <f>+AH191+AH195+AH190</f>
        <v>0</v>
      </c>
      <c r="AI189" s="176">
        <f>+AI191+AI195+AI190</f>
        <v>935000</v>
      </c>
      <c r="AJ189" s="865"/>
      <c r="AK189" s="1451">
        <f>+AK191+AK195</f>
        <v>248000</v>
      </c>
      <c r="AL189" s="1451">
        <f>+AL191+AL195</f>
        <v>372000</v>
      </c>
      <c r="AM189" s="1451">
        <f>+AM191+AM195</f>
        <v>0</v>
      </c>
      <c r="AN189" s="1451">
        <f>+AN191+AN195</f>
        <v>0</v>
      </c>
      <c r="AO189" s="1451">
        <f>+AO191+AO195</f>
        <v>0</v>
      </c>
      <c r="AP189" s="979">
        <f t="shared" si="9"/>
        <v>620000</v>
      </c>
      <c r="AR189" s="1027"/>
    </row>
    <row r="190" spans="1:44" s="108" customFormat="1" ht="28.25" hidden="1" customHeight="1" outlineLevel="3">
      <c r="A190" s="159"/>
      <c r="B190" s="702" t="s">
        <v>2439</v>
      </c>
      <c r="C190" s="702" t="s">
        <v>1279</v>
      </c>
      <c r="D190" s="1339" t="s">
        <v>2440</v>
      </c>
      <c r="E190" s="703"/>
      <c r="F190" s="177"/>
      <c r="G190" s="98"/>
      <c r="H190" s="363"/>
      <c r="I190" s="363"/>
      <c r="J190" s="363"/>
      <c r="K190" s="363"/>
      <c r="L190" s="363"/>
      <c r="M190" s="363"/>
      <c r="N190" s="363"/>
      <c r="O190" s="363"/>
      <c r="P190" s="363"/>
      <c r="Q190" s="98"/>
      <c r="R190" s="364"/>
      <c r="S190" s="364"/>
      <c r="T190" s="364" t="s">
        <v>1430</v>
      </c>
      <c r="U190" s="364"/>
      <c r="V190" s="364" t="s">
        <v>1403</v>
      </c>
      <c r="W190" s="177" t="s">
        <v>3445</v>
      </c>
      <c r="X190" s="98"/>
      <c r="Y190" s="761" t="s">
        <v>1280</v>
      </c>
      <c r="Z190" s="1480" t="s">
        <v>494</v>
      </c>
      <c r="AA190" s="1480" t="s">
        <v>553</v>
      </c>
      <c r="AB190" s="1575"/>
      <c r="AC190" s="1579">
        <v>5000</v>
      </c>
      <c r="AD190" s="1526">
        <f>+Z190*AA190*AC190</f>
        <v>15000</v>
      </c>
      <c r="AE190" s="1577"/>
      <c r="AF190" s="98"/>
      <c r="AG190" s="1553">
        <f>+AD190</f>
        <v>15000</v>
      </c>
      <c r="AH190" s="1553"/>
      <c r="AI190" s="1553">
        <f>+AG190+AH190</f>
        <v>15000</v>
      </c>
      <c r="AJ190" s="874"/>
      <c r="AK190" s="1576"/>
      <c r="AL190" s="1576"/>
      <c r="AM190" s="1576"/>
      <c r="AN190" s="1576"/>
      <c r="AO190" s="1576"/>
      <c r="AP190" s="1006"/>
      <c r="AR190" s="1027"/>
    </row>
    <row r="191" spans="1:44" s="153" customFormat="1" ht="27.5" hidden="1" customHeight="1" outlineLevel="3">
      <c r="A191" s="581"/>
      <c r="B191" s="400" t="s">
        <v>2439</v>
      </c>
      <c r="C191" s="400"/>
      <c r="D191" s="536" t="s">
        <v>2441</v>
      </c>
      <c r="E191" s="536"/>
      <c r="F191" s="399"/>
      <c r="G191" s="96"/>
      <c r="H191" s="401"/>
      <c r="I191" s="401"/>
      <c r="J191" s="402"/>
      <c r="K191" s="402"/>
      <c r="L191" s="402"/>
      <c r="M191" s="402"/>
      <c r="N191" s="402"/>
      <c r="O191" s="402"/>
      <c r="P191" s="402"/>
      <c r="Q191" s="96"/>
      <c r="R191" s="837"/>
      <c r="S191" s="851"/>
      <c r="T191" s="851"/>
      <c r="U191" s="851"/>
      <c r="V191" s="851"/>
      <c r="W191" s="399"/>
      <c r="X191" s="96"/>
      <c r="Y191" s="396"/>
      <c r="Z191" s="397"/>
      <c r="AA191" s="397"/>
      <c r="AB191" s="395"/>
      <c r="AC191" s="398"/>
      <c r="AD191" s="1458">
        <f>SUM(AD192:AD194)</f>
        <v>360000</v>
      </c>
      <c r="AE191" s="680"/>
      <c r="AF191" s="96"/>
      <c r="AG191" s="398">
        <f>SUM(AG192:AG194)</f>
        <v>360000</v>
      </c>
      <c r="AH191" s="398">
        <f>SUM(AH192:AH194)</f>
        <v>0</v>
      </c>
      <c r="AI191" s="398">
        <f>SUM(AI192:AI194)</f>
        <v>360000</v>
      </c>
      <c r="AJ191" s="865"/>
      <c r="AK191" s="992">
        <f>SUM(AK192:AK194)</f>
        <v>144000</v>
      </c>
      <c r="AL191" s="992">
        <f>SUM(AL192:AL194)</f>
        <v>216000</v>
      </c>
      <c r="AM191" s="992">
        <f>SUM(AM192:AM194)</f>
        <v>0</v>
      </c>
      <c r="AN191" s="993">
        <f>SUM(AN192:AN194)</f>
        <v>0</v>
      </c>
      <c r="AO191" s="994">
        <f>SUM(AO192:AO194)</f>
        <v>0</v>
      </c>
      <c r="AP191" s="994">
        <f t="shared" si="9"/>
        <v>360000</v>
      </c>
      <c r="AR191" s="1027"/>
    </row>
    <row r="192" spans="1:44" s="108" customFormat="1" ht="14" hidden="1" customHeight="1" outlineLevel="4">
      <c r="A192" s="184"/>
      <c r="B192" s="441" t="s">
        <v>2442</v>
      </c>
      <c r="C192" s="441"/>
      <c r="D192" s="533" t="s">
        <v>2443</v>
      </c>
      <c r="E192" s="533"/>
      <c r="F192" s="103"/>
      <c r="G192" s="97"/>
      <c r="H192" s="363"/>
      <c r="I192" s="364"/>
      <c r="J192" s="365"/>
      <c r="K192" s="365"/>
      <c r="L192" s="365"/>
      <c r="M192" s="365"/>
      <c r="N192" s="365"/>
      <c r="O192" s="365"/>
      <c r="P192" s="365"/>
      <c r="Q192" s="97"/>
      <c r="R192" s="3897" t="str">
        <f>+'9.3_PA_Det'!$E$68</f>
        <v>Selección Basada en Calidad y Costo</v>
      </c>
      <c r="S192" s="3897" t="s">
        <v>1075</v>
      </c>
      <c r="T192" s="3969" t="s">
        <v>3384</v>
      </c>
      <c r="U192" s="3897">
        <f>+'9.3_PA_Det'!$F$68</f>
        <v>26</v>
      </c>
      <c r="V192" s="852"/>
      <c r="W192" s="3990"/>
      <c r="X192" s="97"/>
      <c r="Y192" s="3793" t="s">
        <v>1179</v>
      </c>
      <c r="Z192" s="4014">
        <v>1</v>
      </c>
      <c r="AA192" s="3793"/>
      <c r="AB192" s="3793"/>
      <c r="AC192" s="3793">
        <f>375000-AD190</f>
        <v>360000</v>
      </c>
      <c r="AD192" s="4627">
        <f>Z192*AC192</f>
        <v>360000</v>
      </c>
      <c r="AE192" s="4630"/>
      <c r="AF192" s="97"/>
      <c r="AG192" s="3787">
        <f>+AD192</f>
        <v>360000</v>
      </c>
      <c r="AH192" s="3787"/>
      <c r="AI192" s="3787">
        <f>AG192+AH192</f>
        <v>360000</v>
      </c>
      <c r="AJ192" s="867"/>
      <c r="AK192" s="3787">
        <f>+AG192*40%</f>
        <v>144000</v>
      </c>
      <c r="AL192" s="3787">
        <f>+AG192*60%</f>
        <v>216000</v>
      </c>
      <c r="AM192" s="3787"/>
      <c r="AN192" s="3787"/>
      <c r="AO192" s="3787"/>
      <c r="AP192" s="3787">
        <f t="shared" si="9"/>
        <v>360000</v>
      </c>
      <c r="AQ192" s="153"/>
      <c r="AR192" s="1027"/>
    </row>
    <row r="193" spans="1:44" s="108" customFormat="1" ht="27.5" hidden="1" customHeight="1" outlineLevel="4">
      <c r="A193" s="184"/>
      <c r="B193" s="441" t="s">
        <v>2444</v>
      </c>
      <c r="C193" s="441"/>
      <c r="D193" s="533" t="s">
        <v>2445</v>
      </c>
      <c r="E193" s="533"/>
      <c r="F193" s="103"/>
      <c r="G193" s="97"/>
      <c r="H193" s="363"/>
      <c r="I193" s="364"/>
      <c r="J193" s="365"/>
      <c r="K193" s="365"/>
      <c r="L193" s="365"/>
      <c r="M193" s="365"/>
      <c r="N193" s="365"/>
      <c r="O193" s="365"/>
      <c r="P193" s="365"/>
      <c r="Q193" s="97"/>
      <c r="R193" s="3898"/>
      <c r="S193" s="3898"/>
      <c r="T193" s="3970"/>
      <c r="U193" s="3898"/>
      <c r="V193" s="1190"/>
      <c r="W193" s="3991"/>
      <c r="X193" s="97"/>
      <c r="Y193" s="4289" t="s">
        <v>1179</v>
      </c>
      <c r="Z193" s="4633">
        <v>1</v>
      </c>
      <c r="AA193" s="4289"/>
      <c r="AB193" s="4289"/>
      <c r="AC193" s="4289"/>
      <c r="AD193" s="4635"/>
      <c r="AE193" s="4631"/>
      <c r="AF193" s="97"/>
      <c r="AG193" s="3788"/>
      <c r="AH193" s="3788"/>
      <c r="AI193" s="3788"/>
      <c r="AJ193" s="867"/>
      <c r="AK193" s="3788">
        <f>+AG193*40%</f>
        <v>0</v>
      </c>
      <c r="AL193" s="3788">
        <f>+AG193*60%</f>
        <v>0</v>
      </c>
      <c r="AM193" s="3788"/>
      <c r="AN193" s="3788"/>
      <c r="AO193" s="3788"/>
      <c r="AP193" s="3788">
        <f t="shared" si="9"/>
        <v>0</v>
      </c>
      <c r="AQ193" s="153"/>
      <c r="AR193" s="1027"/>
    </row>
    <row r="194" spans="1:44" s="108" customFormat="1" ht="14" hidden="1" customHeight="1" outlineLevel="4">
      <c r="A194" s="184"/>
      <c r="B194" s="441" t="s">
        <v>2446</v>
      </c>
      <c r="C194" s="441"/>
      <c r="D194" s="533" t="s">
        <v>3446</v>
      </c>
      <c r="E194" s="533"/>
      <c r="F194" s="103"/>
      <c r="G194" s="97"/>
      <c r="H194" s="363"/>
      <c r="I194" s="364"/>
      <c r="J194" s="365"/>
      <c r="K194" s="365"/>
      <c r="L194" s="365"/>
      <c r="M194" s="365"/>
      <c r="N194" s="365"/>
      <c r="O194" s="365"/>
      <c r="P194" s="365"/>
      <c r="Q194" s="97"/>
      <c r="R194" s="3898"/>
      <c r="S194" s="3898"/>
      <c r="T194" s="3970"/>
      <c r="U194" s="3898"/>
      <c r="V194" s="1190"/>
      <c r="W194" s="3991"/>
      <c r="X194" s="97"/>
      <c r="Y194" s="4290" t="s">
        <v>1179</v>
      </c>
      <c r="Z194" s="4634">
        <v>1</v>
      </c>
      <c r="AA194" s="4290"/>
      <c r="AB194" s="4290"/>
      <c r="AC194" s="4290"/>
      <c r="AD194" s="4628"/>
      <c r="AE194" s="4632"/>
      <c r="AF194" s="97"/>
      <c r="AG194" s="3789"/>
      <c r="AH194" s="3789"/>
      <c r="AI194" s="3789"/>
      <c r="AJ194" s="867"/>
      <c r="AK194" s="3789">
        <f>+AG194*40%</f>
        <v>0</v>
      </c>
      <c r="AL194" s="3789">
        <f>+AG194*60%</f>
        <v>0</v>
      </c>
      <c r="AM194" s="3789"/>
      <c r="AN194" s="3789"/>
      <c r="AO194" s="3789"/>
      <c r="AP194" s="3789">
        <f t="shared" si="9"/>
        <v>0</v>
      </c>
      <c r="AQ194" s="153"/>
      <c r="AR194" s="1027"/>
    </row>
    <row r="195" spans="1:44" s="153" customFormat="1" ht="14" hidden="1" customHeight="1" outlineLevel="3">
      <c r="A195" s="581"/>
      <c r="B195" s="400" t="s">
        <v>2452</v>
      </c>
      <c r="C195" s="400"/>
      <c r="D195" s="536" t="s">
        <v>2453</v>
      </c>
      <c r="E195" s="536"/>
      <c r="F195" s="399"/>
      <c r="G195" s="96"/>
      <c r="H195" s="401"/>
      <c r="I195" s="401"/>
      <c r="J195" s="402"/>
      <c r="K195" s="402"/>
      <c r="L195" s="402"/>
      <c r="M195" s="402"/>
      <c r="N195" s="402"/>
      <c r="O195" s="402"/>
      <c r="P195" s="402"/>
      <c r="Q195" s="96"/>
      <c r="R195" s="837"/>
      <c r="S195" s="851"/>
      <c r="T195" s="851"/>
      <c r="U195" s="851"/>
      <c r="V195" s="851"/>
      <c r="W195" s="399"/>
      <c r="X195" s="96"/>
      <c r="Y195" s="396"/>
      <c r="Z195" s="397"/>
      <c r="AA195" s="397"/>
      <c r="AB195" s="395"/>
      <c r="AC195" s="398"/>
      <c r="AD195" s="1458">
        <f>SUM(AD196:AD203)</f>
        <v>560000</v>
      </c>
      <c r="AE195" s="680"/>
      <c r="AF195" s="96"/>
      <c r="AG195" s="398">
        <f>SUM(AG196:AG203)</f>
        <v>560000</v>
      </c>
      <c r="AH195" s="398">
        <f>SUM(AH196:AH203)</f>
        <v>0</v>
      </c>
      <c r="AI195" s="398">
        <f>SUM(AI196:AI203)</f>
        <v>560000</v>
      </c>
      <c r="AJ195" s="865"/>
      <c r="AK195" s="398">
        <f>SUM(AK196:AK203)</f>
        <v>104000</v>
      </c>
      <c r="AL195" s="398">
        <f>SUM(AL196:AL203)</f>
        <v>156000</v>
      </c>
      <c r="AM195" s="398">
        <f>SUM(AM196:AM203)</f>
        <v>0</v>
      </c>
      <c r="AN195" s="398">
        <f>SUM(AN196:AN203)</f>
        <v>0</v>
      </c>
      <c r="AO195" s="398">
        <f>SUM(AO196:AO203)</f>
        <v>0</v>
      </c>
      <c r="AP195" s="994">
        <f t="shared" si="9"/>
        <v>260000</v>
      </c>
      <c r="AR195" s="1027"/>
    </row>
    <row r="196" spans="1:44" s="108" customFormat="1" ht="27.5" hidden="1" customHeight="1" outlineLevel="4">
      <c r="A196" s="184"/>
      <c r="B196" s="441" t="s">
        <v>2454</v>
      </c>
      <c r="C196" s="441" t="s">
        <v>1279</v>
      </c>
      <c r="D196" s="533" t="s">
        <v>2455</v>
      </c>
      <c r="E196" s="533"/>
      <c r="F196" s="103"/>
      <c r="G196" s="97"/>
      <c r="H196" s="363"/>
      <c r="I196" s="364"/>
      <c r="J196" s="365"/>
      <c r="K196" s="365"/>
      <c r="L196" s="365"/>
      <c r="M196" s="365"/>
      <c r="N196" s="365"/>
      <c r="O196" s="365"/>
      <c r="P196" s="365"/>
      <c r="Q196" s="97"/>
      <c r="R196" s="3897" t="s">
        <v>838</v>
      </c>
      <c r="S196" s="1335" t="s">
        <v>1075</v>
      </c>
      <c r="T196" s="4002" t="s">
        <v>3409</v>
      </c>
      <c r="U196" s="1335">
        <f>+'9.3_PA_Det'!$F$68</f>
        <v>26</v>
      </c>
      <c r="V196" s="3897"/>
      <c r="W196" s="3838" t="s">
        <v>3447</v>
      </c>
      <c r="X196" s="97"/>
      <c r="Y196" s="3903" t="s">
        <v>1179</v>
      </c>
      <c r="Z196" s="3838">
        <v>1</v>
      </c>
      <c r="AA196" s="3915"/>
      <c r="AB196" s="3915"/>
      <c r="AC196" s="3992">
        <f>140000</f>
        <v>140000</v>
      </c>
      <c r="AD196" s="4627">
        <f>Z196*AC196</f>
        <v>140000</v>
      </c>
      <c r="AE196" s="1317"/>
      <c r="AF196" s="97"/>
      <c r="AG196" s="3787">
        <f>+AD196</f>
        <v>140000</v>
      </c>
      <c r="AH196" s="3787"/>
      <c r="AI196" s="3787">
        <f>AG196+AH196</f>
        <v>140000</v>
      </c>
      <c r="AJ196" s="867"/>
      <c r="AK196" s="3787">
        <f>+AG196*40%</f>
        <v>56000</v>
      </c>
      <c r="AL196" s="3787">
        <f>+AG196*60%</f>
        <v>84000</v>
      </c>
      <c r="AM196" s="3787"/>
      <c r="AN196" s="3787"/>
      <c r="AO196" s="3787"/>
      <c r="AP196" s="3787">
        <f t="shared" si="9"/>
        <v>140000</v>
      </c>
      <c r="AQ196" s="153"/>
      <c r="AR196" s="1027"/>
    </row>
    <row r="197" spans="1:44" s="108" customFormat="1" ht="27.5" hidden="1" customHeight="1" outlineLevel="4">
      <c r="A197" s="184"/>
      <c r="B197" s="441" t="s">
        <v>2456</v>
      </c>
      <c r="C197" s="441" t="s">
        <v>1279</v>
      </c>
      <c r="D197" s="533" t="s">
        <v>2457</v>
      </c>
      <c r="E197" s="533"/>
      <c r="F197" s="103"/>
      <c r="G197" s="97"/>
      <c r="H197" s="363"/>
      <c r="I197" s="364"/>
      <c r="J197" s="365"/>
      <c r="K197" s="365"/>
      <c r="L197" s="365"/>
      <c r="M197" s="365"/>
      <c r="N197" s="365"/>
      <c r="O197" s="365"/>
      <c r="P197" s="365"/>
      <c r="Q197" s="97"/>
      <c r="R197" s="3899"/>
      <c r="S197" s="1512"/>
      <c r="T197" s="4003"/>
      <c r="U197" s="1512"/>
      <c r="V197" s="3899"/>
      <c r="W197" s="3840"/>
      <c r="X197" s="97"/>
      <c r="Y197" s="4293"/>
      <c r="Z197" s="4629"/>
      <c r="AA197" s="4290"/>
      <c r="AB197" s="3917"/>
      <c r="AC197" s="4626"/>
      <c r="AD197" s="4628"/>
      <c r="AE197" s="1457"/>
      <c r="AF197" s="97"/>
      <c r="AG197" s="3789"/>
      <c r="AH197" s="3789"/>
      <c r="AI197" s="3789"/>
      <c r="AJ197" s="867"/>
      <c r="AK197" s="3789">
        <f>+AG197*40%</f>
        <v>0</v>
      </c>
      <c r="AL197" s="3789">
        <f>+AG197*60%</f>
        <v>0</v>
      </c>
      <c r="AM197" s="3789"/>
      <c r="AN197" s="3789"/>
      <c r="AO197" s="3789"/>
      <c r="AP197" s="3789">
        <f t="shared" si="9"/>
        <v>0</v>
      </c>
      <c r="AQ197" s="153"/>
      <c r="AR197" s="1027"/>
    </row>
    <row r="198" spans="1:44" s="108" customFormat="1" ht="27.5" hidden="1" customHeight="1" outlineLevel="4">
      <c r="A198" s="184"/>
      <c r="B198" s="441"/>
      <c r="C198" s="441"/>
      <c r="D198" s="1339" t="s">
        <v>2459</v>
      </c>
      <c r="E198" s="533"/>
      <c r="F198" s="103"/>
      <c r="G198" s="97"/>
      <c r="H198" s="363"/>
      <c r="I198" s="364"/>
      <c r="J198" s="365"/>
      <c r="K198" s="365"/>
      <c r="L198" s="365"/>
      <c r="M198" s="365"/>
      <c r="N198" s="365"/>
      <c r="O198" s="365"/>
      <c r="P198" s="365"/>
      <c r="Q198" s="97"/>
      <c r="R198" s="1190"/>
      <c r="S198" s="1336"/>
      <c r="T198" s="1190"/>
      <c r="U198" s="1336"/>
      <c r="V198" s="1190"/>
      <c r="W198" s="1479"/>
      <c r="X198" s="97"/>
      <c r="Y198" s="1485"/>
      <c r="Z198" s="1486"/>
      <c r="AA198" s="1483"/>
      <c r="AB198" s="1482"/>
      <c r="AC198" s="1484"/>
      <c r="AD198" s="1457"/>
      <c r="AE198" s="1457"/>
      <c r="AF198" s="97"/>
      <c r="AG198" s="1407"/>
      <c r="AH198" s="1407"/>
      <c r="AI198" s="1407"/>
      <c r="AJ198" s="867"/>
      <c r="AK198" s="1407"/>
      <c r="AL198" s="1407"/>
      <c r="AM198" s="1407"/>
      <c r="AN198" s="1407"/>
      <c r="AO198" s="1407"/>
      <c r="AP198" s="1407"/>
      <c r="AQ198" s="153"/>
      <c r="AR198" s="1027"/>
    </row>
    <row r="199" spans="1:44" s="108" customFormat="1" ht="27.5" hidden="1" customHeight="1" outlineLevel="4">
      <c r="A199" s="184"/>
      <c r="B199" s="441" t="s">
        <v>2458</v>
      </c>
      <c r="C199" s="441" t="s">
        <v>1279</v>
      </c>
      <c r="D199" s="533" t="s">
        <v>2461</v>
      </c>
      <c r="E199" s="533"/>
      <c r="F199" s="103"/>
      <c r="G199" s="97"/>
      <c r="H199" s="363"/>
      <c r="I199" s="364"/>
      <c r="J199" s="365"/>
      <c r="K199" s="365"/>
      <c r="L199" s="365"/>
      <c r="M199" s="365"/>
      <c r="N199" s="365"/>
      <c r="O199" s="365"/>
      <c r="P199" s="365"/>
      <c r="Q199" s="97"/>
      <c r="R199" s="931"/>
      <c r="S199" s="931"/>
      <c r="T199" s="931" t="s">
        <v>1430</v>
      </c>
      <c r="U199" s="931"/>
      <c r="V199" s="364"/>
      <c r="W199" s="3838" t="s">
        <v>3448</v>
      </c>
      <c r="X199" s="97"/>
      <c r="Y199" s="1381" t="s">
        <v>1267</v>
      </c>
      <c r="Z199" s="712">
        <v>2</v>
      </c>
      <c r="AA199" s="179">
        <v>12</v>
      </c>
      <c r="AB199" s="180"/>
      <c r="AC199" s="1048">
        <v>4000</v>
      </c>
      <c r="AD199" s="1048">
        <f>AA199*AC199*Z199</f>
        <v>96000</v>
      </c>
      <c r="AE199" s="1048"/>
      <c r="AF199" s="97"/>
      <c r="AG199" s="1032">
        <f>+AD199</f>
        <v>96000</v>
      </c>
      <c r="AH199" s="1032"/>
      <c r="AI199" s="1041">
        <f>AG199+AH199</f>
        <v>96000</v>
      </c>
      <c r="AJ199" s="867"/>
      <c r="AK199" s="986">
        <f>+AG199*40%</f>
        <v>38400</v>
      </c>
      <c r="AL199" s="986">
        <f>+AG199*60%</f>
        <v>57600</v>
      </c>
      <c r="AM199" s="986"/>
      <c r="AN199" s="987"/>
      <c r="AO199" s="1044"/>
      <c r="AP199" s="1038">
        <f t="shared" si="9"/>
        <v>96000</v>
      </c>
      <c r="AQ199" s="153"/>
      <c r="AR199" s="1027"/>
    </row>
    <row r="200" spans="1:44" s="108" customFormat="1" ht="30" hidden="1" outlineLevel="4">
      <c r="A200" s="184"/>
      <c r="B200" s="441" t="s">
        <v>2468</v>
      </c>
      <c r="C200" s="441" t="s">
        <v>1279</v>
      </c>
      <c r="D200" s="533" t="s">
        <v>2463</v>
      </c>
      <c r="E200" s="533"/>
      <c r="F200" s="103"/>
      <c r="G200" s="97"/>
      <c r="H200" s="363"/>
      <c r="I200" s="364"/>
      <c r="J200" s="365"/>
      <c r="K200" s="365"/>
      <c r="L200" s="365"/>
      <c r="M200" s="365"/>
      <c r="N200" s="365"/>
      <c r="O200" s="365"/>
      <c r="P200" s="365"/>
      <c r="Q200" s="97"/>
      <c r="R200" s="931"/>
      <c r="S200" s="931"/>
      <c r="T200" s="931" t="s">
        <v>1430</v>
      </c>
      <c r="U200" s="931"/>
      <c r="V200" s="364"/>
      <c r="W200" s="3839"/>
      <c r="X200" s="97"/>
      <c r="Y200" s="1381" t="s">
        <v>1267</v>
      </c>
      <c r="Z200" s="712">
        <v>1</v>
      </c>
      <c r="AA200" s="179">
        <v>6</v>
      </c>
      <c r="AB200" s="180"/>
      <c r="AC200" s="1048">
        <v>4000</v>
      </c>
      <c r="AD200" s="1048">
        <f>AA200*AC200*Z200</f>
        <v>24000</v>
      </c>
      <c r="AE200" s="1048"/>
      <c r="AF200" s="97"/>
      <c r="AG200" s="1032">
        <f>+AD200</f>
        <v>24000</v>
      </c>
      <c r="AH200" s="1032"/>
      <c r="AI200" s="1041">
        <f>AG200+AH200</f>
        <v>24000</v>
      </c>
      <c r="AJ200" s="867"/>
      <c r="AK200" s="986">
        <f>+AG200*40%</f>
        <v>9600</v>
      </c>
      <c r="AL200" s="986">
        <f>+AG200*60%</f>
        <v>14400</v>
      </c>
      <c r="AM200" s="986"/>
      <c r="AN200" s="987"/>
      <c r="AO200" s="1044"/>
      <c r="AP200" s="1038">
        <f t="shared" si="9"/>
        <v>24000</v>
      </c>
      <c r="AQ200" s="153"/>
      <c r="AR200" s="1027"/>
    </row>
    <row r="201" spans="1:44" s="108" customFormat="1" ht="30" hidden="1" outlineLevel="4">
      <c r="A201" s="184"/>
      <c r="B201" s="441" t="s">
        <v>3449</v>
      </c>
      <c r="C201" s="441" t="s">
        <v>1279</v>
      </c>
      <c r="D201" s="533" t="s">
        <v>2465</v>
      </c>
      <c r="E201" s="533"/>
      <c r="F201" s="103"/>
      <c r="G201" s="97"/>
      <c r="H201" s="363"/>
      <c r="I201" s="364"/>
      <c r="J201" s="365"/>
      <c r="K201" s="365"/>
      <c r="L201" s="365"/>
      <c r="M201" s="365"/>
      <c r="N201" s="365"/>
      <c r="O201" s="365"/>
      <c r="P201" s="365"/>
      <c r="Q201" s="97"/>
      <c r="R201" s="931"/>
      <c r="S201" s="931"/>
      <c r="T201" s="931" t="s">
        <v>1430</v>
      </c>
      <c r="U201" s="931"/>
      <c r="V201" s="364"/>
      <c r="W201" s="3839"/>
      <c r="X201" s="97"/>
      <c r="Y201" s="1381" t="s">
        <v>1267</v>
      </c>
      <c r="Z201" s="1382">
        <v>2</v>
      </c>
      <c r="AA201" s="1383">
        <v>12</v>
      </c>
      <c r="AB201" s="180"/>
      <c r="AC201" s="1048">
        <v>4000</v>
      </c>
      <c r="AD201" s="1048">
        <f>AA201*AC201*Z201</f>
        <v>96000</v>
      </c>
      <c r="AE201" s="1048"/>
      <c r="AF201" s="97"/>
      <c r="AG201" s="1032">
        <f>+AD201</f>
        <v>96000</v>
      </c>
      <c r="AH201" s="1032"/>
      <c r="AI201" s="1041">
        <f>AG201+AH201</f>
        <v>96000</v>
      </c>
      <c r="AJ201" s="867"/>
      <c r="AK201" s="986"/>
      <c r="AL201" s="986"/>
      <c r="AM201" s="986"/>
      <c r="AN201" s="987"/>
      <c r="AO201" s="1044"/>
      <c r="AP201" s="1038">
        <f t="shared" si="9"/>
        <v>0</v>
      </c>
      <c r="AQ201" s="153"/>
      <c r="AR201" s="1027"/>
    </row>
    <row r="202" spans="1:44" s="108" customFormat="1" ht="30" hidden="1" outlineLevel="4">
      <c r="A202" s="184"/>
      <c r="B202" s="441" t="s">
        <v>3450</v>
      </c>
      <c r="C202" s="441" t="s">
        <v>1279</v>
      </c>
      <c r="D202" s="533" t="s">
        <v>2467</v>
      </c>
      <c r="E202" s="533"/>
      <c r="F202" s="103"/>
      <c r="G202" s="97"/>
      <c r="H202" s="363"/>
      <c r="I202" s="364"/>
      <c r="J202" s="365"/>
      <c r="K202" s="365"/>
      <c r="L202" s="365"/>
      <c r="M202" s="365"/>
      <c r="N202" s="365"/>
      <c r="O202" s="365"/>
      <c r="P202" s="365"/>
      <c r="Q202" s="97"/>
      <c r="R202" s="931"/>
      <c r="S202" s="931"/>
      <c r="T202" s="931" t="s">
        <v>1430</v>
      </c>
      <c r="U202" s="931"/>
      <c r="V202" s="364"/>
      <c r="W202" s="3840"/>
      <c r="X202" s="97"/>
      <c r="Y202" s="1381" t="s">
        <v>1267</v>
      </c>
      <c r="Z202" s="1382">
        <v>1</v>
      </c>
      <c r="AA202" s="1383">
        <v>6</v>
      </c>
      <c r="AB202" s="180"/>
      <c r="AC202" s="1048">
        <v>4000</v>
      </c>
      <c r="AD202" s="1048">
        <f>AA202*AC202*Z202</f>
        <v>24000</v>
      </c>
      <c r="AE202" s="1048"/>
      <c r="AF202" s="97"/>
      <c r="AG202" s="1032">
        <f>+AD202</f>
        <v>24000</v>
      </c>
      <c r="AH202" s="1032"/>
      <c r="AI202" s="1041">
        <f>AG202+AH202</f>
        <v>24000</v>
      </c>
      <c r="AJ202" s="867"/>
      <c r="AK202" s="986"/>
      <c r="AL202" s="986"/>
      <c r="AM202" s="986"/>
      <c r="AN202" s="987"/>
      <c r="AO202" s="1044"/>
      <c r="AP202" s="1038">
        <f t="shared" si="9"/>
        <v>0</v>
      </c>
      <c r="AQ202" s="153"/>
      <c r="AR202" s="1027"/>
    </row>
    <row r="203" spans="1:44" s="108" customFormat="1" ht="30" hidden="1" outlineLevel="4">
      <c r="A203" s="184"/>
      <c r="B203" s="441" t="s">
        <v>3451</v>
      </c>
      <c r="C203" s="441"/>
      <c r="D203" s="533" t="s">
        <v>3452</v>
      </c>
      <c r="E203" s="533"/>
      <c r="F203" s="103"/>
      <c r="G203" s="97"/>
      <c r="H203" s="363"/>
      <c r="I203" s="364"/>
      <c r="J203" s="365"/>
      <c r="K203" s="365"/>
      <c r="L203" s="365"/>
      <c r="M203" s="365"/>
      <c r="N203" s="365"/>
      <c r="O203" s="365"/>
      <c r="P203" s="365"/>
      <c r="Q203" s="97"/>
      <c r="R203" s="931"/>
      <c r="S203" s="931"/>
      <c r="T203" s="931"/>
      <c r="U203" s="931"/>
      <c r="V203" s="364"/>
      <c r="W203" s="1459"/>
      <c r="X203" s="97"/>
      <c r="Y203" s="1381" t="s">
        <v>1179</v>
      </c>
      <c r="Z203" s="1382">
        <v>1</v>
      </c>
      <c r="AA203" s="1383">
        <v>60</v>
      </c>
      <c r="AB203" s="180"/>
      <c r="AC203" s="1048">
        <v>3000</v>
      </c>
      <c r="AD203" s="1048">
        <f>AA203*AC203*Z203</f>
        <v>180000</v>
      </c>
      <c r="AE203" s="1400" t="s">
        <v>3453</v>
      </c>
      <c r="AF203" s="97"/>
      <c r="AG203" s="1032">
        <f>+AD203</f>
        <v>180000</v>
      </c>
      <c r="AH203" s="1032"/>
      <c r="AI203" s="1041">
        <f>AG203+AH203</f>
        <v>180000</v>
      </c>
      <c r="AJ203" s="867"/>
      <c r="AK203" s="986"/>
      <c r="AL203" s="986"/>
      <c r="AM203" s="986"/>
      <c r="AN203" s="987"/>
      <c r="AO203" s="1044"/>
      <c r="AP203" s="1038">
        <f t="shared" si="9"/>
        <v>0</v>
      </c>
      <c r="AQ203" s="153"/>
      <c r="AR203" s="1027"/>
    </row>
    <row r="204" spans="1:44" s="153" customFormat="1" ht="42.5" customHeight="1" outlineLevel="2" collapsed="1">
      <c r="A204" s="172"/>
      <c r="B204" s="171" t="s">
        <v>524</v>
      </c>
      <c r="C204" s="171"/>
      <c r="D204" s="1589" t="s">
        <v>3279</v>
      </c>
      <c r="E204" s="538" t="s">
        <v>5</v>
      </c>
      <c r="F204" s="175" t="s">
        <v>3454</v>
      </c>
      <c r="G204" s="96"/>
      <c r="H204" s="357" t="e">
        <f>+'1_MdR_Limpia'!#REF!</f>
        <v>#REF!</v>
      </c>
      <c r="I204" s="357" t="e">
        <f>+'1_MdR_Limpia'!#REF!</f>
        <v>#REF!</v>
      </c>
      <c r="J204" s="357" t="e">
        <f>+'1_MdR_Limpia'!#REF!</f>
        <v>#REF!</v>
      </c>
      <c r="K204" s="357" t="e">
        <f>+'1_MdR_Limpia'!#REF!</f>
        <v>#REF!</v>
      </c>
      <c r="L204" s="357" t="e">
        <f>+'1_MdR_Limpia'!#REF!</f>
        <v>#REF!</v>
      </c>
      <c r="M204" s="357" t="e">
        <f>+'1_MdR_Limpia'!#REF!</f>
        <v>#REF!</v>
      </c>
      <c r="N204" s="357" t="e">
        <f>+'1_MdR_Limpia'!#REF!</f>
        <v>#REF!</v>
      </c>
      <c r="O204" s="357" t="e">
        <f>+'1_MdR_Limpia'!#REF!</f>
        <v>#REF!</v>
      </c>
      <c r="P204" s="357" t="e">
        <f>+'1_MdR_Limpia'!#REF!</f>
        <v>#REF!</v>
      </c>
      <c r="Q204" s="96"/>
      <c r="R204" s="854"/>
      <c r="S204" s="358"/>
      <c r="T204" s="358"/>
      <c r="U204" s="358"/>
      <c r="V204" s="358"/>
      <c r="W204" s="106"/>
      <c r="X204" s="96"/>
      <c r="Y204" s="106"/>
      <c r="Z204" s="172"/>
      <c r="AA204" s="172"/>
      <c r="AB204" s="171"/>
      <c r="AC204" s="176"/>
      <c r="AD204" s="1529">
        <f>+AD207+AD214+AD215+AD205</f>
        <v>484500</v>
      </c>
      <c r="AE204" s="692"/>
      <c r="AF204" s="96"/>
      <c r="AG204" s="1529">
        <f>+AG207+AG214+AG215+AG205</f>
        <v>484500</v>
      </c>
      <c r="AH204" s="1529">
        <f>+AH207+AH214+AH215+AH205</f>
        <v>0</v>
      </c>
      <c r="AI204" s="1529">
        <f>+AI207+AI214+AI215+AI205</f>
        <v>484500</v>
      </c>
      <c r="AJ204" s="865"/>
      <c r="AK204" s="176">
        <f>SUM(AK207:AK215)</f>
        <v>138150</v>
      </c>
      <c r="AL204" s="176">
        <f>SUM(AL207:AL215)</f>
        <v>282350</v>
      </c>
      <c r="AM204" s="176">
        <f>SUM(AM207:AM215)</f>
        <v>0</v>
      </c>
      <c r="AN204" s="176">
        <f>SUM(AN207:AN215)</f>
        <v>0</v>
      </c>
      <c r="AO204" s="176">
        <f>SUM(AO207:AO215)</f>
        <v>0</v>
      </c>
      <c r="AP204" s="979">
        <f t="shared" si="9"/>
        <v>420500</v>
      </c>
      <c r="AR204" s="1027"/>
    </row>
    <row r="205" spans="1:44" s="108" customFormat="1" ht="42.5" hidden="1" customHeight="1" outlineLevel="3">
      <c r="A205" s="159"/>
      <c r="B205" s="702" t="s">
        <v>2470</v>
      </c>
      <c r="C205" s="702" t="s">
        <v>1279</v>
      </c>
      <c r="D205" s="1524" t="s">
        <v>2471</v>
      </c>
      <c r="E205" s="703"/>
      <c r="F205" s="177"/>
      <c r="G205" s="1552"/>
      <c r="H205" s="363"/>
      <c r="I205" s="363"/>
      <c r="J205" s="363"/>
      <c r="K205" s="363"/>
      <c r="L205" s="363"/>
      <c r="M205" s="363"/>
      <c r="N205" s="363"/>
      <c r="O205" s="363"/>
      <c r="P205" s="363"/>
      <c r="Q205" s="1552"/>
      <c r="R205" s="852"/>
      <c r="S205" s="852"/>
      <c r="T205" s="1341" t="s">
        <v>1430</v>
      </c>
      <c r="U205" s="852"/>
      <c r="V205" s="852"/>
      <c r="W205" s="1444" t="s">
        <v>3455</v>
      </c>
      <c r="X205" s="1552"/>
      <c r="Y205" s="1444" t="s">
        <v>1280</v>
      </c>
      <c r="Z205" s="1587" t="s">
        <v>494</v>
      </c>
      <c r="AA205" s="1587" t="s">
        <v>3456</v>
      </c>
      <c r="AB205" s="1490"/>
      <c r="AC205" s="1585">
        <v>5000</v>
      </c>
      <c r="AD205" s="1586">
        <f>+Z205*AA205*AC205</f>
        <v>40000</v>
      </c>
      <c r="AE205" s="1235"/>
      <c r="AF205" s="1552"/>
      <c r="AG205" s="1553">
        <f>+AD205</f>
        <v>40000</v>
      </c>
      <c r="AH205" s="1553"/>
      <c r="AI205" s="1553">
        <f>+AG205+AH205</f>
        <v>40000</v>
      </c>
      <c r="AJ205" s="874"/>
      <c r="AK205" s="1553"/>
      <c r="AL205" s="1553"/>
      <c r="AM205" s="1553"/>
      <c r="AN205" s="1553"/>
      <c r="AO205" s="1553"/>
      <c r="AP205" s="1583"/>
      <c r="AR205" s="1027"/>
    </row>
    <row r="206" spans="1:44" s="108" customFormat="1" ht="30" hidden="1" outlineLevel="3">
      <c r="A206" s="159"/>
      <c r="B206" s="702" t="s">
        <v>2472</v>
      </c>
      <c r="C206" s="702" t="s">
        <v>1279</v>
      </c>
      <c r="D206" s="177" t="s">
        <v>2473</v>
      </c>
      <c r="E206" s="703"/>
      <c r="F206" s="177"/>
      <c r="G206" s="1552"/>
      <c r="H206" s="363"/>
      <c r="I206" s="363"/>
      <c r="J206" s="363"/>
      <c r="K206" s="363"/>
      <c r="L206" s="363"/>
      <c r="M206" s="363"/>
      <c r="N206" s="363"/>
      <c r="O206" s="363"/>
      <c r="P206" s="363"/>
      <c r="Q206" s="1552"/>
      <c r="R206" s="852"/>
      <c r="S206" s="852"/>
      <c r="T206" s="852"/>
      <c r="U206" s="852"/>
      <c r="V206" s="852"/>
      <c r="W206" s="1444"/>
      <c r="X206" s="1552"/>
      <c r="Y206" s="1444"/>
      <c r="Z206" s="1318"/>
      <c r="AA206" s="1318"/>
      <c r="AB206" s="1490"/>
      <c r="AC206" s="1553"/>
      <c r="AD206" s="1582"/>
      <c r="AE206" s="1235"/>
      <c r="AF206" s="1552"/>
      <c r="AG206" s="1553"/>
      <c r="AH206" s="1553"/>
      <c r="AI206" s="1553"/>
      <c r="AJ206" s="874"/>
      <c r="AK206" s="1553"/>
      <c r="AL206" s="1553"/>
      <c r="AM206" s="1553"/>
      <c r="AN206" s="1553"/>
      <c r="AO206" s="1553"/>
      <c r="AP206" s="1583"/>
      <c r="AR206" s="1027"/>
    </row>
    <row r="207" spans="1:44" s="153" customFormat="1" ht="27.5" hidden="1" customHeight="1" outlineLevel="3">
      <c r="A207" s="704"/>
      <c r="B207" s="354" t="s">
        <v>2474</v>
      </c>
      <c r="C207" s="354"/>
      <c r="D207" s="1547" t="s">
        <v>2475</v>
      </c>
      <c r="E207" s="544"/>
      <c r="F207" s="1495"/>
      <c r="G207" s="3903"/>
      <c r="H207" s="366"/>
      <c r="I207" s="853"/>
      <c r="J207" s="1496"/>
      <c r="K207" s="1496"/>
      <c r="L207" s="1496"/>
      <c r="M207" s="1496"/>
      <c r="N207" s="1496"/>
      <c r="O207" s="1496"/>
      <c r="P207" s="1496"/>
      <c r="Q207" s="3903"/>
      <c r="R207" s="3897" t="str">
        <f>+'9.3_PA_Det'!$E$76</f>
        <v>Selección Basada en Calidad y Costo</v>
      </c>
      <c r="S207" s="3897" t="s">
        <v>1075</v>
      </c>
      <c r="T207" s="3969" t="s">
        <v>3384</v>
      </c>
      <c r="U207" s="3897">
        <f>+'9.3_PA_Det'!$F$76</f>
        <v>27</v>
      </c>
      <c r="V207" s="1207"/>
      <c r="W207" s="3903"/>
      <c r="X207" s="3903"/>
      <c r="Y207" s="3903" t="s">
        <v>1179</v>
      </c>
      <c r="Z207" s="3838">
        <v>1</v>
      </c>
      <c r="AA207" s="3838"/>
      <c r="AB207" s="3838"/>
      <c r="AC207" s="3906">
        <f>400500-AD205</f>
        <v>360500</v>
      </c>
      <c r="AD207" s="3906">
        <f>+AC207*Z207</f>
        <v>360500</v>
      </c>
      <c r="AE207" s="4623" t="s">
        <v>3457</v>
      </c>
      <c r="AF207" s="3903"/>
      <c r="AG207" s="3906">
        <f>+AD207</f>
        <v>360500</v>
      </c>
      <c r="AH207" s="3906"/>
      <c r="AI207" s="3906">
        <f>AG207+AH207</f>
        <v>360500</v>
      </c>
      <c r="AJ207" s="1497"/>
      <c r="AK207" s="3874">
        <f>+AG207*30%</f>
        <v>108150</v>
      </c>
      <c r="AL207" s="3874">
        <f>+AG207*70%</f>
        <v>252349.99999999997</v>
      </c>
      <c r="AM207" s="3874"/>
      <c r="AN207" s="3874"/>
      <c r="AO207" s="3874"/>
      <c r="AP207" s="3874">
        <f t="shared" si="9"/>
        <v>360500</v>
      </c>
      <c r="AR207" s="968"/>
    </row>
    <row r="208" spans="1:44" s="108" customFormat="1" ht="42.5" hidden="1" customHeight="1" outlineLevel="3">
      <c r="A208" s="159"/>
      <c r="B208" s="1392" t="s">
        <v>2476</v>
      </c>
      <c r="C208" s="702"/>
      <c r="D208" s="1611" t="s">
        <v>3458</v>
      </c>
      <c r="E208" s="533"/>
      <c r="F208" s="103"/>
      <c r="G208" s="3933"/>
      <c r="H208" s="363"/>
      <c r="I208" s="364"/>
      <c r="J208" s="365"/>
      <c r="K208" s="365"/>
      <c r="L208" s="365"/>
      <c r="M208" s="365"/>
      <c r="N208" s="365"/>
      <c r="O208" s="365"/>
      <c r="P208" s="365"/>
      <c r="Q208" s="3933"/>
      <c r="R208" s="3898"/>
      <c r="S208" s="3898"/>
      <c r="T208" s="3970"/>
      <c r="U208" s="3898"/>
      <c r="V208" s="1190"/>
      <c r="W208" s="3933"/>
      <c r="X208" s="3933"/>
      <c r="Y208" s="3933"/>
      <c r="Z208" s="3839"/>
      <c r="AA208" s="3839"/>
      <c r="AB208" s="3839"/>
      <c r="AC208" s="3907"/>
      <c r="AD208" s="3907"/>
      <c r="AE208" s="4624"/>
      <c r="AF208" s="3933"/>
      <c r="AG208" s="3907"/>
      <c r="AH208" s="3907"/>
      <c r="AI208" s="3907"/>
      <c r="AJ208" s="867"/>
      <c r="AK208" s="3875"/>
      <c r="AL208" s="3875"/>
      <c r="AM208" s="3875"/>
      <c r="AN208" s="3875"/>
      <c r="AO208" s="3875"/>
      <c r="AP208" s="3875">
        <f t="shared" si="9"/>
        <v>0</v>
      </c>
      <c r="AR208" s="1027"/>
    </row>
    <row r="209" spans="1:44" s="108" customFormat="1" ht="36.5" hidden="1" customHeight="1" outlineLevel="3">
      <c r="A209" s="159"/>
      <c r="B209" s="702" t="s">
        <v>2472</v>
      </c>
      <c r="C209" s="702"/>
      <c r="D209" s="703" t="s">
        <v>2478</v>
      </c>
      <c r="E209" s="533"/>
      <c r="F209" s="103"/>
      <c r="G209" s="3933"/>
      <c r="H209" s="363"/>
      <c r="I209" s="364"/>
      <c r="J209" s="365"/>
      <c r="K209" s="365"/>
      <c r="L209" s="365"/>
      <c r="M209" s="365"/>
      <c r="N209" s="365"/>
      <c r="O209" s="365"/>
      <c r="P209" s="365"/>
      <c r="Q209" s="3933"/>
      <c r="R209" s="3898"/>
      <c r="S209" s="3898"/>
      <c r="T209" s="3970"/>
      <c r="U209" s="3898"/>
      <c r="V209" s="1190"/>
      <c r="W209" s="3933"/>
      <c r="X209" s="3933"/>
      <c r="Y209" s="3933"/>
      <c r="Z209" s="3839"/>
      <c r="AA209" s="3839"/>
      <c r="AB209" s="3839"/>
      <c r="AC209" s="3907"/>
      <c r="AD209" s="3907"/>
      <c r="AE209" s="4624"/>
      <c r="AF209" s="3933"/>
      <c r="AG209" s="3907"/>
      <c r="AH209" s="3907"/>
      <c r="AI209" s="3907"/>
      <c r="AJ209" s="867"/>
      <c r="AK209" s="3875"/>
      <c r="AL209" s="3875"/>
      <c r="AM209" s="3875"/>
      <c r="AN209" s="3875"/>
      <c r="AO209" s="3875"/>
      <c r="AP209" s="3875">
        <f t="shared" si="9"/>
        <v>0</v>
      </c>
      <c r="AR209" s="1027"/>
    </row>
    <row r="210" spans="1:44" s="108" customFormat="1" ht="35" hidden="1" customHeight="1" outlineLevel="3">
      <c r="A210" s="159"/>
      <c r="B210" s="702" t="s">
        <v>2474</v>
      </c>
      <c r="C210" s="702"/>
      <c r="D210" s="703" t="s">
        <v>2479</v>
      </c>
      <c r="E210" s="533"/>
      <c r="F210" s="103"/>
      <c r="G210" s="3933"/>
      <c r="H210" s="363"/>
      <c r="I210" s="364"/>
      <c r="J210" s="365"/>
      <c r="K210" s="365"/>
      <c r="L210" s="365"/>
      <c r="M210" s="365"/>
      <c r="N210" s="365"/>
      <c r="O210" s="365"/>
      <c r="P210" s="365"/>
      <c r="Q210" s="3933"/>
      <c r="R210" s="3898"/>
      <c r="S210" s="3898"/>
      <c r="T210" s="3970"/>
      <c r="U210" s="3898"/>
      <c r="V210" s="1190"/>
      <c r="W210" s="3933"/>
      <c r="X210" s="3933"/>
      <c r="Y210" s="3933"/>
      <c r="Z210" s="3839"/>
      <c r="AA210" s="3839"/>
      <c r="AB210" s="3839"/>
      <c r="AC210" s="3907"/>
      <c r="AD210" s="3907"/>
      <c r="AE210" s="4624"/>
      <c r="AF210" s="3933"/>
      <c r="AG210" s="3907"/>
      <c r="AH210" s="3907"/>
      <c r="AI210" s="3907"/>
      <c r="AJ210" s="867"/>
      <c r="AK210" s="3875"/>
      <c r="AL210" s="3875"/>
      <c r="AM210" s="3875"/>
      <c r="AN210" s="3875"/>
      <c r="AO210" s="3875"/>
      <c r="AP210" s="3875">
        <f t="shared" si="9"/>
        <v>0</v>
      </c>
      <c r="AR210" s="1027"/>
    </row>
    <row r="211" spans="1:44" s="108" customFormat="1" ht="60.5" hidden="1" customHeight="1" outlineLevel="3">
      <c r="A211" s="159"/>
      <c r="B211" s="702" t="s">
        <v>2480</v>
      </c>
      <c r="C211" s="702"/>
      <c r="D211" s="1374" t="s">
        <v>2481</v>
      </c>
      <c r="E211" s="533"/>
      <c r="F211" s="103"/>
      <c r="G211" s="3933"/>
      <c r="H211" s="363"/>
      <c r="I211" s="364"/>
      <c r="J211" s="365"/>
      <c r="K211" s="365"/>
      <c r="L211" s="365"/>
      <c r="M211" s="365"/>
      <c r="N211" s="365"/>
      <c r="O211" s="365"/>
      <c r="P211" s="365"/>
      <c r="Q211" s="3933"/>
      <c r="R211" s="3898"/>
      <c r="S211" s="3898"/>
      <c r="T211" s="3970"/>
      <c r="U211" s="3898"/>
      <c r="V211" s="1190"/>
      <c r="W211" s="3933"/>
      <c r="X211" s="3933"/>
      <c r="Y211" s="3933"/>
      <c r="Z211" s="3839"/>
      <c r="AA211" s="3839"/>
      <c r="AB211" s="3839"/>
      <c r="AC211" s="3907"/>
      <c r="AD211" s="3907"/>
      <c r="AE211" s="4624"/>
      <c r="AF211" s="3933"/>
      <c r="AG211" s="3907"/>
      <c r="AH211" s="3907"/>
      <c r="AI211" s="3907"/>
      <c r="AJ211" s="867"/>
      <c r="AK211" s="3875"/>
      <c r="AL211" s="3875"/>
      <c r="AM211" s="3875"/>
      <c r="AN211" s="3875"/>
      <c r="AO211" s="3875"/>
      <c r="AP211" s="3875">
        <f t="shared" si="9"/>
        <v>0</v>
      </c>
      <c r="AR211" s="1027"/>
    </row>
    <row r="212" spans="1:44" s="108" customFormat="1" ht="51.5" hidden="1" customHeight="1" outlineLevel="3">
      <c r="A212" s="159"/>
      <c r="B212" s="702" t="s">
        <v>2482</v>
      </c>
      <c r="C212" s="702"/>
      <c r="D212" s="703" t="s">
        <v>2483</v>
      </c>
      <c r="E212" s="880"/>
      <c r="F212" s="103"/>
      <c r="G212" s="3933"/>
      <c r="H212" s="363"/>
      <c r="I212" s="364"/>
      <c r="J212" s="365"/>
      <c r="K212" s="365"/>
      <c r="L212" s="365"/>
      <c r="M212" s="365"/>
      <c r="N212" s="365"/>
      <c r="O212" s="365"/>
      <c r="P212" s="365"/>
      <c r="Q212" s="3933"/>
      <c r="R212" s="3898"/>
      <c r="S212" s="3898"/>
      <c r="T212" s="3970"/>
      <c r="U212" s="3898"/>
      <c r="V212" s="1190"/>
      <c r="W212" s="3933"/>
      <c r="X212" s="3933"/>
      <c r="Y212" s="3933"/>
      <c r="Z212" s="3839"/>
      <c r="AA212" s="3839"/>
      <c r="AB212" s="3839"/>
      <c r="AC212" s="3907"/>
      <c r="AD212" s="3907"/>
      <c r="AE212" s="4624"/>
      <c r="AF212" s="3933"/>
      <c r="AG212" s="3907"/>
      <c r="AH212" s="3907"/>
      <c r="AI212" s="3907"/>
      <c r="AJ212" s="867"/>
      <c r="AK212" s="3875"/>
      <c r="AL212" s="3875"/>
      <c r="AM212" s="3875"/>
      <c r="AN212" s="3875"/>
      <c r="AO212" s="3875"/>
      <c r="AP212" s="3875"/>
      <c r="AR212" s="1027"/>
    </row>
    <row r="213" spans="1:44" s="108" customFormat="1" ht="41.5" hidden="1" customHeight="1" outlineLevel="3">
      <c r="A213" s="159"/>
      <c r="B213" s="702" t="s">
        <v>2484</v>
      </c>
      <c r="C213" s="702"/>
      <c r="D213" s="1459" t="s">
        <v>2485</v>
      </c>
      <c r="E213" s="149"/>
      <c r="F213" s="103"/>
      <c r="G213" s="3934"/>
      <c r="H213" s="363"/>
      <c r="I213" s="364"/>
      <c r="J213" s="365"/>
      <c r="K213" s="365"/>
      <c r="L213" s="365"/>
      <c r="M213" s="365"/>
      <c r="N213" s="365"/>
      <c r="O213" s="365"/>
      <c r="P213" s="365"/>
      <c r="Q213" s="3934"/>
      <c r="R213" s="3899"/>
      <c r="S213" s="3899"/>
      <c r="T213" s="3971"/>
      <c r="U213" s="3899"/>
      <c r="V213" s="951"/>
      <c r="W213" s="3934"/>
      <c r="X213" s="3934"/>
      <c r="Y213" s="3934"/>
      <c r="Z213" s="3840"/>
      <c r="AA213" s="3840"/>
      <c r="AB213" s="3840"/>
      <c r="AC213" s="3908"/>
      <c r="AD213" s="3908"/>
      <c r="AE213" s="4625"/>
      <c r="AF213" s="3934"/>
      <c r="AG213" s="3908"/>
      <c r="AH213" s="3908"/>
      <c r="AI213" s="3908"/>
      <c r="AJ213" s="867"/>
      <c r="AK213" s="3876"/>
      <c r="AL213" s="3876"/>
      <c r="AM213" s="3876"/>
      <c r="AN213" s="3876"/>
      <c r="AO213" s="3876"/>
      <c r="AP213" s="3876">
        <f t="shared" si="9"/>
        <v>0</v>
      </c>
      <c r="AR213" s="1027"/>
    </row>
    <row r="214" spans="1:44" s="108" customFormat="1" ht="39" hidden="1" outlineLevel="3">
      <c r="A214" s="159"/>
      <c r="B214" s="702" t="s">
        <v>2486</v>
      </c>
      <c r="C214" s="702"/>
      <c r="D214" s="533" t="s">
        <v>2487</v>
      </c>
      <c r="E214" s="533"/>
      <c r="F214" s="103"/>
      <c r="G214" s="97"/>
      <c r="H214" s="363"/>
      <c r="I214" s="364"/>
      <c r="J214" s="365"/>
      <c r="K214" s="365"/>
      <c r="L214" s="365"/>
      <c r="M214" s="365"/>
      <c r="N214" s="365"/>
      <c r="O214" s="365"/>
      <c r="P214" s="365"/>
      <c r="Q214" s="97"/>
      <c r="R214" s="364" t="str">
        <f>+'9.3_PA_Det'!$E$178</f>
        <v>3CV</v>
      </c>
      <c r="S214" s="364" t="s">
        <v>1075</v>
      </c>
      <c r="T214" s="364" t="s">
        <v>1430</v>
      </c>
      <c r="U214" s="364">
        <f>+'9.3_PA_Det'!$F$178</f>
        <v>69</v>
      </c>
      <c r="V214" s="364"/>
      <c r="W214" s="1584" t="s">
        <v>3459</v>
      </c>
      <c r="X214" s="97"/>
      <c r="Y214" s="711" t="s">
        <v>1267</v>
      </c>
      <c r="Z214" s="712">
        <v>1</v>
      </c>
      <c r="AA214" s="179">
        <v>24</v>
      </c>
      <c r="AB214" s="180"/>
      <c r="AC214" s="1032">
        <v>2500</v>
      </c>
      <c r="AD214" s="1032">
        <f>Z214*AA214*AC214</f>
        <v>60000</v>
      </c>
      <c r="AE214" s="937" t="s">
        <v>3460</v>
      </c>
      <c r="AF214" s="97"/>
      <c r="AG214" s="1032">
        <f>+AD214</f>
        <v>60000</v>
      </c>
      <c r="AH214" s="1032"/>
      <c r="AI214" s="1041">
        <f>AG214+AH214</f>
        <v>60000</v>
      </c>
      <c r="AJ214" s="867"/>
      <c r="AK214" s="986">
        <f>+$AC$214*12</f>
        <v>30000</v>
      </c>
      <c r="AL214" s="986">
        <f>+$AC$214*12</f>
        <v>30000</v>
      </c>
      <c r="AM214" s="986"/>
      <c r="AN214" s="987"/>
      <c r="AO214" s="1038"/>
      <c r="AP214" s="1038">
        <f t="shared" si="9"/>
        <v>60000</v>
      </c>
      <c r="AR214" s="1027"/>
    </row>
    <row r="215" spans="1:44" s="108" customFormat="1" ht="52" hidden="1" outlineLevel="3">
      <c r="A215" s="159"/>
      <c r="B215" s="702" t="s">
        <v>2488</v>
      </c>
      <c r="C215" s="702"/>
      <c r="D215" s="1374" t="s">
        <v>3461</v>
      </c>
      <c r="E215" s="533"/>
      <c r="F215" s="103"/>
      <c r="G215" s="97"/>
      <c r="H215" s="363"/>
      <c r="I215" s="364"/>
      <c r="J215" s="365"/>
      <c r="K215" s="365"/>
      <c r="L215" s="365"/>
      <c r="M215" s="365"/>
      <c r="N215" s="365"/>
      <c r="O215" s="365"/>
      <c r="P215" s="365"/>
      <c r="Q215" s="97"/>
      <c r="R215" s="364" t="str">
        <f>+'9.3_PA_Det'!$E$178</f>
        <v>3CV</v>
      </c>
      <c r="S215" s="364" t="s">
        <v>1075</v>
      </c>
      <c r="T215" s="364" t="s">
        <v>1430</v>
      </c>
      <c r="U215" s="364"/>
      <c r="V215" s="364"/>
      <c r="W215" s="1032"/>
      <c r="X215" s="97"/>
      <c r="Y215" s="711" t="s">
        <v>1267</v>
      </c>
      <c r="Z215" s="1461">
        <v>1</v>
      </c>
      <c r="AA215" s="1461">
        <v>6</v>
      </c>
      <c r="AB215" s="180"/>
      <c r="AC215" s="1032">
        <v>4000</v>
      </c>
      <c r="AD215" s="1032">
        <f>+AC215*Z215*AA215</f>
        <v>24000</v>
      </c>
      <c r="AE215" s="1462" t="s">
        <v>3462</v>
      </c>
      <c r="AF215" s="97"/>
      <c r="AG215" s="1032">
        <f>+AD215</f>
        <v>24000</v>
      </c>
      <c r="AH215" s="1032"/>
      <c r="AI215" s="1041">
        <f>AG215+AH215</f>
        <v>24000</v>
      </c>
      <c r="AJ215" s="867"/>
      <c r="AK215" s="986"/>
      <c r="AL215" s="986"/>
      <c r="AM215" s="986"/>
      <c r="AN215" s="987"/>
      <c r="AO215" s="1038"/>
      <c r="AP215" s="1038"/>
      <c r="AR215" s="1027"/>
    </row>
    <row r="216" spans="1:44" s="153" customFormat="1" ht="38" customHeight="1" outlineLevel="2" collapsed="1">
      <c r="A216" s="172"/>
      <c r="B216" s="171" t="s">
        <v>527</v>
      </c>
      <c r="C216" s="171"/>
      <c r="D216" s="538" t="s">
        <v>3280</v>
      </c>
      <c r="E216" s="538" t="s">
        <v>5</v>
      </c>
      <c r="F216" s="175" t="s">
        <v>3463</v>
      </c>
      <c r="G216" s="96"/>
      <c r="H216" s="357" t="e">
        <f>+'1_MdR_Limpia'!#REF!</f>
        <v>#REF!</v>
      </c>
      <c r="I216" s="357" t="e">
        <f>+'1_MdR_Limpia'!#REF!</f>
        <v>#REF!</v>
      </c>
      <c r="J216" s="357" t="e">
        <f>+'1_MdR_Limpia'!#REF!</f>
        <v>#REF!</v>
      </c>
      <c r="K216" s="357" t="e">
        <f>+'1_MdR_Limpia'!#REF!</f>
        <v>#REF!</v>
      </c>
      <c r="L216" s="357" t="e">
        <f>+'1_MdR_Limpia'!#REF!</f>
        <v>#REF!</v>
      </c>
      <c r="M216" s="357" t="e">
        <f>+'1_MdR_Limpia'!#REF!</f>
        <v>#REF!</v>
      </c>
      <c r="N216" s="357" t="e">
        <f>+'1_MdR_Limpia'!#REF!</f>
        <v>#REF!</v>
      </c>
      <c r="O216" s="357" t="e">
        <f>+'1_MdR_Limpia'!#REF!</f>
        <v>#REF!</v>
      </c>
      <c r="P216" s="357" t="e">
        <f>+'1_MdR_Limpia'!#REF!</f>
        <v>#REF!</v>
      </c>
      <c r="Q216" s="96"/>
      <c r="R216" s="854"/>
      <c r="S216" s="358"/>
      <c r="T216" s="358"/>
      <c r="U216" s="358"/>
      <c r="V216" s="358"/>
      <c r="W216" s="106"/>
      <c r="X216" s="96"/>
      <c r="Y216" s="106"/>
      <c r="Z216" s="172"/>
      <c r="AA216" s="172"/>
      <c r="AB216" s="171"/>
      <c r="AC216" s="176"/>
      <c r="AD216" s="176">
        <f>+AD218+AD226+AD217</f>
        <v>450000</v>
      </c>
      <c r="AE216" s="692"/>
      <c r="AF216" s="96"/>
      <c r="AG216" s="176">
        <f>+AG218+AG226</f>
        <v>434000</v>
      </c>
      <c r="AH216" s="176">
        <f>+AH218+AH226</f>
        <v>0</v>
      </c>
      <c r="AI216" s="176">
        <f>+AH216+AG216</f>
        <v>434000</v>
      </c>
      <c r="AJ216" s="865"/>
      <c r="AK216" s="176">
        <f>+AK218+AK226</f>
        <v>106800</v>
      </c>
      <c r="AL216" s="176">
        <f>+AL218+AL226</f>
        <v>96800</v>
      </c>
      <c r="AM216" s="176">
        <f>+AM218+AM226</f>
        <v>76800</v>
      </c>
      <c r="AN216" s="176">
        <f>+AN218+AN226</f>
        <v>76800</v>
      </c>
      <c r="AO216" s="176">
        <f>+AO218+AO226</f>
        <v>76800</v>
      </c>
      <c r="AP216" s="979">
        <f t="shared" si="9"/>
        <v>434000</v>
      </c>
      <c r="AR216" s="1027"/>
    </row>
    <row r="217" spans="1:44" s="108" customFormat="1" ht="38" hidden="1" customHeight="1" outlineLevel="3">
      <c r="A217" s="159"/>
      <c r="B217" s="702"/>
      <c r="C217" s="702" t="s">
        <v>1279</v>
      </c>
      <c r="D217" s="703" t="s">
        <v>2491</v>
      </c>
      <c r="E217" s="703"/>
      <c r="F217" s="177"/>
      <c r="G217" s="1552"/>
      <c r="H217" s="363"/>
      <c r="I217" s="363"/>
      <c r="J217" s="363"/>
      <c r="K217" s="363"/>
      <c r="L217" s="363"/>
      <c r="M217" s="363"/>
      <c r="N217" s="363"/>
      <c r="O217" s="363"/>
      <c r="P217" s="363"/>
      <c r="Q217" s="1552"/>
      <c r="R217" s="852"/>
      <c r="S217" s="852"/>
      <c r="T217" s="852" t="s">
        <v>1430</v>
      </c>
      <c r="U217" s="852"/>
      <c r="V217" s="852"/>
      <c r="W217" s="1444"/>
      <c r="X217" s="1552"/>
      <c r="Y217" s="1444" t="s">
        <v>1267</v>
      </c>
      <c r="Z217" s="1318" t="s">
        <v>494</v>
      </c>
      <c r="AA217" s="1318" t="s">
        <v>576</v>
      </c>
      <c r="AB217" s="1490"/>
      <c r="AC217" s="1553">
        <v>4000</v>
      </c>
      <c r="AD217" s="1553">
        <f>+Z217*AA217*AC217</f>
        <v>16000</v>
      </c>
      <c r="AE217" s="1235"/>
      <c r="AF217" s="1552"/>
      <c r="AG217" s="1553"/>
      <c r="AH217" s="1553"/>
      <c r="AI217" s="1553"/>
      <c r="AJ217" s="874"/>
      <c r="AK217" s="1553"/>
      <c r="AL217" s="1553"/>
      <c r="AM217" s="1553"/>
      <c r="AN217" s="1553"/>
      <c r="AO217" s="1553"/>
      <c r="AP217" s="1583"/>
      <c r="AR217" s="1027"/>
    </row>
    <row r="218" spans="1:44" s="108" customFormat="1" ht="41.5" hidden="1" customHeight="1" outlineLevel="3">
      <c r="A218" s="580"/>
      <c r="B218" s="107" t="s">
        <v>2490</v>
      </c>
      <c r="C218" s="702" t="s">
        <v>1279</v>
      </c>
      <c r="D218" s="533" t="s">
        <v>2493</v>
      </c>
      <c r="E218" s="533"/>
      <c r="F218" s="103"/>
      <c r="G218" s="3838"/>
      <c r="H218" s="363"/>
      <c r="I218" s="364"/>
      <c r="J218" s="365"/>
      <c r="K218" s="365"/>
      <c r="L218" s="365"/>
      <c r="M218" s="365"/>
      <c r="N218" s="365"/>
      <c r="O218" s="365"/>
      <c r="P218" s="365"/>
      <c r="Q218" s="3838"/>
      <c r="R218" s="3897" t="str">
        <f>+'9.3_PA_Det'!$E$82</f>
        <v>Selección Basada en Calidad y Costo</v>
      </c>
      <c r="S218" s="3897" t="s">
        <v>1075</v>
      </c>
      <c r="T218" s="3999" t="s">
        <v>3464</v>
      </c>
      <c r="U218" s="3897">
        <f>+'9.3_PA_Det'!$F$82</f>
        <v>28</v>
      </c>
      <c r="V218" s="852"/>
      <c r="W218" s="3903"/>
      <c r="X218" s="3838"/>
      <c r="Y218" s="3903" t="s">
        <v>1179</v>
      </c>
      <c r="Z218" s="3838">
        <v>1</v>
      </c>
      <c r="AA218" s="3838"/>
      <c r="AB218" s="3838"/>
      <c r="AC218" s="3906">
        <f>400000-AD217</f>
        <v>384000</v>
      </c>
      <c r="AD218" s="3906">
        <f>+Z218*AC218</f>
        <v>384000</v>
      </c>
      <c r="AE218" s="3900"/>
      <c r="AF218" s="3838"/>
      <c r="AG218" s="3906">
        <f>+AD218</f>
        <v>384000</v>
      </c>
      <c r="AH218" s="3906">
        <v>0</v>
      </c>
      <c r="AI218" s="3906">
        <f>+AG218+AH218</f>
        <v>384000</v>
      </c>
      <c r="AJ218" s="867"/>
      <c r="AK218" s="3874">
        <f>+$AG$218*20%</f>
        <v>76800</v>
      </c>
      <c r="AL218" s="3874">
        <f>+$AG$218*20%</f>
        <v>76800</v>
      </c>
      <c r="AM218" s="3874">
        <f>+$AG$218*20%</f>
        <v>76800</v>
      </c>
      <c r="AN218" s="3874">
        <f>+$AG$218*20%</f>
        <v>76800</v>
      </c>
      <c r="AO218" s="3874">
        <f>+$AG$218*20%</f>
        <v>76800</v>
      </c>
      <c r="AP218" s="3874">
        <f t="shared" si="9"/>
        <v>384000</v>
      </c>
      <c r="AR218" s="1027"/>
    </row>
    <row r="219" spans="1:44" s="108" customFormat="1" ht="27.5" hidden="1" customHeight="1" outlineLevel="3">
      <c r="A219" s="580"/>
      <c r="B219" s="107" t="s">
        <v>2492</v>
      </c>
      <c r="C219" s="702" t="s">
        <v>1279</v>
      </c>
      <c r="D219" s="533" t="s">
        <v>2495</v>
      </c>
      <c r="E219" s="533"/>
      <c r="F219" s="103"/>
      <c r="G219" s="3839"/>
      <c r="H219" s="363"/>
      <c r="I219" s="364"/>
      <c r="J219" s="365"/>
      <c r="K219" s="365"/>
      <c r="L219" s="365"/>
      <c r="M219" s="365"/>
      <c r="N219" s="365"/>
      <c r="O219" s="365"/>
      <c r="P219" s="365"/>
      <c r="Q219" s="3839"/>
      <c r="R219" s="3898"/>
      <c r="S219" s="3898"/>
      <c r="T219" s="4000"/>
      <c r="U219" s="3898"/>
      <c r="V219" s="1190"/>
      <c r="W219" s="3933"/>
      <c r="X219" s="3839"/>
      <c r="Y219" s="3933"/>
      <c r="Z219" s="3839"/>
      <c r="AA219" s="3839"/>
      <c r="AB219" s="3839"/>
      <c r="AC219" s="3907"/>
      <c r="AD219" s="3907" t="e">
        <f>SUM(#REF!)</f>
        <v>#REF!</v>
      </c>
      <c r="AE219" s="3901"/>
      <c r="AF219" s="3839"/>
      <c r="AG219" s="3907" t="e">
        <f>+AD219</f>
        <v>#REF!</v>
      </c>
      <c r="AH219" s="3907" t="e">
        <f>SUM(#REF!)</f>
        <v>#REF!</v>
      </c>
      <c r="AI219" s="3907" t="e">
        <f>SUM(#REF!)</f>
        <v>#REF!</v>
      </c>
      <c r="AJ219" s="867"/>
      <c r="AK219" s="3875"/>
      <c r="AL219" s="3875"/>
      <c r="AM219" s="3875"/>
      <c r="AN219" s="3875"/>
      <c r="AO219" s="3875"/>
      <c r="AP219" s="3875">
        <f t="shared" si="9"/>
        <v>0</v>
      </c>
      <c r="AR219" s="1027"/>
    </row>
    <row r="220" spans="1:44" s="108" customFormat="1" ht="27.5" hidden="1" customHeight="1" outlineLevel="3">
      <c r="A220" s="580"/>
      <c r="B220" s="107" t="s">
        <v>2494</v>
      </c>
      <c r="C220" s="702" t="s">
        <v>1279</v>
      </c>
      <c r="D220" s="533" t="s">
        <v>2497</v>
      </c>
      <c r="E220" s="533"/>
      <c r="F220" s="103"/>
      <c r="G220" s="3839"/>
      <c r="H220" s="363"/>
      <c r="I220" s="364"/>
      <c r="J220" s="365"/>
      <c r="K220" s="365"/>
      <c r="L220" s="365"/>
      <c r="M220" s="365"/>
      <c r="N220" s="365"/>
      <c r="O220" s="365"/>
      <c r="P220" s="365"/>
      <c r="Q220" s="3839"/>
      <c r="R220" s="3898"/>
      <c r="S220" s="3898"/>
      <c r="T220" s="4000"/>
      <c r="U220" s="3898"/>
      <c r="V220" s="1190"/>
      <c r="W220" s="3933"/>
      <c r="X220" s="3839"/>
      <c r="Y220" s="3933"/>
      <c r="Z220" s="3839"/>
      <c r="AA220" s="3839"/>
      <c r="AB220" s="3839"/>
      <c r="AC220" s="3907"/>
      <c r="AD220" s="3907"/>
      <c r="AE220" s="3901"/>
      <c r="AF220" s="3839"/>
      <c r="AG220" s="3907"/>
      <c r="AH220" s="3907"/>
      <c r="AI220" s="3907"/>
      <c r="AJ220" s="867"/>
      <c r="AK220" s="3875"/>
      <c r="AL220" s="3875"/>
      <c r="AM220" s="3875"/>
      <c r="AN220" s="3875"/>
      <c r="AO220" s="3875"/>
      <c r="AP220" s="3875">
        <f t="shared" si="9"/>
        <v>0</v>
      </c>
      <c r="AR220" s="1027"/>
    </row>
    <row r="221" spans="1:44" s="108" customFormat="1" ht="32" hidden="1" customHeight="1" outlineLevel="3">
      <c r="A221" s="776"/>
      <c r="B221" s="777" t="s">
        <v>2496</v>
      </c>
      <c r="C221" s="702" t="s">
        <v>1279</v>
      </c>
      <c r="D221" s="536" t="s">
        <v>2499</v>
      </c>
      <c r="E221" s="536"/>
      <c r="F221" s="103"/>
      <c r="G221" s="3839"/>
      <c r="H221" s="621"/>
      <c r="I221" s="837"/>
      <c r="J221" s="622"/>
      <c r="K221" s="622"/>
      <c r="L221" s="622"/>
      <c r="M221" s="622"/>
      <c r="N221" s="622"/>
      <c r="O221" s="622"/>
      <c r="P221" s="622"/>
      <c r="Q221" s="3839"/>
      <c r="R221" s="3898"/>
      <c r="S221" s="3898"/>
      <c r="T221" s="4000"/>
      <c r="U221" s="3898"/>
      <c r="V221" s="1190"/>
      <c r="W221" s="3933"/>
      <c r="X221" s="3839"/>
      <c r="Y221" s="3933"/>
      <c r="Z221" s="3839"/>
      <c r="AA221" s="3839"/>
      <c r="AB221" s="3839"/>
      <c r="AC221" s="3907"/>
      <c r="AD221" s="3907">
        <f>SUM(AD222:AD222)</f>
        <v>0</v>
      </c>
      <c r="AE221" s="3901"/>
      <c r="AF221" s="3839"/>
      <c r="AG221" s="3907">
        <f>+AD221</f>
        <v>0</v>
      </c>
      <c r="AH221" s="3907">
        <f>SUM(AH222:AH222)</f>
        <v>0</v>
      </c>
      <c r="AI221" s="3907">
        <f>SUM(AI222:AI222)</f>
        <v>0</v>
      </c>
      <c r="AJ221" s="867"/>
      <c r="AK221" s="3875"/>
      <c r="AL221" s="3875"/>
      <c r="AM221" s="3875"/>
      <c r="AN221" s="3875"/>
      <c r="AO221" s="3875"/>
      <c r="AP221" s="3875">
        <f t="shared" si="9"/>
        <v>0</v>
      </c>
      <c r="AR221" s="1027"/>
    </row>
    <row r="222" spans="1:44" s="108" customFormat="1" ht="27.5" hidden="1" customHeight="1" outlineLevel="4">
      <c r="A222" s="580"/>
      <c r="B222" s="107" t="s">
        <v>3465</v>
      </c>
      <c r="C222" s="702" t="s">
        <v>1279</v>
      </c>
      <c r="D222" s="1125" t="s">
        <v>2501</v>
      </c>
      <c r="E222" s="533"/>
      <c r="F222" s="103"/>
      <c r="G222" s="3839"/>
      <c r="H222" s="363"/>
      <c r="I222" s="364"/>
      <c r="J222" s="365"/>
      <c r="K222" s="365"/>
      <c r="L222" s="365"/>
      <c r="M222" s="365"/>
      <c r="N222" s="365"/>
      <c r="O222" s="365"/>
      <c r="P222" s="365"/>
      <c r="Q222" s="3839"/>
      <c r="R222" s="3898"/>
      <c r="S222" s="3898"/>
      <c r="T222" s="4000"/>
      <c r="U222" s="3898"/>
      <c r="V222" s="1190"/>
      <c r="W222" s="3933"/>
      <c r="X222" s="3839"/>
      <c r="Y222" s="3933"/>
      <c r="Z222" s="3839"/>
      <c r="AA222" s="3839"/>
      <c r="AB222" s="3839"/>
      <c r="AC222" s="3907"/>
      <c r="AD222" s="3907">
        <f>Z222*AC222</f>
        <v>0</v>
      </c>
      <c r="AE222" s="3901"/>
      <c r="AF222" s="3839"/>
      <c r="AG222" s="3907">
        <f>+AD222</f>
        <v>0</v>
      </c>
      <c r="AH222" s="3907"/>
      <c r="AI222" s="3907">
        <f>AG222+AH222</f>
        <v>0</v>
      </c>
      <c r="AJ222" s="867"/>
      <c r="AK222" s="3875"/>
      <c r="AL222" s="3875"/>
      <c r="AM222" s="3875"/>
      <c r="AN222" s="3875"/>
      <c r="AO222" s="3875"/>
      <c r="AP222" s="3875">
        <f t="shared" si="9"/>
        <v>0</v>
      </c>
      <c r="AR222" s="1027"/>
    </row>
    <row r="223" spans="1:44" s="108" customFormat="1" ht="14" hidden="1" customHeight="1" outlineLevel="4">
      <c r="A223" s="580"/>
      <c r="B223" s="107" t="s">
        <v>3466</v>
      </c>
      <c r="C223" s="702" t="s">
        <v>1279</v>
      </c>
      <c r="D223" s="1125" t="s">
        <v>2503</v>
      </c>
      <c r="E223" s="533"/>
      <c r="F223" s="103"/>
      <c r="G223" s="3839"/>
      <c r="H223" s="363"/>
      <c r="I223" s="364"/>
      <c r="J223" s="365"/>
      <c r="K223" s="365"/>
      <c r="L223" s="365"/>
      <c r="M223" s="365"/>
      <c r="N223" s="365"/>
      <c r="O223" s="365"/>
      <c r="P223" s="365"/>
      <c r="Q223" s="3839"/>
      <c r="R223" s="3898"/>
      <c r="S223" s="3898"/>
      <c r="T223" s="4000"/>
      <c r="U223" s="3898"/>
      <c r="V223" s="1190"/>
      <c r="W223" s="3933"/>
      <c r="X223" s="3839"/>
      <c r="Y223" s="3933"/>
      <c r="Z223" s="3839"/>
      <c r="AA223" s="3839"/>
      <c r="AB223" s="3839"/>
      <c r="AC223" s="3907"/>
      <c r="AD223" s="3907"/>
      <c r="AE223" s="3901"/>
      <c r="AF223" s="3839"/>
      <c r="AG223" s="3907"/>
      <c r="AH223" s="3907"/>
      <c r="AI223" s="3907"/>
      <c r="AJ223" s="867"/>
      <c r="AK223" s="3875"/>
      <c r="AL223" s="3875"/>
      <c r="AM223" s="3875"/>
      <c r="AN223" s="3875"/>
      <c r="AO223" s="3875"/>
      <c r="AP223" s="3875">
        <f t="shared" si="9"/>
        <v>0</v>
      </c>
      <c r="AR223" s="1027"/>
    </row>
    <row r="224" spans="1:44" s="108" customFormat="1" ht="14" hidden="1" customHeight="1" outlineLevel="4">
      <c r="A224" s="580"/>
      <c r="B224" s="107" t="s">
        <v>3467</v>
      </c>
      <c r="C224" s="702" t="s">
        <v>1279</v>
      </c>
      <c r="D224" s="1125" t="s">
        <v>2505</v>
      </c>
      <c r="E224" s="533"/>
      <c r="F224" s="103"/>
      <c r="G224" s="3839"/>
      <c r="H224" s="363"/>
      <c r="I224" s="364"/>
      <c r="J224" s="365"/>
      <c r="K224" s="365"/>
      <c r="L224" s="365"/>
      <c r="M224" s="365"/>
      <c r="N224" s="365"/>
      <c r="O224" s="365"/>
      <c r="P224" s="365"/>
      <c r="Q224" s="3839"/>
      <c r="R224" s="3898"/>
      <c r="S224" s="3898"/>
      <c r="T224" s="4000"/>
      <c r="U224" s="3898"/>
      <c r="V224" s="1190"/>
      <c r="W224" s="3933"/>
      <c r="X224" s="3839"/>
      <c r="Y224" s="3933"/>
      <c r="Z224" s="3839"/>
      <c r="AA224" s="3839"/>
      <c r="AB224" s="3839"/>
      <c r="AC224" s="3907"/>
      <c r="AD224" s="3907"/>
      <c r="AE224" s="3901"/>
      <c r="AF224" s="3839"/>
      <c r="AG224" s="3907"/>
      <c r="AH224" s="3907"/>
      <c r="AI224" s="3907"/>
      <c r="AJ224" s="867"/>
      <c r="AK224" s="3875"/>
      <c r="AL224" s="3875"/>
      <c r="AM224" s="3875"/>
      <c r="AN224" s="3875"/>
      <c r="AO224" s="3875"/>
      <c r="AP224" s="3875">
        <f t="shared" si="9"/>
        <v>0</v>
      </c>
      <c r="AR224" s="1027"/>
    </row>
    <row r="225" spans="1:44" s="108" customFormat="1" ht="27.5" hidden="1" customHeight="1" outlineLevel="3">
      <c r="A225" s="580"/>
      <c r="B225" s="107" t="s">
        <v>2498</v>
      </c>
      <c r="C225" s="702" t="s">
        <v>1279</v>
      </c>
      <c r="D225" s="703" t="s">
        <v>2507</v>
      </c>
      <c r="E225" s="533"/>
      <c r="F225" s="103"/>
      <c r="G225" s="3840"/>
      <c r="H225" s="363"/>
      <c r="I225" s="364"/>
      <c r="J225" s="365"/>
      <c r="K225" s="365"/>
      <c r="L225" s="365"/>
      <c r="M225" s="365"/>
      <c r="N225" s="365"/>
      <c r="O225" s="365"/>
      <c r="P225" s="365"/>
      <c r="Q225" s="3840"/>
      <c r="R225" s="3899"/>
      <c r="S225" s="3899"/>
      <c r="T225" s="4001"/>
      <c r="U225" s="3899"/>
      <c r="V225" s="951"/>
      <c r="W225" s="3934"/>
      <c r="X225" s="3840"/>
      <c r="Y225" s="3934"/>
      <c r="Z225" s="3840"/>
      <c r="AA225" s="3840"/>
      <c r="AB225" s="3840"/>
      <c r="AC225" s="3908"/>
      <c r="AD225" s="3908" t="e">
        <f>SUM(#REF!)</f>
        <v>#REF!</v>
      </c>
      <c r="AE225" s="3902"/>
      <c r="AF225" s="3840"/>
      <c r="AG225" s="3908" t="e">
        <f>+AD225</f>
        <v>#REF!</v>
      </c>
      <c r="AH225" s="3908" t="e">
        <f>SUM(#REF!)</f>
        <v>#REF!</v>
      </c>
      <c r="AI225" s="3908" t="e">
        <f>SUM(#REF!)</f>
        <v>#REF!</v>
      </c>
      <c r="AJ225" s="867"/>
      <c r="AK225" s="3876"/>
      <c r="AL225" s="3876"/>
      <c r="AM225" s="3876"/>
      <c r="AN225" s="3876"/>
      <c r="AO225" s="3876"/>
      <c r="AP225" s="3876">
        <f t="shared" si="9"/>
        <v>0</v>
      </c>
      <c r="AR225" s="1027"/>
    </row>
    <row r="226" spans="1:44" s="108" customFormat="1" ht="27.5" hidden="1" customHeight="1" outlineLevel="3">
      <c r="A226" s="580"/>
      <c r="B226" s="107" t="s">
        <v>2506</v>
      </c>
      <c r="C226" s="703"/>
      <c r="D226" s="703" t="s">
        <v>2509</v>
      </c>
      <c r="E226" s="533"/>
      <c r="F226" s="103"/>
      <c r="G226" s="765"/>
      <c r="H226" s="363"/>
      <c r="I226" s="364"/>
      <c r="J226" s="365"/>
      <c r="K226" s="365"/>
      <c r="L226" s="365"/>
      <c r="M226" s="365"/>
      <c r="N226" s="365"/>
      <c r="O226" s="365"/>
      <c r="P226" s="365"/>
      <c r="Q226" s="765"/>
      <c r="R226" s="951"/>
      <c r="S226" s="951"/>
      <c r="T226" s="951"/>
      <c r="U226" s="951"/>
      <c r="V226" s="951"/>
      <c r="W226" s="762"/>
      <c r="X226" s="765"/>
      <c r="Y226" s="762" t="s">
        <v>1179</v>
      </c>
      <c r="Z226" s="765">
        <v>1</v>
      </c>
      <c r="AA226" s="765"/>
      <c r="AB226" s="765"/>
      <c r="AC226" s="757">
        <v>50000</v>
      </c>
      <c r="AD226" s="757">
        <f>+AC226*Z226</f>
        <v>50000</v>
      </c>
      <c r="AE226" s="1406"/>
      <c r="AF226" s="765"/>
      <c r="AG226" s="757">
        <f>+AD226</f>
        <v>50000</v>
      </c>
      <c r="AH226" s="757"/>
      <c r="AI226" s="757">
        <f>+AG226+AH226</f>
        <v>50000</v>
      </c>
      <c r="AJ226" s="867"/>
      <c r="AK226" s="999">
        <v>30000</v>
      </c>
      <c r="AL226" s="999">
        <v>20000</v>
      </c>
      <c r="AM226" s="999"/>
      <c r="AN226" s="999"/>
      <c r="AO226" s="999"/>
      <c r="AP226" s="999"/>
      <c r="AR226" s="1027"/>
    </row>
    <row r="227" spans="1:44" s="108" customFormat="1" ht="14" customHeight="1" outlineLevel="2" collapsed="1">
      <c r="A227" s="580"/>
      <c r="B227" s="107"/>
      <c r="C227" s="107"/>
      <c r="D227" s="533"/>
      <c r="E227" s="533"/>
      <c r="F227" s="103"/>
      <c r="G227" s="765"/>
      <c r="H227" s="363"/>
      <c r="I227" s="364"/>
      <c r="J227" s="365"/>
      <c r="K227" s="365"/>
      <c r="L227" s="365"/>
      <c r="M227" s="365"/>
      <c r="N227" s="365"/>
      <c r="O227" s="365"/>
      <c r="P227" s="365"/>
      <c r="Q227" s="765"/>
      <c r="R227" s="364"/>
      <c r="S227" s="364"/>
      <c r="T227" s="364"/>
      <c r="U227" s="364"/>
      <c r="V227" s="364"/>
      <c r="W227" s="181"/>
      <c r="X227" s="765"/>
      <c r="Y227" s="765"/>
      <c r="Z227" s="765"/>
      <c r="AA227" s="765"/>
      <c r="AB227" s="765"/>
      <c r="AC227" s="757"/>
      <c r="AD227" s="757"/>
      <c r="AE227" s="765"/>
      <c r="AF227" s="765"/>
      <c r="AG227" s="1032"/>
      <c r="AH227" s="1032"/>
      <c r="AI227" s="1041"/>
      <c r="AJ227" s="867"/>
      <c r="AK227" s="999"/>
      <c r="AL227" s="999"/>
      <c r="AM227" s="999"/>
      <c r="AN227" s="999"/>
      <c r="AO227" s="999"/>
      <c r="AP227" s="999">
        <f t="shared" si="9"/>
        <v>0</v>
      </c>
      <c r="AR227" s="1027"/>
    </row>
    <row r="228" spans="1:44" s="153" customFormat="1" ht="15" outlineLevel="1">
      <c r="A228" s="578"/>
      <c r="B228" s="428" t="s">
        <v>529</v>
      </c>
      <c r="C228" s="428"/>
      <c r="D228" s="539" t="s">
        <v>268</v>
      </c>
      <c r="E228" s="539"/>
      <c r="F228" s="427"/>
      <c r="G228" s="96"/>
      <c r="H228" s="429"/>
      <c r="I228" s="425"/>
      <c r="J228" s="430"/>
      <c r="K228" s="430"/>
      <c r="L228" s="430"/>
      <c r="M228" s="430"/>
      <c r="N228" s="430"/>
      <c r="O228" s="430"/>
      <c r="P228" s="430"/>
      <c r="Q228" s="96"/>
      <c r="R228" s="850"/>
      <c r="S228" s="850"/>
      <c r="T228" s="850"/>
      <c r="U228" s="850"/>
      <c r="V228" s="850"/>
      <c r="W228" s="431"/>
      <c r="X228" s="96"/>
      <c r="Y228" s="426"/>
      <c r="Z228" s="425"/>
      <c r="AA228" s="425"/>
      <c r="AB228" s="432"/>
      <c r="AC228" s="433"/>
      <c r="AD228" s="433">
        <f>+AD229+AD241+AD252+AD259</f>
        <v>1072500</v>
      </c>
      <c r="AE228" s="685"/>
      <c r="AF228" s="96"/>
      <c r="AG228" s="433">
        <f>+AG229+AG241+AG252+AG259</f>
        <v>982500</v>
      </c>
      <c r="AH228" s="433">
        <f>+AH229+AH241+AH252+AH259</f>
        <v>0</v>
      </c>
      <c r="AI228" s="433">
        <f>+AI229+AI241+AI252+AI259</f>
        <v>950000</v>
      </c>
      <c r="AJ228" s="865"/>
      <c r="AK228" s="977">
        <f>+AK229+AK241+AK252</f>
        <v>230000</v>
      </c>
      <c r="AL228" s="977">
        <f>+AL229+AL241+AL252</f>
        <v>185000</v>
      </c>
      <c r="AM228" s="977">
        <f>+AM229+AM241+AM252</f>
        <v>65000</v>
      </c>
      <c r="AN228" s="978">
        <f>+AN229+AN241+AN252</f>
        <v>65000</v>
      </c>
      <c r="AO228" s="976">
        <f>+AO229+AO241+AO252</f>
        <v>55000</v>
      </c>
      <c r="AP228" s="976">
        <f t="shared" si="9"/>
        <v>600000</v>
      </c>
      <c r="AR228" s="1027"/>
    </row>
    <row r="229" spans="1:44" s="153" customFormat="1" ht="27.5" customHeight="1" outlineLevel="2" collapsed="1">
      <c r="A229" s="172"/>
      <c r="B229" s="171" t="s">
        <v>530</v>
      </c>
      <c r="C229" s="171"/>
      <c r="D229" s="538" t="s">
        <v>3288</v>
      </c>
      <c r="E229" s="538" t="s">
        <v>5</v>
      </c>
      <c r="F229" s="106" t="s">
        <v>3468</v>
      </c>
      <c r="G229" s="96"/>
      <c r="H229" s="357" t="e">
        <f>+'1_MdR_Limpia'!#REF!</f>
        <v>#REF!</v>
      </c>
      <c r="I229" s="357" t="e">
        <f>+'1_MdR_Limpia'!#REF!</f>
        <v>#REF!</v>
      </c>
      <c r="J229" s="357" t="e">
        <f>+'1_MdR_Limpia'!#REF!</f>
        <v>#REF!</v>
      </c>
      <c r="K229" s="357" t="e">
        <f>+'1_MdR_Limpia'!#REF!</f>
        <v>#REF!</v>
      </c>
      <c r="L229" s="357" t="e">
        <f>+'1_MdR_Limpia'!#REF!</f>
        <v>#REF!</v>
      </c>
      <c r="M229" s="357" t="e">
        <f>+'1_MdR_Limpia'!#REF!</f>
        <v>#REF!</v>
      </c>
      <c r="N229" s="357" t="e">
        <f>+'1_MdR_Limpia'!#REF!</f>
        <v>#REF!</v>
      </c>
      <c r="O229" s="357" t="e">
        <f>+'1_MdR_Limpia'!#REF!</f>
        <v>#REF!</v>
      </c>
      <c r="P229" s="357" t="e">
        <f>+'1_MdR_Limpia'!#REF!</f>
        <v>#REF!</v>
      </c>
      <c r="Q229" s="96"/>
      <c r="R229" s="854"/>
      <c r="S229" s="358"/>
      <c r="T229" s="358"/>
      <c r="U229" s="358"/>
      <c r="V229" s="358"/>
      <c r="W229" s="106"/>
      <c r="X229" s="96"/>
      <c r="Y229" s="106"/>
      <c r="Z229" s="172"/>
      <c r="AA229" s="172"/>
      <c r="AB229" s="171"/>
      <c r="AC229" s="176"/>
      <c r="AD229" s="176">
        <f>+AD231+AD238</f>
        <v>350000</v>
      </c>
      <c r="AE229" s="692"/>
      <c r="AF229" s="96"/>
      <c r="AG229" s="176">
        <f>+AG231+AG238</f>
        <v>350000</v>
      </c>
      <c r="AH229" s="176">
        <f>+AH231+AH238</f>
        <v>0</v>
      </c>
      <c r="AI229" s="176">
        <f>+AI231+AI238</f>
        <v>350000</v>
      </c>
      <c r="AJ229" s="865"/>
      <c r="AK229" s="980">
        <f>+AK231+AK238</f>
        <v>30000</v>
      </c>
      <c r="AL229" s="980">
        <f>+AL231+AL238</f>
        <v>30000</v>
      </c>
      <c r="AM229" s="980">
        <f>+AM231+AM238</f>
        <v>50000</v>
      </c>
      <c r="AN229" s="981">
        <f>+AN231+AN238</f>
        <v>50000</v>
      </c>
      <c r="AO229" s="979">
        <f>+AO231+AO238</f>
        <v>40000</v>
      </c>
      <c r="AP229" s="979">
        <f t="shared" si="9"/>
        <v>200000</v>
      </c>
      <c r="AR229" s="1027"/>
    </row>
    <row r="230" spans="1:44" s="153" customFormat="1" ht="27.5" hidden="1" customHeight="1" outlineLevel="3">
      <c r="A230" s="704"/>
      <c r="B230" s="354"/>
      <c r="C230" s="354"/>
      <c r="D230" s="1547" t="s">
        <v>2510</v>
      </c>
      <c r="E230" s="1547"/>
      <c r="F230" s="173"/>
      <c r="G230" s="1259"/>
      <c r="H230" s="366"/>
      <c r="I230" s="366"/>
      <c r="J230" s="366"/>
      <c r="K230" s="366"/>
      <c r="L230" s="366"/>
      <c r="M230" s="366"/>
      <c r="N230" s="366"/>
      <c r="O230" s="366"/>
      <c r="P230" s="366"/>
      <c r="Q230" s="1259"/>
      <c r="R230" s="852"/>
      <c r="S230" s="1207"/>
      <c r="T230" s="1207"/>
      <c r="U230" s="1207"/>
      <c r="V230" s="1207"/>
      <c r="W230" s="1548"/>
      <c r="X230" s="1259"/>
      <c r="Y230" s="1548"/>
      <c r="Z230" s="1549"/>
      <c r="AA230" s="1549"/>
      <c r="AB230" s="1550"/>
      <c r="AC230" s="1551"/>
      <c r="AD230" s="1551"/>
      <c r="AE230" s="1580"/>
      <c r="AF230" s="1259"/>
      <c r="AG230" s="1551"/>
      <c r="AH230" s="1551"/>
      <c r="AI230" s="1551"/>
      <c r="AJ230" s="1590"/>
      <c r="AK230" s="1591"/>
      <c r="AL230" s="1591"/>
      <c r="AM230" s="1591"/>
      <c r="AN230" s="1592"/>
      <c r="AO230" s="1581"/>
      <c r="AP230" s="1581"/>
      <c r="AR230" s="1027"/>
    </row>
    <row r="231" spans="1:44" s="108" customFormat="1" ht="27.5" hidden="1" customHeight="1" outlineLevel="3">
      <c r="A231" s="159"/>
      <c r="B231" s="702" t="s">
        <v>2511</v>
      </c>
      <c r="C231" s="702"/>
      <c r="D231" s="703" t="s">
        <v>2512</v>
      </c>
      <c r="E231" s="533"/>
      <c r="F231" s="103"/>
      <c r="G231" s="3903"/>
      <c r="H231" s="363"/>
      <c r="I231" s="364"/>
      <c r="J231" s="365"/>
      <c r="K231" s="365"/>
      <c r="L231" s="365"/>
      <c r="M231" s="365"/>
      <c r="N231" s="365"/>
      <c r="O231" s="365"/>
      <c r="P231" s="365"/>
      <c r="Q231" s="3903"/>
      <c r="R231" s="3897" t="s">
        <v>853</v>
      </c>
      <c r="S231" s="3897" t="s">
        <v>1075</v>
      </c>
      <c r="T231" s="3969" t="s">
        <v>3384</v>
      </c>
      <c r="U231" s="3897">
        <f>+'9.3_PA_Det'!$F$89</f>
        <v>29</v>
      </c>
      <c r="V231" s="3897"/>
      <c r="W231" s="3838"/>
      <c r="X231" s="3903"/>
      <c r="Y231" s="3838" t="s">
        <v>1179</v>
      </c>
      <c r="Z231" s="3841">
        <v>1</v>
      </c>
      <c r="AA231" s="3841"/>
      <c r="AB231" s="3841"/>
      <c r="AC231" s="3844">
        <v>200000</v>
      </c>
      <c r="AD231" s="3844">
        <f>Z231*AC231</f>
        <v>200000</v>
      </c>
      <c r="AE231" s="3838"/>
      <c r="AF231" s="3903"/>
      <c r="AG231" s="3844">
        <f>+AD231</f>
        <v>200000</v>
      </c>
      <c r="AH231" s="3844"/>
      <c r="AI231" s="3844">
        <f>AG231+AH231</f>
        <v>200000</v>
      </c>
      <c r="AJ231" s="3844"/>
      <c r="AK231" s="3844">
        <f>+$AG$231*15%</f>
        <v>30000</v>
      </c>
      <c r="AL231" s="3844">
        <f>+$AG$231*15%</f>
        <v>30000</v>
      </c>
      <c r="AM231" s="3844">
        <f>+$AG$231*25%</f>
        <v>50000</v>
      </c>
      <c r="AN231" s="3844">
        <f>+$AG$231*25%</f>
        <v>50000</v>
      </c>
      <c r="AO231" s="3844">
        <f>+$AG$231*20%</f>
        <v>40000</v>
      </c>
      <c r="AP231" s="3844">
        <f t="shared" ref="AP231:AP236" si="12">SUM(AK231:AO231)</f>
        <v>200000</v>
      </c>
      <c r="AR231" s="1027"/>
    </row>
    <row r="232" spans="1:44" s="108" customFormat="1" ht="27.5" hidden="1" customHeight="1" outlineLevel="3">
      <c r="A232" s="159"/>
      <c r="B232" s="702" t="s">
        <v>2513</v>
      </c>
      <c r="C232" s="702"/>
      <c r="D232" s="703" t="s">
        <v>2514</v>
      </c>
      <c r="E232" s="533"/>
      <c r="F232" s="103"/>
      <c r="G232" s="3933"/>
      <c r="H232" s="363"/>
      <c r="I232" s="364"/>
      <c r="J232" s="365"/>
      <c r="K232" s="365"/>
      <c r="L232" s="365"/>
      <c r="M232" s="365"/>
      <c r="N232" s="365"/>
      <c r="O232" s="365"/>
      <c r="P232" s="365"/>
      <c r="Q232" s="3933"/>
      <c r="R232" s="3898"/>
      <c r="S232" s="3898"/>
      <c r="T232" s="3970"/>
      <c r="U232" s="3898"/>
      <c r="V232" s="3898"/>
      <c r="W232" s="3839"/>
      <c r="X232" s="3933"/>
      <c r="Y232" s="3839"/>
      <c r="Z232" s="3842"/>
      <c r="AA232" s="3842"/>
      <c r="AB232" s="3842"/>
      <c r="AC232" s="3845"/>
      <c r="AD232" s="3845"/>
      <c r="AE232" s="3839"/>
      <c r="AF232" s="3933"/>
      <c r="AG232" s="3845"/>
      <c r="AH232" s="3845"/>
      <c r="AI232" s="3845"/>
      <c r="AJ232" s="3845"/>
      <c r="AK232" s="3845"/>
      <c r="AL232" s="3845"/>
      <c r="AM232" s="3845"/>
      <c r="AN232" s="3845"/>
      <c r="AO232" s="3845"/>
      <c r="AP232" s="3845">
        <f t="shared" si="12"/>
        <v>0</v>
      </c>
      <c r="AR232" s="1027"/>
    </row>
    <row r="233" spans="1:44" s="153" customFormat="1" ht="27.5" hidden="1" customHeight="1" outlineLevel="3">
      <c r="A233" s="397"/>
      <c r="B233" s="395" t="s">
        <v>2515</v>
      </c>
      <c r="C233" s="395"/>
      <c r="D233" s="1250" t="s">
        <v>2516</v>
      </c>
      <c r="E233" s="1249"/>
      <c r="F233" s="1495"/>
      <c r="G233" s="3933"/>
      <c r="H233" s="401"/>
      <c r="I233" s="851"/>
      <c r="J233" s="402"/>
      <c r="K233" s="402"/>
      <c r="L233" s="402"/>
      <c r="M233" s="402"/>
      <c r="N233" s="402"/>
      <c r="O233" s="402"/>
      <c r="P233" s="402"/>
      <c r="Q233" s="3933"/>
      <c r="R233" s="3898"/>
      <c r="S233" s="3898"/>
      <c r="T233" s="3970"/>
      <c r="U233" s="3898"/>
      <c r="V233" s="3898"/>
      <c r="W233" s="3839"/>
      <c r="X233" s="3933"/>
      <c r="Y233" s="3839"/>
      <c r="Z233" s="3842"/>
      <c r="AA233" s="3842"/>
      <c r="AB233" s="3842"/>
      <c r="AC233" s="3845"/>
      <c r="AD233" s="3845"/>
      <c r="AE233" s="3839"/>
      <c r="AF233" s="3933"/>
      <c r="AG233" s="3845"/>
      <c r="AH233" s="3845"/>
      <c r="AI233" s="3845"/>
      <c r="AJ233" s="3845"/>
      <c r="AK233" s="3845"/>
      <c r="AL233" s="3845"/>
      <c r="AM233" s="3845"/>
      <c r="AN233" s="3845"/>
      <c r="AO233" s="3845"/>
      <c r="AP233" s="3845">
        <f t="shared" si="12"/>
        <v>0</v>
      </c>
      <c r="AR233" s="968"/>
    </row>
    <row r="234" spans="1:44" s="108" customFormat="1" ht="14.5" hidden="1" customHeight="1" outlineLevel="4">
      <c r="A234" s="159"/>
      <c r="B234" s="702" t="s">
        <v>2517</v>
      </c>
      <c r="C234" s="702"/>
      <c r="D234" s="703" t="s">
        <v>2518</v>
      </c>
      <c r="E234" s="533"/>
      <c r="F234" s="103"/>
      <c r="G234" s="3933"/>
      <c r="H234" s="363"/>
      <c r="I234" s="364"/>
      <c r="J234" s="365"/>
      <c r="K234" s="365"/>
      <c r="L234" s="365"/>
      <c r="M234" s="365"/>
      <c r="N234" s="365"/>
      <c r="O234" s="365"/>
      <c r="P234" s="365"/>
      <c r="Q234" s="3933"/>
      <c r="R234" s="3898"/>
      <c r="S234" s="3898"/>
      <c r="T234" s="3970"/>
      <c r="U234" s="3898"/>
      <c r="V234" s="3898"/>
      <c r="W234" s="3839"/>
      <c r="X234" s="3933"/>
      <c r="Y234" s="3839"/>
      <c r="Z234" s="3842"/>
      <c r="AA234" s="3842"/>
      <c r="AB234" s="3842"/>
      <c r="AC234" s="3845"/>
      <c r="AD234" s="3845"/>
      <c r="AE234" s="3839"/>
      <c r="AF234" s="3933"/>
      <c r="AG234" s="3845"/>
      <c r="AH234" s="3845"/>
      <c r="AI234" s="3845"/>
      <c r="AJ234" s="3845"/>
      <c r="AK234" s="3845"/>
      <c r="AL234" s="3845"/>
      <c r="AM234" s="3845"/>
      <c r="AN234" s="3845"/>
      <c r="AO234" s="3845"/>
      <c r="AP234" s="3845">
        <f t="shared" si="12"/>
        <v>0</v>
      </c>
      <c r="AR234" s="1027"/>
    </row>
    <row r="235" spans="1:44" s="108" customFormat="1" ht="14.25" hidden="1" customHeight="1" outlineLevel="4">
      <c r="A235" s="159"/>
      <c r="B235" s="702" t="s">
        <v>2519</v>
      </c>
      <c r="C235" s="702"/>
      <c r="D235" s="703" t="s">
        <v>2520</v>
      </c>
      <c r="E235" s="533"/>
      <c r="F235" s="103"/>
      <c r="G235" s="3933"/>
      <c r="H235" s="363"/>
      <c r="I235" s="364"/>
      <c r="J235" s="365"/>
      <c r="K235" s="365"/>
      <c r="L235" s="365"/>
      <c r="M235" s="365"/>
      <c r="N235" s="365"/>
      <c r="O235" s="365"/>
      <c r="P235" s="365"/>
      <c r="Q235" s="3933"/>
      <c r="R235" s="3898"/>
      <c r="S235" s="3898"/>
      <c r="T235" s="3970"/>
      <c r="U235" s="3898"/>
      <c r="V235" s="3898"/>
      <c r="W235" s="3839"/>
      <c r="X235" s="3933"/>
      <c r="Y235" s="3839"/>
      <c r="Z235" s="3842"/>
      <c r="AA235" s="3842"/>
      <c r="AB235" s="3842"/>
      <c r="AC235" s="3845"/>
      <c r="AD235" s="3845"/>
      <c r="AE235" s="3839"/>
      <c r="AF235" s="3933"/>
      <c r="AG235" s="3845"/>
      <c r="AH235" s="3845"/>
      <c r="AI235" s="3845"/>
      <c r="AJ235" s="3845"/>
      <c r="AK235" s="3845"/>
      <c r="AL235" s="3845"/>
      <c r="AM235" s="3845"/>
      <c r="AN235" s="3845"/>
      <c r="AO235" s="3845"/>
      <c r="AP235" s="3845">
        <f t="shared" si="12"/>
        <v>0</v>
      </c>
      <c r="AR235" s="1027"/>
    </row>
    <row r="236" spans="1:44" s="108" customFormat="1" ht="14.5" hidden="1" customHeight="1" outlineLevel="4">
      <c r="A236" s="159"/>
      <c r="B236" s="702" t="s">
        <v>2521</v>
      </c>
      <c r="C236" s="702"/>
      <c r="D236" s="703" t="s">
        <v>2522</v>
      </c>
      <c r="E236" s="533"/>
      <c r="F236" s="103"/>
      <c r="G236" s="3934"/>
      <c r="H236" s="363"/>
      <c r="I236" s="364"/>
      <c r="J236" s="365"/>
      <c r="K236" s="365"/>
      <c r="L236" s="365"/>
      <c r="M236" s="365"/>
      <c r="N236" s="365"/>
      <c r="O236" s="365"/>
      <c r="P236" s="365"/>
      <c r="Q236" s="3934"/>
      <c r="R236" s="3898"/>
      <c r="S236" s="3899"/>
      <c r="T236" s="3970"/>
      <c r="U236" s="3899"/>
      <c r="V236" s="3898"/>
      <c r="W236" s="3839"/>
      <c r="X236" s="3934"/>
      <c r="Y236" s="3839"/>
      <c r="Z236" s="3842"/>
      <c r="AA236" s="3842"/>
      <c r="AB236" s="3842"/>
      <c r="AC236" s="3845"/>
      <c r="AD236" s="3845"/>
      <c r="AE236" s="3839"/>
      <c r="AF236" s="3934"/>
      <c r="AG236" s="3845"/>
      <c r="AH236" s="3845"/>
      <c r="AI236" s="3845"/>
      <c r="AJ236" s="3845"/>
      <c r="AK236" s="3845"/>
      <c r="AL236" s="3845"/>
      <c r="AM236" s="3845"/>
      <c r="AN236" s="3845"/>
      <c r="AO236" s="3845"/>
      <c r="AP236" s="3845">
        <f t="shared" si="12"/>
        <v>0</v>
      </c>
      <c r="AR236" s="1027"/>
    </row>
    <row r="237" spans="1:44" s="108" customFormat="1" ht="14.5" hidden="1" customHeight="1" outlineLevel="4">
      <c r="A237" s="159"/>
      <c r="B237" s="702" t="s">
        <v>2523</v>
      </c>
      <c r="C237" s="702"/>
      <c r="D237" s="703" t="s">
        <v>2524</v>
      </c>
      <c r="E237" s="533"/>
      <c r="F237" s="103"/>
      <c r="G237" s="762"/>
      <c r="H237" s="363"/>
      <c r="I237" s="364"/>
      <c r="J237" s="365"/>
      <c r="K237" s="365"/>
      <c r="L237" s="365"/>
      <c r="M237" s="365"/>
      <c r="N237" s="365"/>
      <c r="O237" s="365"/>
      <c r="P237" s="365"/>
      <c r="Q237" s="762"/>
      <c r="R237" s="3898"/>
      <c r="S237" s="951"/>
      <c r="T237" s="3970"/>
      <c r="U237" s="951"/>
      <c r="V237" s="3898"/>
      <c r="W237" s="3839"/>
      <c r="X237" s="762"/>
      <c r="Y237" s="3840"/>
      <c r="Z237" s="3843"/>
      <c r="AA237" s="3843"/>
      <c r="AB237" s="3843"/>
      <c r="AC237" s="3846"/>
      <c r="AD237" s="3846"/>
      <c r="AE237" s="3840"/>
      <c r="AF237" s="762"/>
      <c r="AG237" s="3846"/>
      <c r="AH237" s="3846"/>
      <c r="AI237" s="3846"/>
      <c r="AJ237" s="3846"/>
      <c r="AK237" s="3846"/>
      <c r="AL237" s="3846"/>
      <c r="AM237" s="3846"/>
      <c r="AN237" s="3846"/>
      <c r="AO237" s="3846"/>
      <c r="AP237" s="3846"/>
      <c r="AR237" s="1027"/>
    </row>
    <row r="238" spans="1:44" s="108" customFormat="1" ht="30" hidden="1" outlineLevel="3">
      <c r="A238" s="159"/>
      <c r="B238" s="702" t="s">
        <v>2525</v>
      </c>
      <c r="C238" s="702"/>
      <c r="D238" s="703" t="s">
        <v>2526</v>
      </c>
      <c r="E238" s="533"/>
      <c r="F238" s="103"/>
      <c r="G238" s="762"/>
      <c r="H238" s="363"/>
      <c r="I238" s="364"/>
      <c r="J238" s="365"/>
      <c r="K238" s="365"/>
      <c r="L238" s="365"/>
      <c r="M238" s="365"/>
      <c r="N238" s="365"/>
      <c r="O238" s="365"/>
      <c r="P238" s="365"/>
      <c r="Q238" s="762"/>
      <c r="R238" s="3898"/>
      <c r="S238" s="951"/>
      <c r="T238" s="3970"/>
      <c r="U238" s="951"/>
      <c r="V238" s="3898"/>
      <c r="W238" s="3839"/>
      <c r="X238" s="762"/>
      <c r="Y238" s="3838" t="s">
        <v>1179</v>
      </c>
      <c r="Z238" s="3841">
        <v>1</v>
      </c>
      <c r="AA238" s="3841"/>
      <c r="AB238" s="3841"/>
      <c r="AC238" s="3844">
        <v>150000</v>
      </c>
      <c r="AD238" s="3844">
        <f>+AC238*Z238</f>
        <v>150000</v>
      </c>
      <c r="AE238" s="3838"/>
      <c r="AF238" s="762"/>
      <c r="AG238" s="1407">
        <f>+AD238</f>
        <v>150000</v>
      </c>
      <c r="AH238" s="1407"/>
      <c r="AI238" s="1407">
        <f>+AH238+AG238</f>
        <v>150000</v>
      </c>
      <c r="AJ238" s="867"/>
      <c r="AK238" s="1005"/>
      <c r="AL238" s="1005"/>
      <c r="AM238" s="1005"/>
      <c r="AN238" s="1005"/>
      <c r="AO238" s="1005"/>
      <c r="AP238" s="1005"/>
      <c r="AR238" s="1027"/>
    </row>
    <row r="239" spans="1:44" s="108" customFormat="1" ht="15" hidden="1" outlineLevel="3">
      <c r="A239" s="159"/>
      <c r="B239" s="702" t="s">
        <v>2527</v>
      </c>
      <c r="C239" s="702"/>
      <c r="D239" s="703" t="s">
        <v>3469</v>
      </c>
      <c r="E239" s="533"/>
      <c r="F239" s="103"/>
      <c r="G239" s="762"/>
      <c r="H239" s="363"/>
      <c r="I239" s="364"/>
      <c r="J239" s="365"/>
      <c r="K239" s="365"/>
      <c r="L239" s="365"/>
      <c r="M239" s="365"/>
      <c r="N239" s="365"/>
      <c r="O239" s="365"/>
      <c r="P239" s="365"/>
      <c r="Q239" s="762"/>
      <c r="R239" s="3899"/>
      <c r="S239" s="951"/>
      <c r="T239" s="3971"/>
      <c r="U239" s="951"/>
      <c r="V239" s="3899"/>
      <c r="W239" s="3840"/>
      <c r="X239" s="762"/>
      <c r="Y239" s="3840"/>
      <c r="Z239" s="3843"/>
      <c r="AA239" s="3843"/>
      <c r="AB239" s="3843"/>
      <c r="AC239" s="3846"/>
      <c r="AD239" s="3846"/>
      <c r="AE239" s="3840"/>
      <c r="AF239" s="762"/>
      <c r="AG239" s="1407"/>
      <c r="AH239" s="1407"/>
      <c r="AI239" s="1407"/>
      <c r="AJ239" s="867"/>
      <c r="AK239" s="1005"/>
      <c r="AL239" s="1005"/>
      <c r="AM239" s="1005"/>
      <c r="AN239" s="1005"/>
      <c r="AO239" s="1005"/>
      <c r="AP239" s="1005"/>
      <c r="AR239" s="1027"/>
    </row>
    <row r="240" spans="1:44" s="108" customFormat="1" ht="14" hidden="1" customHeight="1" outlineLevel="3">
      <c r="A240" s="159"/>
      <c r="B240" s="702"/>
      <c r="C240" s="702"/>
      <c r="D240" s="533"/>
      <c r="E240" s="533"/>
      <c r="F240" s="103"/>
      <c r="G240" s="762"/>
      <c r="H240" s="363"/>
      <c r="I240" s="364"/>
      <c r="J240" s="365"/>
      <c r="K240" s="365"/>
      <c r="L240" s="365"/>
      <c r="M240" s="365"/>
      <c r="N240" s="365"/>
      <c r="O240" s="365"/>
      <c r="P240" s="365"/>
      <c r="Q240" s="762"/>
      <c r="R240" s="364"/>
      <c r="S240" s="364"/>
      <c r="T240" s="364"/>
      <c r="U240" s="364"/>
      <c r="V240" s="364"/>
      <c r="W240" s="181"/>
      <c r="X240" s="762"/>
      <c r="Y240" s="533"/>
      <c r="Z240" s="533"/>
      <c r="AA240" s="533"/>
      <c r="AB240" s="533"/>
      <c r="AC240" s="533"/>
      <c r="AD240" s="533"/>
      <c r="AE240" s="533"/>
      <c r="AF240" s="762"/>
      <c r="AG240" s="1032"/>
      <c r="AH240" s="1032"/>
      <c r="AI240" s="1041"/>
      <c r="AJ240" s="867"/>
      <c r="AK240" s="728"/>
      <c r="AL240" s="728"/>
      <c r="AM240" s="728"/>
      <c r="AN240" s="728"/>
      <c r="AO240" s="728"/>
      <c r="AP240" s="728">
        <f>SUM(AK240:AO240)</f>
        <v>0</v>
      </c>
      <c r="AR240" s="1027"/>
    </row>
    <row r="241" spans="1:52" s="153" customFormat="1" ht="27.5" customHeight="1" outlineLevel="2" collapsed="1">
      <c r="A241" s="172"/>
      <c r="B241" s="171" t="s">
        <v>533</v>
      </c>
      <c r="C241" s="171"/>
      <c r="D241" s="1601" t="s">
        <v>3291</v>
      </c>
      <c r="E241" s="538" t="s">
        <v>5</v>
      </c>
      <c r="F241" s="106" t="s">
        <v>3470</v>
      </c>
      <c r="G241" s="96"/>
      <c r="H241" s="357" t="e">
        <f>+'1_MdR_Limpia'!#REF!</f>
        <v>#REF!</v>
      </c>
      <c r="I241" s="357" t="e">
        <f>+'1_MdR_Limpia'!#REF!</f>
        <v>#REF!</v>
      </c>
      <c r="J241" s="357" t="e">
        <f>+'1_MdR_Limpia'!#REF!</f>
        <v>#REF!</v>
      </c>
      <c r="K241" s="357" t="e">
        <f>+'1_MdR_Limpia'!#REF!</f>
        <v>#REF!</v>
      </c>
      <c r="L241" s="357" t="e">
        <f>+'1_MdR_Limpia'!#REF!</f>
        <v>#REF!</v>
      </c>
      <c r="M241" s="357" t="e">
        <f>+'1_MdR_Limpia'!#REF!</f>
        <v>#REF!</v>
      </c>
      <c r="N241" s="357" t="e">
        <f>+'1_MdR_Limpia'!#REF!</f>
        <v>#REF!</v>
      </c>
      <c r="O241" s="357" t="e">
        <f>+'1_MdR_Limpia'!#REF!</f>
        <v>#REF!</v>
      </c>
      <c r="P241" s="357" t="e">
        <f>+'1_MdR_Limpia'!#REF!</f>
        <v>#REF!</v>
      </c>
      <c r="Q241" s="96"/>
      <c r="R241" s="854"/>
      <c r="S241" s="358"/>
      <c r="T241" s="358"/>
      <c r="U241" s="358"/>
      <c r="V241" s="358"/>
      <c r="W241" s="106"/>
      <c r="X241" s="96"/>
      <c r="Y241" s="106"/>
      <c r="Z241" s="172"/>
      <c r="AA241" s="172"/>
      <c r="AB241" s="171"/>
      <c r="AC241" s="176"/>
      <c r="AD241" s="176">
        <f>SUM(AD242:AD251)</f>
        <v>292500</v>
      </c>
      <c r="AE241" s="692"/>
      <c r="AF241" s="96"/>
      <c r="AG241" s="176">
        <f>SUM(AG242:AG251)</f>
        <v>292500</v>
      </c>
      <c r="AH241" s="176">
        <f>SUM(AH242:AH251)</f>
        <v>0</v>
      </c>
      <c r="AI241" s="176">
        <f>SUM(AI242:AI251)</f>
        <v>260000</v>
      </c>
      <c r="AJ241" s="865"/>
      <c r="AK241" s="980">
        <f>SUM(AK242:AK251)</f>
        <v>200000</v>
      </c>
      <c r="AL241" s="980">
        <f>SUM(AL242:AL251)</f>
        <v>15000</v>
      </c>
      <c r="AM241" s="980">
        <f>SUM(AM242:AM251)</f>
        <v>15000</v>
      </c>
      <c r="AN241" s="981">
        <f>SUM(AN242:AN251)</f>
        <v>15000</v>
      </c>
      <c r="AO241" s="979">
        <f>SUM(AO242:AO251)</f>
        <v>15000</v>
      </c>
      <c r="AP241" s="979">
        <f>SUM(AK241:AO241)</f>
        <v>260000</v>
      </c>
      <c r="AR241" s="1027"/>
    </row>
    <row r="242" spans="1:52" s="1636" customFormat="1" ht="41.5" hidden="1" customHeight="1" outlineLevel="3">
      <c r="A242" s="1612"/>
      <c r="B242" s="1613" t="s">
        <v>2531</v>
      </c>
      <c r="C242" s="1613"/>
      <c r="D242" s="1614" t="s">
        <v>3471</v>
      </c>
      <c r="E242" s="1615"/>
      <c r="F242" s="1616"/>
      <c r="G242" s="1617"/>
      <c r="H242" s="1618"/>
      <c r="I242" s="1619"/>
      <c r="J242" s="1620"/>
      <c r="K242" s="1620"/>
      <c r="L242" s="1620"/>
      <c r="M242" s="1620"/>
      <c r="N242" s="1620"/>
      <c r="O242" s="1620"/>
      <c r="P242" s="1620"/>
      <c r="Q242" s="1617"/>
      <c r="R242" s="1619"/>
      <c r="S242" s="1619" t="s">
        <v>1075</v>
      </c>
      <c r="T242" s="1621" t="s">
        <v>1198</v>
      </c>
      <c r="U242" s="1619">
        <f>+'9.3_PA_Det'!$F$92</f>
        <v>30</v>
      </c>
      <c r="V242" s="1619"/>
      <c r="W242" s="1622"/>
      <c r="X242" s="1617"/>
      <c r="Y242" s="1623" t="s">
        <v>1179</v>
      </c>
      <c r="Z242" s="1624">
        <v>1</v>
      </c>
      <c r="AA242" s="1625"/>
      <c r="AB242" s="1626"/>
      <c r="AC242" s="1627"/>
      <c r="AD242" s="1628">
        <f>Z242*AC242</f>
        <v>0</v>
      </c>
      <c r="AE242" s="1629"/>
      <c r="AF242" s="1617"/>
      <c r="AG242" s="1630">
        <f>+AD242</f>
        <v>0</v>
      </c>
      <c r="AH242" s="1631">
        <v>0</v>
      </c>
      <c r="AI242" s="1630">
        <f>AG242+AH242</f>
        <v>0</v>
      </c>
      <c r="AJ242" s="1632"/>
      <c r="AK242" s="1633">
        <f>+AG242</f>
        <v>0</v>
      </c>
      <c r="AL242" s="1633"/>
      <c r="AM242" s="1633"/>
      <c r="AN242" s="1633"/>
      <c r="AO242" s="1634"/>
      <c r="AP242" s="1635">
        <f>SUM(AK242:AO242)</f>
        <v>0</v>
      </c>
      <c r="AR242" s="1637"/>
    </row>
    <row r="243" spans="1:52" s="108" customFormat="1" ht="45" hidden="1" outlineLevel="3">
      <c r="A243" s="580"/>
      <c r="B243" s="107" t="s">
        <v>2537</v>
      </c>
      <c r="C243" s="107" t="s">
        <v>1279</v>
      </c>
      <c r="D243" s="703" t="s">
        <v>2532</v>
      </c>
      <c r="E243" s="533"/>
      <c r="F243" s="103"/>
      <c r="G243" s="97"/>
      <c r="H243" s="363"/>
      <c r="I243" s="364"/>
      <c r="J243" s="365"/>
      <c r="K243" s="365"/>
      <c r="L243" s="365"/>
      <c r="M243" s="365"/>
      <c r="N243" s="365"/>
      <c r="O243" s="365"/>
      <c r="P243" s="365"/>
      <c r="Q243" s="97"/>
      <c r="R243" s="1606" t="s">
        <v>3472</v>
      </c>
      <c r="S243" s="364"/>
      <c r="T243" s="1350" t="s">
        <v>1198</v>
      </c>
      <c r="U243" s="364"/>
      <c r="V243" s="364"/>
      <c r="W243" s="1605" t="s">
        <v>3473</v>
      </c>
      <c r="X243" s="97"/>
      <c r="Y243" s="711" t="s">
        <v>1179</v>
      </c>
      <c r="Z243" s="712">
        <v>1</v>
      </c>
      <c r="AA243" s="712">
        <v>150</v>
      </c>
      <c r="AB243" s="180"/>
      <c r="AC243" s="1340">
        <v>1000</v>
      </c>
      <c r="AD243" s="1340">
        <f>Z243*AA243*AC243</f>
        <v>150000</v>
      </c>
      <c r="AE243" s="1460" t="s">
        <v>3474</v>
      </c>
      <c r="AF243" s="97"/>
      <c r="AG243" s="1032">
        <f>+AD243</f>
        <v>150000</v>
      </c>
      <c r="AH243" s="1048">
        <v>0</v>
      </c>
      <c r="AI243" s="1041">
        <f>AG243+AH243</f>
        <v>150000</v>
      </c>
      <c r="AJ243" s="867"/>
      <c r="AK243" s="986">
        <f>+AG243</f>
        <v>150000</v>
      </c>
      <c r="AL243" s="986"/>
      <c r="AM243" s="986"/>
      <c r="AN243" s="987"/>
      <c r="AO243" s="1038"/>
      <c r="AP243" s="1038">
        <f>SUM(AK243:AO243)</f>
        <v>150000</v>
      </c>
      <c r="AR243" s="1027"/>
    </row>
    <row r="244" spans="1:52" s="108" customFormat="1" ht="15" hidden="1" outlineLevel="3">
      <c r="A244" s="580"/>
      <c r="B244" s="107"/>
      <c r="C244" s="107"/>
      <c r="D244" s="1125" t="s">
        <v>2534</v>
      </c>
      <c r="E244" s="533"/>
      <c r="F244" s="103"/>
      <c r="G244" s="97"/>
      <c r="H244" s="363"/>
      <c r="I244" s="364"/>
      <c r="J244" s="365"/>
      <c r="K244" s="365"/>
      <c r="L244" s="365"/>
      <c r="M244" s="365"/>
      <c r="N244" s="365"/>
      <c r="O244" s="365"/>
      <c r="P244" s="365"/>
      <c r="Q244" s="97"/>
      <c r="R244" s="1319"/>
      <c r="S244" s="364"/>
      <c r="T244" s="852"/>
      <c r="U244" s="364"/>
      <c r="V244" s="852"/>
      <c r="W244" s="1607"/>
      <c r="X244" s="97"/>
      <c r="Y244" s="711"/>
      <c r="Z244" s="1395"/>
      <c r="AA244" s="1395"/>
      <c r="AB244" s="180"/>
      <c r="AC244" s="1340"/>
      <c r="AD244" s="1032"/>
      <c r="AE244" s="1460"/>
      <c r="AF244" s="97"/>
      <c r="AG244" s="1032"/>
      <c r="AH244" s="1048"/>
      <c r="AI244" s="1041"/>
      <c r="AJ244" s="867"/>
      <c r="AK244" s="986"/>
      <c r="AL244" s="986"/>
      <c r="AM244" s="986"/>
      <c r="AN244" s="987"/>
      <c r="AO244" s="1038"/>
      <c r="AP244" s="1038"/>
      <c r="AR244" s="1027"/>
    </row>
    <row r="245" spans="1:52" s="108" customFormat="1" ht="15" hidden="1" outlineLevel="3">
      <c r="A245" s="580"/>
      <c r="B245" s="107"/>
      <c r="C245" s="107"/>
      <c r="D245" s="1125" t="s">
        <v>2536</v>
      </c>
      <c r="E245" s="533"/>
      <c r="F245" s="103"/>
      <c r="G245" s="97"/>
      <c r="H245" s="363"/>
      <c r="I245" s="364"/>
      <c r="J245" s="365"/>
      <c r="K245" s="365"/>
      <c r="L245" s="365"/>
      <c r="M245" s="365"/>
      <c r="N245" s="365"/>
      <c r="O245" s="365"/>
      <c r="P245" s="365"/>
      <c r="Q245" s="97"/>
      <c r="R245" s="1319"/>
      <c r="S245" s="364"/>
      <c r="T245" s="852"/>
      <c r="U245" s="364"/>
      <c r="V245" s="852"/>
      <c r="W245" s="1607"/>
      <c r="X245" s="97"/>
      <c r="Y245" s="711"/>
      <c r="Z245" s="1395"/>
      <c r="AA245" s="1395"/>
      <c r="AB245" s="180"/>
      <c r="AC245" s="1340"/>
      <c r="AD245" s="1032"/>
      <c r="AE245" s="1460"/>
      <c r="AF245" s="97"/>
      <c r="AG245" s="1032"/>
      <c r="AH245" s="1048"/>
      <c r="AI245" s="1041"/>
      <c r="AJ245" s="867"/>
      <c r="AK245" s="986"/>
      <c r="AL245" s="986"/>
      <c r="AM245" s="986"/>
      <c r="AN245" s="987"/>
      <c r="AO245" s="1038"/>
      <c r="AP245" s="1038"/>
      <c r="AR245" s="1027"/>
    </row>
    <row r="246" spans="1:52" s="108" customFormat="1" ht="15" hidden="1" outlineLevel="3">
      <c r="A246" s="580"/>
      <c r="B246" s="107"/>
      <c r="C246" s="107"/>
      <c r="D246" s="1339" t="s">
        <v>3475</v>
      </c>
      <c r="E246" s="533"/>
      <c r="F246" s="103"/>
      <c r="G246" s="97"/>
      <c r="H246" s="363"/>
      <c r="I246" s="364"/>
      <c r="J246" s="365"/>
      <c r="K246" s="365"/>
      <c r="L246" s="365"/>
      <c r="M246" s="365"/>
      <c r="N246" s="365"/>
      <c r="O246" s="365"/>
      <c r="P246" s="365"/>
      <c r="Q246" s="97"/>
      <c r="R246" s="1319"/>
      <c r="S246" s="364"/>
      <c r="T246" s="852"/>
      <c r="U246" s="364"/>
      <c r="V246" s="852"/>
      <c r="W246" s="1607"/>
      <c r="X246" s="97"/>
      <c r="Y246" s="711"/>
      <c r="Z246" s="1395"/>
      <c r="AA246" s="1395"/>
      <c r="AB246" s="180"/>
      <c r="AC246" s="1340"/>
      <c r="AD246" s="1032"/>
      <c r="AE246" s="1460"/>
      <c r="AF246" s="97"/>
      <c r="AG246" s="1032"/>
      <c r="AH246" s="1048"/>
      <c r="AI246" s="1041"/>
      <c r="AJ246" s="867"/>
      <c r="AK246" s="986"/>
      <c r="AL246" s="986"/>
      <c r="AM246" s="986"/>
      <c r="AN246" s="987"/>
      <c r="AO246" s="1038"/>
      <c r="AP246" s="1038"/>
      <c r="AR246" s="1027"/>
    </row>
    <row r="247" spans="1:52" s="108" customFormat="1" ht="23.5" hidden="1" customHeight="1" outlineLevel="3">
      <c r="A247" s="580"/>
      <c r="B247" s="107" t="s">
        <v>2543</v>
      </c>
      <c r="C247" s="107" t="s">
        <v>1279</v>
      </c>
      <c r="D247" s="703" t="s">
        <v>2538</v>
      </c>
      <c r="E247" s="533"/>
      <c r="F247" s="103"/>
      <c r="G247" s="97"/>
      <c r="H247" s="363"/>
      <c r="I247" s="364"/>
      <c r="J247" s="365"/>
      <c r="K247" s="365"/>
      <c r="L247" s="365"/>
      <c r="M247" s="365"/>
      <c r="N247" s="365"/>
      <c r="O247" s="365"/>
      <c r="P247" s="365"/>
      <c r="Q247" s="97"/>
      <c r="R247" s="4621" t="s">
        <v>3476</v>
      </c>
      <c r="S247" s="364"/>
      <c r="T247" s="4621" t="s">
        <v>1198</v>
      </c>
      <c r="U247" s="364"/>
      <c r="V247" s="3897"/>
      <c r="W247" s="3897" t="s">
        <v>3477</v>
      </c>
      <c r="X247" s="97"/>
      <c r="Y247" s="711" t="s">
        <v>1179</v>
      </c>
      <c r="Z247" s="712">
        <v>1</v>
      </c>
      <c r="AA247" s="712">
        <v>30</v>
      </c>
      <c r="AB247" s="180"/>
      <c r="AC247" s="1032">
        <v>2000</v>
      </c>
      <c r="AD247" s="1032">
        <f>Z247*AA247*AC247</f>
        <v>60000</v>
      </c>
      <c r="AE247" s="1460" t="s">
        <v>3478</v>
      </c>
      <c r="AF247" s="97"/>
      <c r="AG247" s="1032">
        <f>+AD247</f>
        <v>60000</v>
      </c>
      <c r="AH247" s="1048">
        <v>0</v>
      </c>
      <c r="AI247" s="1041">
        <f>AG247+AH247</f>
        <v>60000</v>
      </c>
      <c r="AJ247" s="867"/>
      <c r="AK247" s="986"/>
      <c r="AL247" s="986">
        <f>+$AG$247*25%</f>
        <v>15000</v>
      </c>
      <c r="AM247" s="986">
        <f>+$AG$247*25%</f>
        <v>15000</v>
      </c>
      <c r="AN247" s="986">
        <f>+$AG$247*25%</f>
        <v>15000</v>
      </c>
      <c r="AO247" s="986">
        <f>+$AG$247*25%</f>
        <v>15000</v>
      </c>
      <c r="AP247" s="1038">
        <f>SUM(AK247:AO247)</f>
        <v>60000</v>
      </c>
      <c r="AR247" s="1027"/>
    </row>
    <row r="248" spans="1:52" s="108" customFormat="1" ht="23.5" hidden="1" customHeight="1" outlineLevel="3">
      <c r="A248" s="580"/>
      <c r="B248" s="107" t="s">
        <v>2549</v>
      </c>
      <c r="C248" s="107" t="s">
        <v>1279</v>
      </c>
      <c r="D248" s="703" t="s">
        <v>2542</v>
      </c>
      <c r="E248" s="533"/>
      <c r="F248" s="103"/>
      <c r="G248" s="97"/>
      <c r="H248" s="363"/>
      <c r="I248" s="364"/>
      <c r="J248" s="365"/>
      <c r="K248" s="365"/>
      <c r="L248" s="365"/>
      <c r="M248" s="365"/>
      <c r="N248" s="365"/>
      <c r="O248" s="365"/>
      <c r="P248" s="365"/>
      <c r="Q248" s="97"/>
      <c r="R248" s="4622"/>
      <c r="S248" s="364"/>
      <c r="T248" s="4622"/>
      <c r="U248" s="364"/>
      <c r="V248" s="3899"/>
      <c r="W248" s="3899"/>
      <c r="X248" s="97"/>
      <c r="Y248" s="711" t="s">
        <v>1179</v>
      </c>
      <c r="Z248" s="712">
        <v>1</v>
      </c>
      <c r="AA248" s="712">
        <v>30</v>
      </c>
      <c r="AB248" s="180"/>
      <c r="AC248" s="1032">
        <v>500</v>
      </c>
      <c r="AD248" s="1032">
        <f>Z248*AA248*AC248</f>
        <v>15000</v>
      </c>
      <c r="AE248" s="1460" t="s">
        <v>3478</v>
      </c>
      <c r="AF248" s="97"/>
      <c r="AG248" s="1032">
        <f>+AD248</f>
        <v>15000</v>
      </c>
      <c r="AH248" s="1048"/>
      <c r="AI248" s="1041"/>
      <c r="AJ248" s="867"/>
      <c r="AK248" s="986"/>
      <c r="AL248" s="986"/>
      <c r="AM248" s="986"/>
      <c r="AN248" s="986"/>
      <c r="AO248" s="986"/>
      <c r="AP248" s="1038"/>
      <c r="AR248" s="1027"/>
    </row>
    <row r="249" spans="1:52" s="108" customFormat="1" ht="15" hidden="1" outlineLevel="3">
      <c r="A249" s="580"/>
      <c r="B249" s="107" t="s">
        <v>2551</v>
      </c>
      <c r="C249" s="107"/>
      <c r="D249" s="703" t="s">
        <v>2544</v>
      </c>
      <c r="E249" s="533"/>
      <c r="F249" s="103"/>
      <c r="G249" s="97"/>
      <c r="H249" s="363"/>
      <c r="I249" s="364"/>
      <c r="J249" s="365"/>
      <c r="K249" s="365"/>
      <c r="L249" s="365"/>
      <c r="M249" s="365"/>
      <c r="N249" s="365"/>
      <c r="O249" s="365"/>
      <c r="P249" s="365"/>
      <c r="Q249" s="97"/>
      <c r="R249" s="4621" t="s">
        <v>3476</v>
      </c>
      <c r="S249" s="364"/>
      <c r="T249" s="4621" t="s">
        <v>1198</v>
      </c>
      <c r="U249" s="364"/>
      <c r="V249" s="3897"/>
      <c r="W249" s="3897"/>
      <c r="X249" s="97"/>
      <c r="Y249" s="711" t="s">
        <v>1179</v>
      </c>
      <c r="Z249" s="712">
        <v>1</v>
      </c>
      <c r="AA249" s="712">
        <v>5</v>
      </c>
      <c r="AB249" s="180"/>
      <c r="AC249" s="1032">
        <v>3000</v>
      </c>
      <c r="AD249" s="1032">
        <f>Z249*AA249*AC249</f>
        <v>15000</v>
      </c>
      <c r="AE249" s="1460" t="s">
        <v>3479</v>
      </c>
      <c r="AF249" s="97"/>
      <c r="AG249" s="1032">
        <f>+AD249</f>
        <v>15000</v>
      </c>
      <c r="AH249" s="1048"/>
      <c r="AI249" s="1041"/>
      <c r="AJ249" s="867"/>
      <c r="AK249" s="986"/>
      <c r="AL249" s="986"/>
      <c r="AM249" s="986"/>
      <c r="AN249" s="986"/>
      <c r="AO249" s="986"/>
      <c r="AP249" s="1038"/>
      <c r="AR249" s="1027"/>
    </row>
    <row r="250" spans="1:52" s="108" customFormat="1" ht="14" hidden="1" customHeight="1" outlineLevel="3">
      <c r="A250" s="580"/>
      <c r="B250" s="107" t="s">
        <v>3480</v>
      </c>
      <c r="C250" s="107"/>
      <c r="D250" s="703" t="s">
        <v>2548</v>
      </c>
      <c r="E250" s="533"/>
      <c r="F250" s="103"/>
      <c r="G250" s="97"/>
      <c r="H250" s="363"/>
      <c r="I250" s="364"/>
      <c r="J250" s="365"/>
      <c r="K250" s="365"/>
      <c r="L250" s="365"/>
      <c r="M250" s="365"/>
      <c r="N250" s="365"/>
      <c r="O250" s="365"/>
      <c r="P250" s="365"/>
      <c r="Q250" s="97"/>
      <c r="R250" s="4622"/>
      <c r="S250" s="364"/>
      <c r="T250" s="4622"/>
      <c r="U250" s="364"/>
      <c r="V250" s="3899"/>
      <c r="W250" s="3899"/>
      <c r="X250" s="97"/>
      <c r="Y250" s="711" t="s">
        <v>1179</v>
      </c>
      <c r="Z250" s="712">
        <v>1</v>
      </c>
      <c r="AA250" s="712">
        <v>5</v>
      </c>
      <c r="AB250" s="180"/>
      <c r="AC250" s="1032">
        <v>500</v>
      </c>
      <c r="AD250" s="1032">
        <f>Z250*AA250*AC250</f>
        <v>2500</v>
      </c>
      <c r="AE250" s="1460" t="s">
        <v>3479</v>
      </c>
      <c r="AF250" s="97"/>
      <c r="AG250" s="1032">
        <f>+AD250</f>
        <v>2500</v>
      </c>
      <c r="AH250" s="1048"/>
      <c r="AI250" s="1041"/>
      <c r="AJ250" s="867"/>
      <c r="AK250" s="986"/>
      <c r="AL250" s="986"/>
      <c r="AM250" s="986"/>
      <c r="AN250" s="986"/>
      <c r="AO250" s="986"/>
      <c r="AP250" s="1038"/>
      <c r="AR250" s="1027"/>
    </row>
    <row r="251" spans="1:52" s="84" customFormat="1" ht="41.5" hidden="1" customHeight="1" outlineLevel="3">
      <c r="A251" s="159"/>
      <c r="B251" s="107" t="s">
        <v>3481</v>
      </c>
      <c r="C251" s="107"/>
      <c r="D251" s="703" t="s">
        <v>2550</v>
      </c>
      <c r="E251" s="533"/>
      <c r="F251" s="103"/>
      <c r="G251" s="97"/>
      <c r="H251" s="363"/>
      <c r="I251" s="364"/>
      <c r="J251" s="367"/>
      <c r="K251" s="367"/>
      <c r="L251" s="367"/>
      <c r="M251" s="367"/>
      <c r="N251" s="367"/>
      <c r="O251" s="367"/>
      <c r="P251" s="367"/>
      <c r="Q251" s="97"/>
      <c r="R251" s="364"/>
      <c r="S251" s="364"/>
      <c r="T251" s="1350" t="s">
        <v>1198</v>
      </c>
      <c r="U251" s="364"/>
      <c r="V251" s="364"/>
      <c r="W251" s="177"/>
      <c r="X251" s="97"/>
      <c r="Y251" s="711" t="s">
        <v>1179</v>
      </c>
      <c r="Z251" s="712">
        <v>1</v>
      </c>
      <c r="AA251" s="179"/>
      <c r="AB251" s="179"/>
      <c r="AC251" s="1053">
        <v>50000</v>
      </c>
      <c r="AD251" s="1032">
        <f>Z251*AC251</f>
        <v>50000</v>
      </c>
      <c r="AE251" s="714" t="s">
        <v>3482</v>
      </c>
      <c r="AF251" s="97"/>
      <c r="AG251" s="1032">
        <f>+AD251</f>
        <v>50000</v>
      </c>
      <c r="AH251" s="1048">
        <v>0</v>
      </c>
      <c r="AI251" s="1041">
        <f>AG251+AH251</f>
        <v>50000</v>
      </c>
      <c r="AJ251" s="867"/>
      <c r="AK251" s="986">
        <f>+AG251</f>
        <v>50000</v>
      </c>
      <c r="AL251" s="986"/>
      <c r="AM251" s="986"/>
      <c r="AN251" s="986"/>
      <c r="AO251" s="1055"/>
      <c r="AP251" s="1038">
        <f>SUM(AK251:AO251)</f>
        <v>50000</v>
      </c>
      <c r="AQ251" s="148"/>
      <c r="AR251" s="1027"/>
      <c r="AS251" s="148"/>
      <c r="AT251" s="148"/>
      <c r="AU251" s="148"/>
      <c r="AV251" s="148"/>
      <c r="AW251" s="148"/>
      <c r="AX251" s="148"/>
      <c r="AY251" s="148"/>
      <c r="AZ251" s="148"/>
    </row>
    <row r="252" spans="1:52" s="153" customFormat="1" ht="27.5" customHeight="1" outlineLevel="2" collapsed="1">
      <c r="A252" s="172"/>
      <c r="B252" s="171" t="s">
        <v>535</v>
      </c>
      <c r="C252" s="171"/>
      <c r="D252" s="538" t="s">
        <v>3483</v>
      </c>
      <c r="E252" s="538" t="s">
        <v>5</v>
      </c>
      <c r="F252" s="1176"/>
      <c r="G252" s="96"/>
      <c r="H252" s="357" t="e">
        <f>+'1_MdR_Limpia'!#REF!</f>
        <v>#REF!</v>
      </c>
      <c r="I252" s="357" t="e">
        <f>+'1_MdR_Limpia'!#REF!</f>
        <v>#REF!</v>
      </c>
      <c r="J252" s="357" t="e">
        <f>+'1_MdR_Limpia'!#REF!</f>
        <v>#REF!</v>
      </c>
      <c r="K252" s="357" t="e">
        <f>+'1_MdR_Limpia'!#REF!</f>
        <v>#REF!</v>
      </c>
      <c r="L252" s="357" t="e">
        <f>+'1_MdR_Limpia'!#REF!</f>
        <v>#REF!</v>
      </c>
      <c r="M252" s="357" t="e">
        <f>+'1_MdR_Limpia'!#REF!</f>
        <v>#REF!</v>
      </c>
      <c r="N252" s="357" t="e">
        <f>+'1_MdR_Limpia'!#REF!</f>
        <v>#REF!</v>
      </c>
      <c r="O252" s="357" t="e">
        <f>+'1_MdR_Limpia'!#REF!</f>
        <v>#REF!</v>
      </c>
      <c r="P252" s="357" t="e">
        <f>+'1_MdR_Limpia'!#REF!</f>
        <v>#REF!</v>
      </c>
      <c r="Q252" s="96"/>
      <c r="R252" s="854"/>
      <c r="S252" s="358"/>
      <c r="T252" s="358"/>
      <c r="U252" s="358"/>
      <c r="V252" s="358"/>
      <c r="W252" s="106"/>
      <c r="X252" s="96"/>
      <c r="Y252" s="106"/>
      <c r="Z252" s="172"/>
      <c r="AA252" s="172"/>
      <c r="AB252" s="171"/>
      <c r="AC252" s="176"/>
      <c r="AD252" s="176">
        <f>+AD253+AD255+AD256+AD257+AD258</f>
        <v>230000</v>
      </c>
      <c r="AE252" s="692"/>
      <c r="AF252" s="96"/>
      <c r="AG252" s="176">
        <f>+AG254+AG258</f>
        <v>140000</v>
      </c>
      <c r="AH252" s="176">
        <f>+AH254+AH258</f>
        <v>0</v>
      </c>
      <c r="AI252" s="176">
        <f>+AI254+AI258</f>
        <v>140000</v>
      </c>
      <c r="AJ252" s="865"/>
      <c r="AK252" s="980">
        <f>+AK254+AK258</f>
        <v>0</v>
      </c>
      <c r="AL252" s="980">
        <f>+AL254+AL258</f>
        <v>140000</v>
      </c>
      <c r="AM252" s="980">
        <f>+AM254+AM258</f>
        <v>0</v>
      </c>
      <c r="AN252" s="981">
        <f>+AN254+AN258</f>
        <v>0</v>
      </c>
      <c r="AO252" s="979">
        <f>+AO254+AO258</f>
        <v>0</v>
      </c>
      <c r="AP252" s="979">
        <f>SUM(AK252:AO252)</f>
        <v>140000</v>
      </c>
      <c r="AR252" s="1027"/>
    </row>
    <row r="253" spans="1:52" s="108" customFormat="1" ht="30" hidden="1" outlineLevel="3">
      <c r="A253" s="159"/>
      <c r="B253" s="702"/>
      <c r="C253" s="702" t="s">
        <v>1279</v>
      </c>
      <c r="D253" s="1339" t="s">
        <v>2558</v>
      </c>
      <c r="E253" s="703"/>
      <c r="F253" s="177"/>
      <c r="G253" s="98"/>
      <c r="H253" s="363"/>
      <c r="I253" s="363"/>
      <c r="J253" s="363"/>
      <c r="K253" s="363"/>
      <c r="L253" s="363"/>
      <c r="M253" s="363"/>
      <c r="N253" s="363"/>
      <c r="O253" s="363"/>
      <c r="P253" s="363"/>
      <c r="Q253" s="98"/>
      <c r="R253" s="364"/>
      <c r="S253" s="364"/>
      <c r="T253" s="364"/>
      <c r="U253" s="364"/>
      <c r="V253" s="364"/>
      <c r="W253" s="177"/>
      <c r="X253" s="98"/>
      <c r="Y253" s="177" t="s">
        <v>3440</v>
      </c>
      <c r="Z253" s="159" t="s">
        <v>553</v>
      </c>
      <c r="AA253" s="159"/>
      <c r="AB253" s="702"/>
      <c r="AC253" s="355">
        <v>4000</v>
      </c>
      <c r="AD253" s="1340">
        <f>+Z253*AC253</f>
        <v>12000</v>
      </c>
      <c r="AE253" s="693"/>
      <c r="AF253" s="98"/>
      <c r="AG253" s="355"/>
      <c r="AH253" s="355"/>
      <c r="AI253" s="355"/>
      <c r="AJ253" s="874"/>
      <c r="AK253" s="1033"/>
      <c r="AL253" s="1033"/>
      <c r="AM253" s="1033"/>
      <c r="AN253" s="1034"/>
      <c r="AO253" s="1006"/>
      <c r="AP253" s="1006"/>
      <c r="AR253" s="1027"/>
    </row>
    <row r="254" spans="1:52" s="84" customFormat="1" ht="60" hidden="1" outlineLevel="3">
      <c r="A254" s="159"/>
      <c r="B254" s="107" t="s">
        <v>2557</v>
      </c>
      <c r="C254" s="107"/>
      <c r="D254" s="1374" t="s">
        <v>2560</v>
      </c>
      <c r="E254" s="533"/>
      <c r="F254" s="103"/>
      <c r="G254" s="97"/>
      <c r="H254" s="363"/>
      <c r="I254" s="364"/>
      <c r="J254" s="367"/>
      <c r="K254" s="367"/>
      <c r="L254" s="367"/>
      <c r="M254" s="367"/>
      <c r="N254" s="367"/>
      <c r="O254" s="367"/>
      <c r="P254" s="367"/>
      <c r="Q254" s="97"/>
      <c r="R254" s="364"/>
      <c r="S254" s="364"/>
      <c r="T254" s="364"/>
      <c r="U254" s="364">
        <f>+'9.3_PA_Det'!F179</f>
        <v>70</v>
      </c>
      <c r="V254" s="364"/>
      <c r="W254" s="177"/>
      <c r="X254" s="97"/>
      <c r="Y254" s="711" t="s">
        <v>3440</v>
      </c>
      <c r="Z254" s="356">
        <v>4</v>
      </c>
      <c r="AA254" s="179"/>
      <c r="AB254" s="179"/>
      <c r="AC254" s="1053"/>
      <c r="AD254" s="1048">
        <f>SUM(AD256:AD257)</f>
        <v>40000</v>
      </c>
      <c r="AE254" s="769" t="s">
        <v>3484</v>
      </c>
      <c r="AF254" s="97"/>
      <c r="AG254" s="1041">
        <f>+AD254</f>
        <v>40000</v>
      </c>
      <c r="AH254" s="1048">
        <v>0</v>
      </c>
      <c r="AI254" s="1053">
        <f>+AG254+AH254</f>
        <v>40000</v>
      </c>
      <c r="AJ254" s="867"/>
      <c r="AK254" s="1007"/>
      <c r="AL254" s="1007">
        <f>+AG254</f>
        <v>40000</v>
      </c>
      <c r="AM254" s="986"/>
      <c r="AN254" s="986"/>
      <c r="AO254" s="1055"/>
      <c r="AP254" s="1044">
        <f>SUM(AK254:AO254)</f>
        <v>40000</v>
      </c>
      <c r="AQ254" s="148"/>
      <c r="AR254" s="1027"/>
      <c r="AS254" s="148"/>
      <c r="AT254" s="148"/>
      <c r="AU254" s="148"/>
      <c r="AV254" s="148"/>
      <c r="AW254" s="148"/>
      <c r="AX254" s="148"/>
      <c r="AY254" s="148"/>
      <c r="AZ254" s="148"/>
    </row>
    <row r="255" spans="1:52" s="84" customFormat="1" ht="45" hidden="1" outlineLevel="3">
      <c r="A255" s="159"/>
      <c r="B255" s="107"/>
      <c r="C255" s="107" t="s">
        <v>1279</v>
      </c>
      <c r="D255" s="1610" t="s">
        <v>2562</v>
      </c>
      <c r="E255" s="533"/>
      <c r="F255" s="103"/>
      <c r="G255" s="97"/>
      <c r="H255" s="363"/>
      <c r="I255" s="364"/>
      <c r="J255" s="367"/>
      <c r="K255" s="367"/>
      <c r="L255" s="367"/>
      <c r="M255" s="367"/>
      <c r="N255" s="367"/>
      <c r="O255" s="367"/>
      <c r="P255" s="367"/>
      <c r="Q255" s="97"/>
      <c r="R255" s="364" t="s">
        <v>763</v>
      </c>
      <c r="S255" s="364"/>
      <c r="T255" s="364" t="s">
        <v>1289</v>
      </c>
      <c r="U255" s="364"/>
      <c r="V255" s="364"/>
      <c r="W255" s="177" t="s">
        <v>3485</v>
      </c>
      <c r="X255" s="97"/>
      <c r="Y255" s="711" t="s">
        <v>3440</v>
      </c>
      <c r="Z255" s="356">
        <v>1</v>
      </c>
      <c r="AA255" s="179"/>
      <c r="AB255" s="179"/>
      <c r="AC255" s="1602">
        <f>40000+38000</f>
        <v>78000</v>
      </c>
      <c r="AD255" s="1048">
        <f>+Z255*AC255</f>
        <v>78000</v>
      </c>
      <c r="AE255" s="769"/>
      <c r="AF255" s="97"/>
      <c r="AG255" s="1041"/>
      <c r="AH255" s="1048"/>
      <c r="AI255" s="1053"/>
      <c r="AJ255" s="867"/>
      <c r="AK255" s="1007"/>
      <c r="AL255" s="1007"/>
      <c r="AM255" s="986"/>
      <c r="AN255" s="986"/>
      <c r="AO255" s="1055"/>
      <c r="AP255" s="1044"/>
      <c r="AQ255" s="148"/>
      <c r="AR255" s="1027"/>
      <c r="AS255" s="148"/>
      <c r="AT255" s="148"/>
      <c r="AU255" s="148"/>
      <c r="AV255" s="148"/>
      <c r="AW255" s="148"/>
      <c r="AX255" s="148"/>
      <c r="AY255" s="148"/>
      <c r="AZ255" s="148"/>
    </row>
    <row r="256" spans="1:52" s="84" customFormat="1" ht="30" hidden="1" outlineLevel="3">
      <c r="A256" s="159"/>
      <c r="B256" s="107"/>
      <c r="C256" s="107"/>
      <c r="D256" s="1609" t="s">
        <v>2564</v>
      </c>
      <c r="E256" s="533"/>
      <c r="F256" s="103"/>
      <c r="G256" s="97"/>
      <c r="H256" s="363"/>
      <c r="I256" s="364"/>
      <c r="J256" s="367"/>
      <c r="K256" s="367"/>
      <c r="L256" s="367"/>
      <c r="M256" s="367"/>
      <c r="N256" s="367"/>
      <c r="O256" s="367"/>
      <c r="P256" s="367"/>
      <c r="Q256" s="97"/>
      <c r="R256" s="364" t="s">
        <v>763</v>
      </c>
      <c r="S256" s="364"/>
      <c r="T256" s="364" t="s">
        <v>1289</v>
      </c>
      <c r="U256" s="364"/>
      <c r="V256" s="364"/>
      <c r="W256" s="177"/>
      <c r="X256" s="97"/>
      <c r="Y256" s="711" t="s">
        <v>3440</v>
      </c>
      <c r="Z256" s="356">
        <v>1</v>
      </c>
      <c r="AA256" s="179"/>
      <c r="AB256" s="179"/>
      <c r="AC256" s="1053">
        <v>20000</v>
      </c>
      <c r="AD256" s="1048">
        <f>+Z256*AC256</f>
        <v>20000</v>
      </c>
      <c r="AE256" s="769"/>
      <c r="AF256" s="97"/>
      <c r="AG256" s="1041"/>
      <c r="AH256" s="1048"/>
      <c r="AI256" s="1053"/>
      <c r="AJ256" s="867"/>
      <c r="AK256" s="1007"/>
      <c r="AL256" s="1007"/>
      <c r="AM256" s="986"/>
      <c r="AN256" s="986"/>
      <c r="AO256" s="1055"/>
      <c r="AP256" s="1044"/>
      <c r="AQ256" s="148"/>
      <c r="AR256" s="1027"/>
      <c r="AS256" s="148"/>
      <c r="AT256" s="148"/>
      <c r="AU256" s="148"/>
      <c r="AV256" s="148"/>
      <c r="AW256" s="148"/>
      <c r="AX256" s="148"/>
      <c r="AY256" s="148"/>
      <c r="AZ256" s="148"/>
    </row>
    <row r="257" spans="1:52" s="84" customFormat="1" ht="30" hidden="1" outlineLevel="3">
      <c r="A257" s="159"/>
      <c r="B257" s="107"/>
      <c r="C257" s="107"/>
      <c r="D257" s="1609" t="s">
        <v>2566</v>
      </c>
      <c r="E257" s="533"/>
      <c r="F257" s="103"/>
      <c r="G257" s="97"/>
      <c r="H257" s="363"/>
      <c r="I257" s="364"/>
      <c r="J257" s="367"/>
      <c r="K257" s="367"/>
      <c r="L257" s="367"/>
      <c r="M257" s="367"/>
      <c r="N257" s="367"/>
      <c r="O257" s="367"/>
      <c r="P257" s="367"/>
      <c r="Q257" s="97"/>
      <c r="R257" s="364" t="s">
        <v>763</v>
      </c>
      <c r="S257" s="364"/>
      <c r="T257" s="364" t="s">
        <v>1289</v>
      </c>
      <c r="U257" s="364"/>
      <c r="V257" s="364"/>
      <c r="W257" s="177"/>
      <c r="X257" s="97"/>
      <c r="Y257" s="711" t="s">
        <v>3440</v>
      </c>
      <c r="Z257" s="356">
        <v>1</v>
      </c>
      <c r="AA257" s="179"/>
      <c r="AB257" s="179"/>
      <c r="AC257" s="1053">
        <v>20000</v>
      </c>
      <c r="AD257" s="1048">
        <f>+Z257*AC257</f>
        <v>20000</v>
      </c>
      <c r="AE257" s="769"/>
      <c r="AF257" s="97"/>
      <c r="AG257" s="1041"/>
      <c r="AH257" s="1048"/>
      <c r="AI257" s="1053"/>
      <c r="AJ257" s="867"/>
      <c r="AK257" s="1007"/>
      <c r="AL257" s="1007"/>
      <c r="AM257" s="986"/>
      <c r="AN257" s="986"/>
      <c r="AO257" s="1055"/>
      <c r="AP257" s="1044"/>
      <c r="AQ257" s="148"/>
      <c r="AR257" s="1027"/>
      <c r="AS257" s="148"/>
      <c r="AT257" s="148"/>
      <c r="AU257" s="148"/>
      <c r="AV257" s="148"/>
      <c r="AW257" s="148"/>
      <c r="AX257" s="148"/>
      <c r="AY257" s="148"/>
      <c r="AZ257" s="148"/>
    </row>
    <row r="258" spans="1:52" s="84" customFormat="1" ht="72" hidden="1" customHeight="1" outlineLevel="3">
      <c r="A258" s="159"/>
      <c r="B258" s="107" t="s">
        <v>2559</v>
      </c>
      <c r="C258" s="107"/>
      <c r="D258" s="1374" t="s">
        <v>2568</v>
      </c>
      <c r="E258" s="533"/>
      <c r="F258" s="103"/>
      <c r="G258" s="97"/>
      <c r="H258" s="363"/>
      <c r="I258" s="364"/>
      <c r="J258" s="367"/>
      <c r="K258" s="367"/>
      <c r="L258" s="367"/>
      <c r="M258" s="367"/>
      <c r="N258" s="367"/>
      <c r="O258" s="367"/>
      <c r="P258" s="367"/>
      <c r="Q258" s="97"/>
      <c r="R258" s="364"/>
      <c r="S258" s="364"/>
      <c r="T258" s="365"/>
      <c r="U258" s="364">
        <f>+'9.3_PA_Det'!G23</f>
        <v>5</v>
      </c>
      <c r="V258" s="364"/>
      <c r="W258" s="770" t="s">
        <v>3486</v>
      </c>
      <c r="X258" s="97"/>
      <c r="Y258" s="711" t="s">
        <v>1179</v>
      </c>
      <c r="Z258" s="356">
        <v>1</v>
      </c>
      <c r="AA258" s="179"/>
      <c r="AB258" s="179"/>
      <c r="AC258" s="1602">
        <f>150000-AD253-38000</f>
        <v>100000</v>
      </c>
      <c r="AD258" s="1048">
        <f>+Z258*AC258</f>
        <v>100000</v>
      </c>
      <c r="AE258" s="714" t="s">
        <v>3487</v>
      </c>
      <c r="AF258" s="97"/>
      <c r="AG258" s="1041">
        <f>+AD258</f>
        <v>100000</v>
      </c>
      <c r="AH258" s="1048">
        <v>0</v>
      </c>
      <c r="AI258" s="1053">
        <f>+AG258+AH258</f>
        <v>100000</v>
      </c>
      <c r="AJ258" s="867"/>
      <c r="AK258" s="1007"/>
      <c r="AL258" s="1007">
        <f>+AG258</f>
        <v>100000</v>
      </c>
      <c r="AM258" s="986"/>
      <c r="AN258" s="986"/>
      <c r="AO258" s="1055"/>
      <c r="AP258" s="1044">
        <f>SUM(AK258:AO258)</f>
        <v>100000</v>
      </c>
      <c r="AQ258" s="148"/>
      <c r="AR258" s="1027"/>
      <c r="AS258" s="148"/>
      <c r="AT258" s="148"/>
      <c r="AU258" s="148"/>
      <c r="AV258" s="148"/>
      <c r="AW258" s="148"/>
      <c r="AX258" s="148"/>
      <c r="AY258" s="148"/>
      <c r="AZ258" s="148"/>
    </row>
    <row r="259" spans="1:52" s="153" customFormat="1" ht="27.5" customHeight="1" outlineLevel="2" collapsed="1">
      <c r="A259" s="172"/>
      <c r="B259" s="171" t="s">
        <v>2569</v>
      </c>
      <c r="C259" s="171"/>
      <c r="D259" s="106" t="s">
        <v>3293</v>
      </c>
      <c r="E259" s="538" t="s">
        <v>5</v>
      </c>
      <c r="F259" s="1176"/>
      <c r="G259" s="96"/>
      <c r="H259" s="357" t="e">
        <f>+'1_MdR_Limpia'!#REF!</f>
        <v>#REF!</v>
      </c>
      <c r="I259" s="357" t="e">
        <f>+'1_MdR_Limpia'!#REF!</f>
        <v>#REF!</v>
      </c>
      <c r="J259" s="357" t="e">
        <f>+'1_MdR_Limpia'!#REF!</f>
        <v>#REF!</v>
      </c>
      <c r="K259" s="357" t="e">
        <f>+'1_MdR_Limpia'!#REF!</f>
        <v>#REF!</v>
      </c>
      <c r="L259" s="357" t="e">
        <f>+'1_MdR_Limpia'!#REF!</f>
        <v>#REF!</v>
      </c>
      <c r="M259" s="357" t="e">
        <f>+'1_MdR_Limpia'!#REF!</f>
        <v>#REF!</v>
      </c>
      <c r="N259" s="357" t="e">
        <f>+'1_MdR_Limpia'!#REF!</f>
        <v>#REF!</v>
      </c>
      <c r="O259" s="357" t="e">
        <f>+'1_MdR_Limpia'!#REF!</f>
        <v>#REF!</v>
      </c>
      <c r="P259" s="357" t="e">
        <f>+'1_MdR_Limpia'!#REF!</f>
        <v>#REF!</v>
      </c>
      <c r="Q259" s="96"/>
      <c r="R259" s="854"/>
      <c r="S259" s="358"/>
      <c r="T259" s="358"/>
      <c r="U259" s="358"/>
      <c r="V259" s="358"/>
      <c r="W259" s="106"/>
      <c r="X259" s="96"/>
      <c r="Y259" s="106"/>
      <c r="Z259" s="172"/>
      <c r="AA259" s="172"/>
      <c r="AB259" s="171"/>
      <c r="AC259" s="176"/>
      <c r="AD259" s="176">
        <f>SUM(AD260:AD263)</f>
        <v>200000</v>
      </c>
      <c r="AE259" s="692"/>
      <c r="AF259" s="96"/>
      <c r="AG259" s="176">
        <f>+AG260+AG263</f>
        <v>200000</v>
      </c>
      <c r="AH259" s="176">
        <f>+AH260+AH263</f>
        <v>0</v>
      </c>
      <c r="AI259" s="176">
        <f>+AI260+AI263</f>
        <v>200000</v>
      </c>
      <c r="AJ259" s="865"/>
      <c r="AK259" s="980">
        <f>+AK260+AK263</f>
        <v>0</v>
      </c>
      <c r="AL259" s="980">
        <f>+AL260+AL263</f>
        <v>0</v>
      </c>
      <c r="AM259" s="980">
        <f>+AM260+AM263</f>
        <v>0</v>
      </c>
      <c r="AN259" s="981">
        <f>+AN260+AN263</f>
        <v>0</v>
      </c>
      <c r="AO259" s="979">
        <f>+AO260+AO263</f>
        <v>0</v>
      </c>
      <c r="AP259" s="979">
        <f>SUM(AK259:AO259)</f>
        <v>0</v>
      </c>
      <c r="AR259" s="1027"/>
    </row>
    <row r="260" spans="1:52" s="84" customFormat="1" ht="30" hidden="1" outlineLevel="3">
      <c r="A260" s="159"/>
      <c r="B260" s="107" t="s">
        <v>2570</v>
      </c>
      <c r="C260" s="107"/>
      <c r="D260" s="703" t="s">
        <v>2571</v>
      </c>
      <c r="E260" s="533"/>
      <c r="F260" s="103"/>
      <c r="G260" s="97"/>
      <c r="H260" s="363"/>
      <c r="I260" s="364"/>
      <c r="J260" s="367"/>
      <c r="K260" s="367"/>
      <c r="L260" s="367"/>
      <c r="M260" s="367"/>
      <c r="N260" s="367"/>
      <c r="O260" s="367"/>
      <c r="P260" s="367"/>
      <c r="Q260" s="97"/>
      <c r="R260" s="3897"/>
      <c r="S260" s="364"/>
      <c r="T260" s="3897" t="s">
        <v>1526</v>
      </c>
      <c r="U260" s="364"/>
      <c r="V260" s="3897"/>
      <c r="W260" s="3918"/>
      <c r="X260" s="97"/>
      <c r="Y260" s="3903" t="s">
        <v>1179</v>
      </c>
      <c r="Z260" s="4036">
        <v>1</v>
      </c>
      <c r="AA260" s="3915"/>
      <c r="AB260" s="3915"/>
      <c r="AC260" s="3793">
        <v>200000</v>
      </c>
      <c r="AD260" s="3793">
        <f>+AC260*Z260</f>
        <v>200000</v>
      </c>
      <c r="AE260" s="4616" t="s">
        <v>3488</v>
      </c>
      <c r="AF260" s="97"/>
      <c r="AG260" s="3787">
        <f>+AD260</f>
        <v>200000</v>
      </c>
      <c r="AH260" s="3793"/>
      <c r="AI260" s="3793">
        <f>+AG260+AH260</f>
        <v>200000</v>
      </c>
      <c r="AJ260" s="867"/>
      <c r="AK260" s="3787"/>
      <c r="AL260" s="3787"/>
      <c r="AM260" s="3787"/>
      <c r="AN260" s="3787"/>
      <c r="AO260" s="3787"/>
      <c r="AP260" s="3787">
        <f>SUM(AK260:AO263)</f>
        <v>0</v>
      </c>
      <c r="AQ260" s="148"/>
      <c r="AR260" s="1027"/>
      <c r="AS260" s="148"/>
      <c r="AT260" s="148"/>
      <c r="AU260" s="148"/>
      <c r="AV260" s="148"/>
      <c r="AW260" s="148"/>
      <c r="AX260" s="148"/>
      <c r="AY260" s="148"/>
      <c r="AZ260" s="148"/>
    </row>
    <row r="261" spans="1:52" s="84" customFormat="1" ht="14.5" hidden="1" customHeight="1" outlineLevel="3">
      <c r="A261" s="159"/>
      <c r="B261" s="107" t="s">
        <v>2572</v>
      </c>
      <c r="C261" s="107"/>
      <c r="D261" s="703" t="s">
        <v>2573</v>
      </c>
      <c r="E261" s="533"/>
      <c r="F261" s="103"/>
      <c r="G261" s="97"/>
      <c r="H261" s="363"/>
      <c r="I261" s="364"/>
      <c r="J261" s="367"/>
      <c r="K261" s="367"/>
      <c r="L261" s="367"/>
      <c r="M261" s="367"/>
      <c r="N261" s="367"/>
      <c r="O261" s="367"/>
      <c r="P261" s="367"/>
      <c r="Q261" s="97"/>
      <c r="R261" s="3898"/>
      <c r="S261" s="364"/>
      <c r="T261" s="3898"/>
      <c r="U261" s="364"/>
      <c r="V261" s="3898"/>
      <c r="W261" s="3919"/>
      <c r="X261" s="97"/>
      <c r="Y261" s="4619"/>
      <c r="Z261" s="4619"/>
      <c r="AA261" s="3916"/>
      <c r="AB261" s="3916"/>
      <c r="AC261" s="3794"/>
      <c r="AD261" s="3794"/>
      <c r="AE261" s="4617"/>
      <c r="AF261" s="97"/>
      <c r="AG261" s="3788"/>
      <c r="AH261" s="3794"/>
      <c r="AI261" s="3794"/>
      <c r="AJ261" s="867"/>
      <c r="AK261" s="3788"/>
      <c r="AL261" s="3788"/>
      <c r="AM261" s="3788"/>
      <c r="AN261" s="3788"/>
      <c r="AO261" s="3788"/>
      <c r="AP261" s="3788"/>
      <c r="AQ261" s="148"/>
      <c r="AR261" s="1027"/>
      <c r="AS261" s="148"/>
      <c r="AT261" s="148"/>
      <c r="AU261" s="148"/>
      <c r="AV261" s="148"/>
      <c r="AW261" s="148"/>
      <c r="AX261" s="148"/>
      <c r="AY261" s="148"/>
      <c r="AZ261" s="148"/>
    </row>
    <row r="262" spans="1:52" s="84" customFormat="1" ht="30" hidden="1" outlineLevel="3">
      <c r="A262" s="159"/>
      <c r="B262" s="107" t="s">
        <v>2574</v>
      </c>
      <c r="C262" s="107"/>
      <c r="D262" s="703" t="s">
        <v>2575</v>
      </c>
      <c r="E262" s="533"/>
      <c r="F262" s="103"/>
      <c r="G262" s="97"/>
      <c r="H262" s="363"/>
      <c r="I262" s="364"/>
      <c r="J262" s="367"/>
      <c r="K262" s="367"/>
      <c r="L262" s="367"/>
      <c r="M262" s="367"/>
      <c r="N262" s="367"/>
      <c r="O262" s="367"/>
      <c r="P262" s="367"/>
      <c r="Q262" s="97"/>
      <c r="R262" s="3898"/>
      <c r="S262" s="364"/>
      <c r="T262" s="3898"/>
      <c r="U262" s="364"/>
      <c r="V262" s="3898"/>
      <c r="W262" s="3919"/>
      <c r="X262" s="97"/>
      <c r="Y262" s="4619"/>
      <c r="Z262" s="4619"/>
      <c r="AA262" s="3916"/>
      <c r="AB262" s="3916"/>
      <c r="AC262" s="3794"/>
      <c r="AD262" s="3794"/>
      <c r="AE262" s="4617"/>
      <c r="AF262" s="97"/>
      <c r="AG262" s="3788"/>
      <c r="AH262" s="3794"/>
      <c r="AI262" s="3794"/>
      <c r="AJ262" s="867"/>
      <c r="AK262" s="3788"/>
      <c r="AL262" s="3788"/>
      <c r="AM262" s="3788"/>
      <c r="AN262" s="3788"/>
      <c r="AO262" s="3788"/>
      <c r="AP262" s="3788"/>
      <c r="AQ262" s="148"/>
      <c r="AR262" s="1027"/>
      <c r="AS262" s="148"/>
      <c r="AT262" s="148"/>
      <c r="AU262" s="148"/>
      <c r="AV262" s="148"/>
      <c r="AW262" s="148"/>
      <c r="AX262" s="148"/>
      <c r="AY262" s="148"/>
      <c r="AZ262" s="148"/>
    </row>
    <row r="263" spans="1:52" s="84" customFormat="1" ht="72" hidden="1" customHeight="1" outlineLevel="3">
      <c r="A263" s="159"/>
      <c r="B263" s="107" t="s">
        <v>2576</v>
      </c>
      <c r="C263" s="107"/>
      <c r="D263" s="703" t="s">
        <v>2577</v>
      </c>
      <c r="E263" s="533"/>
      <c r="F263" s="103"/>
      <c r="G263" s="97"/>
      <c r="H263" s="363"/>
      <c r="I263" s="364"/>
      <c r="J263" s="367"/>
      <c r="K263" s="367"/>
      <c r="L263" s="367"/>
      <c r="M263" s="367"/>
      <c r="N263" s="367"/>
      <c r="O263" s="367"/>
      <c r="P263" s="367"/>
      <c r="Q263" s="97"/>
      <c r="R263" s="3899"/>
      <c r="S263" s="364"/>
      <c r="T263" s="3899"/>
      <c r="U263" s="364"/>
      <c r="V263" s="3899"/>
      <c r="W263" s="3920"/>
      <c r="X263" s="97"/>
      <c r="Y263" s="4620"/>
      <c r="Z263" s="4620"/>
      <c r="AA263" s="3917"/>
      <c r="AB263" s="3917"/>
      <c r="AC263" s="3795"/>
      <c r="AD263" s="3795"/>
      <c r="AE263" s="4618"/>
      <c r="AF263" s="97"/>
      <c r="AG263" s="3789"/>
      <c r="AH263" s="3795"/>
      <c r="AI263" s="3795"/>
      <c r="AJ263" s="867"/>
      <c r="AK263" s="3789"/>
      <c r="AL263" s="3789"/>
      <c r="AM263" s="3789"/>
      <c r="AN263" s="3789"/>
      <c r="AO263" s="3789"/>
      <c r="AP263" s="3789"/>
      <c r="AQ263" s="148"/>
      <c r="AR263" s="1027"/>
      <c r="AS263" s="148"/>
      <c r="AT263" s="148"/>
      <c r="AU263" s="148"/>
      <c r="AV263" s="148"/>
      <c r="AW263" s="148"/>
      <c r="AX263" s="148"/>
      <c r="AY263" s="148"/>
      <c r="AZ263" s="148"/>
    </row>
    <row r="264" spans="1:52" s="84" customFormat="1" ht="14" customHeight="1" outlineLevel="2" collapsed="1">
      <c r="A264" s="159"/>
      <c r="B264" s="107"/>
      <c r="C264" s="203"/>
      <c r="D264" s="148"/>
      <c r="E264" s="148"/>
      <c r="F264" s="103"/>
      <c r="G264" s="97"/>
      <c r="H264" s="363"/>
      <c r="I264" s="364"/>
      <c r="J264" s="367"/>
      <c r="K264" s="367"/>
      <c r="L264" s="367"/>
      <c r="M264" s="367"/>
      <c r="N264" s="367"/>
      <c r="O264" s="367"/>
      <c r="P264" s="367"/>
      <c r="Q264" s="97"/>
      <c r="R264" s="364"/>
      <c r="S264" s="364"/>
      <c r="T264" s="364"/>
      <c r="U264" s="364"/>
      <c r="V264" s="364"/>
      <c r="W264" s="177"/>
      <c r="X264" s="97"/>
      <c r="Y264" s="182"/>
      <c r="Z264" s="356"/>
      <c r="AA264" s="179"/>
      <c r="AB264" s="179"/>
      <c r="AC264" s="1053"/>
      <c r="AD264" s="1032"/>
      <c r="AE264" s="1054"/>
      <c r="AF264" s="97"/>
      <c r="AG264" s="1041"/>
      <c r="AH264" s="1048"/>
      <c r="AI264" s="1053"/>
      <c r="AJ264" s="867"/>
      <c r="AK264" s="1007"/>
      <c r="AL264" s="1007"/>
      <c r="AM264" s="986"/>
      <c r="AN264" s="986"/>
      <c r="AO264" s="1055"/>
      <c r="AP264" s="1038">
        <f>SUM(AK264:AO264)</f>
        <v>0</v>
      </c>
      <c r="AQ264" s="148"/>
      <c r="AR264" s="1027"/>
      <c r="AS264" s="148"/>
      <c r="AT264" s="148"/>
      <c r="AU264" s="148"/>
      <c r="AV264" s="148"/>
      <c r="AW264" s="148"/>
      <c r="AX264" s="148"/>
      <c r="AY264" s="148"/>
      <c r="AZ264" s="148"/>
    </row>
    <row r="265" spans="1:52" s="153" customFormat="1" ht="35" customHeight="1" outlineLevel="1">
      <c r="A265" s="578"/>
      <c r="B265" s="428" t="s">
        <v>538</v>
      </c>
      <c r="C265" s="428"/>
      <c r="D265" s="539" t="s">
        <v>281</v>
      </c>
      <c r="E265" s="539"/>
      <c r="F265" s="427"/>
      <c r="G265" s="96"/>
      <c r="H265" s="429"/>
      <c r="I265" s="425"/>
      <c r="J265" s="430"/>
      <c r="K265" s="430"/>
      <c r="L265" s="430"/>
      <c r="M265" s="430"/>
      <c r="N265" s="430"/>
      <c r="O265" s="430"/>
      <c r="P265" s="430"/>
      <c r="Q265" s="96"/>
      <c r="R265" s="850"/>
      <c r="S265" s="850"/>
      <c r="T265" s="850"/>
      <c r="U265" s="850"/>
      <c r="V265" s="850"/>
      <c r="W265" s="431"/>
      <c r="X265" s="96"/>
      <c r="Y265" s="426"/>
      <c r="Z265" s="425"/>
      <c r="AA265" s="425"/>
      <c r="AB265" s="432"/>
      <c r="AC265" s="433"/>
      <c r="AD265" s="433">
        <f>AD278+AD266+AD287+AD294+AD300</f>
        <v>6900000</v>
      </c>
      <c r="AE265" s="685"/>
      <c r="AF265" s="96"/>
      <c r="AG265" s="433">
        <f>AG278+AG266+AG287+AG294+AG300</f>
        <v>6702000</v>
      </c>
      <c r="AH265" s="433">
        <f>AH278+AH266+AH287+AH294+AH300</f>
        <v>0</v>
      </c>
      <c r="AI265" s="433">
        <f>AI278+AI266+AI287+AI294+AI300</f>
        <v>6702000</v>
      </c>
      <c r="AJ265" s="865"/>
      <c r="AK265" s="433">
        <f>AK278+AK266+AK287+AK294+AK300</f>
        <v>163600</v>
      </c>
      <c r="AL265" s="433">
        <f>AL278+AL266+AL287+AL294+AL300</f>
        <v>2254400</v>
      </c>
      <c r="AM265" s="433">
        <f>AM278+AM266+AM287+AM294+AM300</f>
        <v>250000</v>
      </c>
      <c r="AN265" s="433">
        <f>AN278+AN266+AN287+AN294+AN300</f>
        <v>250000</v>
      </c>
      <c r="AO265" s="433">
        <f>AO278+AO266+AO287+AO294+AO300</f>
        <v>1400000</v>
      </c>
      <c r="AP265" s="976">
        <f>SUM(AK265:AO265)</f>
        <v>4318000</v>
      </c>
      <c r="AR265" s="1027"/>
    </row>
    <row r="266" spans="1:52" s="153" customFormat="1" ht="29.5" customHeight="1" outlineLevel="2">
      <c r="A266" s="172"/>
      <c r="B266" s="171" t="s">
        <v>539</v>
      </c>
      <c r="C266" s="171"/>
      <c r="D266" s="1466" t="s">
        <v>3295</v>
      </c>
      <c r="E266" s="538" t="s">
        <v>5</v>
      </c>
      <c r="F266" s="106" t="s">
        <v>1440</v>
      </c>
      <c r="G266" s="96"/>
      <c r="H266" s="357" t="e">
        <f>+'1_MdR_Limpia'!#REF!</f>
        <v>#REF!</v>
      </c>
      <c r="I266" s="357" t="e">
        <f>+'1_MdR_Limpia'!#REF!</f>
        <v>#REF!</v>
      </c>
      <c r="J266" s="357" t="e">
        <f>+'1_MdR_Limpia'!#REF!</f>
        <v>#REF!</v>
      </c>
      <c r="K266" s="357" t="e">
        <f>+'1_MdR_Limpia'!#REF!</f>
        <v>#REF!</v>
      </c>
      <c r="L266" s="357" t="e">
        <f>+'1_MdR_Limpia'!#REF!</f>
        <v>#REF!</v>
      </c>
      <c r="M266" s="357" t="e">
        <f>+'1_MdR_Limpia'!#REF!</f>
        <v>#REF!</v>
      </c>
      <c r="N266" s="357" t="e">
        <f>+'1_MdR_Limpia'!#REF!</f>
        <v>#REF!</v>
      </c>
      <c r="O266" s="357" t="e">
        <f>+'1_MdR_Limpia'!#REF!</f>
        <v>#REF!</v>
      </c>
      <c r="P266" s="357" t="e">
        <f>+'1_MdR_Limpia'!#REF!</f>
        <v>#REF!</v>
      </c>
      <c r="Q266" s="96"/>
      <c r="R266" s="854"/>
      <c r="S266" s="358"/>
      <c r="T266" s="358"/>
      <c r="U266" s="358"/>
      <c r="V266" s="358"/>
      <c r="W266" s="106"/>
      <c r="X266" s="96"/>
      <c r="Y266" s="106"/>
      <c r="Z266" s="172"/>
      <c r="AA266" s="172"/>
      <c r="AB266" s="171"/>
      <c r="AC266" s="176"/>
      <c r="AD266" s="176">
        <f>SUM(AD267:AD277)</f>
        <v>1100000</v>
      </c>
      <c r="AE266" s="692"/>
      <c r="AF266" s="96"/>
      <c r="AG266" s="176">
        <f>SUM(AG267:AG277)</f>
        <v>1100000</v>
      </c>
      <c r="AH266" s="176">
        <f>SUM(AH267:AH277)</f>
        <v>0</v>
      </c>
      <c r="AI266" s="176">
        <f>AG266+AH266</f>
        <v>1100000</v>
      </c>
      <c r="AJ266" s="865"/>
      <c r="AK266" s="176">
        <f>+AH266</f>
        <v>0</v>
      </c>
      <c r="AL266" s="176">
        <f>+AI266</f>
        <v>1100000</v>
      </c>
      <c r="AM266" s="176">
        <f>+AJ266</f>
        <v>0</v>
      </c>
      <c r="AN266" s="176">
        <f>+AK266</f>
        <v>0</v>
      </c>
      <c r="AO266" s="176">
        <f>+AL266</f>
        <v>1100000</v>
      </c>
      <c r="AP266" s="979">
        <f>SUM(AK266:AO266)</f>
        <v>2200000</v>
      </c>
      <c r="AR266" s="1027"/>
    </row>
    <row r="267" spans="1:52" s="108" customFormat="1" ht="30" hidden="1" outlineLevel="3">
      <c r="A267" s="580"/>
      <c r="B267" s="107" t="s">
        <v>1438</v>
      </c>
      <c r="C267" s="107"/>
      <c r="D267" s="1465" t="s">
        <v>3489</v>
      </c>
      <c r="E267" s="533"/>
      <c r="F267" s="103"/>
      <c r="G267" s="97"/>
      <c r="H267" s="363"/>
      <c r="I267" s="364"/>
      <c r="J267" s="365"/>
      <c r="K267" s="365"/>
      <c r="L267" s="365"/>
      <c r="M267" s="365"/>
      <c r="N267" s="365"/>
      <c r="O267" s="365"/>
      <c r="P267" s="365"/>
      <c r="Q267" s="97"/>
      <c r="R267" s="364"/>
      <c r="S267" s="364"/>
      <c r="T267" s="364"/>
      <c r="U267" s="364">
        <f>+'9.3_PA_Det'!F93</f>
        <v>31</v>
      </c>
      <c r="V267" s="364"/>
      <c r="W267" s="181"/>
      <c r="X267" s="97"/>
      <c r="Y267" s="711" t="s">
        <v>1179</v>
      </c>
      <c r="Z267" s="712">
        <v>1</v>
      </c>
      <c r="AA267" s="179"/>
      <c r="AB267" s="180"/>
      <c r="AC267" s="1032">
        <v>100000</v>
      </c>
      <c r="AD267" s="1032">
        <f>Z267*AC267</f>
        <v>100000</v>
      </c>
      <c r="AE267" s="1042"/>
      <c r="AF267" s="97"/>
      <c r="AG267" s="1032">
        <f>+AD267</f>
        <v>100000</v>
      </c>
      <c r="AH267" s="1032">
        <v>0</v>
      </c>
      <c r="AI267" s="1041">
        <f>+AG267+AH267</f>
        <v>100000</v>
      </c>
      <c r="AJ267" s="867"/>
      <c r="AK267" s="986">
        <f>+AG267*40%</f>
        <v>40000</v>
      </c>
      <c r="AL267" s="986">
        <f>+AG267*60%</f>
        <v>60000</v>
      </c>
      <c r="AM267" s="986"/>
      <c r="AN267" s="987"/>
      <c r="AO267" s="1038"/>
      <c r="AP267" s="1038">
        <f>SUM(AK267:AO267)</f>
        <v>100000</v>
      </c>
      <c r="AQ267" s="153"/>
      <c r="AR267" s="1027"/>
    </row>
    <row r="268" spans="1:52" s="108" customFormat="1" ht="41.5" hidden="1" customHeight="1" outlineLevel="3">
      <c r="A268" s="580"/>
      <c r="B268" s="107" t="s">
        <v>1516</v>
      </c>
      <c r="C268" s="107"/>
      <c r="D268" s="1465" t="s">
        <v>3490</v>
      </c>
      <c r="E268" s="533"/>
      <c r="F268" s="103"/>
      <c r="G268" s="97"/>
      <c r="H268" s="363"/>
      <c r="I268" s="364"/>
      <c r="J268" s="365"/>
      <c r="K268" s="365"/>
      <c r="L268" s="365"/>
      <c r="M268" s="365"/>
      <c r="N268" s="365"/>
      <c r="O268" s="365"/>
      <c r="P268" s="365"/>
      <c r="Q268" s="97"/>
      <c r="R268" s="3838"/>
      <c r="S268" s="3838"/>
      <c r="T268" s="3838" t="s">
        <v>3491</v>
      </c>
      <c r="U268" s="3838"/>
      <c r="V268" s="3838"/>
      <c r="W268" s="3838"/>
      <c r="X268" s="97"/>
      <c r="Y268" s="3838" t="s">
        <v>1179</v>
      </c>
      <c r="Z268" s="3841">
        <v>1</v>
      </c>
      <c r="AA268" s="3915"/>
      <c r="AB268" s="3915"/>
      <c r="AC268" s="3787">
        <v>1000000</v>
      </c>
      <c r="AD268" s="3787">
        <f>Z268*AC268</f>
        <v>1000000</v>
      </c>
      <c r="AE268" s="3838"/>
      <c r="AF268" s="97"/>
      <c r="AG268" s="3787">
        <f>+AD268</f>
        <v>1000000</v>
      </c>
      <c r="AH268" s="3787"/>
      <c r="AI268" s="3787">
        <f>+AG268+AH268</f>
        <v>1000000</v>
      </c>
      <c r="AJ268" s="867"/>
      <c r="AK268" s="3787"/>
      <c r="AL268" s="3787"/>
      <c r="AM268" s="3787"/>
      <c r="AN268" s="3787"/>
      <c r="AO268" s="3787"/>
      <c r="AP268" s="3787"/>
      <c r="AQ268" s="153"/>
      <c r="AR268" s="1027"/>
    </row>
    <row r="269" spans="1:52" s="108" customFormat="1" ht="14.5" hidden="1" customHeight="1" outlineLevel="3">
      <c r="A269" s="580"/>
      <c r="B269" s="107" t="s">
        <v>1518</v>
      </c>
      <c r="C269" s="107"/>
      <c r="D269" s="1464" t="s">
        <v>865</v>
      </c>
      <c r="E269" s="533"/>
      <c r="F269" s="103"/>
      <c r="G269" s="97"/>
      <c r="H269" s="363"/>
      <c r="I269" s="364"/>
      <c r="J269" s="365"/>
      <c r="K269" s="365"/>
      <c r="L269" s="365"/>
      <c r="M269" s="365"/>
      <c r="N269" s="365"/>
      <c r="O269" s="365"/>
      <c r="P269" s="365"/>
      <c r="Q269" s="97"/>
      <c r="R269" s="3839"/>
      <c r="S269" s="3839"/>
      <c r="T269" s="3839"/>
      <c r="U269" s="3839"/>
      <c r="V269" s="3839"/>
      <c r="W269" s="3839"/>
      <c r="X269" s="97"/>
      <c r="Y269" s="3839"/>
      <c r="Z269" s="3842"/>
      <c r="AA269" s="3916"/>
      <c r="AB269" s="3916"/>
      <c r="AC269" s="3788"/>
      <c r="AD269" s="3788"/>
      <c r="AE269" s="3839"/>
      <c r="AF269" s="97"/>
      <c r="AG269" s="3788"/>
      <c r="AH269" s="3788"/>
      <c r="AI269" s="3788"/>
      <c r="AJ269" s="867"/>
      <c r="AK269" s="3788"/>
      <c r="AL269" s="3788"/>
      <c r="AM269" s="3788"/>
      <c r="AN269" s="3788"/>
      <c r="AO269" s="3788"/>
      <c r="AP269" s="3788"/>
      <c r="AQ269" s="153"/>
      <c r="AR269" s="1027"/>
    </row>
    <row r="270" spans="1:52" s="108" customFormat="1" ht="14.5" hidden="1" customHeight="1" outlineLevel="3">
      <c r="A270" s="580"/>
      <c r="B270" s="107" t="s">
        <v>1521</v>
      </c>
      <c r="C270" s="107"/>
      <c r="D270" s="1464" t="s">
        <v>1455</v>
      </c>
      <c r="E270" s="533"/>
      <c r="F270" s="103"/>
      <c r="G270" s="97"/>
      <c r="H270" s="363"/>
      <c r="I270" s="364"/>
      <c r="J270" s="365"/>
      <c r="K270" s="365"/>
      <c r="L270" s="365"/>
      <c r="M270" s="365"/>
      <c r="N270" s="365"/>
      <c r="O270" s="365"/>
      <c r="P270" s="365"/>
      <c r="Q270" s="97"/>
      <c r="R270" s="3839"/>
      <c r="S270" s="3839"/>
      <c r="T270" s="3839"/>
      <c r="U270" s="3839"/>
      <c r="V270" s="3839"/>
      <c r="W270" s="3839"/>
      <c r="X270" s="97"/>
      <c r="Y270" s="3839"/>
      <c r="Z270" s="3842"/>
      <c r="AA270" s="3916"/>
      <c r="AB270" s="3916"/>
      <c r="AC270" s="3788"/>
      <c r="AD270" s="3788"/>
      <c r="AE270" s="3839"/>
      <c r="AF270" s="97"/>
      <c r="AG270" s="3788"/>
      <c r="AH270" s="3788"/>
      <c r="AI270" s="3788"/>
      <c r="AJ270" s="867"/>
      <c r="AK270" s="3788"/>
      <c r="AL270" s="3788"/>
      <c r="AM270" s="3788"/>
      <c r="AN270" s="3788"/>
      <c r="AO270" s="3788"/>
      <c r="AP270" s="3788"/>
      <c r="AQ270" s="153"/>
      <c r="AR270" s="1027"/>
    </row>
    <row r="271" spans="1:52" s="108" customFormat="1" ht="15" hidden="1" outlineLevel="3">
      <c r="A271" s="580"/>
      <c r="B271" s="107" t="s">
        <v>1524</v>
      </c>
      <c r="C271" s="107"/>
      <c r="D271" s="1464" t="s">
        <v>1457</v>
      </c>
      <c r="E271" s="533"/>
      <c r="F271" s="103"/>
      <c r="G271" s="97"/>
      <c r="H271" s="363"/>
      <c r="I271" s="364"/>
      <c r="J271" s="365"/>
      <c r="K271" s="365"/>
      <c r="L271" s="365"/>
      <c r="M271" s="365"/>
      <c r="N271" s="365"/>
      <c r="O271" s="365"/>
      <c r="P271" s="365"/>
      <c r="Q271" s="97"/>
      <c r="R271" s="3839"/>
      <c r="S271" s="3839"/>
      <c r="T271" s="3839"/>
      <c r="U271" s="3839"/>
      <c r="V271" s="3839"/>
      <c r="W271" s="3839"/>
      <c r="X271" s="97"/>
      <c r="Y271" s="3839"/>
      <c r="Z271" s="3842"/>
      <c r="AA271" s="3916"/>
      <c r="AB271" s="3916"/>
      <c r="AC271" s="3788"/>
      <c r="AD271" s="3788"/>
      <c r="AE271" s="3839"/>
      <c r="AF271" s="97"/>
      <c r="AG271" s="3788"/>
      <c r="AH271" s="3788"/>
      <c r="AI271" s="3788"/>
      <c r="AJ271" s="867"/>
      <c r="AK271" s="3788"/>
      <c r="AL271" s="3788"/>
      <c r="AM271" s="3788"/>
      <c r="AN271" s="3788"/>
      <c r="AO271" s="3788"/>
      <c r="AP271" s="3788"/>
      <c r="AQ271" s="153"/>
      <c r="AR271" s="1027"/>
    </row>
    <row r="272" spans="1:52" s="108" customFormat="1" ht="14.5" hidden="1" customHeight="1" outlineLevel="3">
      <c r="A272" s="580"/>
      <c r="B272" s="107" t="s">
        <v>1528</v>
      </c>
      <c r="C272" s="107"/>
      <c r="D272" s="1464" t="s">
        <v>1459</v>
      </c>
      <c r="E272" s="533"/>
      <c r="F272" s="103"/>
      <c r="G272" s="97"/>
      <c r="H272" s="363"/>
      <c r="I272" s="364"/>
      <c r="J272" s="365"/>
      <c r="K272" s="365"/>
      <c r="L272" s="365"/>
      <c r="M272" s="365"/>
      <c r="N272" s="365"/>
      <c r="O272" s="365"/>
      <c r="P272" s="365"/>
      <c r="Q272" s="97"/>
      <c r="R272" s="3839"/>
      <c r="S272" s="3839"/>
      <c r="T272" s="3839"/>
      <c r="U272" s="3839"/>
      <c r="V272" s="3839"/>
      <c r="W272" s="3839"/>
      <c r="X272" s="97"/>
      <c r="Y272" s="3839"/>
      <c r="Z272" s="3842"/>
      <c r="AA272" s="3916"/>
      <c r="AB272" s="3916"/>
      <c r="AC272" s="3788"/>
      <c r="AD272" s="3788"/>
      <c r="AE272" s="3839"/>
      <c r="AF272" s="97"/>
      <c r="AG272" s="3788"/>
      <c r="AH272" s="3788"/>
      <c r="AI272" s="3788"/>
      <c r="AJ272" s="867"/>
      <c r="AK272" s="3788"/>
      <c r="AL272" s="3788"/>
      <c r="AM272" s="3788"/>
      <c r="AN272" s="3788"/>
      <c r="AO272" s="3788"/>
      <c r="AP272" s="3788"/>
      <c r="AQ272" s="153"/>
      <c r="AR272" s="1027"/>
    </row>
    <row r="273" spans="1:44" s="108" customFormat="1" ht="14.5" hidden="1" customHeight="1" outlineLevel="3">
      <c r="A273" s="580"/>
      <c r="B273" s="107" t="s">
        <v>1530</v>
      </c>
      <c r="C273" s="107"/>
      <c r="D273" s="1464" t="s">
        <v>1461</v>
      </c>
      <c r="E273" s="533"/>
      <c r="F273" s="103"/>
      <c r="G273" s="97"/>
      <c r="H273" s="363"/>
      <c r="I273" s="364"/>
      <c r="J273" s="365"/>
      <c r="K273" s="365"/>
      <c r="L273" s="365"/>
      <c r="M273" s="365"/>
      <c r="N273" s="365"/>
      <c r="O273" s="365"/>
      <c r="P273" s="365"/>
      <c r="Q273" s="97"/>
      <c r="R273" s="3839"/>
      <c r="S273" s="3839"/>
      <c r="T273" s="3839"/>
      <c r="U273" s="3839"/>
      <c r="V273" s="3839"/>
      <c r="W273" s="3839"/>
      <c r="X273" s="97"/>
      <c r="Y273" s="3839"/>
      <c r="Z273" s="3842"/>
      <c r="AA273" s="3916"/>
      <c r="AB273" s="3916"/>
      <c r="AC273" s="3788"/>
      <c r="AD273" s="3788"/>
      <c r="AE273" s="3839"/>
      <c r="AF273" s="97"/>
      <c r="AG273" s="3788"/>
      <c r="AH273" s="3788"/>
      <c r="AI273" s="3788"/>
      <c r="AJ273" s="867"/>
      <c r="AK273" s="3788"/>
      <c r="AL273" s="3788"/>
      <c r="AM273" s="3788"/>
      <c r="AN273" s="3788"/>
      <c r="AO273" s="3788"/>
      <c r="AP273" s="3788"/>
      <c r="AQ273" s="153"/>
      <c r="AR273" s="1027"/>
    </row>
    <row r="274" spans="1:44" s="108" customFormat="1" ht="14.5" hidden="1" customHeight="1" outlineLevel="3">
      <c r="A274" s="580"/>
      <c r="B274" s="107" t="s">
        <v>1532</v>
      </c>
      <c r="C274" s="107"/>
      <c r="D274" s="1464" t="s">
        <v>1463</v>
      </c>
      <c r="E274" s="533"/>
      <c r="F274" s="103"/>
      <c r="G274" s="97"/>
      <c r="H274" s="363"/>
      <c r="I274" s="364"/>
      <c r="J274" s="365"/>
      <c r="K274" s="365"/>
      <c r="L274" s="365"/>
      <c r="M274" s="365"/>
      <c r="N274" s="365"/>
      <c r="O274" s="365"/>
      <c r="P274" s="365"/>
      <c r="Q274" s="97"/>
      <c r="R274" s="3839"/>
      <c r="S274" s="3839"/>
      <c r="T274" s="3839"/>
      <c r="U274" s="3839"/>
      <c r="V274" s="3839"/>
      <c r="W274" s="3839"/>
      <c r="X274" s="97"/>
      <c r="Y274" s="3839"/>
      <c r="Z274" s="3842"/>
      <c r="AA274" s="3916"/>
      <c r="AB274" s="3916"/>
      <c r="AC274" s="3788"/>
      <c r="AD274" s="3788"/>
      <c r="AE274" s="3839"/>
      <c r="AF274" s="97"/>
      <c r="AG274" s="3788"/>
      <c r="AH274" s="3788"/>
      <c r="AI274" s="3788"/>
      <c r="AJ274" s="867"/>
      <c r="AK274" s="3788"/>
      <c r="AL274" s="3788"/>
      <c r="AM274" s="3788"/>
      <c r="AN274" s="3788"/>
      <c r="AO274" s="3788"/>
      <c r="AP274" s="3788"/>
      <c r="AQ274" s="153"/>
      <c r="AR274" s="1027"/>
    </row>
    <row r="275" spans="1:44" s="108" customFormat="1" ht="15" hidden="1" outlineLevel="3">
      <c r="A275" s="580"/>
      <c r="B275" s="107" t="s">
        <v>3492</v>
      </c>
      <c r="C275" s="107"/>
      <c r="D275" s="1464" t="s">
        <v>1467</v>
      </c>
      <c r="E275" s="533"/>
      <c r="F275" s="103"/>
      <c r="G275" s="97"/>
      <c r="H275" s="363"/>
      <c r="I275" s="364"/>
      <c r="J275" s="365"/>
      <c r="K275" s="365"/>
      <c r="L275" s="365"/>
      <c r="M275" s="365"/>
      <c r="N275" s="365"/>
      <c r="O275" s="365"/>
      <c r="P275" s="365"/>
      <c r="Q275" s="97"/>
      <c r="R275" s="3839"/>
      <c r="S275" s="3839"/>
      <c r="T275" s="3839"/>
      <c r="U275" s="3839"/>
      <c r="V275" s="3839"/>
      <c r="W275" s="3839"/>
      <c r="X275" s="97"/>
      <c r="Y275" s="3839"/>
      <c r="Z275" s="3842"/>
      <c r="AA275" s="3916"/>
      <c r="AB275" s="3916"/>
      <c r="AC275" s="3788"/>
      <c r="AD275" s="3788"/>
      <c r="AE275" s="3839"/>
      <c r="AF275" s="97"/>
      <c r="AG275" s="3788"/>
      <c r="AH275" s="3788"/>
      <c r="AI275" s="3788"/>
      <c r="AJ275" s="867"/>
      <c r="AK275" s="3788"/>
      <c r="AL275" s="3788"/>
      <c r="AM275" s="3788"/>
      <c r="AN275" s="3788"/>
      <c r="AO275" s="3788"/>
      <c r="AP275" s="3788"/>
      <c r="AQ275" s="153"/>
      <c r="AR275" s="1027"/>
    </row>
    <row r="276" spans="1:44" s="108" customFormat="1" ht="14.5" hidden="1" customHeight="1" outlineLevel="3">
      <c r="A276" s="580"/>
      <c r="B276" s="107" t="s">
        <v>3493</v>
      </c>
      <c r="C276" s="107"/>
      <c r="D276" s="1464" t="s">
        <v>1469</v>
      </c>
      <c r="E276" s="533"/>
      <c r="F276" s="103"/>
      <c r="G276" s="97"/>
      <c r="H276" s="363"/>
      <c r="I276" s="364"/>
      <c r="J276" s="365"/>
      <c r="K276" s="365"/>
      <c r="L276" s="365"/>
      <c r="M276" s="365"/>
      <c r="N276" s="365"/>
      <c r="O276" s="365"/>
      <c r="P276" s="365"/>
      <c r="Q276" s="97"/>
      <c r="R276" s="3839"/>
      <c r="S276" s="3839"/>
      <c r="T276" s="3839"/>
      <c r="U276" s="3839"/>
      <c r="V276" s="3839"/>
      <c r="W276" s="3839"/>
      <c r="X276" s="97"/>
      <c r="Y276" s="3839"/>
      <c r="Z276" s="3842"/>
      <c r="AA276" s="3916"/>
      <c r="AB276" s="3916"/>
      <c r="AC276" s="3788"/>
      <c r="AD276" s="3788"/>
      <c r="AE276" s="3839"/>
      <c r="AF276" s="97"/>
      <c r="AG276" s="3788"/>
      <c r="AH276" s="3788"/>
      <c r="AI276" s="3788"/>
      <c r="AJ276" s="867"/>
      <c r="AK276" s="3788"/>
      <c r="AL276" s="3788"/>
      <c r="AM276" s="3788"/>
      <c r="AN276" s="3788"/>
      <c r="AO276" s="3788"/>
      <c r="AP276" s="3788"/>
      <c r="AQ276" s="153"/>
      <c r="AR276" s="1027"/>
    </row>
    <row r="277" spans="1:44" s="108" customFormat="1" ht="14.5" hidden="1" customHeight="1" outlineLevel="3">
      <c r="A277" s="580"/>
      <c r="B277" s="107" t="s">
        <v>3494</v>
      </c>
      <c r="C277" s="107"/>
      <c r="D277" s="1464" t="s">
        <v>1471</v>
      </c>
      <c r="E277" s="533"/>
      <c r="F277" s="103"/>
      <c r="G277" s="97"/>
      <c r="H277" s="363"/>
      <c r="I277" s="364"/>
      <c r="J277" s="365"/>
      <c r="K277" s="365"/>
      <c r="L277" s="365"/>
      <c r="M277" s="365"/>
      <c r="N277" s="365"/>
      <c r="O277" s="365"/>
      <c r="P277" s="365"/>
      <c r="Q277" s="97"/>
      <c r="R277" s="3840"/>
      <c r="S277" s="3840"/>
      <c r="T277" s="3840"/>
      <c r="U277" s="3840"/>
      <c r="V277" s="3840"/>
      <c r="W277" s="3840"/>
      <c r="X277" s="97"/>
      <c r="Y277" s="3840"/>
      <c r="Z277" s="3843"/>
      <c r="AA277" s="3917"/>
      <c r="AB277" s="3917"/>
      <c r="AC277" s="3789"/>
      <c r="AD277" s="3789"/>
      <c r="AE277" s="3840"/>
      <c r="AF277" s="97"/>
      <c r="AG277" s="3789"/>
      <c r="AH277" s="3789"/>
      <c r="AI277" s="3789"/>
      <c r="AJ277" s="867"/>
      <c r="AK277" s="3789"/>
      <c r="AL277" s="3789"/>
      <c r="AM277" s="3789"/>
      <c r="AN277" s="3789"/>
      <c r="AO277" s="3789"/>
      <c r="AP277" s="3789"/>
      <c r="AQ277" s="153"/>
      <c r="AR277" s="1027"/>
    </row>
    <row r="278" spans="1:44" s="153" customFormat="1" ht="26" customHeight="1" outlineLevel="2" collapsed="1">
      <c r="A278" s="172"/>
      <c r="B278" s="171" t="s">
        <v>542</v>
      </c>
      <c r="C278" s="171"/>
      <c r="D278" s="1467" t="s">
        <v>3298</v>
      </c>
      <c r="E278" s="538" t="s">
        <v>5</v>
      </c>
      <c r="F278" s="106" t="s">
        <v>1440</v>
      </c>
      <c r="G278" s="96"/>
      <c r="H278" s="357" t="e">
        <f>+'1_MdR_Limpia'!#REF!</f>
        <v>#REF!</v>
      </c>
      <c r="I278" s="357" t="e">
        <f>+'1_MdR_Limpia'!#REF!</f>
        <v>#REF!</v>
      </c>
      <c r="J278" s="357" t="e">
        <f>+'1_MdR_Limpia'!#REF!</f>
        <v>#REF!</v>
      </c>
      <c r="K278" s="357" t="e">
        <f>+'1_MdR_Limpia'!#REF!</f>
        <v>#REF!</v>
      </c>
      <c r="L278" s="357" t="e">
        <f>+'1_MdR_Limpia'!#REF!</f>
        <v>#REF!</v>
      </c>
      <c r="M278" s="357" t="e">
        <f>+'1_MdR_Limpia'!#REF!</f>
        <v>#REF!</v>
      </c>
      <c r="N278" s="357" t="e">
        <f>+'1_MdR_Limpia'!#REF!</f>
        <v>#REF!</v>
      </c>
      <c r="O278" s="357" t="e">
        <f>+'1_MdR_Limpia'!#REF!</f>
        <v>#REF!</v>
      </c>
      <c r="P278" s="357" t="e">
        <f>+'1_MdR_Limpia'!#REF!</f>
        <v>#REF!</v>
      </c>
      <c r="Q278" s="96"/>
      <c r="R278" s="854"/>
      <c r="S278" s="358"/>
      <c r="T278" s="358"/>
      <c r="U278" s="358"/>
      <c r="V278" s="358"/>
      <c r="W278" s="106"/>
      <c r="X278" s="96"/>
      <c r="Y278" s="106"/>
      <c r="Z278" s="172"/>
      <c r="AA278" s="172"/>
      <c r="AB278" s="171"/>
      <c r="AC278" s="176"/>
      <c r="AD278" s="176">
        <f>SUM(AD279:AD284)</f>
        <v>3250000</v>
      </c>
      <c r="AE278" s="692"/>
      <c r="AF278" s="96"/>
      <c r="AG278" s="176">
        <f>SUM(AG280:AG284)</f>
        <v>3234000</v>
      </c>
      <c r="AH278" s="176">
        <f>SUM(AH280:AH284)</f>
        <v>0</v>
      </c>
      <c r="AI278" s="176">
        <f>SUM(AI280:AI284)</f>
        <v>3234000</v>
      </c>
      <c r="AJ278" s="865"/>
      <c r="AK278" s="176">
        <f>SUM(AK280:AK284)</f>
        <v>0</v>
      </c>
      <c r="AL278" s="176">
        <f>SUM(AL280:AL284)</f>
        <v>0</v>
      </c>
      <c r="AM278" s="176">
        <f>SUM(AM280:AM284)</f>
        <v>0</v>
      </c>
      <c r="AN278" s="176">
        <f>SUM(AN280:AN284)</f>
        <v>0</v>
      </c>
      <c r="AO278" s="176">
        <f>SUM(AO280:AO284)</f>
        <v>0</v>
      </c>
      <c r="AP278" s="979">
        <f>SUM(AK278:AO278)</f>
        <v>0</v>
      </c>
      <c r="AR278" s="1027"/>
    </row>
    <row r="279" spans="1:44" s="108" customFormat="1" ht="49.25" hidden="1" customHeight="1" outlineLevel="3">
      <c r="A279" s="159"/>
      <c r="B279" s="702"/>
      <c r="C279" s="702" t="s">
        <v>1279</v>
      </c>
      <c r="D279" s="703" t="s">
        <v>2440</v>
      </c>
      <c r="E279" s="703"/>
      <c r="F279" s="177"/>
      <c r="G279" s="98"/>
      <c r="H279" s="363"/>
      <c r="I279" s="363"/>
      <c r="J279" s="363"/>
      <c r="K279" s="363"/>
      <c r="L279" s="363"/>
      <c r="M279" s="363"/>
      <c r="N279" s="363"/>
      <c r="O279" s="363"/>
      <c r="P279" s="363"/>
      <c r="Q279" s="98"/>
      <c r="R279" s="852" t="s">
        <v>763</v>
      </c>
      <c r="S279" s="364"/>
      <c r="T279" s="852" t="s">
        <v>1430</v>
      </c>
      <c r="U279" s="364"/>
      <c r="V279" s="852"/>
      <c r="W279" s="1444" t="s">
        <v>1480</v>
      </c>
      <c r="X279" s="98"/>
      <c r="Y279" s="177" t="s">
        <v>1280</v>
      </c>
      <c r="Z279" s="159" t="s">
        <v>494</v>
      </c>
      <c r="AA279" s="159" t="s">
        <v>576</v>
      </c>
      <c r="AB279" s="702"/>
      <c r="AC279" s="355">
        <v>4000</v>
      </c>
      <c r="AD279" s="355">
        <f>+Z279*AA279*AC279</f>
        <v>16000</v>
      </c>
      <c r="AE279" s="693"/>
      <c r="AF279" s="98"/>
      <c r="AG279" s="355"/>
      <c r="AH279" s="355"/>
      <c r="AI279" s="355"/>
      <c r="AJ279" s="874"/>
      <c r="AK279" s="355"/>
      <c r="AL279" s="355"/>
      <c r="AM279" s="355"/>
      <c r="AN279" s="355"/>
      <c r="AO279" s="355"/>
      <c r="AP279" s="1006"/>
      <c r="AR279" s="1027"/>
    </row>
    <row r="280" spans="1:44" s="153" customFormat="1" ht="38" hidden="1" customHeight="1" outlineLevel="3">
      <c r="A280" s="159"/>
      <c r="B280" s="702" t="s">
        <v>2590</v>
      </c>
      <c r="C280" s="702"/>
      <c r="D280" s="703" t="s">
        <v>1484</v>
      </c>
      <c r="E280" s="703"/>
      <c r="F280" s="177"/>
      <c r="G280" s="96"/>
      <c r="H280" s="366"/>
      <c r="I280" s="366"/>
      <c r="J280" s="368"/>
      <c r="K280" s="368"/>
      <c r="L280" s="368"/>
      <c r="M280" s="368"/>
      <c r="N280" s="368"/>
      <c r="O280" s="368"/>
      <c r="P280" s="368"/>
      <c r="Q280" s="96"/>
      <c r="R280" s="3897"/>
      <c r="S280" s="853"/>
      <c r="T280" s="4613" t="s">
        <v>1485</v>
      </c>
      <c r="U280" s="853"/>
      <c r="V280" s="3799"/>
      <c r="W280" s="3918" t="s">
        <v>1486</v>
      </c>
      <c r="X280" s="96"/>
      <c r="Y280" s="711" t="s">
        <v>1179</v>
      </c>
      <c r="Z280" s="712">
        <v>1</v>
      </c>
      <c r="AA280" s="704"/>
      <c r="AB280" s="354"/>
      <c r="AC280" s="355">
        <f>500000-AD279</f>
        <v>484000</v>
      </c>
      <c r="AD280" s="355">
        <f>+Z280*AC280</f>
        <v>484000</v>
      </c>
      <c r="AE280" s="693"/>
      <c r="AF280" s="96"/>
      <c r="AG280" s="1048">
        <f>+AD280</f>
        <v>484000</v>
      </c>
      <c r="AH280" s="485"/>
      <c r="AI280" s="1053">
        <f>AG280+AH280</f>
        <v>484000</v>
      </c>
      <c r="AJ280" s="865"/>
      <c r="AK280" s="485"/>
      <c r="AL280" s="485"/>
      <c r="AM280" s="485"/>
      <c r="AN280" s="485"/>
      <c r="AO280" s="485"/>
      <c r="AP280" s="1468">
        <f>SUM(AK280:AO280)</f>
        <v>0</v>
      </c>
      <c r="AR280" s="1027"/>
    </row>
    <row r="281" spans="1:44" s="108" customFormat="1" ht="30" hidden="1" outlineLevel="4">
      <c r="A281" s="580"/>
      <c r="B281" s="702" t="s">
        <v>2592</v>
      </c>
      <c r="C281" s="107"/>
      <c r="D281" s="703" t="s">
        <v>1488</v>
      </c>
      <c r="E281" s="703"/>
      <c r="F281" s="103"/>
      <c r="G281" s="97"/>
      <c r="H281" s="363"/>
      <c r="I281" s="364"/>
      <c r="J281" s="367"/>
      <c r="K281" s="367"/>
      <c r="L281" s="367"/>
      <c r="M281" s="367"/>
      <c r="N281" s="367"/>
      <c r="O281" s="367"/>
      <c r="P281" s="367"/>
      <c r="Q281" s="97"/>
      <c r="R281" s="3898"/>
      <c r="S281" s="364"/>
      <c r="T281" s="4614"/>
      <c r="U281" s="364">
        <f>+'9.3_PA_Det'!$F$185</f>
        <v>76</v>
      </c>
      <c r="V281" s="3800"/>
      <c r="W281" s="3919"/>
      <c r="X281" s="97"/>
      <c r="Y281" s="711" t="s">
        <v>1179</v>
      </c>
      <c r="Z281" s="712">
        <v>1</v>
      </c>
      <c r="AA281" s="179"/>
      <c r="AB281" s="180"/>
      <c r="AC281" s="1048">
        <v>100000</v>
      </c>
      <c r="AD281" s="355">
        <f>+Z281*AC281</f>
        <v>100000</v>
      </c>
      <c r="AE281" s="705"/>
      <c r="AF281" s="97"/>
      <c r="AG281" s="1048">
        <f>+AD281</f>
        <v>100000</v>
      </c>
      <c r="AH281" s="1048"/>
      <c r="AI281" s="1053">
        <f>AG281+AH281</f>
        <v>100000</v>
      </c>
      <c r="AJ281" s="867"/>
      <c r="AK281" s="1048"/>
      <c r="AL281" s="1048"/>
      <c r="AM281" s="1048"/>
      <c r="AN281" s="1048"/>
      <c r="AO281" s="1048"/>
      <c r="AP281" s="1044">
        <f>SUM(AK281:AO281)</f>
        <v>0</v>
      </c>
      <c r="AR281" s="1027"/>
    </row>
    <row r="282" spans="1:44" s="108" customFormat="1" ht="75" hidden="1" outlineLevel="4">
      <c r="A282" s="580"/>
      <c r="B282" s="702" t="s">
        <v>3495</v>
      </c>
      <c r="C282" s="107"/>
      <c r="D282" s="703" t="s">
        <v>1490</v>
      </c>
      <c r="E282" s="703"/>
      <c r="F282" s="103"/>
      <c r="G282" s="97"/>
      <c r="H282" s="363"/>
      <c r="I282" s="364"/>
      <c r="J282" s="367"/>
      <c r="K282" s="367"/>
      <c r="L282" s="367"/>
      <c r="M282" s="367"/>
      <c r="N282" s="367"/>
      <c r="O282" s="367"/>
      <c r="P282" s="367"/>
      <c r="Q282" s="97"/>
      <c r="R282" s="3898"/>
      <c r="S282" s="364"/>
      <c r="T282" s="4614"/>
      <c r="U282" s="364">
        <f>+'9.3_PA_Det'!$F$186</f>
        <v>77</v>
      </c>
      <c r="V282" s="3800"/>
      <c r="W282" s="3919"/>
      <c r="X282" s="97"/>
      <c r="Y282" s="711" t="s">
        <v>1179</v>
      </c>
      <c r="Z282" s="712">
        <v>1</v>
      </c>
      <c r="AA282" s="179"/>
      <c r="AB282" s="180"/>
      <c r="AC282" s="1048">
        <v>2500000</v>
      </c>
      <c r="AD282" s="355">
        <f>+Z282*AC282</f>
        <v>2500000</v>
      </c>
      <c r="AE282" s="705"/>
      <c r="AF282" s="97"/>
      <c r="AG282" s="1048">
        <f>+AD282</f>
        <v>2500000</v>
      </c>
      <c r="AH282" s="1048"/>
      <c r="AI282" s="1053">
        <f>AG282+AH282</f>
        <v>2500000</v>
      </c>
      <c r="AJ282" s="867"/>
      <c r="AK282" s="1048"/>
      <c r="AL282" s="1048"/>
      <c r="AM282" s="1048"/>
      <c r="AN282" s="1048"/>
      <c r="AO282" s="1048"/>
      <c r="AP282" s="1044">
        <f>SUM(AK282:AO282)</f>
        <v>0</v>
      </c>
      <c r="AR282" s="1027"/>
    </row>
    <row r="283" spans="1:44" s="108" customFormat="1" ht="45" hidden="1" outlineLevel="4">
      <c r="A283" s="580"/>
      <c r="B283" s="702" t="s">
        <v>3496</v>
      </c>
      <c r="C283" s="107"/>
      <c r="D283" s="1470" t="s">
        <v>1492</v>
      </c>
      <c r="E283" s="703"/>
      <c r="F283" s="103"/>
      <c r="G283" s="97"/>
      <c r="H283" s="363"/>
      <c r="I283" s="364"/>
      <c r="J283" s="367"/>
      <c r="K283" s="367"/>
      <c r="L283" s="367"/>
      <c r="M283" s="367"/>
      <c r="N283" s="367"/>
      <c r="O283" s="367"/>
      <c r="P283" s="367"/>
      <c r="Q283" s="97"/>
      <c r="R283" s="3898"/>
      <c r="S283" s="364"/>
      <c r="T283" s="4614"/>
      <c r="U283" s="364"/>
      <c r="V283" s="3800"/>
      <c r="W283" s="3919"/>
      <c r="X283" s="97"/>
      <c r="Y283" s="711" t="s">
        <v>1179</v>
      </c>
      <c r="Z283" s="712">
        <v>1</v>
      </c>
      <c r="AA283" s="179"/>
      <c r="AB283" s="180"/>
      <c r="AC283" s="1048">
        <v>100000</v>
      </c>
      <c r="AD283" s="355">
        <f>+Z283*AC283</f>
        <v>100000</v>
      </c>
      <c r="AE283" s="1469"/>
      <c r="AF283" s="97"/>
      <c r="AG283" s="1048">
        <f>+AD283</f>
        <v>100000</v>
      </c>
      <c r="AH283" s="1048"/>
      <c r="AI283" s="1053">
        <f>AG283+AH283</f>
        <v>100000</v>
      </c>
      <c r="AJ283" s="867"/>
      <c r="AK283" s="1048"/>
      <c r="AL283" s="1048"/>
      <c r="AM283" s="1048"/>
      <c r="AN283" s="1048"/>
      <c r="AO283" s="1048"/>
      <c r="AP283" s="1044"/>
      <c r="AR283" s="1027"/>
    </row>
    <row r="284" spans="1:44" s="108" customFormat="1" ht="30" hidden="1" outlineLevel="4">
      <c r="A284" s="580"/>
      <c r="B284" s="702" t="s">
        <v>3497</v>
      </c>
      <c r="C284" s="107"/>
      <c r="D284" s="1470" t="s">
        <v>1494</v>
      </c>
      <c r="E284" s="703"/>
      <c r="F284" s="103"/>
      <c r="G284" s="97"/>
      <c r="H284" s="363"/>
      <c r="I284" s="364"/>
      <c r="J284" s="367"/>
      <c r="K284" s="367"/>
      <c r="L284" s="367"/>
      <c r="M284" s="367"/>
      <c r="N284" s="367"/>
      <c r="O284" s="367"/>
      <c r="P284" s="367"/>
      <c r="Q284" s="97"/>
      <c r="R284" s="3899"/>
      <c r="S284" s="364"/>
      <c r="T284" s="4615"/>
      <c r="U284" s="364"/>
      <c r="V284" s="3801"/>
      <c r="W284" s="3920"/>
      <c r="X284" s="97"/>
      <c r="Y284" s="711" t="s">
        <v>1179</v>
      </c>
      <c r="Z284" s="712">
        <v>1</v>
      </c>
      <c r="AA284" s="179"/>
      <c r="AB284" s="180"/>
      <c r="AC284" s="1048">
        <v>50000</v>
      </c>
      <c r="AD284" s="355">
        <f>+Z284*AC284</f>
        <v>50000</v>
      </c>
      <c r="AE284" s="1469"/>
      <c r="AF284" s="97"/>
      <c r="AG284" s="1048">
        <f>+AD284</f>
        <v>50000</v>
      </c>
      <c r="AH284" s="1048"/>
      <c r="AI284" s="1053">
        <f>AG284+AH284</f>
        <v>50000</v>
      </c>
      <c r="AJ284" s="867"/>
      <c r="AK284" s="1048"/>
      <c r="AL284" s="1048"/>
      <c r="AM284" s="1048"/>
      <c r="AN284" s="1048"/>
      <c r="AO284" s="1048"/>
      <c r="AP284" s="1044"/>
      <c r="AR284" s="1027"/>
    </row>
    <row r="285" spans="1:44" s="108" customFormat="1" ht="15" hidden="1" outlineLevel="4">
      <c r="A285" s="580"/>
      <c r="B285" s="702"/>
      <c r="C285" s="107"/>
      <c r="D285" s="1639" t="s">
        <v>3498</v>
      </c>
      <c r="E285" s="703"/>
      <c r="F285" s="103"/>
      <c r="G285" s="97"/>
      <c r="H285" s="363"/>
      <c r="I285" s="364"/>
      <c r="J285" s="367"/>
      <c r="K285" s="367"/>
      <c r="L285" s="367"/>
      <c r="M285" s="367"/>
      <c r="N285" s="367"/>
      <c r="O285" s="367"/>
      <c r="P285" s="367"/>
      <c r="Q285" s="97"/>
      <c r="R285" s="951"/>
      <c r="S285" s="364"/>
      <c r="T285" s="1640"/>
      <c r="U285" s="364"/>
      <c r="V285" s="1481"/>
      <c r="W285" s="1480"/>
      <c r="X285" s="97"/>
      <c r="Y285" s="1603"/>
      <c r="Z285" s="1395"/>
      <c r="AA285" s="179"/>
      <c r="AB285" s="180"/>
      <c r="AC285" s="1048"/>
      <c r="AD285" s="1526"/>
      <c r="AE285" s="1469"/>
      <c r="AF285" s="97"/>
      <c r="AG285" s="1048"/>
      <c r="AH285" s="1048"/>
      <c r="AI285" s="1053"/>
      <c r="AJ285" s="867"/>
      <c r="AK285" s="1048"/>
      <c r="AL285" s="1048"/>
      <c r="AM285" s="1048"/>
      <c r="AN285" s="1048"/>
      <c r="AO285" s="1048"/>
      <c r="AP285" s="1044"/>
      <c r="AR285" s="1027"/>
    </row>
    <row r="286" spans="1:44" s="108" customFormat="1" ht="15" hidden="1" outlineLevel="4">
      <c r="A286" s="580"/>
      <c r="B286" s="702"/>
      <c r="C286" s="107"/>
      <c r="D286" s="1639" t="s">
        <v>1473</v>
      </c>
      <c r="E286" s="703"/>
      <c r="F286" s="103"/>
      <c r="G286" s="97"/>
      <c r="H286" s="363"/>
      <c r="I286" s="364"/>
      <c r="J286" s="367"/>
      <c r="K286" s="367"/>
      <c r="L286" s="367"/>
      <c r="M286" s="367"/>
      <c r="N286" s="367"/>
      <c r="O286" s="367"/>
      <c r="P286" s="367"/>
      <c r="Q286" s="97"/>
      <c r="R286" s="951"/>
      <c r="S286" s="364"/>
      <c r="T286" s="1640"/>
      <c r="U286" s="364"/>
      <c r="V286" s="1481"/>
      <c r="W286" s="1480"/>
      <c r="X286" s="97"/>
      <c r="Y286" s="1603"/>
      <c r="Z286" s="1395"/>
      <c r="AA286" s="179"/>
      <c r="AB286" s="180"/>
      <c r="AC286" s="1048"/>
      <c r="AD286" s="1526"/>
      <c r="AE286" s="1469"/>
      <c r="AF286" s="97"/>
      <c r="AG286" s="1048"/>
      <c r="AH286" s="1048"/>
      <c r="AI286" s="1053"/>
      <c r="AJ286" s="867"/>
      <c r="AK286" s="1048"/>
      <c r="AL286" s="1048"/>
      <c r="AM286" s="1048"/>
      <c r="AN286" s="1048"/>
      <c r="AO286" s="1048"/>
      <c r="AP286" s="1044"/>
      <c r="AR286" s="1027"/>
    </row>
    <row r="287" spans="1:44" s="153" customFormat="1" ht="60" outlineLevel="2" collapsed="1">
      <c r="A287" s="172"/>
      <c r="B287" s="171" t="s">
        <v>544</v>
      </c>
      <c r="C287" s="171"/>
      <c r="D287" s="538" t="s">
        <v>3304</v>
      </c>
      <c r="E287" s="538" t="s">
        <v>5</v>
      </c>
      <c r="F287" s="106" t="s">
        <v>1501</v>
      </c>
      <c r="G287" s="96"/>
      <c r="H287" s="357" t="e">
        <f>+'1_MdR_Limpia'!#REF!</f>
        <v>#REF!</v>
      </c>
      <c r="I287" s="357" t="e">
        <f>+'1_MdR_Limpia'!#REF!</f>
        <v>#REF!</v>
      </c>
      <c r="J287" s="357" t="e">
        <f>+'1_MdR_Limpia'!#REF!</f>
        <v>#REF!</v>
      </c>
      <c r="K287" s="357" t="e">
        <f>+'1_MdR_Limpia'!#REF!</f>
        <v>#REF!</v>
      </c>
      <c r="L287" s="357" t="e">
        <f>+'1_MdR_Limpia'!#REF!</f>
        <v>#REF!</v>
      </c>
      <c r="M287" s="357" t="e">
        <f>+'1_MdR_Limpia'!#REF!</f>
        <v>#REF!</v>
      </c>
      <c r="N287" s="357" t="e">
        <f>+'1_MdR_Limpia'!#REF!</f>
        <v>#REF!</v>
      </c>
      <c r="O287" s="357" t="e">
        <f>+'1_MdR_Limpia'!#REF!</f>
        <v>#REF!</v>
      </c>
      <c r="P287" s="357" t="e">
        <f>+'1_MdR_Limpia'!#REF!</f>
        <v>#REF!</v>
      </c>
      <c r="Q287" s="96"/>
      <c r="R287" s="854"/>
      <c r="S287" s="358"/>
      <c r="T287" s="358"/>
      <c r="U287" s="358"/>
      <c r="V287" s="358"/>
      <c r="W287" s="106"/>
      <c r="X287" s="96"/>
      <c r="Y287" s="106"/>
      <c r="Z287" s="172"/>
      <c r="AA287" s="172"/>
      <c r="AB287" s="171"/>
      <c r="AC287" s="176"/>
      <c r="AD287" s="176">
        <f>+AD288</f>
        <v>1000000</v>
      </c>
      <c r="AE287" s="692"/>
      <c r="AF287" s="96"/>
      <c r="AG287" s="176">
        <f>+AG288</f>
        <v>1000000</v>
      </c>
      <c r="AH287" s="176">
        <f>+AH288</f>
        <v>0</v>
      </c>
      <c r="AI287" s="176">
        <f>+AI288</f>
        <v>1000000</v>
      </c>
      <c r="AJ287" s="865"/>
      <c r="AK287" s="980">
        <f>+AK288</f>
        <v>0</v>
      </c>
      <c r="AL287" s="980">
        <f>+AL288</f>
        <v>200000</v>
      </c>
      <c r="AM287" s="980">
        <f>+AM288</f>
        <v>250000</v>
      </c>
      <c r="AN287" s="981">
        <f>+AN288</f>
        <v>250000</v>
      </c>
      <c r="AO287" s="979">
        <f>+AO288</f>
        <v>300000</v>
      </c>
      <c r="AP287" s="979">
        <f>SUM(AK287:AO287)</f>
        <v>1000000</v>
      </c>
      <c r="AR287" s="1027"/>
    </row>
    <row r="288" spans="1:44" s="108" customFormat="1" ht="51" hidden="1" customHeight="1" outlineLevel="3">
      <c r="A288" s="580"/>
      <c r="B288" s="107" t="s">
        <v>2599</v>
      </c>
      <c r="C288" s="107"/>
      <c r="D288" s="533" t="s">
        <v>1503</v>
      </c>
      <c r="E288" s="533"/>
      <c r="F288" s="103"/>
      <c r="G288" s="97"/>
      <c r="H288" s="363"/>
      <c r="I288" s="364"/>
      <c r="J288" s="365"/>
      <c r="K288" s="365"/>
      <c r="L288" s="365"/>
      <c r="M288" s="365"/>
      <c r="N288" s="365"/>
      <c r="O288" s="365"/>
      <c r="P288" s="365"/>
      <c r="Q288" s="97"/>
      <c r="R288" s="3897"/>
      <c r="S288" s="364" t="s">
        <v>1075</v>
      </c>
      <c r="T288" s="3897" t="s">
        <v>1526</v>
      </c>
      <c r="U288" s="364">
        <f>+'9.3_PA_Det'!F105</f>
        <v>36</v>
      </c>
      <c r="V288" s="3897"/>
      <c r="W288" s="3918"/>
      <c r="X288" s="97"/>
      <c r="Y288" s="3838" t="s">
        <v>1179</v>
      </c>
      <c r="Z288" s="3841" t="s">
        <v>494</v>
      </c>
      <c r="AA288" s="3915"/>
      <c r="AB288" s="3915"/>
      <c r="AC288" s="3787">
        <v>1000000</v>
      </c>
      <c r="AD288" s="3787">
        <f>Z288*AC288</f>
        <v>1000000</v>
      </c>
      <c r="AE288" s="4610"/>
      <c r="AF288" s="97"/>
      <c r="AG288" s="3787">
        <f>+AD288</f>
        <v>1000000</v>
      </c>
      <c r="AH288" s="3787">
        <v>0</v>
      </c>
      <c r="AI288" s="3787">
        <f>+AG288+AH288</f>
        <v>1000000</v>
      </c>
      <c r="AJ288" s="867"/>
      <c r="AK288" s="986"/>
      <c r="AL288" s="986">
        <f>+$AG$288*20%</f>
        <v>200000</v>
      </c>
      <c r="AM288" s="986">
        <f>+$AG$288*25%</f>
        <v>250000</v>
      </c>
      <c r="AN288" s="986">
        <f>+$AG$288*25%</f>
        <v>250000</v>
      </c>
      <c r="AO288" s="986">
        <f>+$AG$288*30%</f>
        <v>300000</v>
      </c>
      <c r="AP288" s="1038">
        <f>SUM(AK288:AO288)</f>
        <v>1000000</v>
      </c>
      <c r="AR288" s="1027"/>
    </row>
    <row r="289" spans="1:52" s="108" customFormat="1" ht="30" hidden="1" outlineLevel="3">
      <c r="A289" s="580"/>
      <c r="B289" s="107" t="s">
        <v>2600</v>
      </c>
      <c r="C289" s="107"/>
      <c r="D289" s="533" t="s">
        <v>1505</v>
      </c>
      <c r="E289" s="533"/>
      <c r="F289" s="103"/>
      <c r="G289" s="97"/>
      <c r="H289" s="363"/>
      <c r="I289" s="364"/>
      <c r="J289" s="365"/>
      <c r="K289" s="365"/>
      <c r="L289" s="365"/>
      <c r="M289" s="365"/>
      <c r="N289" s="365"/>
      <c r="O289" s="365"/>
      <c r="P289" s="365"/>
      <c r="Q289" s="97"/>
      <c r="R289" s="3898"/>
      <c r="S289" s="364"/>
      <c r="T289" s="3898"/>
      <c r="U289" s="364"/>
      <c r="V289" s="3898"/>
      <c r="W289" s="3919"/>
      <c r="X289" s="97"/>
      <c r="Y289" s="3839"/>
      <c r="Z289" s="3842"/>
      <c r="AA289" s="3916"/>
      <c r="AB289" s="3916"/>
      <c r="AC289" s="3788"/>
      <c r="AD289" s="3788"/>
      <c r="AE289" s="4611"/>
      <c r="AF289" s="97"/>
      <c r="AG289" s="3788"/>
      <c r="AH289" s="3788"/>
      <c r="AI289" s="3788"/>
      <c r="AJ289" s="867"/>
      <c r="AK289" s="986"/>
      <c r="AL289" s="986"/>
      <c r="AM289" s="986"/>
      <c r="AN289" s="986"/>
      <c r="AO289" s="986"/>
      <c r="AP289" s="1038"/>
      <c r="AR289" s="1027"/>
    </row>
    <row r="290" spans="1:52" s="108" customFormat="1" ht="30" hidden="1" outlineLevel="3">
      <c r="A290" s="580"/>
      <c r="B290" s="107" t="s">
        <v>2601</v>
      </c>
      <c r="C290" s="107"/>
      <c r="D290" s="533" t="s">
        <v>1507</v>
      </c>
      <c r="E290" s="533"/>
      <c r="F290" s="103"/>
      <c r="G290" s="97"/>
      <c r="H290" s="363"/>
      <c r="I290" s="364"/>
      <c r="J290" s="365"/>
      <c r="K290" s="365"/>
      <c r="L290" s="365"/>
      <c r="M290" s="365"/>
      <c r="N290" s="365"/>
      <c r="O290" s="365"/>
      <c r="P290" s="365"/>
      <c r="Q290" s="97"/>
      <c r="R290" s="3898"/>
      <c r="S290" s="364"/>
      <c r="T290" s="3898"/>
      <c r="U290" s="364"/>
      <c r="V290" s="3898"/>
      <c r="W290" s="3919"/>
      <c r="X290" s="97"/>
      <c r="Y290" s="3839"/>
      <c r="Z290" s="3842"/>
      <c r="AA290" s="3916"/>
      <c r="AB290" s="3916"/>
      <c r="AC290" s="3788"/>
      <c r="AD290" s="3788"/>
      <c r="AE290" s="4611"/>
      <c r="AF290" s="97"/>
      <c r="AG290" s="3788"/>
      <c r="AH290" s="3788"/>
      <c r="AI290" s="3788"/>
      <c r="AJ290" s="867"/>
      <c r="AK290" s="986"/>
      <c r="AL290" s="986"/>
      <c r="AM290" s="986"/>
      <c r="AN290" s="986"/>
      <c r="AO290" s="986"/>
      <c r="AP290" s="1038"/>
      <c r="AR290" s="1027"/>
    </row>
    <row r="291" spans="1:52" s="108" customFormat="1" ht="30" hidden="1" outlineLevel="3">
      <c r="A291" s="580"/>
      <c r="B291" s="107" t="s">
        <v>2602</v>
      </c>
      <c r="C291" s="107"/>
      <c r="D291" s="533" t="s">
        <v>1509</v>
      </c>
      <c r="E291" s="533"/>
      <c r="F291" s="103"/>
      <c r="G291" s="97"/>
      <c r="H291" s="363"/>
      <c r="I291" s="364"/>
      <c r="J291" s="365"/>
      <c r="K291" s="365"/>
      <c r="L291" s="365"/>
      <c r="M291" s="365"/>
      <c r="N291" s="365"/>
      <c r="O291" s="365"/>
      <c r="P291" s="365"/>
      <c r="Q291" s="97"/>
      <c r="R291" s="3898"/>
      <c r="S291" s="364"/>
      <c r="T291" s="3898"/>
      <c r="U291" s="364"/>
      <c r="V291" s="3898"/>
      <c r="W291" s="3919"/>
      <c r="X291" s="97"/>
      <c r="Y291" s="3839"/>
      <c r="Z291" s="3842"/>
      <c r="AA291" s="3916"/>
      <c r="AB291" s="3916"/>
      <c r="AC291" s="3788"/>
      <c r="AD291" s="3788"/>
      <c r="AE291" s="4611"/>
      <c r="AF291" s="97"/>
      <c r="AG291" s="3788"/>
      <c r="AH291" s="3788"/>
      <c r="AI291" s="3788"/>
      <c r="AJ291" s="867"/>
      <c r="AK291" s="986"/>
      <c r="AL291" s="986"/>
      <c r="AM291" s="986"/>
      <c r="AN291" s="986"/>
      <c r="AO291" s="986"/>
      <c r="AP291" s="1038"/>
      <c r="AR291" s="1027"/>
    </row>
    <row r="292" spans="1:52" s="108" customFormat="1" ht="30" hidden="1" outlineLevel="3">
      <c r="A292" s="580"/>
      <c r="B292" s="107" t="s">
        <v>2603</v>
      </c>
      <c r="C292" s="107"/>
      <c r="D292" s="533" t="s">
        <v>3499</v>
      </c>
      <c r="E292" s="533"/>
      <c r="F292" s="103"/>
      <c r="G292" s="97"/>
      <c r="H292" s="363"/>
      <c r="I292" s="364"/>
      <c r="J292" s="365"/>
      <c r="K292" s="365"/>
      <c r="L292" s="365"/>
      <c r="M292" s="365"/>
      <c r="N292" s="365"/>
      <c r="O292" s="365"/>
      <c r="P292" s="365"/>
      <c r="Q292" s="97"/>
      <c r="R292" s="3898"/>
      <c r="S292" s="364"/>
      <c r="T292" s="3898"/>
      <c r="U292" s="364"/>
      <c r="V292" s="3898"/>
      <c r="W292" s="3919"/>
      <c r="X292" s="97"/>
      <c r="Y292" s="3839"/>
      <c r="Z292" s="3842"/>
      <c r="AA292" s="3916"/>
      <c r="AB292" s="3916"/>
      <c r="AC292" s="3788"/>
      <c r="AD292" s="3788"/>
      <c r="AE292" s="4611"/>
      <c r="AF292" s="97"/>
      <c r="AG292" s="3788"/>
      <c r="AH292" s="3788"/>
      <c r="AI292" s="3788"/>
      <c r="AJ292" s="867"/>
      <c r="AK292" s="986"/>
      <c r="AL292" s="986"/>
      <c r="AM292" s="986"/>
      <c r="AN292" s="986"/>
      <c r="AO292" s="986"/>
      <c r="AP292" s="1038"/>
      <c r="AR292" s="1027"/>
    </row>
    <row r="293" spans="1:52" s="108" customFormat="1" ht="30" hidden="1" outlineLevel="3">
      <c r="A293" s="580"/>
      <c r="B293" s="107" t="s">
        <v>2604</v>
      </c>
      <c r="C293" s="107"/>
      <c r="D293" s="533" t="s">
        <v>1513</v>
      </c>
      <c r="E293" s="533"/>
      <c r="F293" s="103"/>
      <c r="G293" s="97"/>
      <c r="H293" s="363"/>
      <c r="I293" s="364"/>
      <c r="J293" s="365"/>
      <c r="K293" s="365"/>
      <c r="L293" s="365"/>
      <c r="M293" s="365"/>
      <c r="N293" s="365"/>
      <c r="O293" s="365"/>
      <c r="P293" s="365"/>
      <c r="Q293" s="97"/>
      <c r="R293" s="3899"/>
      <c r="S293" s="364"/>
      <c r="T293" s="3899"/>
      <c r="U293" s="364"/>
      <c r="V293" s="3899"/>
      <c r="W293" s="3920"/>
      <c r="X293" s="97"/>
      <c r="Y293" s="3840"/>
      <c r="Z293" s="3843"/>
      <c r="AA293" s="3917"/>
      <c r="AB293" s="3917"/>
      <c r="AC293" s="3789"/>
      <c r="AD293" s="3789"/>
      <c r="AE293" s="4612"/>
      <c r="AF293" s="97"/>
      <c r="AG293" s="3789"/>
      <c r="AH293" s="3789"/>
      <c r="AI293" s="3789"/>
      <c r="AJ293" s="867"/>
      <c r="AK293" s="986"/>
      <c r="AL293" s="986"/>
      <c r="AM293" s="986"/>
      <c r="AN293" s="986"/>
      <c r="AO293" s="986"/>
      <c r="AP293" s="1038"/>
      <c r="AR293" s="1027"/>
    </row>
    <row r="294" spans="1:52" s="153" customFormat="1" ht="42.5" customHeight="1" outlineLevel="2" collapsed="1">
      <c r="A294" s="172"/>
      <c r="B294" s="171" t="s">
        <v>546</v>
      </c>
      <c r="C294" s="171"/>
      <c r="D294" s="538" t="s">
        <v>3500</v>
      </c>
      <c r="E294" s="538" t="s">
        <v>5</v>
      </c>
      <c r="F294" s="1176"/>
      <c r="G294" s="96"/>
      <c r="H294" s="357" t="e">
        <f>+'1_MdR_Limpia'!#REF!</f>
        <v>#REF!</v>
      </c>
      <c r="I294" s="357" t="e">
        <f>+'1_MdR_Limpia'!#REF!</f>
        <v>#REF!</v>
      </c>
      <c r="J294" s="357" t="e">
        <f>+'1_MdR_Limpia'!#REF!</f>
        <v>#REF!</v>
      </c>
      <c r="K294" s="357" t="e">
        <f>+'1_MdR_Limpia'!#REF!</f>
        <v>#REF!</v>
      </c>
      <c r="L294" s="357" t="e">
        <f>+'1_MdR_Limpia'!#REF!</f>
        <v>#REF!</v>
      </c>
      <c r="M294" s="357" t="e">
        <f>+'1_MdR_Limpia'!#REF!</f>
        <v>#REF!</v>
      </c>
      <c r="N294" s="357" t="e">
        <f>+'1_MdR_Limpia'!#REF!</f>
        <v>#REF!</v>
      </c>
      <c r="O294" s="357" t="e">
        <f>+'1_MdR_Limpia'!#REF!</f>
        <v>#REF!</v>
      </c>
      <c r="P294" s="357" t="e">
        <f>+'1_MdR_Limpia'!#REF!</f>
        <v>#REF!</v>
      </c>
      <c r="Q294" s="96"/>
      <c r="R294" s="854"/>
      <c r="S294" s="358"/>
      <c r="T294" s="358"/>
      <c r="U294" s="358"/>
      <c r="V294" s="358"/>
      <c r="W294" s="106"/>
      <c r="X294" s="96"/>
      <c r="Y294" s="106"/>
      <c r="Z294" s="172"/>
      <c r="AA294" s="172"/>
      <c r="AB294" s="171"/>
      <c r="AC294" s="176"/>
      <c r="AD294" s="176">
        <f>SUM(AD295:AD299)</f>
        <v>1250000</v>
      </c>
      <c r="AE294" s="692"/>
      <c r="AF294" s="96"/>
      <c r="AG294" s="176">
        <f>SUM(AG295:AG299)</f>
        <v>1068000</v>
      </c>
      <c r="AH294" s="176">
        <f>SUM(AH295:AH299)</f>
        <v>0</v>
      </c>
      <c r="AI294" s="176">
        <f>SUM(AI295:AI299)</f>
        <v>1068000</v>
      </c>
      <c r="AJ294" s="865"/>
      <c r="AK294" s="176">
        <f>SUM(AK295:AK299)</f>
        <v>163600</v>
      </c>
      <c r="AL294" s="176">
        <f>SUM(AL295:AL299)</f>
        <v>654400</v>
      </c>
      <c r="AM294" s="176">
        <f>SUM(AM295:AM299)</f>
        <v>0</v>
      </c>
      <c r="AN294" s="176">
        <f>SUM(AN295:AN299)</f>
        <v>0</v>
      </c>
      <c r="AO294" s="176">
        <f>SUM(AO295:AO299)</f>
        <v>0</v>
      </c>
      <c r="AP294" s="979">
        <f>SUM(AK294:AO294)</f>
        <v>818000</v>
      </c>
      <c r="AR294" s="1027"/>
    </row>
    <row r="295" spans="1:52" s="108" customFormat="1" ht="41.5" hidden="1" customHeight="1" outlineLevel="3">
      <c r="A295" s="580"/>
      <c r="B295" s="107" t="s">
        <v>2605</v>
      </c>
      <c r="C295" s="107"/>
      <c r="D295" s="533" t="s">
        <v>1519</v>
      </c>
      <c r="E295" s="533"/>
      <c r="F295" s="103"/>
      <c r="G295" s="97"/>
      <c r="H295" s="363"/>
      <c r="I295" s="364"/>
      <c r="J295" s="365"/>
      <c r="K295" s="365"/>
      <c r="L295" s="365"/>
      <c r="M295" s="365"/>
      <c r="N295" s="365"/>
      <c r="O295" s="365"/>
      <c r="P295" s="365"/>
      <c r="Q295" s="97"/>
      <c r="R295" s="364"/>
      <c r="S295" s="364"/>
      <c r="T295" s="364"/>
      <c r="U295" s="364">
        <f>+'9.3_PA_Det'!F106</f>
        <v>37</v>
      </c>
      <c r="V295" s="364"/>
      <c r="W295" s="181" t="s">
        <v>1520</v>
      </c>
      <c r="X295" s="97"/>
      <c r="Y295" s="711" t="s">
        <v>1179</v>
      </c>
      <c r="Z295" s="712">
        <v>1</v>
      </c>
      <c r="AA295" s="179"/>
      <c r="AB295" s="180"/>
      <c r="AC295" s="1638">
        <f>1000000-AD296</f>
        <v>818000</v>
      </c>
      <c r="AD295" s="1032">
        <f>+Z295*AC295</f>
        <v>818000</v>
      </c>
      <c r="AE295" s="1042"/>
      <c r="AF295" s="97"/>
      <c r="AG295" s="1032">
        <f>+AD295</f>
        <v>818000</v>
      </c>
      <c r="AH295" s="1032">
        <v>0</v>
      </c>
      <c r="AI295" s="1041">
        <f>+AG295+AH295</f>
        <v>818000</v>
      </c>
      <c r="AJ295" s="867"/>
      <c r="AK295" s="986">
        <f>+AG295*20%</f>
        <v>163600</v>
      </c>
      <c r="AL295" s="986">
        <f>+AG295*80%</f>
        <v>654400</v>
      </c>
      <c r="AM295" s="986"/>
      <c r="AN295" s="986"/>
      <c r="AO295" s="986"/>
      <c r="AP295" s="1038">
        <f>SUM(AK295:AO295)</f>
        <v>818000</v>
      </c>
      <c r="AR295" s="1027"/>
    </row>
    <row r="296" spans="1:52" s="108" customFormat="1" ht="41.5" hidden="1" customHeight="1" outlineLevel="3">
      <c r="A296" s="580"/>
      <c r="B296" s="107" t="s">
        <v>2606</v>
      </c>
      <c r="C296" s="107" t="s">
        <v>1279</v>
      </c>
      <c r="D296" s="533" t="s">
        <v>3501</v>
      </c>
      <c r="E296" s="533"/>
      <c r="F296" s="103"/>
      <c r="G296" s="97"/>
      <c r="H296" s="363"/>
      <c r="I296" s="364"/>
      <c r="J296" s="365"/>
      <c r="K296" s="365"/>
      <c r="L296" s="365"/>
      <c r="M296" s="365"/>
      <c r="N296" s="365"/>
      <c r="O296" s="365"/>
      <c r="P296" s="365"/>
      <c r="Q296" s="97"/>
      <c r="R296" s="364" t="s">
        <v>3502</v>
      </c>
      <c r="S296" s="364"/>
      <c r="T296" s="364" t="s">
        <v>3503</v>
      </c>
      <c r="U296" s="364"/>
      <c r="V296" s="364"/>
      <c r="W296" s="181" t="s">
        <v>1523</v>
      </c>
      <c r="X296" s="97"/>
      <c r="Y296" s="711" t="s">
        <v>3504</v>
      </c>
      <c r="Z296" s="712">
        <v>280</v>
      </c>
      <c r="AA296" s="179"/>
      <c r="AB296" s="180"/>
      <c r="AC296" s="1032">
        <v>650</v>
      </c>
      <c r="AD296" s="1032">
        <f>+Z296*AC296</f>
        <v>182000</v>
      </c>
      <c r="AE296" s="1042"/>
      <c r="AF296" s="97"/>
      <c r="AG296" s="1032"/>
      <c r="AH296" s="1032"/>
      <c r="AI296" s="1041"/>
      <c r="AJ296" s="867"/>
      <c r="AK296" s="986"/>
      <c r="AL296" s="986"/>
      <c r="AM296" s="986"/>
      <c r="AN296" s="986"/>
      <c r="AO296" s="986"/>
      <c r="AP296" s="1038"/>
      <c r="AR296" s="1027"/>
    </row>
    <row r="297" spans="1:52" s="108" customFormat="1" ht="41.5" hidden="1" customHeight="1" outlineLevel="3">
      <c r="A297" s="580"/>
      <c r="B297" s="107" t="s">
        <v>2607</v>
      </c>
      <c r="C297" s="107"/>
      <c r="D297" s="533" t="s">
        <v>1525</v>
      </c>
      <c r="E297" s="533"/>
      <c r="F297" s="103"/>
      <c r="G297" s="97"/>
      <c r="H297" s="363"/>
      <c r="I297" s="364"/>
      <c r="J297" s="365"/>
      <c r="K297" s="365"/>
      <c r="L297" s="365"/>
      <c r="M297" s="365"/>
      <c r="N297" s="365"/>
      <c r="O297" s="365"/>
      <c r="P297" s="365"/>
      <c r="Q297" s="97"/>
      <c r="R297" s="364"/>
      <c r="S297" s="364"/>
      <c r="T297" s="364" t="s">
        <v>1526</v>
      </c>
      <c r="U297" s="364"/>
      <c r="V297" s="364"/>
      <c r="W297" s="181"/>
      <c r="X297" s="97"/>
      <c r="Y297" s="711" t="s">
        <v>1179</v>
      </c>
      <c r="Z297" s="712">
        <v>1</v>
      </c>
      <c r="AA297" s="179"/>
      <c r="AB297" s="180"/>
      <c r="AC297" s="1032">
        <v>60000</v>
      </c>
      <c r="AD297" s="1032">
        <f>+Z297*AC297</f>
        <v>60000</v>
      </c>
      <c r="AE297" s="1530" t="s">
        <v>1527</v>
      </c>
      <c r="AF297" s="97"/>
      <c r="AG297" s="1032">
        <f>+AD297</f>
        <v>60000</v>
      </c>
      <c r="AH297" s="1032"/>
      <c r="AI297" s="1041">
        <f>+AG297+AH297</f>
        <v>60000</v>
      </c>
      <c r="AJ297" s="867"/>
      <c r="AK297" s="986"/>
      <c r="AL297" s="986"/>
      <c r="AM297" s="986"/>
      <c r="AN297" s="986"/>
      <c r="AO297" s="986"/>
      <c r="AP297" s="1038"/>
      <c r="AR297" s="1027"/>
    </row>
    <row r="298" spans="1:52" s="108" customFormat="1" ht="41.5" hidden="1" customHeight="1" outlineLevel="3">
      <c r="A298" s="580"/>
      <c r="B298" s="107" t="s">
        <v>2608</v>
      </c>
      <c r="C298" s="107"/>
      <c r="D298" s="533" t="s">
        <v>1529</v>
      </c>
      <c r="E298" s="533"/>
      <c r="F298" s="103"/>
      <c r="G298" s="97"/>
      <c r="H298" s="363"/>
      <c r="I298" s="364"/>
      <c r="J298" s="365"/>
      <c r="K298" s="365"/>
      <c r="L298" s="365"/>
      <c r="M298" s="365"/>
      <c r="N298" s="365"/>
      <c r="O298" s="365"/>
      <c r="P298" s="365"/>
      <c r="Q298" s="97"/>
      <c r="R298" s="364"/>
      <c r="S298" s="364"/>
      <c r="T298" s="364" t="s">
        <v>1526</v>
      </c>
      <c r="U298" s="364"/>
      <c r="V298" s="364"/>
      <c r="W298" s="181"/>
      <c r="X298" s="97"/>
      <c r="Y298" s="711" t="s">
        <v>1179</v>
      </c>
      <c r="Z298" s="712">
        <v>1</v>
      </c>
      <c r="AA298" s="179"/>
      <c r="AB298" s="180"/>
      <c r="AC298" s="1032">
        <v>90000</v>
      </c>
      <c r="AD298" s="1032">
        <f>+Z298*AC298</f>
        <v>90000</v>
      </c>
      <c r="AE298" s="1042"/>
      <c r="AF298" s="97"/>
      <c r="AG298" s="1032">
        <f>+AD298</f>
        <v>90000</v>
      </c>
      <c r="AH298" s="1032"/>
      <c r="AI298" s="1041">
        <f>+AG298+AH298</f>
        <v>90000</v>
      </c>
      <c r="AJ298" s="867"/>
      <c r="AK298" s="986"/>
      <c r="AL298" s="986"/>
      <c r="AM298" s="986"/>
      <c r="AN298" s="986"/>
      <c r="AO298" s="986"/>
      <c r="AP298" s="1038"/>
      <c r="AR298" s="1027"/>
    </row>
    <row r="299" spans="1:52" s="108" customFormat="1" ht="41.5" hidden="1" customHeight="1" outlineLevel="3">
      <c r="A299" s="580"/>
      <c r="B299" s="107" t="s">
        <v>2609</v>
      </c>
      <c r="C299" s="107"/>
      <c r="D299" s="533" t="s">
        <v>1531</v>
      </c>
      <c r="E299" s="533"/>
      <c r="F299" s="103"/>
      <c r="G299" s="97"/>
      <c r="H299" s="363"/>
      <c r="I299" s="364"/>
      <c r="J299" s="365"/>
      <c r="K299" s="365"/>
      <c r="L299" s="365"/>
      <c r="M299" s="365"/>
      <c r="N299" s="365"/>
      <c r="O299" s="365"/>
      <c r="P299" s="365"/>
      <c r="Q299" s="97"/>
      <c r="R299" s="364"/>
      <c r="S299" s="364"/>
      <c r="T299" s="364"/>
      <c r="U299" s="364"/>
      <c r="V299" s="364"/>
      <c r="W299" s="181"/>
      <c r="X299" s="97"/>
      <c r="Y299" s="711" t="s">
        <v>1179</v>
      </c>
      <c r="Z299" s="712">
        <v>1</v>
      </c>
      <c r="AA299" s="179"/>
      <c r="AB299" s="180"/>
      <c r="AC299" s="1032">
        <v>100000</v>
      </c>
      <c r="AD299" s="1032">
        <f>+Z299*AC299</f>
        <v>100000</v>
      </c>
      <c r="AE299" s="1042"/>
      <c r="AF299" s="97"/>
      <c r="AG299" s="1032">
        <f>+AD299</f>
        <v>100000</v>
      </c>
      <c r="AH299" s="1032"/>
      <c r="AI299" s="1041">
        <f>+AG299+AH299</f>
        <v>100000</v>
      </c>
      <c r="AJ299" s="867"/>
      <c r="AK299" s="986"/>
      <c r="AL299" s="986"/>
      <c r="AM299" s="986"/>
      <c r="AN299" s="986"/>
      <c r="AO299" s="986"/>
      <c r="AP299" s="1038"/>
      <c r="AR299" s="1027"/>
    </row>
    <row r="300" spans="1:52" s="153" customFormat="1" ht="30" outlineLevel="2" collapsed="1">
      <c r="A300" s="172"/>
      <c r="B300" s="171" t="s">
        <v>548</v>
      </c>
      <c r="C300" s="171"/>
      <c r="D300" s="538" t="s">
        <v>3308</v>
      </c>
      <c r="E300" s="538" t="s">
        <v>5</v>
      </c>
      <c r="F300" s="1176"/>
      <c r="G300" s="96"/>
      <c r="H300" s="357" t="e">
        <f>+'1_MdR_Limpia'!#REF!</f>
        <v>#REF!</v>
      </c>
      <c r="I300" s="357" t="e">
        <f>+'1_MdR_Limpia'!#REF!</f>
        <v>#REF!</v>
      </c>
      <c r="J300" s="357" t="e">
        <f>+'1_MdR_Limpia'!#REF!</f>
        <v>#REF!</v>
      </c>
      <c r="K300" s="357" t="e">
        <f>+'1_MdR_Limpia'!#REF!</f>
        <v>#REF!</v>
      </c>
      <c r="L300" s="357" t="e">
        <f>+'1_MdR_Limpia'!#REF!</f>
        <v>#REF!</v>
      </c>
      <c r="M300" s="357" t="e">
        <f>+'1_MdR_Limpia'!#REF!</f>
        <v>#REF!</v>
      </c>
      <c r="N300" s="357" t="e">
        <f>+'1_MdR_Limpia'!#REF!</f>
        <v>#REF!</v>
      </c>
      <c r="O300" s="357" t="e">
        <f>+'1_MdR_Limpia'!#REF!</f>
        <v>#REF!</v>
      </c>
      <c r="P300" s="357" t="e">
        <f>+'1_MdR_Limpia'!#REF!</f>
        <v>#REF!</v>
      </c>
      <c r="Q300" s="96"/>
      <c r="R300" s="854"/>
      <c r="S300" s="358"/>
      <c r="T300" s="358"/>
      <c r="U300" s="358"/>
      <c r="V300" s="358"/>
      <c r="W300" s="106"/>
      <c r="X300" s="96"/>
      <c r="Y300" s="106"/>
      <c r="Z300" s="172"/>
      <c r="AA300" s="172"/>
      <c r="AB300" s="171"/>
      <c r="AC300" s="176"/>
      <c r="AD300" s="176">
        <f>+AD301</f>
        <v>300000</v>
      </c>
      <c r="AE300" s="692"/>
      <c r="AF300" s="96"/>
      <c r="AG300" s="176">
        <f>+AG301</f>
        <v>300000</v>
      </c>
      <c r="AH300" s="176">
        <f>+AH301</f>
        <v>0</v>
      </c>
      <c r="AI300" s="176">
        <f>+AI301</f>
        <v>300000</v>
      </c>
      <c r="AJ300" s="865"/>
      <c r="AK300" s="176">
        <f>+AK301</f>
        <v>0</v>
      </c>
      <c r="AL300" s="176">
        <f>+AL301</f>
        <v>300000</v>
      </c>
      <c r="AM300" s="176">
        <f>+AM301</f>
        <v>0</v>
      </c>
      <c r="AN300" s="176">
        <f>+AN301</f>
        <v>0</v>
      </c>
      <c r="AO300" s="176">
        <f>+AO301</f>
        <v>0</v>
      </c>
      <c r="AP300" s="979">
        <f>SUM(AK300:AO300)</f>
        <v>300000</v>
      </c>
      <c r="AR300" s="1027"/>
    </row>
    <row r="301" spans="1:52" s="108" customFormat="1" ht="15" hidden="1" outlineLevel="3">
      <c r="A301" s="580"/>
      <c r="B301" s="107" t="s">
        <v>2610</v>
      </c>
      <c r="C301" s="107"/>
      <c r="D301" s="533" t="s">
        <v>1533</v>
      </c>
      <c r="E301" s="533"/>
      <c r="F301" s="103"/>
      <c r="G301" s="97"/>
      <c r="H301" s="363"/>
      <c r="I301" s="364"/>
      <c r="J301" s="365"/>
      <c r="K301" s="365"/>
      <c r="L301" s="365"/>
      <c r="M301" s="365"/>
      <c r="N301" s="365"/>
      <c r="O301" s="365"/>
      <c r="P301" s="365"/>
      <c r="Q301" s="97"/>
      <c r="R301" s="852"/>
      <c r="S301" s="852" t="s">
        <v>1075</v>
      </c>
      <c r="T301" s="852" t="s">
        <v>3505</v>
      </c>
      <c r="U301" s="852">
        <f>+'9.3_PA_Det'!$F$107</f>
        <v>38</v>
      </c>
      <c r="V301" s="852"/>
      <c r="W301" s="1318"/>
      <c r="X301" s="97"/>
      <c r="Y301" s="711" t="s">
        <v>1179</v>
      </c>
      <c r="Z301" s="712">
        <v>1</v>
      </c>
      <c r="AA301" s="179"/>
      <c r="AB301" s="180"/>
      <c r="AC301" s="1032">
        <v>300000</v>
      </c>
      <c r="AD301" s="1032">
        <f>Z301*AC301</f>
        <v>300000</v>
      </c>
      <c r="AE301" s="1042"/>
      <c r="AF301" s="97"/>
      <c r="AG301" s="1032">
        <f>+AD301</f>
        <v>300000</v>
      </c>
      <c r="AH301" s="1032">
        <v>0</v>
      </c>
      <c r="AI301" s="1041">
        <f>+AG301+AH301</f>
        <v>300000</v>
      </c>
      <c r="AJ301" s="867"/>
      <c r="AK301" s="986"/>
      <c r="AL301" s="986">
        <f>+AG301</f>
        <v>300000</v>
      </c>
      <c r="AM301" s="986"/>
      <c r="AN301" s="987"/>
      <c r="AO301" s="1038"/>
      <c r="AP301" s="1038">
        <f>SUM(AK301:AO301)</f>
        <v>300000</v>
      </c>
      <c r="AR301" s="1027"/>
    </row>
    <row r="302" spans="1:52" s="108" customFormat="1" outlineLevel="2" collapsed="1">
      <c r="A302" s="580"/>
      <c r="B302" s="107"/>
      <c r="C302" s="107"/>
      <c r="D302" s="533"/>
      <c r="E302" s="533"/>
      <c r="F302" s="103"/>
      <c r="G302" s="97"/>
      <c r="H302" s="363"/>
      <c r="I302" s="364"/>
      <c r="J302" s="365"/>
      <c r="K302" s="365"/>
      <c r="L302" s="365"/>
      <c r="M302" s="365"/>
      <c r="N302" s="365"/>
      <c r="O302" s="365"/>
      <c r="P302" s="365"/>
      <c r="Q302" s="97"/>
      <c r="R302" s="852"/>
      <c r="S302" s="852"/>
      <c r="T302" s="852"/>
      <c r="U302" s="852"/>
      <c r="V302" s="852"/>
      <c r="W302" s="1318"/>
      <c r="X302" s="97"/>
      <c r="Y302" s="711"/>
      <c r="Z302" s="712"/>
      <c r="AA302" s="179"/>
      <c r="AB302" s="180"/>
      <c r="AC302" s="1032"/>
      <c r="AD302" s="1032"/>
      <c r="AE302" s="1042"/>
      <c r="AF302" s="97"/>
      <c r="AG302" s="1032"/>
      <c r="AH302" s="1032"/>
      <c r="AI302" s="1041"/>
      <c r="AJ302" s="867"/>
      <c r="AK302" s="986"/>
      <c r="AL302" s="986"/>
      <c r="AM302" s="986"/>
      <c r="AN302" s="987"/>
      <c r="AO302" s="1038"/>
      <c r="AP302" s="1038"/>
      <c r="AR302" s="1027"/>
    </row>
    <row r="303" spans="1:52" s="108" customFormat="1" ht="14" customHeight="1" outlineLevel="1">
      <c r="A303" s="580"/>
      <c r="B303" s="107"/>
      <c r="C303" s="107"/>
      <c r="D303" s="533"/>
      <c r="E303" s="533"/>
      <c r="F303" s="103"/>
      <c r="G303" s="97"/>
      <c r="H303" s="363"/>
      <c r="I303" s="364"/>
      <c r="J303" s="365"/>
      <c r="K303" s="365"/>
      <c r="L303" s="365"/>
      <c r="M303" s="365"/>
      <c r="N303" s="365"/>
      <c r="O303" s="365"/>
      <c r="P303" s="365"/>
      <c r="Q303" s="97"/>
      <c r="R303" s="364"/>
      <c r="S303" s="364"/>
      <c r="T303" s="364"/>
      <c r="U303" s="364"/>
      <c r="V303" s="364"/>
      <c r="W303" s="181"/>
      <c r="X303" s="97"/>
      <c r="Y303" s="711"/>
      <c r="Z303" s="712"/>
      <c r="AA303" s="179"/>
      <c r="AB303" s="180"/>
      <c r="AC303" s="1032"/>
      <c r="AD303" s="1032"/>
      <c r="AE303" s="1042"/>
      <c r="AF303" s="97"/>
      <c r="AG303" s="1032"/>
      <c r="AH303" s="1032"/>
      <c r="AI303" s="1041"/>
      <c r="AJ303" s="867"/>
      <c r="AK303" s="986"/>
      <c r="AL303" s="986"/>
      <c r="AM303" s="986"/>
      <c r="AN303" s="987"/>
      <c r="AO303" s="1038"/>
      <c r="AP303" s="1038">
        <f t="shared" ref="AP303:AP364" si="13">SUM(AK303:AO303)</f>
        <v>0</v>
      </c>
      <c r="AR303" s="1027"/>
    </row>
    <row r="304" spans="1:52" s="878" customFormat="1" ht="30">
      <c r="A304" s="577"/>
      <c r="B304" s="67" t="s">
        <v>553</v>
      </c>
      <c r="C304" s="67"/>
      <c r="D304" s="1651" t="s">
        <v>554</v>
      </c>
      <c r="E304" s="546"/>
      <c r="F304" s="68" t="s">
        <v>4</v>
      </c>
      <c r="G304" s="95"/>
      <c r="H304" s="369"/>
      <c r="I304" s="370"/>
      <c r="J304" s="371"/>
      <c r="K304" s="371"/>
      <c r="L304" s="371"/>
      <c r="M304" s="371"/>
      <c r="N304" s="371"/>
      <c r="O304" s="371"/>
      <c r="P304" s="371"/>
      <c r="Q304" s="95"/>
      <c r="R304" s="370"/>
      <c r="S304" s="370"/>
      <c r="T304" s="370"/>
      <c r="U304" s="370"/>
      <c r="V304" s="370"/>
      <c r="W304" s="169"/>
      <c r="X304" s="95"/>
      <c r="Y304" s="68"/>
      <c r="Z304" s="166"/>
      <c r="AA304" s="166"/>
      <c r="AB304" s="170"/>
      <c r="AC304" s="69"/>
      <c r="AD304" s="69">
        <f>+AD305+AD345+AD357+AD388</f>
        <v>7061000</v>
      </c>
      <c r="AE304" s="69">
        <f>8100000-AD304</f>
        <v>1039000</v>
      </c>
      <c r="AF304" s="95"/>
      <c r="AG304" s="69">
        <f>+AG305+AG345+AG357+AG388</f>
        <v>7061000</v>
      </c>
      <c r="AH304" s="69">
        <f>+AH305+AH345+AH357+AH388</f>
        <v>0</v>
      </c>
      <c r="AI304" s="69">
        <f>+AI305+AI345+AI357+AI388</f>
        <v>7061000</v>
      </c>
      <c r="AJ304" s="864"/>
      <c r="AK304" s="974">
        <f>+AK305+AK345+AK357+AK388</f>
        <v>150000</v>
      </c>
      <c r="AL304" s="974">
        <f>+AL305+AL345+AL357+AL388</f>
        <v>1506000</v>
      </c>
      <c r="AM304" s="974">
        <f>+AM305+AM345+AM357+AM388</f>
        <v>2817000</v>
      </c>
      <c r="AN304" s="975">
        <f>+AN305+AN345+AN357+AN388</f>
        <v>1391000</v>
      </c>
      <c r="AO304" s="973">
        <f>+AO305+AO345+AO357+AO388</f>
        <v>1341000</v>
      </c>
      <c r="AP304" s="973">
        <f t="shared" si="13"/>
        <v>7205000</v>
      </c>
      <c r="AQ304" s="153"/>
      <c r="AR304" s="1027"/>
      <c r="AS304" s="153"/>
      <c r="AT304" s="153"/>
      <c r="AU304" s="153"/>
      <c r="AV304" s="153"/>
      <c r="AW304" s="153"/>
      <c r="AX304" s="153"/>
      <c r="AY304" s="153"/>
      <c r="AZ304" s="153"/>
    </row>
    <row r="305" spans="1:44" s="153" customFormat="1" ht="26.5" customHeight="1" outlineLevel="1" collapsed="1">
      <c r="A305" s="578"/>
      <c r="B305" s="428" t="s">
        <v>555</v>
      </c>
      <c r="C305" s="1641"/>
      <c r="D305" s="545" t="s">
        <v>39</v>
      </c>
      <c r="E305" s="1646"/>
      <c r="F305" s="427"/>
      <c r="G305" s="96"/>
      <c r="H305" s="429"/>
      <c r="I305" s="425"/>
      <c r="J305" s="430"/>
      <c r="K305" s="430"/>
      <c r="L305" s="430"/>
      <c r="M305" s="430"/>
      <c r="N305" s="430"/>
      <c r="O305" s="430"/>
      <c r="P305" s="430"/>
      <c r="Q305" s="96"/>
      <c r="R305" s="850"/>
      <c r="S305" s="850"/>
      <c r="T305" s="850"/>
      <c r="U305" s="850"/>
      <c r="V305" s="850"/>
      <c r="W305" s="431"/>
      <c r="X305" s="96"/>
      <c r="Y305" s="426"/>
      <c r="Z305" s="425"/>
      <c r="AA305" s="425"/>
      <c r="AB305" s="432"/>
      <c r="AC305" s="433"/>
      <c r="AD305" s="433">
        <f>+AD306+AD313+AD320+AD328+AD335+AD341</f>
        <v>1714000</v>
      </c>
      <c r="AE305" s="685"/>
      <c r="AF305" s="96"/>
      <c r="AG305" s="433">
        <f>+AG306+AG313+AG320+AG328+AG335+AG341</f>
        <v>1714000</v>
      </c>
      <c r="AH305" s="433">
        <f>+AH306+AH313+AH320+AH328+AH335+AH341</f>
        <v>0</v>
      </c>
      <c r="AI305" s="433">
        <f>+AG305+AH305</f>
        <v>1714000</v>
      </c>
      <c r="AJ305" s="865"/>
      <c r="AK305" s="977">
        <f>+AK306+AK313+AK320+AK328+AK335+AK341</f>
        <v>0</v>
      </c>
      <c r="AL305" s="977">
        <f>+AL306+AL313+AL320+AL328+AL335+AL341</f>
        <v>552000</v>
      </c>
      <c r="AM305" s="977">
        <f>+AM306+AM313+AM320+AM328+AM335+AM341</f>
        <v>1248000</v>
      </c>
      <c r="AN305" s="978">
        <f>+AN306+AN313+AN320+AN328+AN335+AN341</f>
        <v>150000</v>
      </c>
      <c r="AO305" s="976">
        <f>+AO306+AO313+AO320+AO328+AO335+AO341</f>
        <v>50000</v>
      </c>
      <c r="AP305" s="976">
        <f t="shared" si="13"/>
        <v>2000000</v>
      </c>
      <c r="AR305" s="1027"/>
    </row>
    <row r="306" spans="1:44" s="153" customFormat="1" ht="29" customHeight="1" outlineLevel="2">
      <c r="A306" s="172"/>
      <c r="B306" s="171" t="s">
        <v>556</v>
      </c>
      <c r="C306" s="1642"/>
      <c r="D306" s="1652" t="s">
        <v>3506</v>
      </c>
      <c r="E306" s="1647"/>
      <c r="F306" s="106" t="s">
        <v>1540</v>
      </c>
      <c r="G306" s="96"/>
      <c r="H306" s="357" t="str">
        <f>+'1_MdR_Limpia'!C90</f>
        <v>Sistema</v>
      </c>
      <c r="I306" s="357">
        <f>+'1_MdR_Limpia'!D90</f>
        <v>0</v>
      </c>
      <c r="J306" s="357">
        <f>+'1_MdR_Limpia'!E90</f>
        <v>2021</v>
      </c>
      <c r="K306" s="357" t="str">
        <f>+'1_MdR_Limpia'!F90</f>
        <v>-</v>
      </c>
      <c r="L306" s="357" t="str">
        <f>+'1_MdR_Limpia'!G90</f>
        <v>-</v>
      </c>
      <c r="M306" s="357" t="str">
        <f>+'1_MdR_Limpia'!H90</f>
        <v>-</v>
      </c>
      <c r="N306" s="357" t="str">
        <f>+'1_MdR_Limpia'!I90</f>
        <v>-</v>
      </c>
      <c r="O306" s="357">
        <f>+'1_MdR_Limpia'!J90</f>
        <v>1</v>
      </c>
      <c r="P306" s="357">
        <f>+'1_MdR_Limpia'!L90</f>
        <v>1</v>
      </c>
      <c r="Q306" s="96"/>
      <c r="R306" s="854"/>
      <c r="S306" s="358"/>
      <c r="T306" s="358"/>
      <c r="U306" s="358"/>
      <c r="V306" s="358"/>
      <c r="W306" s="106"/>
      <c r="X306" s="96"/>
      <c r="Y306" s="106"/>
      <c r="Z306" s="172"/>
      <c r="AA306" s="172"/>
      <c r="AB306" s="171"/>
      <c r="AC306" s="176"/>
      <c r="AD306" s="176">
        <v>800000</v>
      </c>
      <c r="AE306" s="692"/>
      <c r="AF306" s="96"/>
      <c r="AG306" s="176">
        <f>+AD306</f>
        <v>800000</v>
      </c>
      <c r="AH306" s="176">
        <f>+AH307+AH308+AH309</f>
        <v>0</v>
      </c>
      <c r="AI306" s="176">
        <f t="shared" ref="AI306:AI369" si="14">+AG306+AH306</f>
        <v>800000</v>
      </c>
      <c r="AJ306" s="865"/>
      <c r="AK306" s="980">
        <f>+AK307+AK308+AK309</f>
        <v>0</v>
      </c>
      <c r="AL306" s="980">
        <f>+AL307+AL308+AL309</f>
        <v>80000</v>
      </c>
      <c r="AM306" s="980">
        <f>+AM307+AM308+AM309</f>
        <v>0</v>
      </c>
      <c r="AN306" s="981">
        <f>+AN307+AN308+AN309</f>
        <v>0</v>
      </c>
      <c r="AO306" s="979">
        <f>+AO307+AO308+AO309</f>
        <v>0</v>
      </c>
      <c r="AP306" s="979">
        <f t="shared" si="13"/>
        <v>80000</v>
      </c>
      <c r="AR306" s="1027"/>
    </row>
    <row r="307" spans="1:44" s="148" customFormat="1" ht="28.25" hidden="1" customHeight="1" outlineLevel="3">
      <c r="A307" s="159"/>
      <c r="B307" s="702" t="s">
        <v>953</v>
      </c>
      <c r="C307" s="1643"/>
      <c r="D307" s="537" t="s">
        <v>3507</v>
      </c>
      <c r="E307" s="1648"/>
      <c r="F307" s="103"/>
      <c r="G307" s="97"/>
      <c r="H307" s="363"/>
      <c r="I307" s="363"/>
      <c r="J307" s="365"/>
      <c r="K307" s="365"/>
      <c r="L307" s="365"/>
      <c r="M307" s="365"/>
      <c r="N307" s="365"/>
      <c r="O307" s="365"/>
      <c r="P307" s="365"/>
      <c r="Q307" s="97"/>
      <c r="R307" s="364"/>
      <c r="S307" s="364"/>
      <c r="T307" s="364"/>
      <c r="U307" s="364"/>
      <c r="V307" s="364"/>
      <c r="W307" s="177"/>
      <c r="X307" s="97"/>
      <c r="Y307" s="711"/>
      <c r="Z307" s="675"/>
      <c r="AA307" s="179"/>
      <c r="AB307" s="179"/>
      <c r="AC307" s="1041"/>
      <c r="AD307" s="1032">
        <f>Z307*AC307</f>
        <v>0</v>
      </c>
      <c r="AE307" s="939" t="s">
        <v>3508</v>
      </c>
      <c r="AF307" s="97"/>
      <c r="AG307" s="1041"/>
      <c r="AH307" s="1032"/>
      <c r="AI307" s="1041">
        <f t="shared" si="14"/>
        <v>0</v>
      </c>
      <c r="AJ307" s="867"/>
      <c r="AK307" s="986"/>
      <c r="AL307" s="986"/>
      <c r="AM307" s="986"/>
      <c r="AN307" s="986"/>
      <c r="AO307" s="1057"/>
      <c r="AP307" s="1038">
        <f t="shared" si="13"/>
        <v>0</v>
      </c>
      <c r="AR307" s="1027"/>
    </row>
    <row r="308" spans="1:44" s="148" customFormat="1" ht="41" hidden="1" customHeight="1" outlineLevel="3">
      <c r="A308" s="159"/>
      <c r="B308" s="702" t="s">
        <v>956</v>
      </c>
      <c r="C308" s="1643"/>
      <c r="D308" s="537" t="s">
        <v>3509</v>
      </c>
      <c r="E308" s="1648"/>
      <c r="F308" s="103"/>
      <c r="G308" s="97"/>
      <c r="H308" s="363"/>
      <c r="I308" s="363"/>
      <c r="J308" s="365"/>
      <c r="K308" s="365"/>
      <c r="L308" s="365"/>
      <c r="M308" s="365"/>
      <c r="N308" s="365"/>
      <c r="O308" s="365"/>
      <c r="P308" s="365"/>
      <c r="Q308" s="97"/>
      <c r="R308" s="364"/>
      <c r="S308" s="364"/>
      <c r="T308" s="364"/>
      <c r="U308" s="364"/>
      <c r="V308" s="364"/>
      <c r="W308" s="177"/>
      <c r="X308" s="97"/>
      <c r="Y308" s="711"/>
      <c r="Z308" s="675"/>
      <c r="AA308" s="179"/>
      <c r="AB308" s="179"/>
      <c r="AC308" s="1041"/>
      <c r="AD308" s="1032">
        <f>Z308*AC308</f>
        <v>0</v>
      </c>
      <c r="AE308" s="939" t="s">
        <v>3510</v>
      </c>
      <c r="AF308" s="97"/>
      <c r="AG308" s="1041"/>
      <c r="AH308" s="1032"/>
      <c r="AI308" s="1041">
        <f t="shared" si="14"/>
        <v>0</v>
      </c>
      <c r="AJ308" s="867"/>
      <c r="AK308" s="986"/>
      <c r="AL308" s="986"/>
      <c r="AM308" s="986"/>
      <c r="AN308" s="986"/>
      <c r="AO308" s="1057"/>
      <c r="AP308" s="1038">
        <f t="shared" si="13"/>
        <v>0</v>
      </c>
      <c r="AR308" s="1027"/>
    </row>
    <row r="309" spans="1:44" s="153" customFormat="1" ht="27.5" hidden="1" customHeight="1" outlineLevel="3">
      <c r="A309" s="581"/>
      <c r="B309" s="400" t="s">
        <v>958</v>
      </c>
      <c r="C309" s="1644"/>
      <c r="D309" s="536" t="s">
        <v>3511</v>
      </c>
      <c r="E309" s="1649"/>
      <c r="F309" s="399"/>
      <c r="G309" s="96"/>
      <c r="H309" s="401"/>
      <c r="I309" s="401"/>
      <c r="J309" s="402"/>
      <c r="K309" s="402"/>
      <c r="L309" s="402"/>
      <c r="M309" s="402"/>
      <c r="N309" s="402"/>
      <c r="O309" s="402"/>
      <c r="P309" s="402"/>
      <c r="Q309" s="96"/>
      <c r="R309" s="837"/>
      <c r="S309" s="851"/>
      <c r="T309" s="851"/>
      <c r="U309" s="851"/>
      <c r="V309" s="851"/>
      <c r="W309" s="399"/>
      <c r="X309" s="96"/>
      <c r="Y309" s="396"/>
      <c r="Z309" s="397"/>
      <c r="AA309" s="397"/>
      <c r="AB309" s="395"/>
      <c r="AC309" s="398"/>
      <c r="AD309" s="398">
        <f>+AD310+AD311</f>
        <v>80000</v>
      </c>
      <c r="AE309" s="691"/>
      <c r="AF309" s="96"/>
      <c r="AG309" s="398">
        <f>+AG310+AG311</f>
        <v>80000</v>
      </c>
      <c r="AH309" s="398">
        <f>+AH310+AH311</f>
        <v>0</v>
      </c>
      <c r="AI309" s="398">
        <f t="shared" si="14"/>
        <v>80000</v>
      </c>
      <c r="AJ309" s="865"/>
      <c r="AK309" s="992">
        <f>+AK310+AK311</f>
        <v>0</v>
      </c>
      <c r="AL309" s="992">
        <f>+AL310+AL311</f>
        <v>80000</v>
      </c>
      <c r="AM309" s="992">
        <f>+AM310+AM311</f>
        <v>0</v>
      </c>
      <c r="AN309" s="993">
        <f>+AN310+AN311</f>
        <v>0</v>
      </c>
      <c r="AO309" s="994">
        <f>+AO310+AO311</f>
        <v>0</v>
      </c>
      <c r="AP309" s="994">
        <f t="shared" si="13"/>
        <v>80000</v>
      </c>
      <c r="AR309" s="1027"/>
    </row>
    <row r="310" spans="1:44" s="148" customFormat="1" ht="27.5" hidden="1" customHeight="1" outlineLevel="4">
      <c r="A310" s="159"/>
      <c r="B310" s="702" t="s">
        <v>1568</v>
      </c>
      <c r="C310" s="1643"/>
      <c r="D310" s="533" t="s">
        <v>3512</v>
      </c>
      <c r="E310" s="1650"/>
      <c r="F310" s="103"/>
      <c r="G310" s="97"/>
      <c r="H310" s="363"/>
      <c r="I310" s="363"/>
      <c r="J310" s="365"/>
      <c r="K310" s="365"/>
      <c r="L310" s="365"/>
      <c r="M310" s="365"/>
      <c r="N310" s="365"/>
      <c r="O310" s="365"/>
      <c r="P310" s="365"/>
      <c r="Q310" s="97"/>
      <c r="R310" s="364" t="str">
        <f>'9.3_PA_Det'!E187</f>
        <v>3CV</v>
      </c>
      <c r="S310" s="364" t="s">
        <v>1075</v>
      </c>
      <c r="T310" s="364" t="s">
        <v>1430</v>
      </c>
      <c r="U310" s="364">
        <f>'9.3_PA_Det'!F187</f>
        <v>78</v>
      </c>
      <c r="V310" s="364"/>
      <c r="W310" s="177"/>
      <c r="X310" s="97"/>
      <c r="Y310" s="711" t="s">
        <v>1179</v>
      </c>
      <c r="Z310" s="675">
        <v>1</v>
      </c>
      <c r="AA310" s="179"/>
      <c r="AB310" s="179"/>
      <c r="AC310" s="1041">
        <v>50000</v>
      </c>
      <c r="AD310" s="1032">
        <f>Z310*AC310</f>
        <v>50000</v>
      </c>
      <c r="AE310" s="1058"/>
      <c r="AF310" s="97"/>
      <c r="AG310" s="1041">
        <f>+AD310</f>
        <v>50000</v>
      </c>
      <c r="AH310" s="1032"/>
      <c r="AI310" s="1041">
        <f t="shared" si="14"/>
        <v>50000</v>
      </c>
      <c r="AJ310" s="867"/>
      <c r="AK310" s="986"/>
      <c r="AL310" s="986">
        <f>+AG310</f>
        <v>50000</v>
      </c>
      <c r="AM310" s="986"/>
      <c r="AN310" s="986"/>
      <c r="AO310" s="1057"/>
      <c r="AP310" s="1038">
        <f t="shared" si="13"/>
        <v>50000</v>
      </c>
      <c r="AR310" s="1027"/>
    </row>
    <row r="311" spans="1:44" s="148" customFormat="1" ht="27.5" hidden="1" customHeight="1" outlineLevel="4">
      <c r="A311" s="159"/>
      <c r="B311" s="702" t="s">
        <v>1570</v>
      </c>
      <c r="C311" s="1643"/>
      <c r="D311" s="533" t="s">
        <v>3513</v>
      </c>
      <c r="E311" s="1650"/>
      <c r="F311" s="103"/>
      <c r="G311" s="97"/>
      <c r="H311" s="363"/>
      <c r="I311" s="363"/>
      <c r="J311" s="365"/>
      <c r="K311" s="365"/>
      <c r="L311" s="365"/>
      <c r="M311" s="365"/>
      <c r="N311" s="365"/>
      <c r="O311" s="365"/>
      <c r="P311" s="365"/>
      <c r="Q311" s="97"/>
      <c r="R311" s="364" t="str">
        <f>'9.3_PA_Det'!E188</f>
        <v>3CV</v>
      </c>
      <c r="S311" s="364" t="s">
        <v>1075</v>
      </c>
      <c r="T311" s="364" t="s">
        <v>1430</v>
      </c>
      <c r="U311" s="364">
        <f>'9.3_PA_Det'!F188</f>
        <v>79</v>
      </c>
      <c r="V311" s="364"/>
      <c r="W311" s="177"/>
      <c r="X311" s="97"/>
      <c r="Y311" s="711" t="s">
        <v>1179</v>
      </c>
      <c r="Z311" s="675">
        <v>1</v>
      </c>
      <c r="AA311" s="179"/>
      <c r="AB311" s="179"/>
      <c r="AC311" s="1041">
        <v>30000</v>
      </c>
      <c r="AD311" s="1032">
        <f>Z311*AC311</f>
        <v>30000</v>
      </c>
      <c r="AE311" s="1058"/>
      <c r="AF311" s="97"/>
      <c r="AG311" s="1041">
        <f>+AD311</f>
        <v>30000</v>
      </c>
      <c r="AH311" s="1032"/>
      <c r="AI311" s="1041">
        <f t="shared" si="14"/>
        <v>30000</v>
      </c>
      <c r="AJ311" s="867"/>
      <c r="AK311" s="986"/>
      <c r="AL311" s="986">
        <f>+AG311</f>
        <v>30000</v>
      </c>
      <c r="AM311" s="986"/>
      <c r="AN311" s="986"/>
      <c r="AO311" s="1057"/>
      <c r="AP311" s="1038">
        <f t="shared" si="13"/>
        <v>30000</v>
      </c>
      <c r="AR311" s="1027"/>
    </row>
    <row r="312" spans="1:44" s="148" customFormat="1" ht="14" hidden="1" customHeight="1" outlineLevel="3" collapsed="1">
      <c r="A312" s="159"/>
      <c r="B312" s="702"/>
      <c r="C312" s="1643"/>
      <c r="D312" s="533"/>
      <c r="E312" s="1650"/>
      <c r="F312" s="103"/>
      <c r="G312" s="97"/>
      <c r="H312" s="363"/>
      <c r="I312" s="363"/>
      <c r="J312" s="365"/>
      <c r="K312" s="365"/>
      <c r="L312" s="365"/>
      <c r="M312" s="365"/>
      <c r="N312" s="365"/>
      <c r="O312" s="365"/>
      <c r="P312" s="365"/>
      <c r="Q312" s="97"/>
      <c r="R312" s="364"/>
      <c r="S312" s="364"/>
      <c r="T312" s="364"/>
      <c r="U312" s="364"/>
      <c r="V312" s="364"/>
      <c r="W312" s="177"/>
      <c r="X312" s="97"/>
      <c r="Y312" s="711"/>
      <c r="Z312" s="675"/>
      <c r="AA312" s="179"/>
      <c r="AB312" s="179"/>
      <c r="AC312" s="1041"/>
      <c r="AD312" s="1032"/>
      <c r="AE312" s="1058"/>
      <c r="AF312" s="97"/>
      <c r="AG312" s="1041"/>
      <c r="AH312" s="1032"/>
      <c r="AI312" s="1041">
        <f t="shared" si="14"/>
        <v>0</v>
      </c>
      <c r="AJ312" s="867"/>
      <c r="AK312" s="986"/>
      <c r="AL312" s="986"/>
      <c r="AM312" s="986"/>
      <c r="AN312" s="986"/>
      <c r="AO312" s="1057"/>
      <c r="AP312" s="1038">
        <f t="shared" si="13"/>
        <v>0</v>
      </c>
      <c r="AR312" s="1027"/>
    </row>
    <row r="313" spans="1:44" s="153" customFormat="1" ht="29" customHeight="1" outlineLevel="2" collapsed="1">
      <c r="A313" s="172"/>
      <c r="B313" s="171" t="s">
        <v>559</v>
      </c>
      <c r="C313" s="1642"/>
      <c r="D313" s="1652" t="s">
        <v>3514</v>
      </c>
      <c r="E313" s="1647"/>
      <c r="F313" s="106" t="s">
        <v>1540</v>
      </c>
      <c r="G313" s="96"/>
      <c r="H313" s="357" t="str">
        <f>+'1_MdR_Limpia'!C92</f>
        <v>Marco Jurídico</v>
      </c>
      <c r="I313" s="357">
        <f>+'1_MdR_Limpia'!D92</f>
        <v>0</v>
      </c>
      <c r="J313" s="357">
        <f>+'1_MdR_Limpia'!E92</f>
        <v>2021</v>
      </c>
      <c r="K313" s="357" t="str">
        <f>+'1_MdR_Limpia'!F92</f>
        <v>-</v>
      </c>
      <c r="L313" s="357" t="str">
        <f>+'1_MdR_Limpia'!G92</f>
        <v>-</v>
      </c>
      <c r="M313" s="357" t="str">
        <f>+'1_MdR_Limpia'!H92</f>
        <v>-</v>
      </c>
      <c r="N313" s="357">
        <f>+'1_MdR_Limpia'!I92</f>
        <v>1</v>
      </c>
      <c r="O313" s="357" t="str">
        <f>+'1_MdR_Limpia'!J92</f>
        <v>-</v>
      </c>
      <c r="P313" s="357">
        <f>+'1_MdR_Limpia'!L92</f>
        <v>1</v>
      </c>
      <c r="Q313" s="96"/>
      <c r="R313" s="854"/>
      <c r="S313" s="358"/>
      <c r="T313" s="358"/>
      <c r="U313" s="358"/>
      <c r="V313" s="358"/>
      <c r="W313" s="106"/>
      <c r="X313" s="96"/>
      <c r="Y313" s="106"/>
      <c r="Z313" s="172"/>
      <c r="AA313" s="172"/>
      <c r="AB313" s="171"/>
      <c r="AC313" s="176"/>
      <c r="AD313" s="176">
        <v>80000</v>
      </c>
      <c r="AE313" s="692"/>
      <c r="AF313" s="96"/>
      <c r="AG313" s="176">
        <f>+AD313</f>
        <v>80000</v>
      </c>
      <c r="AH313" s="176">
        <f>+AH316</f>
        <v>0</v>
      </c>
      <c r="AI313" s="176">
        <f t="shared" si="14"/>
        <v>80000</v>
      </c>
      <c r="AJ313" s="865"/>
      <c r="AK313" s="980">
        <f>+AK316</f>
        <v>0</v>
      </c>
      <c r="AL313" s="980">
        <f>+AL316</f>
        <v>80000</v>
      </c>
      <c r="AM313" s="980">
        <f>+AM316</f>
        <v>0</v>
      </c>
      <c r="AN313" s="981">
        <f>+AN316</f>
        <v>0</v>
      </c>
      <c r="AO313" s="979">
        <f>+AO316</f>
        <v>0</v>
      </c>
      <c r="AP313" s="979">
        <f t="shared" si="13"/>
        <v>80000</v>
      </c>
      <c r="AR313" s="1027"/>
    </row>
    <row r="314" spans="1:44" s="148" customFormat="1" ht="42" hidden="1" customHeight="1" outlineLevel="3">
      <c r="A314" s="159"/>
      <c r="B314" s="702" t="s">
        <v>982</v>
      </c>
      <c r="C314" s="1643"/>
      <c r="D314" s="537" t="s">
        <v>3515</v>
      </c>
      <c r="E314" s="1648"/>
      <c r="F314" s="103"/>
      <c r="G314" s="97"/>
      <c r="H314" s="363"/>
      <c r="I314" s="363"/>
      <c r="J314" s="365"/>
      <c r="K314" s="365"/>
      <c r="L314" s="365"/>
      <c r="M314" s="365"/>
      <c r="N314" s="365"/>
      <c r="O314" s="365"/>
      <c r="P314" s="365"/>
      <c r="Q314" s="97"/>
      <c r="R314" s="364"/>
      <c r="S314" s="364"/>
      <c r="T314" s="364"/>
      <c r="U314" s="364"/>
      <c r="V314" s="364"/>
      <c r="W314" s="177"/>
      <c r="X314" s="97"/>
      <c r="Y314" s="711"/>
      <c r="Z314" s="675"/>
      <c r="AA314" s="179"/>
      <c r="AB314" s="179"/>
      <c r="AC314" s="1041"/>
      <c r="AD314" s="1032">
        <f>Z314*AC314</f>
        <v>0</v>
      </c>
      <c r="AE314" s="939" t="s">
        <v>3516</v>
      </c>
      <c r="AF314" s="97"/>
      <c r="AG314" s="1041"/>
      <c r="AH314" s="1032"/>
      <c r="AI314" s="1041">
        <f t="shared" si="14"/>
        <v>0</v>
      </c>
      <c r="AJ314" s="867"/>
      <c r="AK314" s="986"/>
      <c r="AL314" s="986"/>
      <c r="AM314" s="986"/>
      <c r="AN314" s="986"/>
      <c r="AO314" s="1057"/>
      <c r="AP314" s="1038">
        <f t="shared" si="13"/>
        <v>0</v>
      </c>
      <c r="AR314" s="1027"/>
    </row>
    <row r="315" spans="1:44" s="148" customFormat="1" ht="54.5" hidden="1" customHeight="1" outlineLevel="3">
      <c r="A315" s="159"/>
      <c r="B315" s="702" t="s">
        <v>1584</v>
      </c>
      <c r="C315" s="1643"/>
      <c r="D315" s="537" t="s">
        <v>3517</v>
      </c>
      <c r="E315" s="1648"/>
      <c r="F315" s="103"/>
      <c r="G315" s="97"/>
      <c r="H315" s="363"/>
      <c r="I315" s="363"/>
      <c r="J315" s="365"/>
      <c r="K315" s="365"/>
      <c r="L315" s="365"/>
      <c r="M315" s="365"/>
      <c r="N315" s="365"/>
      <c r="O315" s="365"/>
      <c r="P315" s="365"/>
      <c r="Q315" s="97"/>
      <c r="R315" s="364"/>
      <c r="S315" s="364"/>
      <c r="T315" s="364"/>
      <c r="U315" s="364"/>
      <c r="V315" s="364"/>
      <c r="W315" s="177"/>
      <c r="X315" s="97"/>
      <c r="Y315" s="711"/>
      <c r="Z315" s="675"/>
      <c r="AA315" s="179"/>
      <c r="AB315" s="179"/>
      <c r="AC315" s="1041"/>
      <c r="AD315" s="1032">
        <f>Z315*AC315</f>
        <v>0</v>
      </c>
      <c r="AE315" s="939" t="s">
        <v>3518</v>
      </c>
      <c r="AF315" s="97"/>
      <c r="AG315" s="1041"/>
      <c r="AH315" s="1032"/>
      <c r="AI315" s="1041">
        <f t="shared" si="14"/>
        <v>0</v>
      </c>
      <c r="AJ315" s="867"/>
      <c r="AK315" s="986"/>
      <c r="AL315" s="986"/>
      <c r="AM315" s="986"/>
      <c r="AN315" s="986"/>
      <c r="AO315" s="1057"/>
      <c r="AP315" s="1038">
        <f t="shared" si="13"/>
        <v>0</v>
      </c>
      <c r="AR315" s="1027"/>
    </row>
    <row r="316" spans="1:44" s="153" customFormat="1" ht="27.5" hidden="1" customHeight="1" outlineLevel="3">
      <c r="A316" s="581"/>
      <c r="B316" s="400" t="s">
        <v>1587</v>
      </c>
      <c r="C316" s="1644"/>
      <c r="D316" s="536" t="s">
        <v>3519</v>
      </c>
      <c r="E316" s="1649"/>
      <c r="F316" s="399"/>
      <c r="G316" s="96"/>
      <c r="H316" s="401"/>
      <c r="I316" s="401"/>
      <c r="J316" s="402"/>
      <c r="K316" s="402"/>
      <c r="L316" s="402"/>
      <c r="M316" s="402"/>
      <c r="N316" s="402"/>
      <c r="O316" s="402"/>
      <c r="P316" s="402"/>
      <c r="Q316" s="96"/>
      <c r="R316" s="837"/>
      <c r="S316" s="851"/>
      <c r="T316" s="851"/>
      <c r="U316" s="851"/>
      <c r="V316" s="851"/>
      <c r="W316" s="399"/>
      <c r="X316" s="96"/>
      <c r="Y316" s="396"/>
      <c r="Z316" s="397"/>
      <c r="AA316" s="397"/>
      <c r="AB316" s="395"/>
      <c r="AC316" s="398"/>
      <c r="AD316" s="398">
        <f>+AD317+AD318</f>
        <v>80000</v>
      </c>
      <c r="AE316" s="691"/>
      <c r="AF316" s="96"/>
      <c r="AG316" s="398">
        <f>+AG317+AG318</f>
        <v>80000</v>
      </c>
      <c r="AH316" s="398">
        <f>+AH317+AH318</f>
        <v>0</v>
      </c>
      <c r="AI316" s="398">
        <f t="shared" si="14"/>
        <v>80000</v>
      </c>
      <c r="AJ316" s="865"/>
      <c r="AK316" s="992">
        <f>+AK317+AK318</f>
        <v>0</v>
      </c>
      <c r="AL316" s="992">
        <f>+AL317+AL318</f>
        <v>80000</v>
      </c>
      <c r="AM316" s="992">
        <f>+AM317+AM318</f>
        <v>0</v>
      </c>
      <c r="AN316" s="993">
        <f>+AN317+AN318</f>
        <v>0</v>
      </c>
      <c r="AO316" s="994">
        <f>+AO317+AO318</f>
        <v>0</v>
      </c>
      <c r="AP316" s="994">
        <f t="shared" si="13"/>
        <v>80000</v>
      </c>
      <c r="AR316" s="1027"/>
    </row>
    <row r="317" spans="1:44" s="148" customFormat="1" ht="27.5" hidden="1" customHeight="1" outlineLevel="4">
      <c r="A317" s="159"/>
      <c r="B317" s="702" t="s">
        <v>3520</v>
      </c>
      <c r="C317" s="1643"/>
      <c r="D317" s="533" t="s">
        <v>3512</v>
      </c>
      <c r="E317" s="1650"/>
      <c r="F317" s="103"/>
      <c r="G317" s="97"/>
      <c r="H317" s="363"/>
      <c r="I317" s="363"/>
      <c r="J317" s="365"/>
      <c r="K317" s="365"/>
      <c r="L317" s="365"/>
      <c r="M317" s="365"/>
      <c r="N317" s="365"/>
      <c r="O317" s="365"/>
      <c r="P317" s="365"/>
      <c r="Q317" s="97"/>
      <c r="R317" s="364" t="str">
        <f>'9.3_PA_Det'!E189</f>
        <v>3CV</v>
      </c>
      <c r="S317" s="364" t="s">
        <v>1075</v>
      </c>
      <c r="T317" s="364" t="s">
        <v>1430</v>
      </c>
      <c r="U317" s="364">
        <f>'9.3_PA_Det'!F189</f>
        <v>80</v>
      </c>
      <c r="V317" s="364"/>
      <c r="W317" s="177"/>
      <c r="X317" s="97"/>
      <c r="Y317" s="711" t="s">
        <v>1179</v>
      </c>
      <c r="Z317" s="675">
        <v>1</v>
      </c>
      <c r="AA317" s="179"/>
      <c r="AB317" s="179"/>
      <c r="AC317" s="1041">
        <v>50000</v>
      </c>
      <c r="AD317" s="1032">
        <f>Z317*AC317</f>
        <v>50000</v>
      </c>
      <c r="AE317" s="1058"/>
      <c r="AF317" s="97"/>
      <c r="AG317" s="1041">
        <f>+AD317</f>
        <v>50000</v>
      </c>
      <c r="AH317" s="1032"/>
      <c r="AI317" s="1041">
        <f t="shared" si="14"/>
        <v>50000</v>
      </c>
      <c r="AJ317" s="867"/>
      <c r="AK317" s="986"/>
      <c r="AL317" s="986">
        <f>+AG317</f>
        <v>50000</v>
      </c>
      <c r="AM317" s="986"/>
      <c r="AN317" s="986"/>
      <c r="AO317" s="1057"/>
      <c r="AP317" s="1038">
        <f t="shared" si="13"/>
        <v>50000</v>
      </c>
      <c r="AR317" s="1027"/>
    </row>
    <row r="318" spans="1:44" s="148" customFormat="1" ht="27.5" hidden="1" customHeight="1" outlineLevel="4">
      <c r="A318" s="159"/>
      <c r="B318" s="702" t="s">
        <v>3521</v>
      </c>
      <c r="C318" s="1643"/>
      <c r="D318" s="533" t="s">
        <v>3513</v>
      </c>
      <c r="E318" s="1650"/>
      <c r="F318" s="103"/>
      <c r="G318" s="97"/>
      <c r="H318" s="363"/>
      <c r="I318" s="363"/>
      <c r="J318" s="365"/>
      <c r="K318" s="365"/>
      <c r="L318" s="365"/>
      <c r="M318" s="365"/>
      <c r="N318" s="365"/>
      <c r="O318" s="365"/>
      <c r="P318" s="365"/>
      <c r="Q318" s="97"/>
      <c r="R318" s="364" t="str">
        <f>'9.3_PA_Det'!E190</f>
        <v>3CV</v>
      </c>
      <c r="S318" s="364" t="s">
        <v>1075</v>
      </c>
      <c r="T318" s="364" t="s">
        <v>1430</v>
      </c>
      <c r="U318" s="364">
        <f>'9.3_PA_Det'!F190</f>
        <v>81</v>
      </c>
      <c r="V318" s="364"/>
      <c r="W318" s="177"/>
      <c r="X318" s="97"/>
      <c r="Y318" s="711" t="s">
        <v>1179</v>
      </c>
      <c r="Z318" s="675">
        <v>1</v>
      </c>
      <c r="AA318" s="179"/>
      <c r="AB318" s="179"/>
      <c r="AC318" s="1041">
        <v>30000</v>
      </c>
      <c r="AD318" s="1032">
        <f>Z318*AC318</f>
        <v>30000</v>
      </c>
      <c r="AE318" s="1058"/>
      <c r="AF318" s="97"/>
      <c r="AG318" s="1041">
        <f>+AD318</f>
        <v>30000</v>
      </c>
      <c r="AH318" s="1032"/>
      <c r="AI318" s="1041">
        <f t="shared" si="14"/>
        <v>30000</v>
      </c>
      <c r="AJ318" s="867"/>
      <c r="AK318" s="986"/>
      <c r="AL318" s="986">
        <f>+AG318</f>
        <v>30000</v>
      </c>
      <c r="AM318" s="986"/>
      <c r="AN318" s="986"/>
      <c r="AO318" s="1057"/>
      <c r="AP318" s="1038">
        <f t="shared" si="13"/>
        <v>30000</v>
      </c>
      <c r="AR318" s="1027"/>
    </row>
    <row r="319" spans="1:44" s="148" customFormat="1" ht="14" hidden="1" customHeight="1" outlineLevel="3" collapsed="1">
      <c r="A319" s="159"/>
      <c r="B319" s="702"/>
      <c r="C319" s="1643"/>
      <c r="D319" s="533"/>
      <c r="E319" s="1650"/>
      <c r="F319" s="103"/>
      <c r="G319" s="97"/>
      <c r="H319" s="363"/>
      <c r="I319" s="363"/>
      <c r="J319" s="365"/>
      <c r="K319" s="365"/>
      <c r="L319" s="365"/>
      <c r="M319" s="365"/>
      <c r="N319" s="365"/>
      <c r="O319" s="365"/>
      <c r="P319" s="365"/>
      <c r="Q319" s="97"/>
      <c r="R319" s="364"/>
      <c r="S319" s="364"/>
      <c r="T319" s="364"/>
      <c r="U319" s="364"/>
      <c r="V319" s="364"/>
      <c r="W319" s="177"/>
      <c r="X319" s="97"/>
      <c r="Y319" s="711"/>
      <c r="Z319" s="450"/>
      <c r="AA319" s="179"/>
      <c r="AB319" s="179"/>
      <c r="AC319" s="1041"/>
      <c r="AD319" s="1041"/>
      <c r="AE319" s="1058"/>
      <c r="AF319" s="97"/>
      <c r="AG319" s="1041">
        <f t="shared" ref="AG319:AG327" si="15">+AD319</f>
        <v>0</v>
      </c>
      <c r="AH319" s="1032"/>
      <c r="AI319" s="1041">
        <f t="shared" si="14"/>
        <v>0</v>
      </c>
      <c r="AJ319" s="867"/>
      <c r="AK319" s="986"/>
      <c r="AL319" s="986"/>
      <c r="AM319" s="986"/>
      <c r="AN319" s="986"/>
      <c r="AO319" s="1057"/>
      <c r="AP319" s="1057">
        <f t="shared" si="13"/>
        <v>0</v>
      </c>
      <c r="AR319" s="1027"/>
    </row>
    <row r="320" spans="1:44" s="153" customFormat="1" ht="39.5" customHeight="1" outlineLevel="2" collapsed="1">
      <c r="A320" s="172"/>
      <c r="B320" s="171" t="s">
        <v>561</v>
      </c>
      <c r="C320" s="1642"/>
      <c r="D320" s="1652" t="s">
        <v>3522</v>
      </c>
      <c r="E320" s="1647"/>
      <c r="F320" s="106" t="s">
        <v>1556</v>
      </c>
      <c r="G320" s="96"/>
      <c r="H320" s="357" t="str">
        <f>+'1_MdR_Limpia'!C93</f>
        <v>Plataforma</v>
      </c>
      <c r="I320" s="357">
        <f>+'1_MdR_Limpia'!D93</f>
        <v>0</v>
      </c>
      <c r="J320" s="357">
        <f>+'1_MdR_Limpia'!E93</f>
        <v>2021</v>
      </c>
      <c r="K320" s="357" t="str">
        <f>+'1_MdR_Limpia'!F93</f>
        <v>-</v>
      </c>
      <c r="L320" s="357" t="str">
        <f>+'1_MdR_Limpia'!G93</f>
        <v>-</v>
      </c>
      <c r="M320" s="357" t="str">
        <f>+'1_MdR_Limpia'!H93</f>
        <v>-</v>
      </c>
      <c r="N320" s="357">
        <f>+'1_MdR_Limpia'!I93</f>
        <v>1</v>
      </c>
      <c r="O320" s="357" t="str">
        <f>+'1_MdR_Limpia'!J93</f>
        <v>-</v>
      </c>
      <c r="P320" s="357">
        <f>+'1_MdR_Limpia'!L93</f>
        <v>1</v>
      </c>
      <c r="Q320" s="96"/>
      <c r="R320" s="854"/>
      <c r="S320" s="358"/>
      <c r="T320" s="358"/>
      <c r="U320" s="358"/>
      <c r="V320" s="358"/>
      <c r="W320" s="106"/>
      <c r="X320" s="96"/>
      <c r="Y320" s="106"/>
      <c r="Z320" s="172"/>
      <c r="AA320" s="172"/>
      <c r="AB320" s="171"/>
      <c r="AC320" s="176"/>
      <c r="AD320" s="176">
        <v>180000</v>
      </c>
      <c r="AE320" s="692"/>
      <c r="AF320" s="96"/>
      <c r="AG320" s="176">
        <f>+AD320</f>
        <v>180000</v>
      </c>
      <c r="AH320" s="176">
        <f>SUM(AH321:AH327)</f>
        <v>0</v>
      </c>
      <c r="AI320" s="176">
        <f t="shared" si="14"/>
        <v>180000</v>
      </c>
      <c r="AJ320" s="865"/>
      <c r="AK320" s="980">
        <f>SUM(AK321:AK327)</f>
        <v>0</v>
      </c>
      <c r="AL320" s="980">
        <f>SUM(AL321:AL327)</f>
        <v>302000</v>
      </c>
      <c r="AM320" s="980">
        <f>SUM(AM321:AM327)</f>
        <v>608000</v>
      </c>
      <c r="AN320" s="981">
        <f>SUM(AN321:AN327)</f>
        <v>0</v>
      </c>
      <c r="AO320" s="979">
        <f>SUM(AO321:AO327)</f>
        <v>0</v>
      </c>
      <c r="AP320" s="979">
        <f t="shared" si="13"/>
        <v>910000</v>
      </c>
      <c r="AR320" s="1027"/>
    </row>
    <row r="321" spans="1:52" ht="26.5" hidden="1" customHeight="1" outlineLevel="3">
      <c r="A321" s="159"/>
      <c r="B321" s="702" t="s">
        <v>1593</v>
      </c>
      <c r="C321" s="1643"/>
      <c r="D321" s="703" t="s">
        <v>3523</v>
      </c>
      <c r="E321" s="1210"/>
      <c r="F321" s="177"/>
      <c r="G321" s="97"/>
      <c r="H321" s="363"/>
      <c r="I321" s="363"/>
      <c r="J321" s="367"/>
      <c r="K321" s="367"/>
      <c r="L321" s="367"/>
      <c r="M321" s="367"/>
      <c r="N321" s="367"/>
      <c r="O321" s="367"/>
      <c r="P321" s="367"/>
      <c r="Q321" s="97"/>
      <c r="R321" s="364" t="str">
        <f>+'9.3_PA_Det'!E109</f>
        <v>Selección Basada en Calificación de Consultores</v>
      </c>
      <c r="S321" s="364" t="s">
        <v>1075</v>
      </c>
      <c r="T321" s="364" t="s">
        <v>1667</v>
      </c>
      <c r="U321" s="364">
        <f>+'9.3_PA_Det'!F109</f>
        <v>39</v>
      </c>
      <c r="V321" s="364"/>
      <c r="W321" s="181"/>
      <c r="X321" s="97"/>
      <c r="Y321" s="711" t="s">
        <v>1179</v>
      </c>
      <c r="Z321" s="712">
        <v>1</v>
      </c>
      <c r="AA321" s="179"/>
      <c r="AB321" s="180"/>
      <c r="AC321" s="1048">
        <v>150000</v>
      </c>
      <c r="AD321" s="1048">
        <f>+Z321*AC321</f>
        <v>150000</v>
      </c>
      <c r="AE321" s="940" t="s">
        <v>3524</v>
      </c>
      <c r="AF321" s="97"/>
      <c r="AG321" s="1048">
        <f t="shared" si="15"/>
        <v>150000</v>
      </c>
      <c r="AH321" s="1048"/>
      <c r="AI321" s="1048">
        <f t="shared" si="14"/>
        <v>150000</v>
      </c>
      <c r="AJ321" s="867"/>
      <c r="AK321" s="1015"/>
      <c r="AL321" s="1015">
        <f>+AG321</f>
        <v>150000</v>
      </c>
      <c r="AM321" s="1015"/>
      <c r="AN321" s="1031"/>
      <c r="AO321" s="1044"/>
      <c r="AP321" s="1044">
        <f t="shared" si="13"/>
        <v>150000</v>
      </c>
      <c r="AQ321" s="108"/>
      <c r="AR321" s="1027"/>
      <c r="AS321" s="108"/>
      <c r="AT321" s="108"/>
      <c r="AU321" s="108"/>
      <c r="AV321" s="108"/>
      <c r="AW321" s="108"/>
      <c r="AX321" s="108"/>
      <c r="AY321" s="108"/>
      <c r="AZ321" s="108"/>
    </row>
    <row r="322" spans="1:52" s="84" customFormat="1" ht="14" hidden="1" customHeight="1" outlineLevel="3">
      <c r="A322" s="159"/>
      <c r="B322" s="702" t="s">
        <v>985</v>
      </c>
      <c r="C322" s="1643"/>
      <c r="D322" s="703" t="s">
        <v>3525</v>
      </c>
      <c r="E322" s="1210"/>
      <c r="F322" s="103"/>
      <c r="G322" s="97"/>
      <c r="H322" s="363"/>
      <c r="I322" s="363"/>
      <c r="J322" s="367"/>
      <c r="K322" s="367"/>
      <c r="L322" s="367"/>
      <c r="M322" s="367"/>
      <c r="N322" s="367"/>
      <c r="O322" s="367"/>
      <c r="P322" s="367"/>
      <c r="Q322" s="97"/>
      <c r="R322" s="3897" t="str">
        <f>+'9.3_PA_Det'!$E$110</f>
        <v>Selección Basada en Calidad y Costo</v>
      </c>
      <c r="S322" s="3897" t="s">
        <v>1075</v>
      </c>
      <c r="T322" s="3897" t="s">
        <v>1667</v>
      </c>
      <c r="U322" s="3897">
        <f>+'9.3_PA_Det'!$F$110</f>
        <v>40</v>
      </c>
      <c r="V322" s="852"/>
      <c r="W322" s="3897"/>
      <c r="X322" s="97"/>
      <c r="Y322" s="711" t="s">
        <v>1179</v>
      </c>
      <c r="Z322" s="712">
        <v>1</v>
      </c>
      <c r="AA322" s="179"/>
      <c r="AB322" s="179"/>
      <c r="AC322" s="1053">
        <v>50000</v>
      </c>
      <c r="AD322" s="1048">
        <f t="shared" ref="AD322:AD340" si="16">+Z322*AC322</f>
        <v>50000</v>
      </c>
      <c r="AE322" s="1054"/>
      <c r="AF322" s="97"/>
      <c r="AG322" s="1053">
        <f t="shared" si="15"/>
        <v>50000</v>
      </c>
      <c r="AH322" s="1048"/>
      <c r="AI322" s="1053">
        <f t="shared" si="14"/>
        <v>50000</v>
      </c>
      <c r="AJ322" s="867"/>
      <c r="AK322" s="1015"/>
      <c r="AL322" s="1015">
        <f t="shared" ref="AL322:AL327" si="17">+AG322*20%</f>
        <v>10000</v>
      </c>
      <c r="AM322" s="1015">
        <f t="shared" ref="AM322:AM327" si="18">+AG322*80%</f>
        <v>40000</v>
      </c>
      <c r="AN322" s="1015"/>
      <c r="AO322" s="1055"/>
      <c r="AP322" s="1044">
        <f t="shared" si="13"/>
        <v>50000</v>
      </c>
      <c r="AQ322" s="148"/>
      <c r="AR322" s="1027"/>
      <c r="AS322" s="148"/>
      <c r="AT322" s="148"/>
      <c r="AU322" s="148"/>
      <c r="AV322" s="148"/>
      <c r="AW322" s="148"/>
      <c r="AX322" s="148"/>
      <c r="AY322" s="148"/>
      <c r="AZ322" s="148"/>
    </row>
    <row r="323" spans="1:52" s="84" customFormat="1" ht="14" hidden="1" customHeight="1" outlineLevel="3">
      <c r="A323" s="159"/>
      <c r="B323" s="702" t="s">
        <v>988</v>
      </c>
      <c r="C323" s="1643"/>
      <c r="D323" s="703" t="s">
        <v>3526</v>
      </c>
      <c r="E323" s="1210"/>
      <c r="F323" s="177"/>
      <c r="G323" s="97"/>
      <c r="H323" s="363"/>
      <c r="I323" s="363"/>
      <c r="J323" s="367"/>
      <c r="K323" s="367"/>
      <c r="L323" s="367"/>
      <c r="M323" s="367"/>
      <c r="N323" s="367"/>
      <c r="O323" s="367"/>
      <c r="P323" s="367"/>
      <c r="Q323" s="97"/>
      <c r="R323" s="3898"/>
      <c r="S323" s="3898"/>
      <c r="T323" s="3898"/>
      <c r="U323" s="3898"/>
      <c r="V323" s="1190"/>
      <c r="W323" s="3898"/>
      <c r="X323" s="97"/>
      <c r="Y323" s="711" t="s">
        <v>1179</v>
      </c>
      <c r="Z323" s="712">
        <v>1</v>
      </c>
      <c r="AA323" s="179"/>
      <c r="AB323" s="179"/>
      <c r="AC323" s="1053">
        <v>200000</v>
      </c>
      <c r="AD323" s="1048">
        <f t="shared" si="16"/>
        <v>200000</v>
      </c>
      <c r="AE323" s="1054"/>
      <c r="AF323" s="97"/>
      <c r="AG323" s="1053">
        <f t="shared" si="15"/>
        <v>200000</v>
      </c>
      <c r="AH323" s="1048"/>
      <c r="AI323" s="1053">
        <f t="shared" si="14"/>
        <v>200000</v>
      </c>
      <c r="AJ323" s="867"/>
      <c r="AK323" s="1015"/>
      <c r="AL323" s="1015">
        <f t="shared" si="17"/>
        <v>40000</v>
      </c>
      <c r="AM323" s="1015">
        <f t="shared" si="18"/>
        <v>160000</v>
      </c>
      <c r="AN323" s="1015"/>
      <c r="AO323" s="1055"/>
      <c r="AP323" s="1044">
        <f t="shared" si="13"/>
        <v>200000</v>
      </c>
      <c r="AQ323" s="148"/>
      <c r="AR323" s="1027"/>
      <c r="AS323" s="148"/>
      <c r="AT323" s="148"/>
      <c r="AU323" s="148"/>
      <c r="AV323" s="148"/>
      <c r="AW323" s="148"/>
      <c r="AX323" s="148"/>
      <c r="AY323" s="148"/>
      <c r="AZ323" s="148"/>
    </row>
    <row r="324" spans="1:52" s="84" customFormat="1" ht="14" hidden="1" customHeight="1" outlineLevel="3">
      <c r="A324" s="159"/>
      <c r="B324" s="702" t="s">
        <v>990</v>
      </c>
      <c r="C324" s="1643"/>
      <c r="D324" s="703" t="s">
        <v>3527</v>
      </c>
      <c r="E324" s="1210"/>
      <c r="F324" s="177"/>
      <c r="G324" s="97"/>
      <c r="H324" s="363"/>
      <c r="I324" s="363"/>
      <c r="J324" s="367"/>
      <c r="K324" s="367"/>
      <c r="L324" s="367"/>
      <c r="M324" s="367"/>
      <c r="N324" s="367"/>
      <c r="O324" s="367"/>
      <c r="P324" s="367"/>
      <c r="Q324" s="97"/>
      <c r="R324" s="3898"/>
      <c r="S324" s="3898"/>
      <c r="T324" s="3898"/>
      <c r="U324" s="3898"/>
      <c r="V324" s="1190"/>
      <c r="W324" s="3898"/>
      <c r="X324" s="97"/>
      <c r="Y324" s="711" t="s">
        <v>1179</v>
      </c>
      <c r="Z324" s="712">
        <v>1</v>
      </c>
      <c r="AA324" s="179"/>
      <c r="AB324" s="179"/>
      <c r="AC324" s="1053">
        <v>100000</v>
      </c>
      <c r="AD324" s="1048">
        <f t="shared" si="16"/>
        <v>100000</v>
      </c>
      <c r="AE324" s="1054"/>
      <c r="AF324" s="97"/>
      <c r="AG324" s="1053">
        <f t="shared" si="15"/>
        <v>100000</v>
      </c>
      <c r="AH324" s="1048"/>
      <c r="AI324" s="1053">
        <f t="shared" si="14"/>
        <v>100000</v>
      </c>
      <c r="AJ324" s="867"/>
      <c r="AK324" s="1015"/>
      <c r="AL324" s="1015">
        <f t="shared" si="17"/>
        <v>20000</v>
      </c>
      <c r="AM324" s="1015">
        <f t="shared" si="18"/>
        <v>80000</v>
      </c>
      <c r="AN324" s="1015"/>
      <c r="AO324" s="1055"/>
      <c r="AP324" s="1044">
        <f t="shared" si="13"/>
        <v>100000</v>
      </c>
      <c r="AQ324" s="148"/>
      <c r="AR324" s="1027"/>
      <c r="AS324" s="148"/>
      <c r="AT324" s="148"/>
      <c r="AU324" s="148"/>
      <c r="AV324" s="148"/>
      <c r="AW324" s="148"/>
      <c r="AX324" s="148"/>
      <c r="AY324" s="148"/>
      <c r="AZ324" s="148"/>
    </row>
    <row r="325" spans="1:52" s="84" customFormat="1" ht="25.25" hidden="1" customHeight="1" outlineLevel="3">
      <c r="A325" s="159"/>
      <c r="B325" s="702" t="s">
        <v>992</v>
      </c>
      <c r="C325" s="1643"/>
      <c r="D325" s="703" t="s">
        <v>3528</v>
      </c>
      <c r="E325" s="1210"/>
      <c r="F325" s="177"/>
      <c r="G325" s="97"/>
      <c r="H325" s="363"/>
      <c r="I325" s="363"/>
      <c r="J325" s="367"/>
      <c r="K325" s="367"/>
      <c r="L325" s="367"/>
      <c r="M325" s="367"/>
      <c r="N325" s="367"/>
      <c r="O325" s="367"/>
      <c r="P325" s="367"/>
      <c r="Q325" s="97"/>
      <c r="R325" s="3898"/>
      <c r="S325" s="3898"/>
      <c r="T325" s="3898"/>
      <c r="U325" s="3898"/>
      <c r="V325" s="1190"/>
      <c r="W325" s="3898"/>
      <c r="X325" s="97"/>
      <c r="Y325" s="711" t="s">
        <v>1179</v>
      </c>
      <c r="Z325" s="712">
        <v>1</v>
      </c>
      <c r="AA325" s="179"/>
      <c r="AB325" s="179"/>
      <c r="AC325" s="1053">
        <v>150000</v>
      </c>
      <c r="AD325" s="1048">
        <f t="shared" si="16"/>
        <v>150000</v>
      </c>
      <c r="AE325" s="1054"/>
      <c r="AF325" s="97"/>
      <c r="AG325" s="1053">
        <f t="shared" si="15"/>
        <v>150000</v>
      </c>
      <c r="AH325" s="1048"/>
      <c r="AI325" s="1053">
        <f t="shared" si="14"/>
        <v>150000</v>
      </c>
      <c r="AJ325" s="867"/>
      <c r="AK325" s="1015"/>
      <c r="AL325" s="1015">
        <f t="shared" si="17"/>
        <v>30000</v>
      </c>
      <c r="AM325" s="1015">
        <f t="shared" si="18"/>
        <v>120000</v>
      </c>
      <c r="AN325" s="1015"/>
      <c r="AO325" s="1055"/>
      <c r="AP325" s="1044">
        <f t="shared" si="13"/>
        <v>150000</v>
      </c>
      <c r="AQ325" s="148"/>
      <c r="AR325" s="1027"/>
      <c r="AS325" s="148"/>
      <c r="AT325" s="148"/>
      <c r="AU325" s="148"/>
      <c r="AV325" s="148"/>
      <c r="AW325" s="148"/>
      <c r="AX325" s="148"/>
      <c r="AY325" s="148"/>
      <c r="AZ325" s="148"/>
    </row>
    <row r="326" spans="1:52" s="84" customFormat="1" ht="27.5" hidden="1" customHeight="1" outlineLevel="3">
      <c r="A326" s="159"/>
      <c r="B326" s="702" t="s">
        <v>3529</v>
      </c>
      <c r="C326" s="1643"/>
      <c r="D326" s="703" t="s">
        <v>3530</v>
      </c>
      <c r="E326" s="1210"/>
      <c r="F326" s="177"/>
      <c r="G326" s="97"/>
      <c r="H326" s="363"/>
      <c r="I326" s="363"/>
      <c r="J326" s="367"/>
      <c r="K326" s="367"/>
      <c r="L326" s="367"/>
      <c r="M326" s="367"/>
      <c r="N326" s="367"/>
      <c r="O326" s="367"/>
      <c r="P326" s="367"/>
      <c r="Q326" s="97"/>
      <c r="R326" s="3898"/>
      <c r="S326" s="3898"/>
      <c r="T326" s="3898"/>
      <c r="U326" s="3898"/>
      <c r="V326" s="1190"/>
      <c r="W326" s="3898"/>
      <c r="X326" s="97"/>
      <c r="Y326" s="711" t="s">
        <v>1179</v>
      </c>
      <c r="Z326" s="712">
        <v>1</v>
      </c>
      <c r="AA326" s="179"/>
      <c r="AB326" s="179"/>
      <c r="AC326" s="1053">
        <v>160000</v>
      </c>
      <c r="AD326" s="1048">
        <f t="shared" si="16"/>
        <v>160000</v>
      </c>
      <c r="AE326" s="1054"/>
      <c r="AF326" s="97"/>
      <c r="AG326" s="1053">
        <f t="shared" si="15"/>
        <v>160000</v>
      </c>
      <c r="AH326" s="1048"/>
      <c r="AI326" s="1053">
        <f t="shared" si="14"/>
        <v>160000</v>
      </c>
      <c r="AJ326" s="867"/>
      <c r="AK326" s="1015"/>
      <c r="AL326" s="1015">
        <f t="shared" si="17"/>
        <v>32000</v>
      </c>
      <c r="AM326" s="1015">
        <f t="shared" si="18"/>
        <v>128000</v>
      </c>
      <c r="AN326" s="1015"/>
      <c r="AO326" s="1055"/>
      <c r="AP326" s="1044">
        <f t="shared" si="13"/>
        <v>160000</v>
      </c>
      <c r="AQ326" s="148"/>
      <c r="AR326" s="1027"/>
      <c r="AS326" s="148"/>
      <c r="AT326" s="148"/>
      <c r="AU326" s="148"/>
      <c r="AV326" s="148"/>
      <c r="AW326" s="148"/>
      <c r="AX326" s="148"/>
      <c r="AY326" s="148"/>
      <c r="AZ326" s="148"/>
    </row>
    <row r="327" spans="1:52" s="84" customFormat="1" ht="25.25" hidden="1" customHeight="1" outlineLevel="3">
      <c r="A327" s="159"/>
      <c r="B327" s="702" t="s">
        <v>3531</v>
      </c>
      <c r="C327" s="1643"/>
      <c r="D327" s="703" t="s">
        <v>3532</v>
      </c>
      <c r="E327" s="1210"/>
      <c r="F327" s="177"/>
      <c r="G327" s="97"/>
      <c r="H327" s="363"/>
      <c r="I327" s="363"/>
      <c r="J327" s="367"/>
      <c r="K327" s="367"/>
      <c r="L327" s="367"/>
      <c r="M327" s="367"/>
      <c r="N327" s="367"/>
      <c r="O327" s="367"/>
      <c r="P327" s="367"/>
      <c r="Q327" s="97"/>
      <c r="R327" s="3899"/>
      <c r="S327" s="3899"/>
      <c r="T327" s="3899"/>
      <c r="U327" s="3899"/>
      <c r="V327" s="951"/>
      <c r="W327" s="3899"/>
      <c r="X327" s="97"/>
      <c r="Y327" s="711" t="s">
        <v>1179</v>
      </c>
      <c r="Z327" s="712">
        <v>1</v>
      </c>
      <c r="AA327" s="179"/>
      <c r="AB327" s="179"/>
      <c r="AC327" s="1053">
        <v>100000</v>
      </c>
      <c r="AD327" s="1048">
        <f t="shared" si="16"/>
        <v>100000</v>
      </c>
      <c r="AE327" s="714" t="s">
        <v>3533</v>
      </c>
      <c r="AF327" s="97"/>
      <c r="AG327" s="1053">
        <f t="shared" si="15"/>
        <v>100000</v>
      </c>
      <c r="AH327" s="1048"/>
      <c r="AI327" s="1053">
        <f t="shared" si="14"/>
        <v>100000</v>
      </c>
      <c r="AJ327" s="867"/>
      <c r="AK327" s="1015"/>
      <c r="AL327" s="1015">
        <f t="shared" si="17"/>
        <v>20000</v>
      </c>
      <c r="AM327" s="1015">
        <f t="shared" si="18"/>
        <v>80000</v>
      </c>
      <c r="AN327" s="1015"/>
      <c r="AO327" s="1055"/>
      <c r="AP327" s="1044">
        <f t="shared" si="13"/>
        <v>100000</v>
      </c>
      <c r="AQ327" s="148"/>
      <c r="AR327" s="1027"/>
      <c r="AS327" s="148"/>
      <c r="AT327" s="148"/>
      <c r="AU327" s="148"/>
      <c r="AV327" s="148"/>
      <c r="AW327" s="148"/>
      <c r="AX327" s="148"/>
      <c r="AY327" s="148"/>
      <c r="AZ327" s="148"/>
    </row>
    <row r="328" spans="1:52" s="1694" customFormat="1" ht="31.25" customHeight="1" outlineLevel="2" collapsed="1">
      <c r="A328" s="1678"/>
      <c r="B328" s="1679" t="s">
        <v>562</v>
      </c>
      <c r="C328" s="1680"/>
      <c r="D328" s="1681" t="s">
        <v>3534</v>
      </c>
      <c r="E328" s="1682"/>
      <c r="F328" s="1683" t="s">
        <v>1556</v>
      </c>
      <c r="G328" s="1684"/>
      <c r="H328" s="1685" t="e">
        <f>+'1_MdR_Limpia'!#REF!</f>
        <v>#REF!</v>
      </c>
      <c r="I328" s="1685" t="e">
        <f>+'1_MdR_Limpia'!#REF!</f>
        <v>#REF!</v>
      </c>
      <c r="J328" s="1685" t="e">
        <f>+'1_MdR_Limpia'!#REF!</f>
        <v>#REF!</v>
      </c>
      <c r="K328" s="1685" t="e">
        <f>+'1_MdR_Limpia'!#REF!</f>
        <v>#REF!</v>
      </c>
      <c r="L328" s="1685" t="e">
        <f>+'1_MdR_Limpia'!#REF!</f>
        <v>#REF!</v>
      </c>
      <c r="M328" s="1685" t="e">
        <f>+'1_MdR_Limpia'!#REF!</f>
        <v>#REF!</v>
      </c>
      <c r="N328" s="1685" t="e">
        <f>+'1_MdR_Limpia'!#REF!</f>
        <v>#REF!</v>
      </c>
      <c r="O328" s="1685" t="e">
        <f>+'1_MdR_Limpia'!#REF!</f>
        <v>#REF!</v>
      </c>
      <c r="P328" s="1685" t="e">
        <f>+'1_MdR_Limpia'!#REF!</f>
        <v>#REF!</v>
      </c>
      <c r="Q328" s="1684"/>
      <c r="R328" s="1686"/>
      <c r="S328" s="1687"/>
      <c r="T328" s="1687"/>
      <c r="U328" s="1687"/>
      <c r="V328" s="1687"/>
      <c r="W328" s="1683"/>
      <c r="X328" s="1684"/>
      <c r="Y328" s="1683"/>
      <c r="Z328" s="1678"/>
      <c r="AA328" s="1678"/>
      <c r="AB328" s="1679"/>
      <c r="AC328" s="1688"/>
      <c r="AD328" s="1688"/>
      <c r="AE328" s="1689"/>
      <c r="AF328" s="1684"/>
      <c r="AG328" s="1688"/>
      <c r="AH328" s="1688">
        <f>SUM(AH329:AH334)</f>
        <v>0</v>
      </c>
      <c r="AI328" s="1688">
        <f t="shared" si="14"/>
        <v>0</v>
      </c>
      <c r="AJ328" s="1690"/>
      <c r="AK328" s="1691">
        <f>SUM(AK329:AK334)</f>
        <v>0</v>
      </c>
      <c r="AL328" s="1691">
        <f>SUM(AL329:AL334)</f>
        <v>0</v>
      </c>
      <c r="AM328" s="1691">
        <f>SUM(AM329:AM334)</f>
        <v>40000</v>
      </c>
      <c r="AN328" s="1692">
        <f>SUM(AN329:AN334)</f>
        <v>150000</v>
      </c>
      <c r="AO328" s="1693">
        <f>SUM(AO329:AO334)</f>
        <v>50000</v>
      </c>
      <c r="AP328" s="1693">
        <f t="shared" si="13"/>
        <v>240000</v>
      </c>
      <c r="AR328" s="1695"/>
    </row>
    <row r="329" spans="1:52" s="1655" customFormat="1" ht="26.5" hidden="1" customHeight="1" outlineLevel="3">
      <c r="A329" s="1612"/>
      <c r="B329" s="1656" t="s">
        <v>2612</v>
      </c>
      <c r="C329" s="1657"/>
      <c r="D329" s="1658" t="s">
        <v>3535</v>
      </c>
      <c r="E329" s="1659"/>
      <c r="F329" s="1622"/>
      <c r="G329" s="1653"/>
      <c r="H329" s="1660"/>
      <c r="I329" s="1660"/>
      <c r="J329" s="1661"/>
      <c r="K329" s="1661"/>
      <c r="L329" s="1661"/>
      <c r="M329" s="1661"/>
      <c r="N329" s="1661"/>
      <c r="O329" s="1661"/>
      <c r="P329" s="1661"/>
      <c r="Q329" s="1653"/>
      <c r="R329" s="4604" t="str">
        <f>+'9.3_PA_Det'!$E$116</f>
        <v>Selección Basada en Calidad y Costo</v>
      </c>
      <c r="S329" s="4604" t="s">
        <v>1075</v>
      </c>
      <c r="T329" s="4604" t="s">
        <v>1667</v>
      </c>
      <c r="U329" s="4604">
        <f>+'9.3_PA_Det'!$F$116</f>
        <v>41</v>
      </c>
      <c r="V329" s="1662"/>
      <c r="W329" s="4607"/>
      <c r="X329" s="1653"/>
      <c r="Y329" s="1663" t="s">
        <v>1179</v>
      </c>
      <c r="Z329" s="1664">
        <v>1</v>
      </c>
      <c r="AA329" s="1665"/>
      <c r="AB329" s="1666"/>
      <c r="AC329" s="1667">
        <v>10000</v>
      </c>
      <c r="AD329" s="1631">
        <f t="shared" si="16"/>
        <v>10000</v>
      </c>
      <c r="AE329" s="1668"/>
      <c r="AF329" s="1653"/>
      <c r="AG329" s="1631">
        <f t="shared" ref="AG329:AG343" si="19">+AD329</f>
        <v>10000</v>
      </c>
      <c r="AH329" s="1631">
        <v>0</v>
      </c>
      <c r="AI329" s="1667">
        <f t="shared" si="14"/>
        <v>10000</v>
      </c>
      <c r="AJ329" s="1654"/>
      <c r="AK329" s="1669"/>
      <c r="AL329" s="1669"/>
      <c r="AM329" s="1670">
        <f>+AG329</f>
        <v>10000</v>
      </c>
      <c r="AN329" s="1671"/>
      <c r="AO329" s="1672"/>
      <c r="AP329" s="1673">
        <f t="shared" si="13"/>
        <v>10000</v>
      </c>
      <c r="AR329" s="1637"/>
    </row>
    <row r="330" spans="1:52" s="1655" customFormat="1" ht="27" hidden="1" customHeight="1" outlineLevel="3">
      <c r="A330" s="1612"/>
      <c r="B330" s="1656" t="s">
        <v>2613</v>
      </c>
      <c r="C330" s="1657"/>
      <c r="D330" s="1658" t="s">
        <v>3536</v>
      </c>
      <c r="E330" s="1659"/>
      <c r="F330" s="1622"/>
      <c r="G330" s="1653"/>
      <c r="H330" s="1660"/>
      <c r="I330" s="1660"/>
      <c r="J330" s="1661"/>
      <c r="K330" s="1661"/>
      <c r="L330" s="1661"/>
      <c r="M330" s="1661"/>
      <c r="N330" s="1661"/>
      <c r="O330" s="1661"/>
      <c r="P330" s="1661"/>
      <c r="Q330" s="1653"/>
      <c r="R330" s="4605"/>
      <c r="S330" s="4605"/>
      <c r="T330" s="4605"/>
      <c r="U330" s="4605"/>
      <c r="V330" s="1674"/>
      <c r="W330" s="4608"/>
      <c r="X330" s="1653"/>
      <c r="Y330" s="1663" t="s">
        <v>1179</v>
      </c>
      <c r="Z330" s="1664">
        <v>1</v>
      </c>
      <c r="AA330" s="1665"/>
      <c r="AB330" s="1666"/>
      <c r="AC330" s="1667">
        <v>30000</v>
      </c>
      <c r="AD330" s="1631">
        <f t="shared" si="16"/>
        <v>30000</v>
      </c>
      <c r="AE330" s="1668"/>
      <c r="AF330" s="1653"/>
      <c r="AG330" s="1631">
        <f t="shared" si="19"/>
        <v>30000</v>
      </c>
      <c r="AH330" s="1631">
        <v>0</v>
      </c>
      <c r="AI330" s="1667">
        <f t="shared" si="14"/>
        <v>30000</v>
      </c>
      <c r="AJ330" s="1654"/>
      <c r="AK330" s="1669"/>
      <c r="AL330" s="1669"/>
      <c r="AM330" s="1670">
        <f>+AG330</f>
        <v>30000</v>
      </c>
      <c r="AN330" s="1671"/>
      <c r="AO330" s="1672"/>
      <c r="AP330" s="1673">
        <f t="shared" si="13"/>
        <v>30000</v>
      </c>
      <c r="AR330" s="1637"/>
    </row>
    <row r="331" spans="1:52" s="1655" customFormat="1" ht="27.5" hidden="1" customHeight="1" outlineLevel="3">
      <c r="A331" s="1612"/>
      <c r="B331" s="1656" t="s">
        <v>2614</v>
      </c>
      <c r="C331" s="1657"/>
      <c r="D331" s="1658" t="s">
        <v>3537</v>
      </c>
      <c r="E331" s="1659"/>
      <c r="F331" s="1622"/>
      <c r="G331" s="1653"/>
      <c r="H331" s="1660"/>
      <c r="I331" s="1660"/>
      <c r="J331" s="1661"/>
      <c r="K331" s="1661"/>
      <c r="L331" s="1661"/>
      <c r="M331" s="1661"/>
      <c r="N331" s="1661"/>
      <c r="O331" s="1661"/>
      <c r="P331" s="1661"/>
      <c r="Q331" s="1653"/>
      <c r="R331" s="4605"/>
      <c r="S331" s="4605"/>
      <c r="T331" s="4605"/>
      <c r="U331" s="4605"/>
      <c r="V331" s="1674"/>
      <c r="W331" s="4608"/>
      <c r="X331" s="1653"/>
      <c r="Y331" s="1663" t="s">
        <v>1179</v>
      </c>
      <c r="Z331" s="1664">
        <v>1</v>
      </c>
      <c r="AA331" s="1665"/>
      <c r="AB331" s="1666"/>
      <c r="AC331" s="1667">
        <v>50000</v>
      </c>
      <c r="AD331" s="1631">
        <f t="shared" si="16"/>
        <v>50000</v>
      </c>
      <c r="AE331" s="1675" t="s">
        <v>3538</v>
      </c>
      <c r="AF331" s="1653"/>
      <c r="AG331" s="1631">
        <f t="shared" si="19"/>
        <v>50000</v>
      </c>
      <c r="AH331" s="1631">
        <v>0</v>
      </c>
      <c r="AI331" s="1667">
        <f t="shared" si="14"/>
        <v>50000</v>
      </c>
      <c r="AJ331" s="1654"/>
      <c r="AK331" s="1669"/>
      <c r="AL331" s="1669"/>
      <c r="AM331" s="1670"/>
      <c r="AN331" s="1671">
        <f>+AG331</f>
        <v>50000</v>
      </c>
      <c r="AO331" s="1672"/>
      <c r="AP331" s="1673">
        <f t="shared" si="13"/>
        <v>50000</v>
      </c>
      <c r="AR331" s="1637"/>
    </row>
    <row r="332" spans="1:52" s="1655" customFormat="1" ht="27.5" hidden="1" customHeight="1" outlineLevel="3">
      <c r="A332" s="1612"/>
      <c r="B332" s="1656" t="s">
        <v>2615</v>
      </c>
      <c r="C332" s="1657"/>
      <c r="D332" s="1658" t="s">
        <v>3539</v>
      </c>
      <c r="E332" s="1659"/>
      <c r="F332" s="1622"/>
      <c r="G332" s="1653"/>
      <c r="H332" s="1660"/>
      <c r="I332" s="1660"/>
      <c r="J332" s="1661"/>
      <c r="K332" s="1661"/>
      <c r="L332" s="1661"/>
      <c r="M332" s="1661"/>
      <c r="N332" s="1661"/>
      <c r="O332" s="1661"/>
      <c r="P332" s="1661"/>
      <c r="Q332" s="1653"/>
      <c r="R332" s="4605"/>
      <c r="S332" s="4605"/>
      <c r="T332" s="4605"/>
      <c r="U332" s="4605"/>
      <c r="V332" s="1674"/>
      <c r="W332" s="4608"/>
      <c r="X332" s="1653"/>
      <c r="Y332" s="1663" t="s">
        <v>1179</v>
      </c>
      <c r="Z332" s="1664">
        <v>1</v>
      </c>
      <c r="AA332" s="1665"/>
      <c r="AB332" s="1666"/>
      <c r="AC332" s="1667">
        <v>100000</v>
      </c>
      <c r="AD332" s="1631">
        <f t="shared" si="16"/>
        <v>100000</v>
      </c>
      <c r="AE332" s="1668"/>
      <c r="AF332" s="1653"/>
      <c r="AG332" s="1631">
        <f t="shared" si="19"/>
        <v>100000</v>
      </c>
      <c r="AH332" s="1631">
        <v>0</v>
      </c>
      <c r="AI332" s="1667">
        <f t="shared" si="14"/>
        <v>100000</v>
      </c>
      <c r="AJ332" s="1654"/>
      <c r="AK332" s="1669"/>
      <c r="AL332" s="1669"/>
      <c r="AM332" s="1670"/>
      <c r="AN332" s="1671">
        <f>+AG332</f>
        <v>100000</v>
      </c>
      <c r="AO332" s="1672"/>
      <c r="AP332" s="1673">
        <f t="shared" si="13"/>
        <v>100000</v>
      </c>
      <c r="AR332" s="1637"/>
    </row>
    <row r="333" spans="1:52" s="1655" customFormat="1" ht="18" hidden="1" customHeight="1" outlineLevel="3">
      <c r="A333" s="1612"/>
      <c r="B333" s="1656" t="s">
        <v>2616</v>
      </c>
      <c r="C333" s="1657"/>
      <c r="D333" s="1658" t="s">
        <v>3540</v>
      </c>
      <c r="E333" s="1659"/>
      <c r="F333" s="1622"/>
      <c r="G333" s="1653"/>
      <c r="H333" s="1660"/>
      <c r="I333" s="1660"/>
      <c r="J333" s="1661"/>
      <c r="K333" s="1661"/>
      <c r="L333" s="1661"/>
      <c r="M333" s="1661"/>
      <c r="N333" s="1661"/>
      <c r="O333" s="1661"/>
      <c r="P333" s="1661"/>
      <c r="Q333" s="1653"/>
      <c r="R333" s="4605"/>
      <c r="S333" s="4605"/>
      <c r="T333" s="4605"/>
      <c r="U333" s="4605"/>
      <c r="V333" s="1674"/>
      <c r="W333" s="4608"/>
      <c r="X333" s="1653"/>
      <c r="Y333" s="1663" t="s">
        <v>1179</v>
      </c>
      <c r="Z333" s="1664">
        <v>1</v>
      </c>
      <c r="AA333" s="1665"/>
      <c r="AB333" s="1666"/>
      <c r="AC333" s="1667">
        <v>20000</v>
      </c>
      <c r="AD333" s="1631">
        <f t="shared" si="16"/>
        <v>20000</v>
      </c>
      <c r="AE333" s="1668"/>
      <c r="AF333" s="1653"/>
      <c r="AG333" s="1631">
        <f t="shared" si="19"/>
        <v>20000</v>
      </c>
      <c r="AH333" s="1631">
        <v>0</v>
      </c>
      <c r="AI333" s="1667">
        <f t="shared" si="14"/>
        <v>20000</v>
      </c>
      <c r="AJ333" s="1654"/>
      <c r="AK333" s="1669"/>
      <c r="AL333" s="1669"/>
      <c r="AM333" s="1670"/>
      <c r="AN333" s="1671"/>
      <c r="AO333" s="1672">
        <f>+AG333</f>
        <v>20000</v>
      </c>
      <c r="AP333" s="1673">
        <f t="shared" si="13"/>
        <v>20000</v>
      </c>
      <c r="AR333" s="1637"/>
    </row>
    <row r="334" spans="1:52" s="1655" customFormat="1" ht="27.5" hidden="1" customHeight="1" outlineLevel="3">
      <c r="A334" s="1612"/>
      <c r="B334" s="1656" t="s">
        <v>3541</v>
      </c>
      <c r="C334" s="1657"/>
      <c r="D334" s="1658" t="s">
        <v>3542</v>
      </c>
      <c r="E334" s="1659"/>
      <c r="F334" s="1622"/>
      <c r="G334" s="1653"/>
      <c r="H334" s="1660"/>
      <c r="I334" s="1660"/>
      <c r="J334" s="1661"/>
      <c r="K334" s="1661"/>
      <c r="L334" s="1661"/>
      <c r="M334" s="1661"/>
      <c r="N334" s="1661"/>
      <c r="O334" s="1661"/>
      <c r="P334" s="1661"/>
      <c r="Q334" s="1653"/>
      <c r="R334" s="4606"/>
      <c r="S334" s="4606"/>
      <c r="T334" s="4606"/>
      <c r="U334" s="4606"/>
      <c r="V334" s="1676"/>
      <c r="W334" s="4609"/>
      <c r="X334" s="1653"/>
      <c r="Y334" s="1663" t="s">
        <v>1179</v>
      </c>
      <c r="Z334" s="1664">
        <v>1</v>
      </c>
      <c r="AA334" s="1665"/>
      <c r="AB334" s="1666"/>
      <c r="AC334" s="1667">
        <v>30000</v>
      </c>
      <c r="AD334" s="1631">
        <f t="shared" si="16"/>
        <v>30000</v>
      </c>
      <c r="AE334" s="1668"/>
      <c r="AF334" s="1653"/>
      <c r="AG334" s="1631">
        <f t="shared" si="19"/>
        <v>30000</v>
      </c>
      <c r="AH334" s="1631">
        <v>0</v>
      </c>
      <c r="AI334" s="1667">
        <f t="shared" si="14"/>
        <v>30000</v>
      </c>
      <c r="AJ334" s="1654"/>
      <c r="AK334" s="1669"/>
      <c r="AL334" s="1669"/>
      <c r="AM334" s="1670"/>
      <c r="AN334" s="1671"/>
      <c r="AO334" s="1672">
        <f>+AG334</f>
        <v>30000</v>
      </c>
      <c r="AP334" s="1673">
        <f t="shared" si="13"/>
        <v>30000</v>
      </c>
      <c r="AR334" s="1637"/>
    </row>
    <row r="335" spans="1:52" s="153" customFormat="1" ht="27.5" customHeight="1" outlineLevel="2" collapsed="1">
      <c r="A335" s="172"/>
      <c r="B335" s="171" t="s">
        <v>564</v>
      </c>
      <c r="C335" s="1642"/>
      <c r="D335" s="1652" t="s">
        <v>3543</v>
      </c>
      <c r="E335" s="1647"/>
      <c r="F335" s="106" t="s">
        <v>1556</v>
      </c>
      <c r="G335" s="96"/>
      <c r="H335" s="357" t="str">
        <f>+'1_MdR_Limpia'!C94</f>
        <v>Etapas</v>
      </c>
      <c r="I335" s="357">
        <f>+'1_MdR_Limpia'!D94</f>
        <v>0</v>
      </c>
      <c r="J335" s="357">
        <f>+'1_MdR_Limpia'!E94</f>
        <v>2021</v>
      </c>
      <c r="K335" s="357" t="str">
        <f>+'1_MdR_Limpia'!F94</f>
        <v>-</v>
      </c>
      <c r="L335" s="357" t="str">
        <f>+'1_MdR_Limpia'!G94</f>
        <v>-</v>
      </c>
      <c r="M335" s="357">
        <f>+'1_MdR_Limpia'!I94</f>
        <v>1</v>
      </c>
      <c r="N335" s="357" t="str">
        <f>+'1_MdR_Limpia'!J94</f>
        <v>-</v>
      </c>
      <c r="O335" s="357" t="str">
        <f>+'1_MdR_Limpia'!J94</f>
        <v>-</v>
      </c>
      <c r="P335" s="357">
        <f>+'1_MdR_Limpia'!L94</f>
        <v>2</v>
      </c>
      <c r="Q335" s="96"/>
      <c r="R335" s="854"/>
      <c r="S335" s="358"/>
      <c r="T335" s="358"/>
      <c r="U335" s="358"/>
      <c r="V335" s="358"/>
      <c r="W335" s="106"/>
      <c r="X335" s="96"/>
      <c r="Y335" s="106"/>
      <c r="Z335" s="172"/>
      <c r="AA335" s="172"/>
      <c r="AB335" s="171"/>
      <c r="AC335" s="176"/>
      <c r="AD335" s="176">
        <v>414000</v>
      </c>
      <c r="AE335" s="686"/>
      <c r="AF335" s="96"/>
      <c r="AG335" s="176">
        <f t="shared" si="19"/>
        <v>414000</v>
      </c>
      <c r="AH335" s="176">
        <f>SUM(AH336:AH340)</f>
        <v>0</v>
      </c>
      <c r="AI335" s="176">
        <f t="shared" si="14"/>
        <v>414000</v>
      </c>
      <c r="AJ335" s="865"/>
      <c r="AK335" s="980">
        <f>SUM(AK336:AK340)</f>
        <v>0</v>
      </c>
      <c r="AL335" s="980">
        <f>SUM(AL336:AL340)</f>
        <v>90000</v>
      </c>
      <c r="AM335" s="980">
        <f>SUM(AM336:AM340)</f>
        <v>300000</v>
      </c>
      <c r="AN335" s="981">
        <f>SUM(AN336:AN340)</f>
        <v>0</v>
      </c>
      <c r="AO335" s="979">
        <f>SUM(AO336:AO340)</f>
        <v>0</v>
      </c>
      <c r="AP335" s="979">
        <f t="shared" si="13"/>
        <v>390000</v>
      </c>
      <c r="AR335" s="1027"/>
    </row>
    <row r="336" spans="1:52" s="108" customFormat="1" ht="14" hidden="1" customHeight="1" outlineLevel="4">
      <c r="A336" s="580"/>
      <c r="B336" s="107" t="s">
        <v>2617</v>
      </c>
      <c r="C336" s="1645"/>
      <c r="D336" s="703" t="s">
        <v>3544</v>
      </c>
      <c r="E336" s="1210"/>
      <c r="F336" s="103"/>
      <c r="G336" s="97"/>
      <c r="H336" s="363"/>
      <c r="I336" s="364"/>
      <c r="J336" s="364"/>
      <c r="K336" s="364"/>
      <c r="L336" s="364"/>
      <c r="M336" s="364"/>
      <c r="N336" s="364"/>
      <c r="O336" s="364"/>
      <c r="P336" s="364"/>
      <c r="Q336" s="97"/>
      <c r="R336" s="3897" t="str">
        <f>+'9.3_PA_Det'!$E$122</f>
        <v>Selección Basada en Calidad y Costo</v>
      </c>
      <c r="S336" s="3897" t="s">
        <v>1075</v>
      </c>
      <c r="T336" s="3897" t="s">
        <v>1667</v>
      </c>
      <c r="U336" s="3897">
        <f>+'9.3_PA_Det'!$F$122</f>
        <v>42</v>
      </c>
      <c r="V336" s="852"/>
      <c r="W336" s="3918"/>
      <c r="X336" s="97"/>
      <c r="Y336" s="711" t="s">
        <v>1179</v>
      </c>
      <c r="Z336" s="712">
        <v>1</v>
      </c>
      <c r="AA336" s="179"/>
      <c r="AB336" s="180"/>
      <c r="AC336" s="1048">
        <v>20000</v>
      </c>
      <c r="AD336" s="1048">
        <f t="shared" si="16"/>
        <v>20000</v>
      </c>
      <c r="AE336" s="1059"/>
      <c r="AF336" s="97"/>
      <c r="AG336" s="1048">
        <f t="shared" si="19"/>
        <v>20000</v>
      </c>
      <c r="AH336" s="1048">
        <v>0</v>
      </c>
      <c r="AI336" s="355">
        <f t="shared" si="14"/>
        <v>20000</v>
      </c>
      <c r="AJ336" s="867"/>
      <c r="AK336" s="1015"/>
      <c r="AL336" s="1015">
        <f>+AG336</f>
        <v>20000</v>
      </c>
      <c r="AM336" s="1015"/>
      <c r="AN336" s="1031"/>
      <c r="AO336" s="1044"/>
      <c r="AP336" s="1044">
        <f t="shared" si="13"/>
        <v>20000</v>
      </c>
      <c r="AR336" s="1027"/>
    </row>
    <row r="337" spans="1:52" s="108" customFormat="1" ht="14.5" hidden="1" customHeight="1" outlineLevel="4">
      <c r="A337" s="580"/>
      <c r="B337" s="107" t="s">
        <v>2618</v>
      </c>
      <c r="C337" s="1645"/>
      <c r="D337" s="703" t="s">
        <v>3545</v>
      </c>
      <c r="E337" s="1210"/>
      <c r="F337" s="103"/>
      <c r="G337" s="97"/>
      <c r="H337" s="363"/>
      <c r="I337" s="364"/>
      <c r="J337" s="364"/>
      <c r="K337" s="364"/>
      <c r="L337" s="364"/>
      <c r="M337" s="364"/>
      <c r="N337" s="364"/>
      <c r="O337" s="364"/>
      <c r="P337" s="364"/>
      <c r="Q337" s="97"/>
      <c r="R337" s="3898"/>
      <c r="S337" s="3898"/>
      <c r="T337" s="3898"/>
      <c r="U337" s="3898"/>
      <c r="V337" s="1190"/>
      <c r="W337" s="3919"/>
      <c r="X337" s="97"/>
      <c r="Y337" s="711" t="s">
        <v>1179</v>
      </c>
      <c r="Z337" s="712">
        <v>1</v>
      </c>
      <c r="AA337" s="179"/>
      <c r="AB337" s="180"/>
      <c r="AC337" s="1048">
        <v>20000</v>
      </c>
      <c r="AD337" s="1048">
        <f t="shared" si="16"/>
        <v>20000</v>
      </c>
      <c r="AE337" s="1059"/>
      <c r="AF337" s="97"/>
      <c r="AG337" s="1048">
        <f t="shared" si="19"/>
        <v>20000</v>
      </c>
      <c r="AH337" s="1048">
        <v>0</v>
      </c>
      <c r="AI337" s="355">
        <f t="shared" si="14"/>
        <v>20000</v>
      </c>
      <c r="AJ337" s="867"/>
      <c r="AK337" s="1015"/>
      <c r="AL337" s="1015">
        <f>+AG337</f>
        <v>20000</v>
      </c>
      <c r="AM337" s="1015"/>
      <c r="AN337" s="1031"/>
      <c r="AO337" s="1044"/>
      <c r="AP337" s="1044">
        <f t="shared" si="13"/>
        <v>20000</v>
      </c>
      <c r="AR337" s="1027"/>
    </row>
    <row r="338" spans="1:52" s="108" customFormat="1" ht="27.5" hidden="1" customHeight="1" outlineLevel="4">
      <c r="A338" s="580"/>
      <c r="B338" s="107" t="s">
        <v>2619</v>
      </c>
      <c r="C338" s="1645"/>
      <c r="D338" s="703" t="s">
        <v>3546</v>
      </c>
      <c r="E338" s="1210"/>
      <c r="F338" s="103"/>
      <c r="G338" s="97"/>
      <c r="H338" s="363"/>
      <c r="I338" s="364"/>
      <c r="J338" s="364"/>
      <c r="K338" s="364"/>
      <c r="L338" s="364"/>
      <c r="M338" s="364"/>
      <c r="N338" s="364"/>
      <c r="O338" s="364"/>
      <c r="P338" s="364"/>
      <c r="Q338" s="97"/>
      <c r="R338" s="3898"/>
      <c r="S338" s="3898"/>
      <c r="T338" s="3898"/>
      <c r="U338" s="3898"/>
      <c r="V338" s="1190"/>
      <c r="W338" s="3919"/>
      <c r="X338" s="97"/>
      <c r="Y338" s="711" t="s">
        <v>1179</v>
      </c>
      <c r="Z338" s="712">
        <v>1</v>
      </c>
      <c r="AA338" s="179"/>
      <c r="AB338" s="180"/>
      <c r="AC338" s="1048">
        <v>50000</v>
      </c>
      <c r="AD338" s="1048">
        <f t="shared" si="16"/>
        <v>50000</v>
      </c>
      <c r="AE338" s="1059"/>
      <c r="AF338" s="97"/>
      <c r="AG338" s="1048">
        <f t="shared" si="19"/>
        <v>50000</v>
      </c>
      <c r="AH338" s="1048">
        <v>0</v>
      </c>
      <c r="AI338" s="355">
        <f t="shared" si="14"/>
        <v>50000</v>
      </c>
      <c r="AJ338" s="867"/>
      <c r="AK338" s="1015"/>
      <c r="AL338" s="1015">
        <f>+AG338</f>
        <v>50000</v>
      </c>
      <c r="AM338" s="1015"/>
      <c r="AN338" s="1031"/>
      <c r="AO338" s="1044"/>
      <c r="AP338" s="1044">
        <f t="shared" si="13"/>
        <v>50000</v>
      </c>
      <c r="AR338" s="1027"/>
    </row>
    <row r="339" spans="1:52" s="108" customFormat="1" ht="14.5" hidden="1" customHeight="1" outlineLevel="4">
      <c r="A339" s="580"/>
      <c r="B339" s="107" t="s">
        <v>2620</v>
      </c>
      <c r="C339" s="1645"/>
      <c r="D339" s="703" t="s">
        <v>3547</v>
      </c>
      <c r="E339" s="1210"/>
      <c r="F339" s="103"/>
      <c r="G339" s="97"/>
      <c r="H339" s="363"/>
      <c r="I339" s="364"/>
      <c r="J339" s="364"/>
      <c r="K339" s="364"/>
      <c r="L339" s="364"/>
      <c r="M339" s="364"/>
      <c r="N339" s="364"/>
      <c r="O339" s="364"/>
      <c r="P339" s="364"/>
      <c r="Q339" s="97"/>
      <c r="R339" s="3898"/>
      <c r="S339" s="3898"/>
      <c r="T339" s="3898"/>
      <c r="U339" s="3898"/>
      <c r="V339" s="1190"/>
      <c r="W339" s="3919"/>
      <c r="X339" s="97"/>
      <c r="Y339" s="711" t="s">
        <v>1179</v>
      </c>
      <c r="Z339" s="712">
        <v>1</v>
      </c>
      <c r="AA339" s="179"/>
      <c r="AB339" s="180"/>
      <c r="AC339" s="1048">
        <v>200000</v>
      </c>
      <c r="AD339" s="1048">
        <f t="shared" si="16"/>
        <v>200000</v>
      </c>
      <c r="AE339" s="1059"/>
      <c r="AF339" s="97"/>
      <c r="AG339" s="1048">
        <f t="shared" si="19"/>
        <v>200000</v>
      </c>
      <c r="AH339" s="1048">
        <v>0</v>
      </c>
      <c r="AI339" s="355">
        <f t="shared" si="14"/>
        <v>200000</v>
      </c>
      <c r="AJ339" s="867"/>
      <c r="AK339" s="1015"/>
      <c r="AL339" s="1015"/>
      <c r="AM339" s="1015">
        <f>+AG339</f>
        <v>200000</v>
      </c>
      <c r="AN339" s="1031"/>
      <c r="AO339" s="1044"/>
      <c r="AP339" s="1044">
        <f t="shared" si="13"/>
        <v>200000</v>
      </c>
      <c r="AR339" s="1027"/>
    </row>
    <row r="340" spans="1:52" s="108" customFormat="1" ht="27.5" hidden="1" customHeight="1" outlineLevel="4">
      <c r="A340" s="580"/>
      <c r="B340" s="107" t="s">
        <v>3548</v>
      </c>
      <c r="C340" s="1645"/>
      <c r="D340" s="703" t="s">
        <v>3549</v>
      </c>
      <c r="E340" s="1210"/>
      <c r="F340" s="103"/>
      <c r="G340" s="97"/>
      <c r="H340" s="363"/>
      <c r="I340" s="364"/>
      <c r="J340" s="364"/>
      <c r="K340" s="364"/>
      <c r="L340" s="364"/>
      <c r="M340" s="364"/>
      <c r="N340" s="364"/>
      <c r="O340" s="364"/>
      <c r="P340" s="364"/>
      <c r="Q340" s="97"/>
      <c r="R340" s="3899"/>
      <c r="S340" s="3899"/>
      <c r="T340" s="3899"/>
      <c r="U340" s="3899"/>
      <c r="V340" s="951"/>
      <c r="W340" s="3920"/>
      <c r="X340" s="97"/>
      <c r="Y340" s="711" t="s">
        <v>1179</v>
      </c>
      <c r="Z340" s="712">
        <v>1</v>
      </c>
      <c r="AA340" s="179"/>
      <c r="AB340" s="180"/>
      <c r="AC340" s="1048">
        <v>100000</v>
      </c>
      <c r="AD340" s="1048">
        <f t="shared" si="16"/>
        <v>100000</v>
      </c>
      <c r="AE340" s="1059"/>
      <c r="AF340" s="97"/>
      <c r="AG340" s="1048">
        <f t="shared" si="19"/>
        <v>100000</v>
      </c>
      <c r="AH340" s="1048">
        <v>0</v>
      </c>
      <c r="AI340" s="355">
        <f t="shared" si="14"/>
        <v>100000</v>
      </c>
      <c r="AJ340" s="867"/>
      <c r="AK340" s="1015"/>
      <c r="AL340" s="1015"/>
      <c r="AM340" s="1015">
        <f>+AG340</f>
        <v>100000</v>
      </c>
      <c r="AN340" s="1031"/>
      <c r="AO340" s="1044"/>
      <c r="AP340" s="1044">
        <f t="shared" si="13"/>
        <v>100000</v>
      </c>
      <c r="AR340" s="1027"/>
    </row>
    <row r="341" spans="1:52" s="878" customFormat="1" ht="55.25" customHeight="1" outlineLevel="2" collapsed="1">
      <c r="A341" s="172"/>
      <c r="B341" s="171" t="s">
        <v>565</v>
      </c>
      <c r="C341" s="1642"/>
      <c r="D341" s="1652" t="s">
        <v>3550</v>
      </c>
      <c r="E341" s="1647"/>
      <c r="F341" s="106" t="s">
        <v>1556</v>
      </c>
      <c r="G341" s="96"/>
      <c r="H341" s="357" t="str">
        <f>+'1_MdR_Limpia'!C95</f>
        <v>Plataforma</v>
      </c>
      <c r="I341" s="357">
        <f>+'1_MdR_Limpia'!D95</f>
        <v>0</v>
      </c>
      <c r="J341" s="357">
        <f>+'1_MdR_Limpia'!E95</f>
        <v>2021</v>
      </c>
      <c r="K341" s="357" t="str">
        <f>+'1_MdR_Limpia'!F95</f>
        <v>-</v>
      </c>
      <c r="L341" s="357" t="str">
        <f>+'1_MdR_Limpia'!G95</f>
        <v>-</v>
      </c>
      <c r="M341" s="357" t="str">
        <f>+'1_MdR_Limpia'!H95</f>
        <v>-</v>
      </c>
      <c r="N341" s="357">
        <f>+'1_MdR_Limpia'!I95</f>
        <v>1</v>
      </c>
      <c r="O341" s="357" t="str">
        <f>+'1_MdR_Limpia'!J95</f>
        <v>-</v>
      </c>
      <c r="P341" s="357">
        <f>+'1_MdR_Limpia'!L95</f>
        <v>1</v>
      </c>
      <c r="Q341" s="96"/>
      <c r="R341" s="854"/>
      <c r="S341" s="358"/>
      <c r="T341" s="358"/>
      <c r="U341" s="358"/>
      <c r="V341" s="358"/>
      <c r="W341" s="106"/>
      <c r="X341" s="96"/>
      <c r="Y341" s="106"/>
      <c r="Z341" s="172"/>
      <c r="AA341" s="172"/>
      <c r="AB341" s="171"/>
      <c r="AC341" s="176"/>
      <c r="AD341" s="176">
        <v>240000</v>
      </c>
      <c r="AE341" s="686"/>
      <c r="AF341" s="96"/>
      <c r="AG341" s="176">
        <f t="shared" si="19"/>
        <v>240000</v>
      </c>
      <c r="AH341" s="176">
        <f>+AH342</f>
        <v>0</v>
      </c>
      <c r="AI341" s="176">
        <f t="shared" si="14"/>
        <v>240000</v>
      </c>
      <c r="AJ341" s="865"/>
      <c r="AK341" s="980">
        <f>+AK342</f>
        <v>0</v>
      </c>
      <c r="AL341" s="980">
        <f>+AL342</f>
        <v>0</v>
      </c>
      <c r="AM341" s="980">
        <f>+AM342</f>
        <v>300000</v>
      </c>
      <c r="AN341" s="981">
        <f>+AN342</f>
        <v>0</v>
      </c>
      <c r="AO341" s="979">
        <f>+AO342</f>
        <v>0</v>
      </c>
      <c r="AP341" s="979">
        <f t="shared" si="13"/>
        <v>300000</v>
      </c>
      <c r="AQ341" s="153"/>
      <c r="AR341" s="1027"/>
      <c r="AS341" s="153"/>
      <c r="AT341" s="153"/>
      <c r="AU341" s="153"/>
      <c r="AV341" s="153"/>
      <c r="AW341" s="153"/>
      <c r="AX341" s="153"/>
      <c r="AY341" s="153"/>
      <c r="AZ341" s="153"/>
    </row>
    <row r="342" spans="1:52" ht="14" hidden="1" customHeight="1" outlineLevel="3">
      <c r="A342" s="159"/>
      <c r="B342" s="702" t="s">
        <v>3551</v>
      </c>
      <c r="C342" s="702"/>
      <c r="D342" s="703" t="s">
        <v>699</v>
      </c>
      <c r="E342" s="703"/>
      <c r="F342" s="177"/>
      <c r="G342" s="97"/>
      <c r="H342" s="363"/>
      <c r="I342" s="363"/>
      <c r="J342" s="367"/>
      <c r="K342" s="367"/>
      <c r="L342" s="367"/>
      <c r="M342" s="367"/>
      <c r="N342" s="367"/>
      <c r="O342" s="367"/>
      <c r="P342" s="367"/>
      <c r="Q342" s="97"/>
      <c r="R342" s="3897" t="str">
        <f>+'9.3_PA_Det'!$E$127</f>
        <v>Selección Basada en Calidad y Costo</v>
      </c>
      <c r="S342" s="3897" t="s">
        <v>1075</v>
      </c>
      <c r="T342" s="3897" t="s">
        <v>1667</v>
      </c>
      <c r="U342" s="3897">
        <f>+'9.3_PA_Det'!$F$127</f>
        <v>43</v>
      </c>
      <c r="V342" s="852"/>
      <c r="W342" s="3918"/>
      <c r="X342" s="97"/>
      <c r="Y342" s="3903" t="s">
        <v>1179</v>
      </c>
      <c r="Z342" s="3841">
        <v>1</v>
      </c>
      <c r="AA342" s="3841"/>
      <c r="AB342" s="3841"/>
      <c r="AC342" s="4599">
        <v>300000</v>
      </c>
      <c r="AD342" s="4599">
        <f>+Z342*AC342</f>
        <v>300000</v>
      </c>
      <c r="AE342" s="3990"/>
      <c r="AF342" s="97"/>
      <c r="AG342" s="4599">
        <f t="shared" si="19"/>
        <v>300000</v>
      </c>
      <c r="AH342" s="4599">
        <f>SUM(AH343:AH343)</f>
        <v>0</v>
      </c>
      <c r="AI342" s="4599">
        <f t="shared" si="14"/>
        <v>300000</v>
      </c>
      <c r="AJ342" s="867"/>
      <c r="AK342" s="4595"/>
      <c r="AL342" s="4595"/>
      <c r="AM342" s="4595">
        <f>+AG342</f>
        <v>300000</v>
      </c>
      <c r="AN342" s="4595"/>
      <c r="AO342" s="4595"/>
      <c r="AP342" s="4595">
        <f t="shared" si="13"/>
        <v>300000</v>
      </c>
      <c r="AQ342" s="108"/>
      <c r="AR342" s="1027"/>
      <c r="AS342" s="108"/>
      <c r="AT342" s="108"/>
      <c r="AU342" s="108"/>
      <c r="AV342" s="108"/>
      <c r="AW342" s="108"/>
      <c r="AX342" s="108"/>
      <c r="AY342" s="108"/>
      <c r="AZ342" s="108"/>
    </row>
    <row r="343" spans="1:52" ht="14" hidden="1" customHeight="1" outlineLevel="3">
      <c r="A343" s="159"/>
      <c r="B343" s="702" t="s">
        <v>3552</v>
      </c>
      <c r="C343" s="702"/>
      <c r="D343" s="703" t="s">
        <v>3553</v>
      </c>
      <c r="E343" s="703"/>
      <c r="F343" s="177"/>
      <c r="G343" s="97"/>
      <c r="H343" s="363"/>
      <c r="I343" s="363"/>
      <c r="J343" s="367"/>
      <c r="K343" s="367"/>
      <c r="L343" s="367"/>
      <c r="M343" s="367"/>
      <c r="N343" s="367"/>
      <c r="O343" s="367"/>
      <c r="P343" s="367"/>
      <c r="Q343" s="97"/>
      <c r="R343" s="3899"/>
      <c r="S343" s="3899"/>
      <c r="T343" s="3899"/>
      <c r="U343" s="3899"/>
      <c r="V343" s="951"/>
      <c r="W343" s="3920"/>
      <c r="X343" s="97"/>
      <c r="Y343" s="3934"/>
      <c r="Z343" s="3843"/>
      <c r="AA343" s="3843"/>
      <c r="AB343" s="3843"/>
      <c r="AC343" s="4600"/>
      <c r="AD343" s="4600"/>
      <c r="AE343" s="4603"/>
      <c r="AF343" s="97"/>
      <c r="AG343" s="4600">
        <f t="shared" si="19"/>
        <v>0</v>
      </c>
      <c r="AH343" s="4600"/>
      <c r="AI343" s="4600">
        <f t="shared" si="14"/>
        <v>0</v>
      </c>
      <c r="AJ343" s="867"/>
      <c r="AK343" s="4596"/>
      <c r="AL343" s="4596"/>
      <c r="AM343" s="4596"/>
      <c r="AN343" s="4596"/>
      <c r="AO343" s="4596"/>
      <c r="AP343" s="4596">
        <f t="shared" si="13"/>
        <v>0</v>
      </c>
      <c r="AQ343" s="108"/>
      <c r="AR343" s="1027"/>
      <c r="AS343" s="108"/>
      <c r="AT343" s="108"/>
      <c r="AU343" s="108"/>
      <c r="AV343" s="108"/>
      <c r="AW343" s="108"/>
      <c r="AX343" s="108"/>
      <c r="AY343" s="108"/>
      <c r="AZ343" s="108"/>
    </row>
    <row r="344" spans="1:52" s="883" customFormat="1" ht="14" customHeight="1" outlineLevel="2" collapsed="1">
      <c r="A344" s="184"/>
      <c r="B344" s="441"/>
      <c r="C344" s="441"/>
      <c r="D344" s="941"/>
      <c r="E344" s="941"/>
      <c r="F344" s="442"/>
      <c r="G344" s="96"/>
      <c r="H344" s="444"/>
      <c r="I344" s="444"/>
      <c r="J344" s="445"/>
      <c r="K344" s="445"/>
      <c r="L344" s="445"/>
      <c r="M344" s="445"/>
      <c r="N344" s="445"/>
      <c r="O344" s="445"/>
      <c r="P344" s="445"/>
      <c r="Q344" s="443"/>
      <c r="R344" s="362"/>
      <c r="S344" s="858"/>
      <c r="T344" s="858"/>
      <c r="U344" s="858"/>
      <c r="V344" s="858"/>
      <c r="W344" s="442"/>
      <c r="X344" s="443"/>
      <c r="Y344" s="446"/>
      <c r="Z344" s="447"/>
      <c r="AA344" s="447"/>
      <c r="AB344" s="448"/>
      <c r="AC344" s="440"/>
      <c r="AD344" s="440"/>
      <c r="AE344" s="694"/>
      <c r="AF344" s="443"/>
      <c r="AG344" s="440"/>
      <c r="AH344" s="440"/>
      <c r="AI344" s="440">
        <f t="shared" si="14"/>
        <v>0</v>
      </c>
      <c r="AJ344" s="870"/>
      <c r="AK344" s="1011"/>
      <c r="AL344" s="1011"/>
      <c r="AM344" s="1011"/>
      <c r="AN344" s="1012"/>
      <c r="AO344" s="1013"/>
      <c r="AP344" s="1013">
        <f t="shared" si="13"/>
        <v>0</v>
      </c>
      <c r="AQ344" s="153"/>
      <c r="AR344" s="1027"/>
    </row>
    <row r="345" spans="1:52" s="153" customFormat="1" ht="30" outlineLevel="1">
      <c r="A345" s="578"/>
      <c r="B345" s="428" t="s">
        <v>566</v>
      </c>
      <c r="C345" s="428"/>
      <c r="D345" s="545" t="s">
        <v>49</v>
      </c>
      <c r="E345" s="545"/>
      <c r="F345" s="427"/>
      <c r="G345" s="96"/>
      <c r="H345" s="429"/>
      <c r="I345" s="425"/>
      <c r="J345" s="430"/>
      <c r="K345" s="430"/>
      <c r="L345" s="430"/>
      <c r="M345" s="430"/>
      <c r="N345" s="430"/>
      <c r="O345" s="430"/>
      <c r="P345" s="430"/>
      <c r="Q345" s="96"/>
      <c r="R345" s="850"/>
      <c r="S345" s="850"/>
      <c r="T345" s="850"/>
      <c r="U345" s="850"/>
      <c r="V345" s="850"/>
      <c r="W345" s="431"/>
      <c r="X345" s="96"/>
      <c r="Y345" s="426"/>
      <c r="Z345" s="425"/>
      <c r="AA345" s="425"/>
      <c r="AB345" s="432"/>
      <c r="AC345" s="433"/>
      <c r="AD345" s="433">
        <f>+AD346+AD350</f>
        <v>990000</v>
      </c>
      <c r="AE345" s="685"/>
      <c r="AF345" s="96"/>
      <c r="AG345" s="433">
        <f>+AG346+AG350</f>
        <v>990000</v>
      </c>
      <c r="AH345" s="433">
        <f>+AH346+AH350</f>
        <v>0</v>
      </c>
      <c r="AI345" s="433">
        <f t="shared" si="14"/>
        <v>990000</v>
      </c>
      <c r="AJ345" s="865"/>
      <c r="AK345" s="977">
        <f>+AK346+AK350</f>
        <v>0</v>
      </c>
      <c r="AL345" s="977">
        <f>+AL346+AL350</f>
        <v>550000</v>
      </c>
      <c r="AM345" s="977">
        <f>+AM346+AM350</f>
        <v>750000</v>
      </c>
      <c r="AN345" s="978">
        <f>+AN346+AN350</f>
        <v>0</v>
      </c>
      <c r="AO345" s="976">
        <f>+AO346+AO350</f>
        <v>0</v>
      </c>
      <c r="AP345" s="976">
        <f t="shared" si="13"/>
        <v>1300000</v>
      </c>
      <c r="AR345" s="1027"/>
    </row>
    <row r="346" spans="1:52" s="878" customFormat="1" ht="38.5" customHeight="1" outlineLevel="2">
      <c r="A346" s="172"/>
      <c r="B346" s="171" t="s">
        <v>567</v>
      </c>
      <c r="C346" s="171"/>
      <c r="D346" s="1652" t="s">
        <v>51</v>
      </c>
      <c r="E346" s="538"/>
      <c r="F346" s="106" t="s">
        <v>1556</v>
      </c>
      <c r="G346" s="96"/>
      <c r="H346" s="357" t="str">
        <f>+'1_MdR_Limpia'!C97</f>
        <v>Etapa</v>
      </c>
      <c r="I346" s="357">
        <f>+'1_MdR_Limpia'!D97</f>
        <v>0</v>
      </c>
      <c r="J346" s="357">
        <f>+'1_MdR_Limpia'!E97</f>
        <v>2021</v>
      </c>
      <c r="K346" s="357" t="str">
        <f>+'1_MdR_Limpia'!F97</f>
        <v>-</v>
      </c>
      <c r="L346" s="357" t="str">
        <f>+'1_MdR_Limpia'!G97</f>
        <v>-</v>
      </c>
      <c r="M346" s="357">
        <f>+'1_MdR_Limpia'!H97</f>
        <v>1</v>
      </c>
      <c r="N346" s="357" t="str">
        <f>+'1_MdR_Limpia'!I97</f>
        <v>-</v>
      </c>
      <c r="O346" s="357">
        <f>+'1_MdR_Limpia'!J97</f>
        <v>1</v>
      </c>
      <c r="P346" s="357">
        <f>+'1_MdR_Limpia'!L97</f>
        <v>2</v>
      </c>
      <c r="Q346" s="96"/>
      <c r="R346" s="854"/>
      <c r="S346" s="358"/>
      <c r="T346" s="358"/>
      <c r="U346" s="358"/>
      <c r="V346" s="358"/>
      <c r="W346" s="106"/>
      <c r="X346" s="96"/>
      <c r="Y346" s="106"/>
      <c r="Z346" s="172"/>
      <c r="AA346" s="172"/>
      <c r="AB346" s="171"/>
      <c r="AC346" s="176"/>
      <c r="AD346" s="176">
        <v>500000</v>
      </c>
      <c r="AE346" s="686"/>
      <c r="AF346" s="96"/>
      <c r="AG346" s="176">
        <f>+AD346</f>
        <v>500000</v>
      </c>
      <c r="AH346" s="176">
        <f>+AH347</f>
        <v>0</v>
      </c>
      <c r="AI346" s="176">
        <f t="shared" si="14"/>
        <v>500000</v>
      </c>
      <c r="AJ346" s="865"/>
      <c r="AK346" s="980">
        <f>+AK347</f>
        <v>0</v>
      </c>
      <c r="AL346" s="980">
        <f>+AL347</f>
        <v>200000</v>
      </c>
      <c r="AM346" s="980">
        <f>+AM347</f>
        <v>300000</v>
      </c>
      <c r="AN346" s="981">
        <f>+AN347</f>
        <v>0</v>
      </c>
      <c r="AO346" s="979">
        <f>+AO347</f>
        <v>0</v>
      </c>
      <c r="AP346" s="979">
        <f t="shared" si="13"/>
        <v>500000</v>
      </c>
      <c r="AQ346" s="153"/>
      <c r="AR346" s="1027"/>
      <c r="AS346" s="153"/>
      <c r="AT346" s="153"/>
      <c r="AU346" s="153"/>
      <c r="AV346" s="153"/>
      <c r="AW346" s="153"/>
      <c r="AX346" s="153"/>
      <c r="AY346" s="153"/>
      <c r="AZ346" s="153"/>
    </row>
    <row r="347" spans="1:52" ht="14" hidden="1" customHeight="1" outlineLevel="4">
      <c r="A347" s="159"/>
      <c r="B347" s="702" t="s">
        <v>995</v>
      </c>
      <c r="C347" s="702"/>
      <c r="D347" s="703" t="s">
        <v>3554</v>
      </c>
      <c r="E347" s="703"/>
      <c r="F347" s="177"/>
      <c r="G347" s="97"/>
      <c r="H347" s="363"/>
      <c r="I347" s="363"/>
      <c r="J347" s="367"/>
      <c r="K347" s="367"/>
      <c r="L347" s="367"/>
      <c r="M347" s="367"/>
      <c r="N347" s="367"/>
      <c r="O347" s="367"/>
      <c r="P347" s="367"/>
      <c r="Q347" s="97"/>
      <c r="R347" s="3897" t="str">
        <f>+'9.3_PA_Det'!$E$129</f>
        <v>Selección Basada en Calidad y Costo</v>
      </c>
      <c r="S347" s="3897" t="s">
        <v>1075</v>
      </c>
      <c r="T347" s="3897" t="s">
        <v>1667</v>
      </c>
      <c r="U347" s="3897">
        <f>+'9.3_PA_Det'!$F$129</f>
        <v>44</v>
      </c>
      <c r="V347" s="852"/>
      <c r="W347" s="3918"/>
      <c r="X347" s="97"/>
      <c r="Y347" s="3903" t="s">
        <v>1179</v>
      </c>
      <c r="Z347" s="3841">
        <v>1</v>
      </c>
      <c r="AA347" s="3841"/>
      <c r="AB347" s="3841"/>
      <c r="AC347" s="4599">
        <v>500000</v>
      </c>
      <c r="AD347" s="4599">
        <f>+Z347*AC347</f>
        <v>500000</v>
      </c>
      <c r="AE347" s="4601" t="s">
        <v>3555</v>
      </c>
      <c r="AF347" s="97"/>
      <c r="AG347" s="4599">
        <f>+AD347</f>
        <v>500000</v>
      </c>
      <c r="AH347" s="4599">
        <f>SUM(AH348:AH348)</f>
        <v>0</v>
      </c>
      <c r="AI347" s="4599">
        <f t="shared" si="14"/>
        <v>500000</v>
      </c>
      <c r="AJ347" s="867"/>
      <c r="AK347" s="4595"/>
      <c r="AL347" s="4595">
        <f>+AG347*40%</f>
        <v>200000</v>
      </c>
      <c r="AM347" s="4595">
        <f>+AG347*60%</f>
        <v>300000</v>
      </c>
      <c r="AN347" s="4595"/>
      <c r="AO347" s="4595"/>
      <c r="AP347" s="4595">
        <f t="shared" si="13"/>
        <v>500000</v>
      </c>
      <c r="AQ347" s="108"/>
      <c r="AR347" s="1027"/>
      <c r="AS347" s="108"/>
      <c r="AT347" s="108"/>
      <c r="AU347" s="108"/>
      <c r="AV347" s="108"/>
      <c r="AW347" s="108"/>
      <c r="AX347" s="108"/>
      <c r="AY347" s="108"/>
      <c r="AZ347" s="108"/>
    </row>
    <row r="348" spans="1:52" ht="14" hidden="1" customHeight="1" outlineLevel="4">
      <c r="A348" s="159"/>
      <c r="B348" s="702" t="s">
        <v>1004</v>
      </c>
      <c r="C348" s="702"/>
      <c r="D348" s="703" t="s">
        <v>3553</v>
      </c>
      <c r="E348" s="703"/>
      <c r="F348" s="177"/>
      <c r="G348" s="97"/>
      <c r="H348" s="363"/>
      <c r="I348" s="363"/>
      <c r="J348" s="367"/>
      <c r="K348" s="367"/>
      <c r="L348" s="367"/>
      <c r="M348" s="367"/>
      <c r="N348" s="367"/>
      <c r="O348" s="367"/>
      <c r="P348" s="367"/>
      <c r="Q348" s="97"/>
      <c r="R348" s="3899"/>
      <c r="S348" s="3899"/>
      <c r="T348" s="3899"/>
      <c r="U348" s="3899"/>
      <c r="V348" s="951"/>
      <c r="W348" s="3920"/>
      <c r="X348" s="97"/>
      <c r="Y348" s="3934"/>
      <c r="Z348" s="3843"/>
      <c r="AA348" s="3843"/>
      <c r="AB348" s="3843"/>
      <c r="AC348" s="4600"/>
      <c r="AD348" s="4600">
        <f>Z348*AC348</f>
        <v>0</v>
      </c>
      <c r="AE348" s="4602"/>
      <c r="AF348" s="97"/>
      <c r="AG348" s="4600">
        <f>+AD348</f>
        <v>0</v>
      </c>
      <c r="AH348" s="4600"/>
      <c r="AI348" s="4600">
        <f t="shared" si="14"/>
        <v>0</v>
      </c>
      <c r="AJ348" s="867"/>
      <c r="AK348" s="4596"/>
      <c r="AL348" s="4596"/>
      <c r="AM348" s="4596"/>
      <c r="AN348" s="4596"/>
      <c r="AO348" s="4596"/>
      <c r="AP348" s="4596">
        <f t="shared" si="13"/>
        <v>0</v>
      </c>
      <c r="AQ348" s="108"/>
      <c r="AR348" s="1027"/>
      <c r="AS348" s="108"/>
      <c r="AT348" s="108"/>
      <c r="AU348" s="108"/>
      <c r="AV348" s="108"/>
      <c r="AW348" s="108"/>
      <c r="AX348" s="108"/>
      <c r="AY348" s="108"/>
      <c r="AZ348" s="108"/>
    </row>
    <row r="349" spans="1:52" ht="14" hidden="1" customHeight="1" outlineLevel="4">
      <c r="A349" s="159"/>
      <c r="B349" s="702"/>
      <c r="C349" s="702"/>
      <c r="D349" s="533"/>
      <c r="E349" s="533"/>
      <c r="F349" s="177"/>
      <c r="G349" s="97"/>
      <c r="H349" s="363"/>
      <c r="I349" s="363"/>
      <c r="J349" s="367"/>
      <c r="K349" s="367"/>
      <c r="L349" s="367"/>
      <c r="M349" s="367"/>
      <c r="N349" s="367"/>
      <c r="O349" s="367"/>
      <c r="P349" s="367"/>
      <c r="Q349" s="97"/>
      <c r="R349" s="364"/>
      <c r="S349" s="364"/>
      <c r="T349" s="364"/>
      <c r="U349" s="364"/>
      <c r="V349" s="364"/>
      <c r="W349" s="181"/>
      <c r="X349" s="97"/>
      <c r="Y349" s="762"/>
      <c r="Z349" s="764"/>
      <c r="AA349" s="764"/>
      <c r="AB349" s="764"/>
      <c r="AC349" s="760"/>
      <c r="AD349" s="760"/>
      <c r="AE349" s="761"/>
      <c r="AF349" s="97"/>
      <c r="AG349" s="1032"/>
      <c r="AH349" s="1048"/>
      <c r="AI349" s="1032">
        <f t="shared" si="14"/>
        <v>0</v>
      </c>
      <c r="AJ349" s="867"/>
      <c r="AK349" s="1005"/>
      <c r="AL349" s="1005"/>
      <c r="AM349" s="1005"/>
      <c r="AN349" s="1005"/>
      <c r="AO349" s="1005"/>
      <c r="AP349" s="1005">
        <f t="shared" si="13"/>
        <v>0</v>
      </c>
      <c r="AQ349" s="108"/>
      <c r="AR349" s="1027"/>
      <c r="AS349" s="108"/>
      <c r="AT349" s="108"/>
      <c r="AU349" s="108"/>
      <c r="AV349" s="108"/>
      <c r="AW349" s="108"/>
      <c r="AX349" s="108"/>
      <c r="AY349" s="108"/>
      <c r="AZ349" s="108"/>
    </row>
    <row r="350" spans="1:52" s="878" customFormat="1" ht="41.5" customHeight="1" outlineLevel="2" collapsed="1">
      <c r="A350" s="172"/>
      <c r="B350" s="171" t="s">
        <v>569</v>
      </c>
      <c r="C350" s="171"/>
      <c r="D350" s="1652" t="s">
        <v>52</v>
      </c>
      <c r="E350" s="538"/>
      <c r="F350" s="106" t="s">
        <v>1556</v>
      </c>
      <c r="G350" s="96"/>
      <c r="H350" s="357" t="str">
        <f>+'1_MdR_Limpia'!C98</f>
        <v>Plataforma</v>
      </c>
      <c r="I350" s="357">
        <f>+'1_MdR_Limpia'!D98</f>
        <v>0</v>
      </c>
      <c r="J350" s="357">
        <f>+'1_MdR_Limpia'!E98</f>
        <v>2021</v>
      </c>
      <c r="K350" s="357" t="str">
        <f>+'1_MdR_Limpia'!F98</f>
        <v>-</v>
      </c>
      <c r="L350" s="357" t="str">
        <f>+'1_MdR_Limpia'!G98</f>
        <v>-</v>
      </c>
      <c r="M350" s="357" t="str">
        <f>+'1_MdR_Limpia'!H98</f>
        <v>-</v>
      </c>
      <c r="N350" s="357">
        <f>+'1_MdR_Limpia'!I98</f>
        <v>1</v>
      </c>
      <c r="O350" s="357" t="str">
        <f>+'1_MdR_Limpia'!J98</f>
        <v>-</v>
      </c>
      <c r="P350" s="357">
        <f>+'1_MdR_Limpia'!L98</f>
        <v>1</v>
      </c>
      <c r="Q350" s="96"/>
      <c r="R350" s="854"/>
      <c r="S350" s="358"/>
      <c r="T350" s="358"/>
      <c r="U350" s="358"/>
      <c r="V350" s="358"/>
      <c r="W350" s="106"/>
      <c r="X350" s="96"/>
      <c r="Y350" s="106"/>
      <c r="Z350" s="172"/>
      <c r="AA350" s="172"/>
      <c r="AB350" s="171"/>
      <c r="AC350" s="176"/>
      <c r="AD350" s="176">
        <v>490000</v>
      </c>
      <c r="AE350" s="686"/>
      <c r="AF350" s="96"/>
      <c r="AG350" s="176">
        <f t="shared" ref="AG350:AG355" si="20">+AD350</f>
        <v>490000</v>
      </c>
      <c r="AH350" s="176">
        <f>+AH351+AH352+AH353+AH354+AH355</f>
        <v>0</v>
      </c>
      <c r="AI350" s="176">
        <f t="shared" si="14"/>
        <v>490000</v>
      </c>
      <c r="AJ350" s="865"/>
      <c r="AK350" s="980">
        <f>+AK351+AK352+AK353+AK354+AK355</f>
        <v>0</v>
      </c>
      <c r="AL350" s="980">
        <f>+AL351+AL352+AL353+AL354+AL355</f>
        <v>350000</v>
      </c>
      <c r="AM350" s="980">
        <f>+AM351+AM352+AM353+AM354+AM355</f>
        <v>450000</v>
      </c>
      <c r="AN350" s="981">
        <f>+AN351+AN352+AN353+AN354+AN355</f>
        <v>0</v>
      </c>
      <c r="AO350" s="979">
        <f>+AO351+AO352+AO353+AO354+AO355</f>
        <v>0</v>
      </c>
      <c r="AP350" s="979">
        <f t="shared" si="13"/>
        <v>800000</v>
      </c>
      <c r="AQ350" s="153"/>
      <c r="AR350" s="1027"/>
      <c r="AS350" s="153"/>
      <c r="AT350" s="153"/>
      <c r="AU350" s="153"/>
      <c r="AV350" s="153"/>
      <c r="AW350" s="153"/>
      <c r="AX350" s="153"/>
      <c r="AY350" s="153"/>
      <c r="AZ350" s="153"/>
    </row>
    <row r="351" spans="1:52" s="881" customFormat="1" ht="38.5" hidden="1" customHeight="1" outlineLevel="3">
      <c r="A351" s="580"/>
      <c r="B351" s="107" t="s">
        <v>1609</v>
      </c>
      <c r="C351" s="107"/>
      <c r="D351" s="611" t="s">
        <v>3556</v>
      </c>
      <c r="E351" s="611"/>
      <c r="F351" s="103"/>
      <c r="G351" s="97"/>
      <c r="H351" s="611" t="s">
        <v>1357</v>
      </c>
      <c r="I351" s="361"/>
      <c r="J351" s="361"/>
      <c r="K351" s="361"/>
      <c r="L351" s="361"/>
      <c r="M351" s="361"/>
      <c r="N351" s="361"/>
      <c r="O351" s="361"/>
      <c r="P351" s="361"/>
      <c r="Q351" s="97"/>
      <c r="R351" s="362" t="str">
        <f>+'9.3_PA_Det'!E131</f>
        <v>Selección Basada en Calificación de Consultores</v>
      </c>
      <c r="S351" s="362" t="s">
        <v>1075</v>
      </c>
      <c r="T351" s="856" t="s">
        <v>3557</v>
      </c>
      <c r="U351" s="362">
        <f>+'9.3_PA_Det'!F131</f>
        <v>45</v>
      </c>
      <c r="V351" s="362"/>
      <c r="W351" s="178"/>
      <c r="X351" s="97"/>
      <c r="Y351" s="711" t="s">
        <v>1179</v>
      </c>
      <c r="Z351" s="712">
        <v>1</v>
      </c>
      <c r="AA351" s="179"/>
      <c r="AB351" s="180"/>
      <c r="AC351" s="618">
        <v>50000</v>
      </c>
      <c r="AD351" s="1032">
        <f>Z351*AC351</f>
        <v>50000</v>
      </c>
      <c r="AE351" s="1043"/>
      <c r="AF351" s="97"/>
      <c r="AG351" s="1032">
        <f t="shared" si="20"/>
        <v>50000</v>
      </c>
      <c r="AH351" s="1032"/>
      <c r="AI351" s="1041">
        <f t="shared" si="14"/>
        <v>50000</v>
      </c>
      <c r="AJ351" s="867"/>
      <c r="AK351" s="986"/>
      <c r="AL351" s="986">
        <f>+AG351</f>
        <v>50000</v>
      </c>
      <c r="AM351" s="986"/>
      <c r="AN351" s="987"/>
      <c r="AO351" s="728"/>
      <c r="AP351" s="1038">
        <f t="shared" si="13"/>
        <v>50000</v>
      </c>
      <c r="AQ351" s="108"/>
      <c r="AR351" s="1027"/>
    </row>
    <row r="352" spans="1:52" s="881" customFormat="1" ht="30" hidden="1" customHeight="1" outlineLevel="3">
      <c r="A352" s="580"/>
      <c r="B352" s="107" t="s">
        <v>3558</v>
      </c>
      <c r="C352" s="107"/>
      <c r="D352" s="611" t="s">
        <v>3559</v>
      </c>
      <c r="E352" s="611"/>
      <c r="F352" s="103"/>
      <c r="G352" s="97"/>
      <c r="H352" s="611"/>
      <c r="I352" s="361"/>
      <c r="J352" s="361"/>
      <c r="K352" s="361"/>
      <c r="L352" s="361"/>
      <c r="M352" s="361"/>
      <c r="N352" s="361"/>
      <c r="O352" s="361"/>
      <c r="P352" s="361"/>
      <c r="Q352" s="97"/>
      <c r="R352" s="362" t="str">
        <f>+'9.3_PA_Det'!E132</f>
        <v>Selección Basada en Calidad y Costo</v>
      </c>
      <c r="S352" s="362" t="s">
        <v>1075</v>
      </c>
      <c r="T352" s="856" t="s">
        <v>1198</v>
      </c>
      <c r="U352" s="362">
        <f>+'9.3_PA_Det'!F132</f>
        <v>46</v>
      </c>
      <c r="V352" s="362"/>
      <c r="W352" s="178"/>
      <c r="X352" s="97"/>
      <c r="Y352" s="711" t="s">
        <v>1179</v>
      </c>
      <c r="Z352" s="712">
        <v>1</v>
      </c>
      <c r="AA352" s="179"/>
      <c r="AB352" s="180"/>
      <c r="AC352" s="618">
        <v>300000</v>
      </c>
      <c r="AD352" s="1032">
        <f>Z352*AC352</f>
        <v>300000</v>
      </c>
      <c r="AE352" s="1043"/>
      <c r="AF352" s="97"/>
      <c r="AG352" s="1032">
        <f t="shared" si="20"/>
        <v>300000</v>
      </c>
      <c r="AH352" s="1032"/>
      <c r="AI352" s="1041">
        <f t="shared" si="14"/>
        <v>300000</v>
      </c>
      <c r="AJ352" s="867"/>
      <c r="AK352" s="986"/>
      <c r="AL352" s="986">
        <f>+AG352</f>
        <v>300000</v>
      </c>
      <c r="AM352" s="986"/>
      <c r="AN352" s="987"/>
      <c r="AO352" s="728"/>
      <c r="AP352" s="1038">
        <f t="shared" si="13"/>
        <v>300000</v>
      </c>
      <c r="AQ352" s="108"/>
      <c r="AR352" s="1027"/>
    </row>
    <row r="353" spans="1:52" s="881" customFormat="1" ht="27.5" hidden="1" customHeight="1" outlineLevel="3">
      <c r="A353" s="580"/>
      <c r="B353" s="107" t="s">
        <v>1014</v>
      </c>
      <c r="C353" s="107"/>
      <c r="D353" s="611" t="s">
        <v>1017</v>
      </c>
      <c r="E353" s="611"/>
      <c r="F353" s="103"/>
      <c r="G353" s="97"/>
      <c r="H353" s="611" t="s">
        <v>1360</v>
      </c>
      <c r="I353" s="361"/>
      <c r="J353" s="361"/>
      <c r="K353" s="361"/>
      <c r="L353" s="361"/>
      <c r="M353" s="361"/>
      <c r="N353" s="361"/>
      <c r="O353" s="361"/>
      <c r="P353" s="361"/>
      <c r="Q353" s="97"/>
      <c r="R353" s="4597" t="str">
        <f>+'9.3_PA_Det'!E133</f>
        <v>Selección Basada en Calidad y Costo</v>
      </c>
      <c r="S353" s="4597" t="s">
        <v>1075</v>
      </c>
      <c r="T353" s="4597" t="s">
        <v>1198</v>
      </c>
      <c r="U353" s="4597">
        <f>+'9.3_PA_Det'!F133</f>
        <v>47</v>
      </c>
      <c r="V353" s="1192"/>
      <c r="W353" s="4597"/>
      <c r="X353" s="97"/>
      <c r="Y353" s="711" t="s">
        <v>1179</v>
      </c>
      <c r="Z353" s="712">
        <v>1</v>
      </c>
      <c r="AA353" s="179"/>
      <c r="AB353" s="180"/>
      <c r="AC353" s="618">
        <v>150000</v>
      </c>
      <c r="AD353" s="1032">
        <f>Z353*AC353</f>
        <v>150000</v>
      </c>
      <c r="AE353" s="1043"/>
      <c r="AF353" s="97"/>
      <c r="AG353" s="1032">
        <f t="shared" si="20"/>
        <v>150000</v>
      </c>
      <c r="AH353" s="1032"/>
      <c r="AI353" s="1041">
        <f t="shared" si="14"/>
        <v>150000</v>
      </c>
      <c r="AJ353" s="867"/>
      <c r="AK353" s="986"/>
      <c r="AL353" s="986"/>
      <c r="AM353" s="986">
        <f>+AG353</f>
        <v>150000</v>
      </c>
      <c r="AN353" s="987"/>
      <c r="AO353" s="728"/>
      <c r="AP353" s="1038">
        <f t="shared" si="13"/>
        <v>150000</v>
      </c>
      <c r="AQ353" s="108"/>
      <c r="AR353" s="1027"/>
    </row>
    <row r="354" spans="1:52" s="881" customFormat="1" ht="41.5" hidden="1" customHeight="1" outlineLevel="3">
      <c r="A354" s="580"/>
      <c r="B354" s="107" t="s">
        <v>1016</v>
      </c>
      <c r="C354" s="107"/>
      <c r="D354" s="611" t="s">
        <v>3560</v>
      </c>
      <c r="E354" s="611"/>
      <c r="F354" s="103"/>
      <c r="G354" s="97"/>
      <c r="H354" s="611" t="s">
        <v>1611</v>
      </c>
      <c r="I354" s="361"/>
      <c r="J354" s="361"/>
      <c r="K354" s="361"/>
      <c r="L354" s="361"/>
      <c r="M354" s="361"/>
      <c r="N354" s="361"/>
      <c r="O354" s="361"/>
      <c r="P354" s="361"/>
      <c r="Q354" s="97"/>
      <c r="R354" s="4598"/>
      <c r="S354" s="4598"/>
      <c r="T354" s="4598"/>
      <c r="U354" s="4598"/>
      <c r="V354" s="1193"/>
      <c r="W354" s="4598"/>
      <c r="X354" s="97"/>
      <c r="Y354" s="711" t="s">
        <v>1179</v>
      </c>
      <c r="Z354" s="712">
        <v>1</v>
      </c>
      <c r="AA354" s="179"/>
      <c r="AB354" s="180"/>
      <c r="AC354" s="618">
        <v>100000</v>
      </c>
      <c r="AD354" s="1032">
        <f>Z354*AC354</f>
        <v>100000</v>
      </c>
      <c r="AE354" s="1043"/>
      <c r="AF354" s="97"/>
      <c r="AG354" s="1032">
        <f t="shared" si="20"/>
        <v>100000</v>
      </c>
      <c r="AH354" s="1032"/>
      <c r="AI354" s="1041">
        <f t="shared" si="14"/>
        <v>100000</v>
      </c>
      <c r="AJ354" s="867"/>
      <c r="AK354" s="986"/>
      <c r="AL354" s="986"/>
      <c r="AM354" s="986">
        <f>+AG354</f>
        <v>100000</v>
      </c>
      <c r="AN354" s="987"/>
      <c r="AO354" s="728"/>
      <c r="AP354" s="1038">
        <f t="shared" si="13"/>
        <v>100000</v>
      </c>
      <c r="AQ354" s="108"/>
      <c r="AR354" s="1027"/>
    </row>
    <row r="355" spans="1:52" s="881" customFormat="1" ht="55.25" hidden="1" customHeight="1" outlineLevel="3">
      <c r="A355" s="580"/>
      <c r="B355" s="107" t="s">
        <v>1615</v>
      </c>
      <c r="C355" s="107"/>
      <c r="D355" s="611" t="s">
        <v>3561</v>
      </c>
      <c r="E355" s="611"/>
      <c r="F355" s="103"/>
      <c r="G355" s="97"/>
      <c r="H355" s="611"/>
      <c r="I355" s="361"/>
      <c r="J355" s="361"/>
      <c r="K355" s="361"/>
      <c r="L355" s="361"/>
      <c r="M355" s="361"/>
      <c r="N355" s="361"/>
      <c r="O355" s="361"/>
      <c r="P355" s="361"/>
      <c r="Q355" s="97"/>
      <c r="R355" s="362" t="str">
        <f>+'9.3_PA_Det'!E135</f>
        <v>Selección Basada en Calidad y Costo</v>
      </c>
      <c r="S355" s="362" t="s">
        <v>1075</v>
      </c>
      <c r="T355" s="856" t="s">
        <v>1198</v>
      </c>
      <c r="U355" s="362">
        <f>+'9.3_PA_Det'!F135</f>
        <v>48</v>
      </c>
      <c r="V355" s="362"/>
      <c r="W355" s="178"/>
      <c r="X355" s="97"/>
      <c r="Y355" s="711" t="s">
        <v>1179</v>
      </c>
      <c r="Z355" s="712">
        <v>1</v>
      </c>
      <c r="AA355" s="179"/>
      <c r="AB355" s="180"/>
      <c r="AC355" s="618">
        <v>200000</v>
      </c>
      <c r="AD355" s="1032">
        <f>Z355*AC355</f>
        <v>200000</v>
      </c>
      <c r="AE355" s="1043"/>
      <c r="AF355" s="97"/>
      <c r="AG355" s="1032">
        <f t="shared" si="20"/>
        <v>200000</v>
      </c>
      <c r="AH355" s="1032"/>
      <c r="AI355" s="1041">
        <f t="shared" si="14"/>
        <v>200000</v>
      </c>
      <c r="AJ355" s="867"/>
      <c r="AK355" s="986"/>
      <c r="AL355" s="986"/>
      <c r="AM355" s="986">
        <f>+AG355</f>
        <v>200000</v>
      </c>
      <c r="AN355" s="987"/>
      <c r="AO355" s="728"/>
      <c r="AP355" s="1038">
        <f t="shared" si="13"/>
        <v>200000</v>
      </c>
      <c r="AQ355" s="108"/>
      <c r="AR355" s="1027"/>
    </row>
    <row r="356" spans="1:52" s="881" customFormat="1" ht="14" customHeight="1" outlineLevel="2" collapsed="1">
      <c r="A356" s="580"/>
      <c r="B356" s="107"/>
      <c r="C356" s="107"/>
      <c r="D356" s="611"/>
      <c r="E356" s="611"/>
      <c r="F356" s="103"/>
      <c r="G356" s="97"/>
      <c r="H356" s="611"/>
      <c r="I356" s="361"/>
      <c r="J356" s="361"/>
      <c r="K356" s="361"/>
      <c r="L356" s="361"/>
      <c r="M356" s="361"/>
      <c r="N356" s="361"/>
      <c r="O356" s="361"/>
      <c r="P356" s="361"/>
      <c r="Q356" s="97"/>
      <c r="R356" s="362"/>
      <c r="S356" s="362"/>
      <c r="T356" s="856"/>
      <c r="U356" s="362"/>
      <c r="V356" s="362"/>
      <c r="W356" s="178"/>
      <c r="X356" s="97"/>
      <c r="Y356" s="711"/>
      <c r="Z356" s="712"/>
      <c r="AA356" s="179"/>
      <c r="AB356" s="180"/>
      <c r="AC356" s="618"/>
      <c r="AD356" s="1032"/>
      <c r="AE356" s="1043"/>
      <c r="AF356" s="97"/>
      <c r="AG356" s="1032"/>
      <c r="AH356" s="1032"/>
      <c r="AI356" s="1041">
        <f t="shared" si="14"/>
        <v>0</v>
      </c>
      <c r="AJ356" s="867"/>
      <c r="AK356" s="986"/>
      <c r="AL356" s="986"/>
      <c r="AM356" s="986"/>
      <c r="AN356" s="987"/>
      <c r="AO356" s="728"/>
      <c r="AP356" s="1038">
        <f t="shared" si="13"/>
        <v>0</v>
      </c>
      <c r="AQ356" s="108"/>
      <c r="AR356" s="1027"/>
    </row>
    <row r="357" spans="1:52" s="153" customFormat="1" ht="30" outlineLevel="1">
      <c r="A357" s="578"/>
      <c r="B357" s="428" t="s">
        <v>570</v>
      </c>
      <c r="C357" s="428"/>
      <c r="D357" s="545" t="s">
        <v>54</v>
      </c>
      <c r="E357" s="545"/>
      <c r="F357" s="427"/>
      <c r="G357" s="96"/>
      <c r="H357" s="429"/>
      <c r="I357" s="425"/>
      <c r="J357" s="430"/>
      <c r="K357" s="430"/>
      <c r="L357" s="430"/>
      <c r="M357" s="430"/>
      <c r="N357" s="430"/>
      <c r="O357" s="430"/>
      <c r="P357" s="430"/>
      <c r="Q357" s="96"/>
      <c r="R357" s="850"/>
      <c r="S357" s="850"/>
      <c r="T357" s="850"/>
      <c r="U357" s="850"/>
      <c r="V357" s="850"/>
      <c r="W357" s="431"/>
      <c r="X357" s="96"/>
      <c r="Y357" s="426"/>
      <c r="Z357" s="425"/>
      <c r="AA357" s="425"/>
      <c r="AB357" s="432"/>
      <c r="AC357" s="433"/>
      <c r="AD357" s="433">
        <f>+AD358</f>
        <v>3300000</v>
      </c>
      <c r="AE357" s="685"/>
      <c r="AF357" s="96"/>
      <c r="AG357" s="433">
        <f>+AG358</f>
        <v>3300000</v>
      </c>
      <c r="AH357" s="433">
        <f>+AH358</f>
        <v>0</v>
      </c>
      <c r="AI357" s="433">
        <f t="shared" si="14"/>
        <v>3300000</v>
      </c>
      <c r="AJ357" s="865"/>
      <c r="AK357" s="977">
        <f>+AK358</f>
        <v>150000</v>
      </c>
      <c r="AL357" s="977">
        <f>+AL358</f>
        <v>150000</v>
      </c>
      <c r="AM357" s="977">
        <f>+AM358</f>
        <v>725000</v>
      </c>
      <c r="AN357" s="978">
        <f>+AN358</f>
        <v>1125000</v>
      </c>
      <c r="AO357" s="976">
        <f>+AO358</f>
        <v>1175000</v>
      </c>
      <c r="AP357" s="976">
        <f t="shared" si="13"/>
        <v>3325000</v>
      </c>
      <c r="AR357" s="1027"/>
    </row>
    <row r="358" spans="1:52" s="878" customFormat="1" ht="41.5" customHeight="1" outlineLevel="2">
      <c r="A358" s="172"/>
      <c r="B358" s="171" t="s">
        <v>571</v>
      </c>
      <c r="C358" s="171"/>
      <c r="D358" s="1652" t="s">
        <v>56</v>
      </c>
      <c r="E358" s="538"/>
      <c r="F358" s="106" t="s">
        <v>1556</v>
      </c>
      <c r="G358" s="96"/>
      <c r="H358" s="357" t="str">
        <f>+'1_MdR_Limpia'!C101</f>
        <v>Número</v>
      </c>
      <c r="I358" s="357">
        <f>+'1_MdR_Limpia'!D101</f>
        <v>0</v>
      </c>
      <c r="J358" s="357">
        <f>+'1_MdR_Limpia'!E101</f>
        <v>2021</v>
      </c>
      <c r="K358" s="357" t="str">
        <f>+'1_MdR_Limpia'!F101</f>
        <v>-</v>
      </c>
      <c r="L358" s="357" t="str">
        <f>+'1_MdR_Limpia'!G101</f>
        <v>-</v>
      </c>
      <c r="M358" s="357" t="str">
        <f>+'1_MdR_Limpia'!H101</f>
        <v>-</v>
      </c>
      <c r="N358" s="357" t="str">
        <f>+'1_MdR_Limpia'!I101</f>
        <v>-</v>
      </c>
      <c r="O358" s="357" t="str">
        <f>+'1_MdR_Limpia'!J101</f>
        <v>-</v>
      </c>
      <c r="P358" s="357">
        <f>+'1_MdR_Limpia'!L101</f>
        <v>1</v>
      </c>
      <c r="Q358" s="96"/>
      <c r="R358" s="854"/>
      <c r="S358" s="358"/>
      <c r="T358" s="358"/>
      <c r="U358" s="358"/>
      <c r="V358" s="358"/>
      <c r="W358" s="106"/>
      <c r="X358" s="96"/>
      <c r="Y358" s="106"/>
      <c r="Z358" s="172"/>
      <c r="AA358" s="172"/>
      <c r="AB358" s="171"/>
      <c r="AC358" s="176"/>
      <c r="AD358" s="176">
        <v>3300000</v>
      </c>
      <c r="AE358" s="176"/>
      <c r="AF358" s="176"/>
      <c r="AG358" s="176">
        <f>+AD358</f>
        <v>3300000</v>
      </c>
      <c r="AH358" s="176">
        <f>+AH359+AH360+AH371+AH376+AH381</f>
        <v>0</v>
      </c>
      <c r="AI358" s="176">
        <f t="shared" si="14"/>
        <v>3300000</v>
      </c>
      <c r="AJ358" s="865"/>
      <c r="AK358" s="980">
        <f>+AK359+AK360+AK371+AK376+AK381</f>
        <v>150000</v>
      </c>
      <c r="AL358" s="980">
        <f>+AL359+AL360+AL371+AL376+AL381</f>
        <v>150000</v>
      </c>
      <c r="AM358" s="980">
        <f>+AM359+AM360+AM371+AM376+AM381</f>
        <v>725000</v>
      </c>
      <c r="AN358" s="981">
        <f>+AN359+AN360+AN371+AN376+AN381</f>
        <v>1125000</v>
      </c>
      <c r="AO358" s="979">
        <f>+AO359+AO360+AO371+AO376+AO381</f>
        <v>1175000</v>
      </c>
      <c r="AP358" s="979">
        <f t="shared" si="13"/>
        <v>3325000</v>
      </c>
      <c r="AQ358" s="153"/>
      <c r="AR358" s="1027"/>
      <c r="AS358" s="153"/>
      <c r="AT358" s="153"/>
      <c r="AU358" s="153"/>
      <c r="AV358" s="153"/>
      <c r="AW358" s="153"/>
      <c r="AX358" s="153"/>
      <c r="AY358" s="153"/>
      <c r="AZ358" s="153"/>
    </row>
    <row r="359" spans="1:52" s="108" customFormat="1" ht="41.5" hidden="1" customHeight="1" outlineLevel="3">
      <c r="A359" s="580"/>
      <c r="B359" s="107" t="s">
        <v>1019</v>
      </c>
      <c r="C359" s="107"/>
      <c r="D359" s="533" t="s">
        <v>1026</v>
      </c>
      <c r="E359" s="533"/>
      <c r="F359" s="103"/>
      <c r="G359" s="97"/>
      <c r="H359" s="363"/>
      <c r="I359" s="364"/>
      <c r="J359" s="364"/>
      <c r="K359" s="364"/>
      <c r="L359" s="364"/>
      <c r="M359" s="364"/>
      <c r="N359" s="364"/>
      <c r="O359" s="364"/>
      <c r="P359" s="364"/>
      <c r="Q359" s="97"/>
      <c r="R359" s="364" t="str">
        <f>+'9.3_PA_Det'!E136</f>
        <v>Selección Basada en Calidad y Costo</v>
      </c>
      <c r="S359" s="364" t="s">
        <v>1075</v>
      </c>
      <c r="T359" s="364" t="s">
        <v>1198</v>
      </c>
      <c r="U359" s="364">
        <f>+'9.3_PA_Det'!F136</f>
        <v>49</v>
      </c>
      <c r="V359" s="364"/>
      <c r="W359" s="181"/>
      <c r="X359" s="97"/>
      <c r="Y359" s="711" t="s">
        <v>1179</v>
      </c>
      <c r="Z359" s="712">
        <v>1</v>
      </c>
      <c r="AA359" s="179"/>
      <c r="AB359" s="180"/>
      <c r="AC359" s="1032">
        <v>300000</v>
      </c>
      <c r="AD359" s="1032">
        <v>300000</v>
      </c>
      <c r="AE359" s="1042" t="s">
        <v>1616</v>
      </c>
      <c r="AF359" s="97"/>
      <c r="AG359" s="1032">
        <f>+AC359</f>
        <v>300000</v>
      </c>
      <c r="AH359" s="1032">
        <v>0</v>
      </c>
      <c r="AI359" s="355">
        <f t="shared" si="14"/>
        <v>300000</v>
      </c>
      <c r="AJ359" s="867"/>
      <c r="AK359" s="986">
        <f>+$AG$359*50%</f>
        <v>150000</v>
      </c>
      <c r="AL359" s="986">
        <f>+$AG$359*50%</f>
        <v>150000</v>
      </c>
      <c r="AM359" s="986"/>
      <c r="AN359" s="987"/>
      <c r="AO359" s="1038"/>
      <c r="AP359" s="1038">
        <f t="shared" si="13"/>
        <v>300000</v>
      </c>
      <c r="AR359" s="1027"/>
    </row>
    <row r="360" spans="1:52" s="153" customFormat="1" ht="41.5" hidden="1" customHeight="1" outlineLevel="3">
      <c r="A360" s="581"/>
      <c r="B360" s="400" t="s">
        <v>1021</v>
      </c>
      <c r="C360" s="400"/>
      <c r="D360" s="536" t="s">
        <v>3562</v>
      </c>
      <c r="E360" s="536"/>
      <c r="F360" s="399"/>
      <c r="G360" s="96"/>
      <c r="H360" s="401"/>
      <c r="I360" s="401"/>
      <c r="J360" s="402"/>
      <c r="K360" s="402"/>
      <c r="L360" s="402"/>
      <c r="M360" s="402"/>
      <c r="N360" s="402"/>
      <c r="O360" s="402"/>
      <c r="P360" s="402"/>
      <c r="Q360" s="96"/>
      <c r="R360" s="837"/>
      <c r="S360" s="851"/>
      <c r="T360" s="851"/>
      <c r="U360" s="851"/>
      <c r="V360" s="851"/>
      <c r="W360" s="399"/>
      <c r="X360" s="96"/>
      <c r="Y360" s="396"/>
      <c r="Z360" s="397"/>
      <c r="AA360" s="397"/>
      <c r="AB360" s="395"/>
      <c r="AC360" s="489"/>
      <c r="AD360" s="398">
        <f>SUM(AD361:AD370)</f>
        <v>2000000</v>
      </c>
      <c r="AE360" s="691"/>
      <c r="AF360" s="96"/>
      <c r="AG360" s="398">
        <f>SUM(AG361:AG370)</f>
        <v>2000000</v>
      </c>
      <c r="AH360" s="398">
        <f>SUM(AH361:AH370)</f>
        <v>0</v>
      </c>
      <c r="AI360" s="398">
        <f t="shared" si="14"/>
        <v>2000000</v>
      </c>
      <c r="AJ360" s="865"/>
      <c r="AK360" s="992">
        <f>SUM(AK361:AK370)</f>
        <v>0</v>
      </c>
      <c r="AL360" s="992">
        <f>SUM(AL361:AL370)</f>
        <v>0</v>
      </c>
      <c r="AM360" s="992">
        <f>SUM(AM361:AM370)</f>
        <v>400000</v>
      </c>
      <c r="AN360" s="993">
        <f>SUM(AN361:AN370)</f>
        <v>800000</v>
      </c>
      <c r="AO360" s="1014">
        <f>SUM(AO361:AO370)</f>
        <v>800000</v>
      </c>
      <c r="AP360" s="994">
        <f t="shared" si="13"/>
        <v>2000000</v>
      </c>
      <c r="AR360" s="1027"/>
    </row>
    <row r="361" spans="1:52" ht="26.5" hidden="1" customHeight="1" outlineLevel="4">
      <c r="A361" s="159"/>
      <c r="B361" s="702" t="s">
        <v>1023</v>
      </c>
      <c r="C361" s="702"/>
      <c r="D361" s="533" t="s">
        <v>3523</v>
      </c>
      <c r="E361" s="533"/>
      <c r="F361" s="177"/>
      <c r="G361" s="97"/>
      <c r="H361" s="363"/>
      <c r="I361" s="363"/>
      <c r="J361" s="367"/>
      <c r="K361" s="367"/>
      <c r="L361" s="367"/>
      <c r="M361" s="367"/>
      <c r="N361" s="367"/>
      <c r="O361" s="367"/>
      <c r="P361" s="367"/>
      <c r="Q361" s="97"/>
      <c r="R361" s="3897" t="str">
        <f>+'9.3_PA_Det'!$E$137</f>
        <v>Selección Basada en Calidad y Costo</v>
      </c>
      <c r="S361" s="3897" t="s">
        <v>1075</v>
      </c>
      <c r="T361" s="3897" t="s">
        <v>1198</v>
      </c>
      <c r="U361" s="3897">
        <f>+'9.3_PA_Det'!$F$137</f>
        <v>50</v>
      </c>
      <c r="V361" s="852"/>
      <c r="W361" s="3897"/>
      <c r="X361" s="97"/>
      <c r="Y361" s="711" t="s">
        <v>1179</v>
      </c>
      <c r="Z361" s="712">
        <v>1</v>
      </c>
      <c r="AA361" s="179"/>
      <c r="AB361" s="180"/>
      <c r="AC361" s="1048">
        <v>200000</v>
      </c>
      <c r="AD361" s="1048">
        <f>+Z361*AC361</f>
        <v>200000</v>
      </c>
      <c r="AE361" s="940" t="s">
        <v>3563</v>
      </c>
      <c r="AF361" s="97"/>
      <c r="AG361" s="1032">
        <f t="shared" ref="AG361:AG369" si="21">+AD361</f>
        <v>200000</v>
      </c>
      <c r="AH361" s="1048">
        <v>0</v>
      </c>
      <c r="AI361" s="1048">
        <f t="shared" si="14"/>
        <v>200000</v>
      </c>
      <c r="AJ361" s="867"/>
      <c r="AK361" s="1015"/>
      <c r="AL361" s="1015"/>
      <c r="AM361" s="1015">
        <f t="shared" ref="AM361:AM370" si="22">+AG361*20%</f>
        <v>40000</v>
      </c>
      <c r="AN361" s="1015">
        <f t="shared" ref="AN361:AN370" si="23">+AG361*40%</f>
        <v>80000</v>
      </c>
      <c r="AO361" s="1015">
        <f t="shared" ref="AO361:AO370" si="24">+AG361*40%</f>
        <v>80000</v>
      </c>
      <c r="AP361" s="1044">
        <f t="shared" si="13"/>
        <v>200000</v>
      </c>
      <c r="AQ361" s="108"/>
      <c r="AR361" s="1027"/>
      <c r="AS361" s="108"/>
      <c r="AT361" s="108"/>
      <c r="AU361" s="108"/>
      <c r="AV361" s="108"/>
      <c r="AW361" s="108"/>
      <c r="AX361" s="108"/>
      <c r="AY361" s="108"/>
      <c r="AZ361" s="108"/>
    </row>
    <row r="362" spans="1:52" s="84" customFormat="1" ht="14" hidden="1" customHeight="1" outlineLevel="4">
      <c r="A362" s="159"/>
      <c r="B362" s="702" t="s">
        <v>1025</v>
      </c>
      <c r="C362" s="702"/>
      <c r="D362" s="533" t="s">
        <v>3525</v>
      </c>
      <c r="E362" s="533"/>
      <c r="F362" s="103"/>
      <c r="G362" s="97"/>
      <c r="H362" s="363"/>
      <c r="I362" s="363"/>
      <c r="J362" s="367"/>
      <c r="K362" s="367"/>
      <c r="L362" s="367"/>
      <c r="M362" s="367"/>
      <c r="N362" s="367"/>
      <c r="O362" s="367"/>
      <c r="P362" s="367"/>
      <c r="Q362" s="97"/>
      <c r="R362" s="3898"/>
      <c r="S362" s="3898"/>
      <c r="T362" s="3898"/>
      <c r="U362" s="3898"/>
      <c r="V362" s="1190"/>
      <c r="W362" s="3898"/>
      <c r="X362" s="97"/>
      <c r="Y362" s="711" t="s">
        <v>1179</v>
      </c>
      <c r="Z362" s="712">
        <v>1</v>
      </c>
      <c r="AA362" s="179"/>
      <c r="AB362" s="179"/>
      <c r="AC362" s="1053">
        <v>200000</v>
      </c>
      <c r="AD362" s="1048">
        <f t="shared" ref="AD362:AD380" si="25">+Z362*AC362</f>
        <v>200000</v>
      </c>
      <c r="AE362" s="1054"/>
      <c r="AF362" s="97"/>
      <c r="AG362" s="1041">
        <f t="shared" si="21"/>
        <v>200000</v>
      </c>
      <c r="AH362" s="1048">
        <v>0</v>
      </c>
      <c r="AI362" s="1048">
        <f t="shared" si="14"/>
        <v>200000</v>
      </c>
      <c r="AJ362" s="867"/>
      <c r="AK362" s="1015"/>
      <c r="AL362" s="1015"/>
      <c r="AM362" s="1015">
        <f t="shared" si="22"/>
        <v>40000</v>
      </c>
      <c r="AN362" s="1015">
        <f t="shared" si="23"/>
        <v>80000</v>
      </c>
      <c r="AO362" s="1015">
        <f t="shared" si="24"/>
        <v>80000</v>
      </c>
      <c r="AP362" s="1044">
        <f t="shared" si="13"/>
        <v>200000</v>
      </c>
      <c r="AQ362" s="148"/>
      <c r="AR362" s="1027"/>
      <c r="AS362" s="148"/>
      <c r="AT362" s="148"/>
      <c r="AU362" s="148"/>
      <c r="AV362" s="148"/>
      <c r="AW362" s="148"/>
      <c r="AX362" s="148"/>
      <c r="AY362" s="148"/>
      <c r="AZ362" s="148"/>
    </row>
    <row r="363" spans="1:52" s="84" customFormat="1" ht="14" hidden="1" customHeight="1" outlineLevel="4">
      <c r="A363" s="159"/>
      <c r="B363" s="702" t="s">
        <v>1027</v>
      </c>
      <c r="C363" s="702"/>
      <c r="D363" s="533" t="s">
        <v>3526</v>
      </c>
      <c r="E363" s="533"/>
      <c r="F363" s="177"/>
      <c r="G363" s="97"/>
      <c r="H363" s="363"/>
      <c r="I363" s="363"/>
      <c r="J363" s="367"/>
      <c r="K363" s="367"/>
      <c r="L363" s="367"/>
      <c r="M363" s="367"/>
      <c r="N363" s="367"/>
      <c r="O363" s="367"/>
      <c r="P363" s="367"/>
      <c r="Q363" s="97"/>
      <c r="R363" s="3898"/>
      <c r="S363" s="3898"/>
      <c r="T363" s="3898"/>
      <c r="U363" s="3898"/>
      <c r="V363" s="1190"/>
      <c r="W363" s="3898"/>
      <c r="X363" s="97"/>
      <c r="Y363" s="711" t="s">
        <v>1179</v>
      </c>
      <c r="Z363" s="712">
        <v>1</v>
      </c>
      <c r="AA363" s="179"/>
      <c r="AB363" s="179"/>
      <c r="AC363" s="1053">
        <v>400000</v>
      </c>
      <c r="AD363" s="1048">
        <f t="shared" si="25"/>
        <v>400000</v>
      </c>
      <c r="AE363" s="1054" t="s">
        <v>3564</v>
      </c>
      <c r="AF363" s="97"/>
      <c r="AG363" s="1041">
        <f t="shared" si="21"/>
        <v>400000</v>
      </c>
      <c r="AH363" s="1048">
        <v>0</v>
      </c>
      <c r="AI363" s="1048">
        <f t="shared" si="14"/>
        <v>400000</v>
      </c>
      <c r="AJ363" s="867"/>
      <c r="AK363" s="1015"/>
      <c r="AL363" s="1015"/>
      <c r="AM363" s="1015">
        <f t="shared" si="22"/>
        <v>80000</v>
      </c>
      <c r="AN363" s="1015">
        <f t="shared" si="23"/>
        <v>160000</v>
      </c>
      <c r="AO363" s="1015">
        <f t="shared" si="24"/>
        <v>160000</v>
      </c>
      <c r="AP363" s="1044">
        <f t="shared" si="13"/>
        <v>400000</v>
      </c>
      <c r="AQ363" s="148"/>
      <c r="AR363" s="1027"/>
      <c r="AS363" s="148"/>
      <c r="AT363" s="148"/>
      <c r="AU363" s="148"/>
      <c r="AV363" s="148"/>
      <c r="AW363" s="148"/>
      <c r="AX363" s="148"/>
      <c r="AY363" s="148"/>
      <c r="AZ363" s="148"/>
    </row>
    <row r="364" spans="1:52" s="84" customFormat="1" ht="14" hidden="1" customHeight="1" outlineLevel="4">
      <c r="A364" s="159"/>
      <c r="B364" s="702" t="s">
        <v>1029</v>
      </c>
      <c r="C364" s="702"/>
      <c r="D364" s="533" t="s">
        <v>3527</v>
      </c>
      <c r="E364" s="533"/>
      <c r="F364" s="177"/>
      <c r="G364" s="97"/>
      <c r="H364" s="363"/>
      <c r="I364" s="363"/>
      <c r="J364" s="367"/>
      <c r="K364" s="367"/>
      <c r="L364" s="367"/>
      <c r="M364" s="367"/>
      <c r="N364" s="367"/>
      <c r="O364" s="367"/>
      <c r="P364" s="367"/>
      <c r="Q364" s="97"/>
      <c r="R364" s="3899"/>
      <c r="S364" s="3899"/>
      <c r="T364" s="3899"/>
      <c r="U364" s="3899"/>
      <c r="V364" s="951"/>
      <c r="W364" s="3899"/>
      <c r="X364" s="97"/>
      <c r="Y364" s="711" t="s">
        <v>1179</v>
      </c>
      <c r="Z364" s="712">
        <v>1</v>
      </c>
      <c r="AA364" s="179"/>
      <c r="AB364" s="179"/>
      <c r="AC364" s="1053">
        <v>400000</v>
      </c>
      <c r="AD364" s="1048">
        <f t="shared" si="25"/>
        <v>400000</v>
      </c>
      <c r="AE364" s="1054"/>
      <c r="AF364" s="97"/>
      <c r="AG364" s="1041">
        <f t="shared" si="21"/>
        <v>400000</v>
      </c>
      <c r="AH364" s="1048">
        <v>0</v>
      </c>
      <c r="AI364" s="1048">
        <f t="shared" si="14"/>
        <v>400000</v>
      </c>
      <c r="AJ364" s="867"/>
      <c r="AK364" s="1015"/>
      <c r="AL364" s="1015"/>
      <c r="AM364" s="1015">
        <f t="shared" si="22"/>
        <v>80000</v>
      </c>
      <c r="AN364" s="1015">
        <f t="shared" si="23"/>
        <v>160000</v>
      </c>
      <c r="AO364" s="1015">
        <f t="shared" si="24"/>
        <v>160000</v>
      </c>
      <c r="AP364" s="1044">
        <f t="shared" si="13"/>
        <v>400000</v>
      </c>
      <c r="AQ364" s="148"/>
      <c r="AR364" s="1027"/>
      <c r="AS364" s="148"/>
      <c r="AT364" s="148"/>
      <c r="AU364" s="148"/>
      <c r="AV364" s="148"/>
      <c r="AW364" s="148"/>
      <c r="AX364" s="148"/>
      <c r="AY364" s="148"/>
      <c r="AZ364" s="148"/>
    </row>
    <row r="365" spans="1:52" s="84" customFormat="1" ht="41.5" hidden="1" customHeight="1" outlineLevel="4">
      <c r="A365" s="159"/>
      <c r="B365" s="702" t="s">
        <v>1031</v>
      </c>
      <c r="C365" s="702"/>
      <c r="D365" s="703" t="s">
        <v>3565</v>
      </c>
      <c r="E365" s="703"/>
      <c r="F365" s="177"/>
      <c r="G365" s="97"/>
      <c r="H365" s="363"/>
      <c r="I365" s="363"/>
      <c r="J365" s="367"/>
      <c r="K365" s="367"/>
      <c r="L365" s="367"/>
      <c r="M365" s="367"/>
      <c r="N365" s="367"/>
      <c r="O365" s="367"/>
      <c r="P365" s="367"/>
      <c r="Q365" s="97"/>
      <c r="R365" s="364"/>
      <c r="S365" s="364"/>
      <c r="T365" s="931"/>
      <c r="U365" s="364"/>
      <c r="V365" s="364"/>
      <c r="W365" s="177"/>
      <c r="X365" s="97"/>
      <c r="Y365" s="711"/>
      <c r="Z365" s="712"/>
      <c r="AA365" s="179"/>
      <c r="AB365" s="179"/>
      <c r="AC365" s="1053"/>
      <c r="AD365" s="1048"/>
      <c r="AE365" s="1054"/>
      <c r="AF365" s="97"/>
      <c r="AG365" s="1041">
        <f t="shared" si="21"/>
        <v>0</v>
      </c>
      <c r="AH365" s="1048">
        <v>0</v>
      </c>
      <c r="AI365" s="1048">
        <f t="shared" si="14"/>
        <v>0</v>
      </c>
      <c r="AJ365" s="867"/>
      <c r="AK365" s="1015"/>
      <c r="AL365" s="1015"/>
      <c r="AM365" s="1015">
        <f t="shared" si="22"/>
        <v>0</v>
      </c>
      <c r="AN365" s="1015">
        <f t="shared" si="23"/>
        <v>0</v>
      </c>
      <c r="AO365" s="1015">
        <f t="shared" si="24"/>
        <v>0</v>
      </c>
      <c r="AP365" s="1044">
        <f t="shared" ref="AP365:AP400" si="26">SUM(AK365:AO365)</f>
        <v>0</v>
      </c>
      <c r="AQ365" s="148"/>
      <c r="AR365" s="1027"/>
      <c r="AS365" s="148"/>
      <c r="AT365" s="148"/>
      <c r="AU365" s="148"/>
      <c r="AV365" s="148"/>
      <c r="AW365" s="148"/>
      <c r="AX365" s="148"/>
      <c r="AY365" s="148"/>
      <c r="AZ365" s="148"/>
    </row>
    <row r="366" spans="1:52" s="84" customFormat="1" ht="27.5" hidden="1" customHeight="1" outlineLevel="4">
      <c r="A366" s="159"/>
      <c r="B366" s="702" t="s">
        <v>1033</v>
      </c>
      <c r="C366" s="702"/>
      <c r="D366" s="533" t="s">
        <v>3566</v>
      </c>
      <c r="E366" s="533"/>
      <c r="F366" s="177"/>
      <c r="G366" s="97"/>
      <c r="H366" s="363"/>
      <c r="I366" s="363"/>
      <c r="J366" s="367"/>
      <c r="K366" s="367"/>
      <c r="L366" s="367"/>
      <c r="M366" s="367"/>
      <c r="N366" s="367"/>
      <c r="O366" s="367"/>
      <c r="P366" s="367"/>
      <c r="Q366" s="97"/>
      <c r="R366" s="3897" t="str">
        <f>+'9.3_PA_Det'!$E$145</f>
        <v>Selección Basada en Calidad y Costo</v>
      </c>
      <c r="S366" s="3897" t="s">
        <v>1075</v>
      </c>
      <c r="T366" s="3897" t="s">
        <v>1198</v>
      </c>
      <c r="U366" s="3897">
        <f>+'9.3_PA_Det'!$F$145</f>
        <v>51</v>
      </c>
      <c r="V366" s="852"/>
      <c r="W366" s="3897"/>
      <c r="X366" s="97"/>
      <c r="Y366" s="711" t="s">
        <v>1179</v>
      </c>
      <c r="Z366" s="712">
        <v>1</v>
      </c>
      <c r="AA366" s="179"/>
      <c r="AB366" s="179"/>
      <c r="AC366" s="1053">
        <v>200000</v>
      </c>
      <c r="AD366" s="1048">
        <f t="shared" si="25"/>
        <v>200000</v>
      </c>
      <c r="AE366" s="1054"/>
      <c r="AF366" s="97"/>
      <c r="AG366" s="1041">
        <f t="shared" si="21"/>
        <v>200000</v>
      </c>
      <c r="AH366" s="1048">
        <v>0</v>
      </c>
      <c r="AI366" s="1048">
        <f t="shared" si="14"/>
        <v>200000</v>
      </c>
      <c r="AJ366" s="867"/>
      <c r="AK366" s="1015"/>
      <c r="AL366" s="1015"/>
      <c r="AM366" s="1015">
        <f t="shared" si="22"/>
        <v>40000</v>
      </c>
      <c r="AN366" s="1015">
        <f t="shared" si="23"/>
        <v>80000</v>
      </c>
      <c r="AO366" s="1015">
        <f t="shared" si="24"/>
        <v>80000</v>
      </c>
      <c r="AP366" s="1044">
        <f t="shared" si="26"/>
        <v>200000</v>
      </c>
      <c r="AQ366" s="148"/>
      <c r="AR366" s="1027"/>
      <c r="AS366" s="148"/>
      <c r="AT366" s="148"/>
      <c r="AU366" s="148"/>
      <c r="AV366" s="148"/>
      <c r="AW366" s="148"/>
      <c r="AX366" s="148"/>
      <c r="AY366" s="148"/>
      <c r="AZ366" s="148"/>
    </row>
    <row r="367" spans="1:52" s="84" customFormat="1" ht="25.25" hidden="1" customHeight="1" outlineLevel="4">
      <c r="A367" s="159"/>
      <c r="B367" s="702" t="s">
        <v>1035</v>
      </c>
      <c r="C367" s="702"/>
      <c r="D367" s="1152" t="s">
        <v>3567</v>
      </c>
      <c r="E367" s="1152"/>
      <c r="F367" s="177"/>
      <c r="G367" s="97"/>
      <c r="H367" s="363"/>
      <c r="I367" s="363"/>
      <c r="J367" s="367"/>
      <c r="K367" s="367"/>
      <c r="L367" s="367"/>
      <c r="M367" s="367"/>
      <c r="N367" s="367"/>
      <c r="O367" s="367"/>
      <c r="P367" s="367"/>
      <c r="Q367" s="97"/>
      <c r="R367" s="3898"/>
      <c r="S367" s="3898"/>
      <c r="T367" s="3898"/>
      <c r="U367" s="3898"/>
      <c r="V367" s="1190"/>
      <c r="W367" s="3898"/>
      <c r="X367" s="97"/>
      <c r="Y367" s="711" t="s">
        <v>1179</v>
      </c>
      <c r="Z367" s="712">
        <v>1</v>
      </c>
      <c r="AA367" s="179"/>
      <c r="AB367" s="179"/>
      <c r="AC367" s="1053">
        <v>100000</v>
      </c>
      <c r="AD367" s="1048">
        <f t="shared" si="25"/>
        <v>100000</v>
      </c>
      <c r="AE367" s="1054"/>
      <c r="AF367" s="97"/>
      <c r="AG367" s="1041">
        <f t="shared" si="21"/>
        <v>100000</v>
      </c>
      <c r="AH367" s="1048">
        <v>0</v>
      </c>
      <c r="AI367" s="1048">
        <f t="shared" si="14"/>
        <v>100000</v>
      </c>
      <c r="AJ367" s="867"/>
      <c r="AK367" s="1015"/>
      <c r="AL367" s="1015"/>
      <c r="AM367" s="1015">
        <f t="shared" si="22"/>
        <v>20000</v>
      </c>
      <c r="AN367" s="1015">
        <f t="shared" si="23"/>
        <v>40000</v>
      </c>
      <c r="AO367" s="1015">
        <f t="shared" si="24"/>
        <v>40000</v>
      </c>
      <c r="AP367" s="1044">
        <f t="shared" si="26"/>
        <v>100000</v>
      </c>
      <c r="AQ367" s="148"/>
      <c r="AR367" s="1027"/>
      <c r="AS367" s="148"/>
      <c r="AT367" s="148"/>
      <c r="AU367" s="148"/>
      <c r="AV367" s="148"/>
      <c r="AW367" s="148"/>
      <c r="AX367" s="148"/>
      <c r="AY367" s="148"/>
      <c r="AZ367" s="148"/>
    </row>
    <row r="368" spans="1:52" s="84" customFormat="1" ht="27.5" hidden="1" customHeight="1" outlineLevel="4">
      <c r="A368" s="159"/>
      <c r="B368" s="702" t="s">
        <v>1037</v>
      </c>
      <c r="C368" s="702"/>
      <c r="D368" s="533" t="s">
        <v>3530</v>
      </c>
      <c r="E368" s="533"/>
      <c r="F368" s="177"/>
      <c r="G368" s="97"/>
      <c r="H368" s="363"/>
      <c r="I368" s="363"/>
      <c r="J368" s="367"/>
      <c r="K368" s="367"/>
      <c r="L368" s="367"/>
      <c r="M368" s="367"/>
      <c r="N368" s="367"/>
      <c r="O368" s="367"/>
      <c r="P368" s="367"/>
      <c r="Q368" s="97"/>
      <c r="R368" s="3899"/>
      <c r="S368" s="3899"/>
      <c r="T368" s="3899"/>
      <c r="U368" s="3899"/>
      <c r="V368" s="951"/>
      <c r="W368" s="3899"/>
      <c r="X368" s="97"/>
      <c r="Y368" s="711" t="s">
        <v>1179</v>
      </c>
      <c r="Z368" s="712">
        <v>1</v>
      </c>
      <c r="AA368" s="179"/>
      <c r="AB368" s="179"/>
      <c r="AC368" s="1053">
        <v>100000</v>
      </c>
      <c r="AD368" s="1048">
        <f t="shared" si="25"/>
        <v>100000</v>
      </c>
      <c r="AE368" s="1054"/>
      <c r="AF368" s="97"/>
      <c r="AG368" s="1041">
        <f t="shared" si="21"/>
        <v>100000</v>
      </c>
      <c r="AH368" s="1048">
        <v>0</v>
      </c>
      <c r="AI368" s="1048">
        <f t="shared" si="14"/>
        <v>100000</v>
      </c>
      <c r="AJ368" s="867"/>
      <c r="AK368" s="1015"/>
      <c r="AL368" s="1015"/>
      <c r="AM368" s="1015">
        <f t="shared" si="22"/>
        <v>20000</v>
      </c>
      <c r="AN368" s="1015">
        <f t="shared" si="23"/>
        <v>40000</v>
      </c>
      <c r="AO368" s="1015">
        <f t="shared" si="24"/>
        <v>40000</v>
      </c>
      <c r="AP368" s="1044">
        <f t="shared" si="26"/>
        <v>100000</v>
      </c>
      <c r="AQ368" s="148"/>
      <c r="AR368" s="1027"/>
      <c r="AS368" s="148"/>
      <c r="AT368" s="148"/>
      <c r="AU368" s="148"/>
      <c r="AV368" s="148"/>
      <c r="AW368" s="148"/>
      <c r="AX368" s="148"/>
      <c r="AY368" s="148"/>
      <c r="AZ368" s="148"/>
    </row>
    <row r="369" spans="1:52" s="84" customFormat="1" ht="14.5" hidden="1" customHeight="1" outlineLevel="4">
      <c r="A369" s="159"/>
      <c r="B369" s="702" t="s">
        <v>1039</v>
      </c>
      <c r="C369" s="702"/>
      <c r="D369" s="533" t="s">
        <v>3568</v>
      </c>
      <c r="E369" s="533"/>
      <c r="F369" s="177"/>
      <c r="G369" s="97"/>
      <c r="H369" s="363"/>
      <c r="I369" s="363"/>
      <c r="J369" s="367"/>
      <c r="K369" s="367"/>
      <c r="L369" s="367"/>
      <c r="M369" s="367"/>
      <c r="N369" s="367"/>
      <c r="O369" s="367"/>
      <c r="P369" s="367"/>
      <c r="Q369" s="97"/>
      <c r="R369" s="3897" t="str">
        <f>+'9.3_PA_Det'!$E$137</f>
        <v>Selección Basada en Calidad y Costo</v>
      </c>
      <c r="S369" s="3897" t="s">
        <v>1075</v>
      </c>
      <c r="T369" s="3897" t="s">
        <v>1198</v>
      </c>
      <c r="U369" s="3897">
        <f>+'9.3_PA_Det'!$F$137</f>
        <v>50</v>
      </c>
      <c r="V369" s="852"/>
      <c r="W369" s="3897"/>
      <c r="X369" s="97"/>
      <c r="Y369" s="711" t="s">
        <v>1179</v>
      </c>
      <c r="Z369" s="712">
        <v>1</v>
      </c>
      <c r="AA369" s="179"/>
      <c r="AB369" s="179"/>
      <c r="AC369" s="1053">
        <v>200000</v>
      </c>
      <c r="AD369" s="1048">
        <f t="shared" si="25"/>
        <v>200000</v>
      </c>
      <c r="AE369" s="714" t="s">
        <v>3569</v>
      </c>
      <c r="AF369" s="97"/>
      <c r="AG369" s="1041">
        <f t="shared" si="21"/>
        <v>200000</v>
      </c>
      <c r="AH369" s="1048">
        <v>0</v>
      </c>
      <c r="AI369" s="1048">
        <f t="shared" si="14"/>
        <v>200000</v>
      </c>
      <c r="AJ369" s="867"/>
      <c r="AK369" s="1015"/>
      <c r="AL369" s="1015"/>
      <c r="AM369" s="1015">
        <f t="shared" si="22"/>
        <v>40000</v>
      </c>
      <c r="AN369" s="1015">
        <f t="shared" si="23"/>
        <v>80000</v>
      </c>
      <c r="AO369" s="1015">
        <f t="shared" si="24"/>
        <v>80000</v>
      </c>
      <c r="AP369" s="1044">
        <f t="shared" si="26"/>
        <v>200000</v>
      </c>
      <c r="AQ369" s="148"/>
      <c r="AR369" s="1027"/>
      <c r="AS369" s="148"/>
      <c r="AT369" s="148"/>
      <c r="AU369" s="148"/>
      <c r="AV369" s="148"/>
      <c r="AW369" s="148"/>
      <c r="AX369" s="148"/>
      <c r="AY369" s="148"/>
      <c r="AZ369" s="148"/>
    </row>
    <row r="370" spans="1:52" s="84" customFormat="1" ht="41.5" hidden="1" customHeight="1" outlineLevel="4">
      <c r="A370" s="159"/>
      <c r="B370" s="702" t="s">
        <v>1041</v>
      </c>
      <c r="C370" s="702"/>
      <c r="D370" s="703" t="s">
        <v>3570</v>
      </c>
      <c r="E370" s="703"/>
      <c r="F370" s="177"/>
      <c r="G370" s="97"/>
      <c r="H370" s="363"/>
      <c r="I370" s="363"/>
      <c r="J370" s="367"/>
      <c r="K370" s="367"/>
      <c r="L370" s="367"/>
      <c r="M370" s="367"/>
      <c r="N370" s="367"/>
      <c r="O370" s="367"/>
      <c r="P370" s="367"/>
      <c r="Q370" s="97"/>
      <c r="R370" s="3899"/>
      <c r="S370" s="3899"/>
      <c r="T370" s="3899"/>
      <c r="U370" s="3899"/>
      <c r="V370" s="951"/>
      <c r="W370" s="3899"/>
      <c r="X370" s="97"/>
      <c r="Y370" s="711" t="s">
        <v>1179</v>
      </c>
      <c r="Z370" s="712">
        <v>1</v>
      </c>
      <c r="AA370" s="179"/>
      <c r="AB370" s="179"/>
      <c r="AC370" s="1053">
        <v>200000</v>
      </c>
      <c r="AD370" s="1048">
        <f>+Z370*AC370</f>
        <v>200000</v>
      </c>
      <c r="AE370" s="942" t="s">
        <v>3571</v>
      </c>
      <c r="AF370" s="97"/>
      <c r="AG370" s="1041">
        <f>+AD370</f>
        <v>200000</v>
      </c>
      <c r="AH370" s="1048">
        <v>0</v>
      </c>
      <c r="AI370" s="1048">
        <f t="shared" ref="AI370:AI392" si="27">+AG370+AH370</f>
        <v>200000</v>
      </c>
      <c r="AJ370" s="867"/>
      <c r="AK370" s="1015"/>
      <c r="AL370" s="1015"/>
      <c r="AM370" s="1015">
        <f t="shared" si="22"/>
        <v>40000</v>
      </c>
      <c r="AN370" s="1015">
        <f t="shared" si="23"/>
        <v>80000</v>
      </c>
      <c r="AO370" s="1015">
        <f t="shared" si="24"/>
        <v>80000</v>
      </c>
      <c r="AP370" s="1044">
        <f t="shared" si="26"/>
        <v>200000</v>
      </c>
      <c r="AQ370" s="148"/>
      <c r="AR370" s="1027"/>
      <c r="AS370" s="148"/>
      <c r="AT370" s="148"/>
      <c r="AU370" s="148"/>
      <c r="AV370" s="148"/>
      <c r="AW370" s="148"/>
      <c r="AX370" s="148"/>
      <c r="AY370" s="148"/>
      <c r="AZ370" s="148"/>
    </row>
    <row r="371" spans="1:52" s="153" customFormat="1" ht="58.25" hidden="1" customHeight="1" outlineLevel="3" collapsed="1">
      <c r="A371" s="581"/>
      <c r="B371" s="400" t="s">
        <v>1047</v>
      </c>
      <c r="C371" s="400"/>
      <c r="D371" s="536" t="s">
        <v>3572</v>
      </c>
      <c r="E371" s="536"/>
      <c r="F371" s="399"/>
      <c r="G371" s="96"/>
      <c r="H371" s="401"/>
      <c r="I371" s="401"/>
      <c r="J371" s="402"/>
      <c r="K371" s="402"/>
      <c r="L371" s="402"/>
      <c r="M371" s="402"/>
      <c r="N371" s="402"/>
      <c r="O371" s="402"/>
      <c r="P371" s="402"/>
      <c r="Q371" s="96"/>
      <c r="R371" s="837"/>
      <c r="S371" s="851"/>
      <c r="T371" s="851"/>
      <c r="U371" s="851"/>
      <c r="V371" s="851"/>
      <c r="W371" s="399"/>
      <c r="X371" s="96"/>
      <c r="Y371" s="396"/>
      <c r="Z371" s="397"/>
      <c r="AA371" s="397"/>
      <c r="AB371" s="395"/>
      <c r="AC371" s="489"/>
      <c r="AD371" s="398">
        <f>SUM(AD372:AD375)</f>
        <v>325000</v>
      </c>
      <c r="AE371" s="691"/>
      <c r="AF371" s="96"/>
      <c r="AG371" s="398">
        <f>SUM(AG372:AG375)</f>
        <v>325000</v>
      </c>
      <c r="AH371" s="398">
        <f>SUM(AH372:AH375)</f>
        <v>0</v>
      </c>
      <c r="AI371" s="398">
        <f t="shared" si="27"/>
        <v>325000</v>
      </c>
      <c r="AJ371" s="865"/>
      <c r="AK371" s="992">
        <f>SUM(AK372:AK375)</f>
        <v>0</v>
      </c>
      <c r="AL371" s="992">
        <f>SUM(AL372:AL375)</f>
        <v>0</v>
      </c>
      <c r="AM371" s="992">
        <f>SUM(AM372:AM375)</f>
        <v>325000</v>
      </c>
      <c r="AN371" s="993">
        <f>SUM(AN372:AN375)</f>
        <v>0</v>
      </c>
      <c r="AO371" s="1014">
        <f>SUM(AO372:AO375)</f>
        <v>0</v>
      </c>
      <c r="AP371" s="994">
        <f t="shared" si="26"/>
        <v>325000</v>
      </c>
      <c r="AR371" s="1027"/>
    </row>
    <row r="372" spans="1:52" s="84" customFormat="1" ht="14" hidden="1" customHeight="1" outlineLevel="4">
      <c r="A372" s="159"/>
      <c r="B372" s="702" t="s">
        <v>3573</v>
      </c>
      <c r="C372" s="702"/>
      <c r="D372" s="533" t="s">
        <v>3525</v>
      </c>
      <c r="E372" s="533"/>
      <c r="F372" s="103"/>
      <c r="G372" s="97"/>
      <c r="H372" s="363"/>
      <c r="I372" s="363"/>
      <c r="J372" s="367"/>
      <c r="K372" s="367"/>
      <c r="L372" s="367"/>
      <c r="M372" s="367"/>
      <c r="N372" s="367"/>
      <c r="O372" s="367"/>
      <c r="P372" s="367"/>
      <c r="Q372" s="97"/>
      <c r="R372" s="3897" t="str">
        <f>+'9.3_PA_Det'!$E$137</f>
        <v>Selección Basada en Calidad y Costo</v>
      </c>
      <c r="S372" s="3897" t="s">
        <v>1075</v>
      </c>
      <c r="T372" s="3897" t="s">
        <v>1198</v>
      </c>
      <c r="U372" s="3897">
        <f>+'9.3_PA_Det'!$F$137</f>
        <v>50</v>
      </c>
      <c r="V372" s="852"/>
      <c r="W372" s="3897"/>
      <c r="X372" s="97"/>
      <c r="Y372" s="711" t="s">
        <v>1179</v>
      </c>
      <c r="Z372" s="712">
        <v>1</v>
      </c>
      <c r="AA372" s="179"/>
      <c r="AB372" s="179"/>
      <c r="AC372" s="1053">
        <v>75000</v>
      </c>
      <c r="AD372" s="1048">
        <f t="shared" si="25"/>
        <v>75000</v>
      </c>
      <c r="AE372" s="1054"/>
      <c r="AF372" s="97"/>
      <c r="AG372" s="1041">
        <f>+AD372</f>
        <v>75000</v>
      </c>
      <c r="AH372" s="1048">
        <v>0</v>
      </c>
      <c r="AI372" s="1053">
        <f t="shared" si="27"/>
        <v>75000</v>
      </c>
      <c r="AJ372" s="867"/>
      <c r="AK372" s="986"/>
      <c r="AL372" s="986"/>
      <c r="AM372" s="986">
        <f>+AG372</f>
        <v>75000</v>
      </c>
      <c r="AN372" s="986"/>
      <c r="AO372" s="1055"/>
      <c r="AP372" s="1044">
        <f t="shared" si="26"/>
        <v>75000</v>
      </c>
      <c r="AQ372" s="148"/>
      <c r="AR372" s="1027"/>
      <c r="AS372" s="148"/>
      <c r="AT372" s="148"/>
      <c r="AU372" s="148"/>
      <c r="AV372" s="148"/>
      <c r="AW372" s="148"/>
      <c r="AX372" s="148"/>
      <c r="AY372" s="148"/>
      <c r="AZ372" s="148"/>
    </row>
    <row r="373" spans="1:52" s="84" customFormat="1" ht="14" hidden="1" customHeight="1" outlineLevel="4">
      <c r="A373" s="159"/>
      <c r="B373" s="702" t="s">
        <v>3574</v>
      </c>
      <c r="C373" s="702"/>
      <c r="D373" s="533" t="s">
        <v>3526</v>
      </c>
      <c r="E373" s="533"/>
      <c r="F373" s="177"/>
      <c r="G373" s="97"/>
      <c r="H373" s="363"/>
      <c r="I373" s="363"/>
      <c r="J373" s="367"/>
      <c r="K373" s="367"/>
      <c r="L373" s="367"/>
      <c r="M373" s="367"/>
      <c r="N373" s="367"/>
      <c r="O373" s="367"/>
      <c r="P373" s="367"/>
      <c r="Q373" s="97"/>
      <c r="R373" s="3899"/>
      <c r="S373" s="3899"/>
      <c r="T373" s="3899"/>
      <c r="U373" s="3899"/>
      <c r="V373" s="951"/>
      <c r="W373" s="3899"/>
      <c r="X373" s="97"/>
      <c r="Y373" s="711" t="s">
        <v>1179</v>
      </c>
      <c r="Z373" s="712">
        <v>1</v>
      </c>
      <c r="AA373" s="179"/>
      <c r="AB373" s="179"/>
      <c r="AC373" s="1053">
        <v>100000</v>
      </c>
      <c r="AD373" s="1048">
        <f t="shared" si="25"/>
        <v>100000</v>
      </c>
      <c r="AE373" s="1054" t="s">
        <v>3575</v>
      </c>
      <c r="AF373" s="97"/>
      <c r="AG373" s="1041">
        <f>+AD373</f>
        <v>100000</v>
      </c>
      <c r="AH373" s="1048">
        <v>0</v>
      </c>
      <c r="AI373" s="1053">
        <f t="shared" si="27"/>
        <v>100000</v>
      </c>
      <c r="AJ373" s="867"/>
      <c r="AK373" s="986"/>
      <c r="AL373" s="986"/>
      <c r="AM373" s="986">
        <f>+AG373</f>
        <v>100000</v>
      </c>
      <c r="AN373" s="986"/>
      <c r="AO373" s="1055"/>
      <c r="AP373" s="1044">
        <f t="shared" si="26"/>
        <v>100000</v>
      </c>
      <c r="AQ373" s="148"/>
      <c r="AR373" s="1027"/>
      <c r="AS373" s="148"/>
      <c r="AT373" s="148"/>
      <c r="AU373" s="148"/>
      <c r="AV373" s="148"/>
      <c r="AW373" s="148"/>
      <c r="AX373" s="148"/>
      <c r="AY373" s="148"/>
      <c r="AZ373" s="148"/>
    </row>
    <row r="374" spans="1:52" s="84" customFormat="1" ht="25.25" hidden="1" customHeight="1" outlineLevel="4">
      <c r="A374" s="159"/>
      <c r="B374" s="702" t="s">
        <v>3576</v>
      </c>
      <c r="C374" s="702"/>
      <c r="D374" s="1152" t="s">
        <v>3577</v>
      </c>
      <c r="E374" s="1152"/>
      <c r="F374" s="177"/>
      <c r="G374" s="97"/>
      <c r="H374" s="363"/>
      <c r="I374" s="363"/>
      <c r="J374" s="367"/>
      <c r="K374" s="367"/>
      <c r="L374" s="367"/>
      <c r="M374" s="367"/>
      <c r="N374" s="367"/>
      <c r="O374" s="367"/>
      <c r="P374" s="367"/>
      <c r="Q374" s="97"/>
      <c r="R374" s="3897" t="str">
        <f>+'9.3_PA_Det'!$E$145</f>
        <v>Selección Basada en Calidad y Costo</v>
      </c>
      <c r="S374" s="3897" t="s">
        <v>1075</v>
      </c>
      <c r="T374" s="3897" t="s">
        <v>1198</v>
      </c>
      <c r="U374" s="3897">
        <f>+'9.3_PA_Det'!$F$145</f>
        <v>51</v>
      </c>
      <c r="V374" s="852"/>
      <c r="W374" s="3897"/>
      <c r="X374" s="97"/>
      <c r="Y374" s="711" t="s">
        <v>1179</v>
      </c>
      <c r="Z374" s="712">
        <v>1</v>
      </c>
      <c r="AA374" s="179"/>
      <c r="AB374" s="179"/>
      <c r="AC374" s="1053">
        <v>50000</v>
      </c>
      <c r="AD374" s="1048">
        <f t="shared" si="25"/>
        <v>50000</v>
      </c>
      <c r="AE374" s="1054"/>
      <c r="AF374" s="97"/>
      <c r="AG374" s="1041">
        <f>+AD374</f>
        <v>50000</v>
      </c>
      <c r="AH374" s="1048">
        <v>0</v>
      </c>
      <c r="AI374" s="1053">
        <f t="shared" si="27"/>
        <v>50000</v>
      </c>
      <c r="AJ374" s="867"/>
      <c r="AK374" s="986"/>
      <c r="AL374" s="986"/>
      <c r="AM374" s="986">
        <f>+AG374</f>
        <v>50000</v>
      </c>
      <c r="AN374" s="986"/>
      <c r="AO374" s="1055"/>
      <c r="AP374" s="1044">
        <f t="shared" si="26"/>
        <v>50000</v>
      </c>
      <c r="AQ374" s="148"/>
      <c r="AR374" s="1027"/>
      <c r="AS374" s="148"/>
      <c r="AT374" s="148"/>
      <c r="AU374" s="148"/>
      <c r="AV374" s="148"/>
      <c r="AW374" s="148"/>
      <c r="AX374" s="148"/>
      <c r="AY374" s="148"/>
      <c r="AZ374" s="148"/>
    </row>
    <row r="375" spans="1:52" s="84" customFormat="1" ht="27.5" hidden="1" customHeight="1" outlineLevel="4">
      <c r="A375" s="159"/>
      <c r="B375" s="702" t="s">
        <v>3578</v>
      </c>
      <c r="C375" s="702"/>
      <c r="D375" s="533" t="s">
        <v>3530</v>
      </c>
      <c r="E375" s="533"/>
      <c r="F375" s="177"/>
      <c r="G375" s="97"/>
      <c r="H375" s="363"/>
      <c r="I375" s="363"/>
      <c r="J375" s="367"/>
      <c r="K375" s="367"/>
      <c r="L375" s="367"/>
      <c r="M375" s="367"/>
      <c r="N375" s="367"/>
      <c r="O375" s="367"/>
      <c r="P375" s="367"/>
      <c r="Q375" s="97"/>
      <c r="R375" s="3899"/>
      <c r="S375" s="3899"/>
      <c r="T375" s="3899"/>
      <c r="U375" s="3899"/>
      <c r="V375" s="951"/>
      <c r="W375" s="3899"/>
      <c r="X375" s="97"/>
      <c r="Y375" s="711" t="s">
        <v>1179</v>
      </c>
      <c r="Z375" s="712">
        <v>1</v>
      </c>
      <c r="AA375" s="179"/>
      <c r="AB375" s="179"/>
      <c r="AC375" s="1053">
        <v>100000</v>
      </c>
      <c r="AD375" s="1048">
        <f t="shared" si="25"/>
        <v>100000</v>
      </c>
      <c r="AE375" s="1054"/>
      <c r="AF375" s="97"/>
      <c r="AG375" s="1041">
        <f>+AD375</f>
        <v>100000</v>
      </c>
      <c r="AH375" s="1048">
        <v>0</v>
      </c>
      <c r="AI375" s="1053">
        <f t="shared" si="27"/>
        <v>100000</v>
      </c>
      <c r="AJ375" s="867"/>
      <c r="AK375" s="986"/>
      <c r="AL375" s="986"/>
      <c r="AM375" s="986">
        <f>+AG375</f>
        <v>100000</v>
      </c>
      <c r="AN375" s="986"/>
      <c r="AO375" s="1055"/>
      <c r="AP375" s="1044">
        <f t="shared" si="26"/>
        <v>100000</v>
      </c>
      <c r="AQ375" s="148"/>
      <c r="AR375" s="1027"/>
      <c r="AS375" s="148"/>
      <c r="AT375" s="148"/>
      <c r="AU375" s="148"/>
      <c r="AV375" s="148"/>
      <c r="AW375" s="148"/>
      <c r="AX375" s="148"/>
      <c r="AY375" s="148"/>
      <c r="AZ375" s="148"/>
    </row>
    <row r="376" spans="1:52" s="153" customFormat="1" ht="69" hidden="1" customHeight="1" outlineLevel="3" collapsed="1">
      <c r="A376" s="581"/>
      <c r="B376" s="400" t="s">
        <v>1618</v>
      </c>
      <c r="C376" s="400"/>
      <c r="D376" s="536" t="s">
        <v>3579</v>
      </c>
      <c r="E376" s="536"/>
      <c r="F376" s="399"/>
      <c r="G376" s="96"/>
      <c r="H376" s="401"/>
      <c r="I376" s="401"/>
      <c r="J376" s="402"/>
      <c r="K376" s="402"/>
      <c r="L376" s="402"/>
      <c r="M376" s="402"/>
      <c r="N376" s="402"/>
      <c r="O376" s="402"/>
      <c r="P376" s="402"/>
      <c r="Q376" s="96"/>
      <c r="R376" s="837"/>
      <c r="S376" s="851"/>
      <c r="T376" s="851"/>
      <c r="U376" s="851"/>
      <c r="V376" s="851"/>
      <c r="W376" s="399"/>
      <c r="X376" s="96"/>
      <c r="Y376" s="396"/>
      <c r="Z376" s="397"/>
      <c r="AA376" s="397"/>
      <c r="AB376" s="395"/>
      <c r="AC376" s="489"/>
      <c r="AD376" s="398">
        <f>SUM(AD377:AD380)</f>
        <v>325000</v>
      </c>
      <c r="AE376" s="691"/>
      <c r="AF376" s="96"/>
      <c r="AG376" s="398">
        <f>SUM(AG377:AG380)</f>
        <v>325000</v>
      </c>
      <c r="AH376" s="398">
        <f>SUM(AH377:AH380)</f>
        <v>0</v>
      </c>
      <c r="AI376" s="398">
        <f t="shared" si="27"/>
        <v>325000</v>
      </c>
      <c r="AJ376" s="865"/>
      <c r="AK376" s="992">
        <f>SUM(AK377:AK380)</f>
        <v>0</v>
      </c>
      <c r="AL376" s="992">
        <f>SUM(AL377:AL380)</f>
        <v>0</v>
      </c>
      <c r="AM376" s="992">
        <f>SUM(AM377:AM380)</f>
        <v>0</v>
      </c>
      <c r="AN376" s="993">
        <f>SUM(AN377:AN380)</f>
        <v>325000</v>
      </c>
      <c r="AO376" s="1014">
        <f>SUM(AO377:AO380)</f>
        <v>0</v>
      </c>
      <c r="AP376" s="994">
        <f t="shared" si="26"/>
        <v>325000</v>
      </c>
      <c r="AR376" s="1027"/>
    </row>
    <row r="377" spans="1:52" s="84" customFormat="1" ht="14" hidden="1" customHeight="1" outlineLevel="4">
      <c r="A377" s="159"/>
      <c r="B377" s="702" t="s">
        <v>3580</v>
      </c>
      <c r="C377" s="702"/>
      <c r="D377" s="533" t="s">
        <v>3525</v>
      </c>
      <c r="E377" s="533"/>
      <c r="F377" s="103"/>
      <c r="G377" s="97"/>
      <c r="H377" s="363"/>
      <c r="I377" s="363"/>
      <c r="J377" s="367"/>
      <c r="K377" s="367"/>
      <c r="L377" s="367"/>
      <c r="M377" s="367"/>
      <c r="N377" s="367"/>
      <c r="O377" s="367"/>
      <c r="P377" s="367"/>
      <c r="Q377" s="97"/>
      <c r="R377" s="364" t="s">
        <v>723</v>
      </c>
      <c r="S377" s="364"/>
      <c r="T377" s="931"/>
      <c r="U377" s="364"/>
      <c r="V377" s="364"/>
      <c r="W377" s="177"/>
      <c r="X377" s="97"/>
      <c r="Y377" s="711" t="s">
        <v>3581</v>
      </c>
      <c r="Z377" s="712">
        <v>1</v>
      </c>
      <c r="AA377" s="179"/>
      <c r="AB377" s="179"/>
      <c r="AC377" s="1053">
        <v>75000</v>
      </c>
      <c r="AD377" s="1048">
        <f t="shared" si="25"/>
        <v>75000</v>
      </c>
      <c r="AE377" s="1054"/>
      <c r="AF377" s="97"/>
      <c r="AG377" s="1041">
        <f>+AD377</f>
        <v>75000</v>
      </c>
      <c r="AH377" s="1048">
        <v>0</v>
      </c>
      <c r="AI377" s="1053">
        <f t="shared" si="27"/>
        <v>75000</v>
      </c>
      <c r="AJ377" s="867"/>
      <c r="AK377" s="986"/>
      <c r="AL377" s="986"/>
      <c r="AM377" s="986"/>
      <c r="AN377" s="986">
        <f>+AG377</f>
        <v>75000</v>
      </c>
      <c r="AO377" s="1055"/>
      <c r="AP377" s="1044">
        <f t="shared" si="26"/>
        <v>75000</v>
      </c>
      <c r="AQ377" s="148"/>
      <c r="AR377" s="1027"/>
      <c r="AS377" s="148"/>
      <c r="AT377" s="148"/>
      <c r="AU377" s="148"/>
      <c r="AV377" s="148"/>
      <c r="AW377" s="148"/>
      <c r="AX377" s="148"/>
      <c r="AY377" s="148"/>
      <c r="AZ377" s="148"/>
    </row>
    <row r="378" spans="1:52" s="84" customFormat="1" ht="14" hidden="1" customHeight="1" outlineLevel="4">
      <c r="A378" s="159"/>
      <c r="B378" s="702" t="s">
        <v>3582</v>
      </c>
      <c r="C378" s="702"/>
      <c r="D378" s="533" t="s">
        <v>3526</v>
      </c>
      <c r="E378" s="533"/>
      <c r="F378" s="177"/>
      <c r="G378" s="97"/>
      <c r="H378" s="363"/>
      <c r="I378" s="363"/>
      <c r="J378" s="367"/>
      <c r="K378" s="367"/>
      <c r="L378" s="367"/>
      <c r="M378" s="367"/>
      <c r="N378" s="367"/>
      <c r="O378" s="367"/>
      <c r="P378" s="367"/>
      <c r="Q378" s="97"/>
      <c r="R378" s="364" t="s">
        <v>723</v>
      </c>
      <c r="S378" s="364"/>
      <c r="T378" s="931"/>
      <c r="U378" s="364"/>
      <c r="V378" s="364"/>
      <c r="W378" s="177"/>
      <c r="X378" s="97"/>
      <c r="Y378" s="711" t="s">
        <v>3581</v>
      </c>
      <c r="Z378" s="712">
        <v>1</v>
      </c>
      <c r="AA378" s="179"/>
      <c r="AB378" s="179"/>
      <c r="AC378" s="1053">
        <v>100000</v>
      </c>
      <c r="AD378" s="1048">
        <f t="shared" si="25"/>
        <v>100000</v>
      </c>
      <c r="AE378" s="1054"/>
      <c r="AF378" s="97"/>
      <c r="AG378" s="1041">
        <f>+AD378</f>
        <v>100000</v>
      </c>
      <c r="AH378" s="1048">
        <v>0</v>
      </c>
      <c r="AI378" s="1053">
        <f t="shared" si="27"/>
        <v>100000</v>
      </c>
      <c r="AJ378" s="867"/>
      <c r="AK378" s="986"/>
      <c r="AL378" s="986"/>
      <c r="AM378" s="986"/>
      <c r="AN378" s="986">
        <f>+AG378</f>
        <v>100000</v>
      </c>
      <c r="AO378" s="1055"/>
      <c r="AP378" s="1044">
        <f t="shared" si="26"/>
        <v>100000</v>
      </c>
      <c r="AQ378" s="148"/>
      <c r="AR378" s="1027"/>
      <c r="AS378" s="148"/>
      <c r="AT378" s="148"/>
      <c r="AU378" s="148"/>
      <c r="AV378" s="148"/>
      <c r="AW378" s="148"/>
      <c r="AX378" s="148"/>
      <c r="AY378" s="148"/>
      <c r="AZ378" s="148"/>
    </row>
    <row r="379" spans="1:52" s="84" customFormat="1" ht="25.25" hidden="1" customHeight="1" outlineLevel="4">
      <c r="A379" s="159"/>
      <c r="B379" s="702" t="s">
        <v>3583</v>
      </c>
      <c r="C379" s="702"/>
      <c r="D379" s="1152" t="s">
        <v>3584</v>
      </c>
      <c r="E379" s="1152"/>
      <c r="F379" s="177"/>
      <c r="G379" s="97"/>
      <c r="H379" s="363"/>
      <c r="I379" s="363"/>
      <c r="J379" s="367"/>
      <c r="K379" s="367"/>
      <c r="L379" s="367"/>
      <c r="M379" s="367"/>
      <c r="N379" s="367"/>
      <c r="O379" s="367"/>
      <c r="P379" s="367"/>
      <c r="Q379" s="97"/>
      <c r="R379" s="364" t="s">
        <v>723</v>
      </c>
      <c r="S379" s="364"/>
      <c r="T379" s="931"/>
      <c r="U379" s="364"/>
      <c r="V379" s="364"/>
      <c r="W379" s="177"/>
      <c r="X379" s="97"/>
      <c r="Y379" s="711" t="s">
        <v>3581</v>
      </c>
      <c r="Z379" s="712">
        <v>1</v>
      </c>
      <c r="AA379" s="179"/>
      <c r="AB379" s="179"/>
      <c r="AC379" s="1053">
        <v>50000</v>
      </c>
      <c r="AD379" s="1048">
        <f t="shared" si="25"/>
        <v>50000</v>
      </c>
      <c r="AE379" s="1054"/>
      <c r="AF379" s="97"/>
      <c r="AG379" s="1041">
        <f>+AD379</f>
        <v>50000</v>
      </c>
      <c r="AH379" s="1048">
        <v>0</v>
      </c>
      <c r="AI379" s="1053">
        <f t="shared" si="27"/>
        <v>50000</v>
      </c>
      <c r="AJ379" s="867"/>
      <c r="AK379" s="986"/>
      <c r="AL379" s="986"/>
      <c r="AM379" s="986"/>
      <c r="AN379" s="986">
        <f>+AG379</f>
        <v>50000</v>
      </c>
      <c r="AO379" s="1055"/>
      <c r="AP379" s="1044">
        <f t="shared" si="26"/>
        <v>50000</v>
      </c>
      <c r="AQ379" s="148"/>
      <c r="AR379" s="1027"/>
      <c r="AS379" s="148"/>
      <c r="AT379" s="148"/>
      <c r="AU379" s="148"/>
      <c r="AV379" s="148"/>
      <c r="AW379" s="148"/>
      <c r="AX379" s="148"/>
      <c r="AY379" s="148"/>
      <c r="AZ379" s="148"/>
    </row>
    <row r="380" spans="1:52" s="84" customFormat="1" ht="27.5" hidden="1" customHeight="1" outlineLevel="4">
      <c r="A380" s="159"/>
      <c r="B380" s="702" t="s">
        <v>3585</v>
      </c>
      <c r="C380" s="702"/>
      <c r="D380" s="533" t="s">
        <v>3530</v>
      </c>
      <c r="E380" s="533"/>
      <c r="F380" s="177"/>
      <c r="G380" s="97"/>
      <c r="H380" s="363"/>
      <c r="I380" s="363"/>
      <c r="J380" s="367"/>
      <c r="K380" s="367"/>
      <c r="L380" s="367"/>
      <c r="M380" s="367"/>
      <c r="N380" s="367"/>
      <c r="O380" s="367"/>
      <c r="P380" s="367"/>
      <c r="Q380" s="97"/>
      <c r="R380" s="364" t="s">
        <v>723</v>
      </c>
      <c r="S380" s="364"/>
      <c r="T380" s="931"/>
      <c r="U380" s="364"/>
      <c r="V380" s="364"/>
      <c r="W380" s="177"/>
      <c r="X380" s="97"/>
      <c r="Y380" s="711" t="s">
        <v>3581</v>
      </c>
      <c r="Z380" s="712">
        <v>1</v>
      </c>
      <c r="AA380" s="179"/>
      <c r="AB380" s="179"/>
      <c r="AC380" s="1053">
        <v>100000</v>
      </c>
      <c r="AD380" s="1048">
        <f t="shared" si="25"/>
        <v>100000</v>
      </c>
      <c r="AE380" s="1054"/>
      <c r="AF380" s="97"/>
      <c r="AG380" s="1041">
        <f>+AD380</f>
        <v>100000</v>
      </c>
      <c r="AH380" s="1048">
        <v>0</v>
      </c>
      <c r="AI380" s="1053">
        <f t="shared" si="27"/>
        <v>100000</v>
      </c>
      <c r="AJ380" s="867"/>
      <c r="AK380" s="986"/>
      <c r="AL380" s="986"/>
      <c r="AM380" s="986"/>
      <c r="AN380" s="986">
        <f>+AG380</f>
        <v>100000</v>
      </c>
      <c r="AO380" s="1055"/>
      <c r="AP380" s="1044">
        <f t="shared" si="26"/>
        <v>100000</v>
      </c>
      <c r="AQ380" s="148"/>
      <c r="AR380" s="1027"/>
      <c r="AS380" s="148"/>
      <c r="AT380" s="148"/>
      <c r="AU380" s="148"/>
      <c r="AV380" s="148"/>
      <c r="AW380" s="148"/>
      <c r="AX380" s="148"/>
      <c r="AY380" s="148"/>
      <c r="AZ380" s="148"/>
    </row>
    <row r="381" spans="1:52" s="153" customFormat="1" ht="26.5" hidden="1" customHeight="1" outlineLevel="3" collapsed="1">
      <c r="A381" s="581"/>
      <c r="B381" s="400" t="s">
        <v>3586</v>
      </c>
      <c r="C381" s="400"/>
      <c r="D381" s="536" t="s">
        <v>3587</v>
      </c>
      <c r="E381" s="536"/>
      <c r="F381" s="399"/>
      <c r="G381" s="96"/>
      <c r="H381" s="401"/>
      <c r="I381" s="401"/>
      <c r="J381" s="402"/>
      <c r="K381" s="402"/>
      <c r="L381" s="402"/>
      <c r="M381" s="402"/>
      <c r="N381" s="402"/>
      <c r="O381" s="402"/>
      <c r="P381" s="402"/>
      <c r="Q381" s="96"/>
      <c r="R381" s="837"/>
      <c r="S381" s="851"/>
      <c r="T381" s="851"/>
      <c r="U381" s="851"/>
      <c r="V381" s="851"/>
      <c r="W381" s="399"/>
      <c r="X381" s="96"/>
      <c r="Y381" s="396"/>
      <c r="Z381" s="397"/>
      <c r="AA381" s="397"/>
      <c r="AB381" s="395"/>
      <c r="AC381" s="398"/>
      <c r="AD381" s="398">
        <f>SUM(AD382:AD385)</f>
        <v>375000</v>
      </c>
      <c r="AE381" s="691"/>
      <c r="AF381" s="96"/>
      <c r="AG381" s="398">
        <f>SUM(AG382:AG385)</f>
        <v>375000</v>
      </c>
      <c r="AH381" s="398">
        <f>SUM(AH382:AH385)</f>
        <v>0</v>
      </c>
      <c r="AI381" s="398">
        <f t="shared" si="27"/>
        <v>375000</v>
      </c>
      <c r="AJ381" s="865"/>
      <c r="AK381" s="992">
        <f>SUM(AK382:AK385)</f>
        <v>0</v>
      </c>
      <c r="AL381" s="992">
        <f>SUM(AL382:AL385)</f>
        <v>0</v>
      </c>
      <c r="AM381" s="992">
        <f>SUM(AM382:AM385)</f>
        <v>0</v>
      </c>
      <c r="AN381" s="993">
        <f>SUM(AN382:AN385)</f>
        <v>0</v>
      </c>
      <c r="AO381" s="994">
        <f>SUM(AO382:AO385)</f>
        <v>375000</v>
      </c>
      <c r="AP381" s="994">
        <f t="shared" si="26"/>
        <v>375000</v>
      </c>
      <c r="AR381" s="1027"/>
    </row>
    <row r="382" spans="1:52" s="84" customFormat="1" ht="14" hidden="1" customHeight="1" outlineLevel="4">
      <c r="A382" s="159"/>
      <c r="B382" s="702" t="s">
        <v>3588</v>
      </c>
      <c r="C382" s="702"/>
      <c r="D382" s="533" t="s">
        <v>3525</v>
      </c>
      <c r="E382" s="533"/>
      <c r="F382" s="103"/>
      <c r="G382" s="97"/>
      <c r="H382" s="363"/>
      <c r="I382" s="363"/>
      <c r="J382" s="367"/>
      <c r="K382" s="367"/>
      <c r="L382" s="367"/>
      <c r="M382" s="367"/>
      <c r="N382" s="367"/>
      <c r="O382" s="367"/>
      <c r="P382" s="367"/>
      <c r="Q382" s="97"/>
      <c r="R382" s="364" t="s">
        <v>723</v>
      </c>
      <c r="S382" s="364"/>
      <c r="T382" s="931"/>
      <c r="U382" s="364"/>
      <c r="V382" s="364"/>
      <c r="W382" s="177"/>
      <c r="X382" s="97"/>
      <c r="Y382" s="711" t="s">
        <v>3581</v>
      </c>
      <c r="Z382" s="712">
        <v>1</v>
      </c>
      <c r="AA382" s="179"/>
      <c r="AB382" s="179"/>
      <c r="AC382" s="1053">
        <v>75000</v>
      </c>
      <c r="AD382" s="1048">
        <v>75000</v>
      </c>
      <c r="AE382" s="1054"/>
      <c r="AF382" s="97"/>
      <c r="AG382" s="1041">
        <f>+AD382</f>
        <v>75000</v>
      </c>
      <c r="AH382" s="1048">
        <v>0</v>
      </c>
      <c r="AI382" s="1053">
        <f t="shared" si="27"/>
        <v>75000</v>
      </c>
      <c r="AJ382" s="867"/>
      <c r="AK382" s="986"/>
      <c r="AL382" s="986"/>
      <c r="AM382" s="986"/>
      <c r="AN382" s="986"/>
      <c r="AO382" s="1055">
        <f>+AG382</f>
        <v>75000</v>
      </c>
      <c r="AP382" s="1044">
        <f t="shared" si="26"/>
        <v>75000</v>
      </c>
      <c r="AQ382" s="148"/>
      <c r="AR382" s="1027"/>
      <c r="AS382" s="148"/>
      <c r="AT382" s="148"/>
      <c r="AU382" s="148"/>
      <c r="AV382" s="148"/>
      <c r="AW382" s="148"/>
      <c r="AX382" s="148"/>
      <c r="AY382" s="148"/>
      <c r="AZ382" s="148"/>
    </row>
    <row r="383" spans="1:52" s="84" customFormat="1" ht="14" hidden="1" customHeight="1" outlineLevel="4">
      <c r="A383" s="159"/>
      <c r="B383" s="702" t="s">
        <v>3589</v>
      </c>
      <c r="C383" s="702"/>
      <c r="D383" s="533" t="s">
        <v>3526</v>
      </c>
      <c r="E383" s="533"/>
      <c r="F383" s="177"/>
      <c r="G383" s="97"/>
      <c r="H383" s="363"/>
      <c r="I383" s="363"/>
      <c r="J383" s="367"/>
      <c r="K383" s="367"/>
      <c r="L383" s="367"/>
      <c r="M383" s="367"/>
      <c r="N383" s="367"/>
      <c r="O383" s="367"/>
      <c r="P383" s="367"/>
      <c r="Q383" s="97"/>
      <c r="R383" s="364" t="s">
        <v>723</v>
      </c>
      <c r="S383" s="364"/>
      <c r="T383" s="931"/>
      <c r="U383" s="364"/>
      <c r="V383" s="364"/>
      <c r="W383" s="177"/>
      <c r="X383" s="97"/>
      <c r="Y383" s="711" t="s">
        <v>3581</v>
      </c>
      <c r="Z383" s="712">
        <v>1</v>
      </c>
      <c r="AA383" s="179"/>
      <c r="AB383" s="179"/>
      <c r="AC383" s="1053">
        <v>100000</v>
      </c>
      <c r="AD383" s="1048">
        <v>100000</v>
      </c>
      <c r="AE383" s="1054"/>
      <c r="AF383" s="97"/>
      <c r="AG383" s="1041">
        <f>+AD383</f>
        <v>100000</v>
      </c>
      <c r="AH383" s="1048">
        <v>0</v>
      </c>
      <c r="AI383" s="1053">
        <f t="shared" si="27"/>
        <v>100000</v>
      </c>
      <c r="AJ383" s="867"/>
      <c r="AK383" s="986"/>
      <c r="AL383" s="986"/>
      <c r="AM383" s="986"/>
      <c r="AN383" s="986"/>
      <c r="AO383" s="1055">
        <f>+AG383</f>
        <v>100000</v>
      </c>
      <c r="AP383" s="1044">
        <f t="shared" si="26"/>
        <v>100000</v>
      </c>
      <c r="AQ383" s="148"/>
      <c r="AR383" s="1027"/>
      <c r="AS383" s="148"/>
      <c r="AT383" s="148"/>
      <c r="AU383" s="148"/>
      <c r="AV383" s="148"/>
      <c r="AW383" s="148"/>
      <c r="AX383" s="148"/>
      <c r="AY383" s="148"/>
      <c r="AZ383" s="148"/>
    </row>
    <row r="384" spans="1:52" s="84" customFormat="1" ht="25.25" hidden="1" customHeight="1" outlineLevel="4">
      <c r="A384" s="159"/>
      <c r="B384" s="702" t="s">
        <v>3590</v>
      </c>
      <c r="C384" s="702"/>
      <c r="D384" s="1152" t="s">
        <v>3591</v>
      </c>
      <c r="E384" s="1152"/>
      <c r="F384" s="177"/>
      <c r="G384" s="97"/>
      <c r="H384" s="363"/>
      <c r="I384" s="363"/>
      <c r="J384" s="367"/>
      <c r="K384" s="367"/>
      <c r="L384" s="367"/>
      <c r="M384" s="367"/>
      <c r="N384" s="367"/>
      <c r="O384" s="367"/>
      <c r="P384" s="367"/>
      <c r="Q384" s="97"/>
      <c r="R384" s="364" t="s">
        <v>723</v>
      </c>
      <c r="S384" s="364"/>
      <c r="T384" s="931"/>
      <c r="U384" s="364"/>
      <c r="V384" s="364"/>
      <c r="W384" s="177"/>
      <c r="X384" s="97"/>
      <c r="Y384" s="711" t="s">
        <v>3581</v>
      </c>
      <c r="Z384" s="712">
        <v>1</v>
      </c>
      <c r="AA384" s="179"/>
      <c r="AB384" s="179"/>
      <c r="AC384" s="1053">
        <v>100000</v>
      </c>
      <c r="AD384" s="1048">
        <v>100000</v>
      </c>
      <c r="AE384" s="1054"/>
      <c r="AF384" s="97"/>
      <c r="AG384" s="1041">
        <f>+AD384</f>
        <v>100000</v>
      </c>
      <c r="AH384" s="1048">
        <v>0</v>
      </c>
      <c r="AI384" s="1053">
        <f t="shared" si="27"/>
        <v>100000</v>
      </c>
      <c r="AJ384" s="867"/>
      <c r="AK384" s="986"/>
      <c r="AL384" s="986"/>
      <c r="AM384" s="986"/>
      <c r="AN384" s="986"/>
      <c r="AO384" s="1055">
        <f>+AG384</f>
        <v>100000</v>
      </c>
      <c r="AP384" s="1044">
        <f t="shared" si="26"/>
        <v>100000</v>
      </c>
      <c r="AQ384" s="148"/>
      <c r="AR384" s="1027"/>
      <c r="AS384" s="148"/>
      <c r="AT384" s="148"/>
      <c r="AU384" s="148"/>
      <c r="AV384" s="148"/>
      <c r="AW384" s="148"/>
      <c r="AX384" s="148"/>
      <c r="AY384" s="148"/>
      <c r="AZ384" s="148"/>
    </row>
    <row r="385" spans="1:52" s="84" customFormat="1" ht="27.5" hidden="1" customHeight="1" outlineLevel="4">
      <c r="A385" s="159"/>
      <c r="B385" s="702" t="s">
        <v>3592</v>
      </c>
      <c r="C385" s="702"/>
      <c r="D385" s="533" t="s">
        <v>3530</v>
      </c>
      <c r="E385" s="533"/>
      <c r="F385" s="177"/>
      <c r="G385" s="97"/>
      <c r="H385" s="363"/>
      <c r="I385" s="363"/>
      <c r="J385" s="367"/>
      <c r="K385" s="367"/>
      <c r="L385" s="367"/>
      <c r="M385" s="367"/>
      <c r="N385" s="367"/>
      <c r="O385" s="367"/>
      <c r="P385" s="367"/>
      <c r="Q385" s="97"/>
      <c r="R385" s="364" t="s">
        <v>723</v>
      </c>
      <c r="S385" s="364"/>
      <c r="T385" s="931"/>
      <c r="U385" s="364"/>
      <c r="V385" s="364"/>
      <c r="W385" s="177"/>
      <c r="X385" s="97"/>
      <c r="Y385" s="711" t="s">
        <v>3581</v>
      </c>
      <c r="Z385" s="712">
        <v>1</v>
      </c>
      <c r="AA385" s="179"/>
      <c r="AB385" s="179"/>
      <c r="AC385" s="1053">
        <v>100000</v>
      </c>
      <c r="AD385" s="1048">
        <v>100000</v>
      </c>
      <c r="AE385" s="1054"/>
      <c r="AF385" s="97"/>
      <c r="AG385" s="1041">
        <f>+AD385</f>
        <v>100000</v>
      </c>
      <c r="AH385" s="1048">
        <v>0</v>
      </c>
      <c r="AI385" s="1053">
        <f t="shared" si="27"/>
        <v>100000</v>
      </c>
      <c r="AJ385" s="867"/>
      <c r="AK385" s="986"/>
      <c r="AL385" s="986"/>
      <c r="AM385" s="986"/>
      <c r="AN385" s="986"/>
      <c r="AO385" s="1055">
        <f>+AG385</f>
        <v>100000</v>
      </c>
      <c r="AP385" s="1044">
        <f t="shared" si="26"/>
        <v>100000</v>
      </c>
      <c r="AQ385" s="148"/>
      <c r="AR385" s="1027"/>
      <c r="AS385" s="148"/>
      <c r="AT385" s="148"/>
      <c r="AU385" s="148"/>
      <c r="AV385" s="148"/>
      <c r="AW385" s="148"/>
      <c r="AX385" s="148"/>
      <c r="AY385" s="148"/>
      <c r="AZ385" s="148"/>
    </row>
    <row r="386" spans="1:52" s="84" customFormat="1" ht="14" hidden="1" customHeight="1" outlineLevel="3" collapsed="1">
      <c r="A386" s="159"/>
      <c r="B386" s="702"/>
      <c r="C386" s="702"/>
      <c r="D386" s="533"/>
      <c r="E386" s="533"/>
      <c r="F386" s="177"/>
      <c r="G386" s="97"/>
      <c r="H386" s="363"/>
      <c r="I386" s="363"/>
      <c r="J386" s="367"/>
      <c r="K386" s="367"/>
      <c r="L386" s="367"/>
      <c r="M386" s="367"/>
      <c r="N386" s="367"/>
      <c r="O386" s="367"/>
      <c r="P386" s="367"/>
      <c r="Q386" s="97"/>
      <c r="R386" s="364"/>
      <c r="S386" s="364"/>
      <c r="T386" s="364"/>
      <c r="U386" s="364"/>
      <c r="V386" s="364"/>
      <c r="W386" s="177"/>
      <c r="X386" s="97"/>
      <c r="Y386" s="711"/>
      <c r="Z386" s="159"/>
      <c r="AA386" s="179"/>
      <c r="AB386" s="179"/>
      <c r="AC386" s="1053"/>
      <c r="AD386" s="1048"/>
      <c r="AE386" s="714"/>
      <c r="AF386" s="97"/>
      <c r="AG386" s="1041"/>
      <c r="AH386" s="1048"/>
      <c r="AI386" s="1053">
        <f t="shared" si="27"/>
        <v>0</v>
      </c>
      <c r="AJ386" s="867"/>
      <c r="AK386" s="1001"/>
      <c r="AL386" s="1001"/>
      <c r="AM386" s="986"/>
      <c r="AN386" s="986"/>
      <c r="AO386" s="1055"/>
      <c r="AP386" s="1038">
        <f t="shared" si="26"/>
        <v>0</v>
      </c>
      <c r="AQ386" s="148"/>
      <c r="AR386" s="1027"/>
      <c r="AS386" s="148"/>
      <c r="AT386" s="148"/>
      <c r="AU386" s="148"/>
      <c r="AV386" s="148"/>
      <c r="AW386" s="148"/>
      <c r="AX386" s="148"/>
      <c r="AY386" s="148"/>
      <c r="AZ386" s="148"/>
    </row>
    <row r="387" spans="1:52" s="108" customFormat="1" ht="14" customHeight="1" outlineLevel="2" collapsed="1">
      <c r="A387" s="580"/>
      <c r="B387" s="107"/>
      <c r="C387" s="107"/>
      <c r="D387" s="533"/>
      <c r="E387" s="533"/>
      <c r="F387" s="103"/>
      <c r="G387" s="97"/>
      <c r="H387" s="363"/>
      <c r="I387" s="364"/>
      <c r="J387" s="365"/>
      <c r="K387" s="365"/>
      <c r="L387" s="365"/>
      <c r="M387" s="365"/>
      <c r="N387" s="365"/>
      <c r="O387" s="365"/>
      <c r="P387" s="365"/>
      <c r="Q387" s="97"/>
      <c r="R387" s="364"/>
      <c r="S387" s="364"/>
      <c r="T387" s="364"/>
      <c r="U387" s="364"/>
      <c r="V387" s="364"/>
      <c r="W387" s="181"/>
      <c r="X387" s="97"/>
      <c r="Y387" s="711"/>
      <c r="Z387" s="712"/>
      <c r="AA387" s="179"/>
      <c r="AB387" s="180"/>
      <c r="AC387" s="1032"/>
      <c r="AD387" s="1032"/>
      <c r="AE387" s="1042"/>
      <c r="AF387" s="97"/>
      <c r="AG387" s="1032"/>
      <c r="AH387" s="1032"/>
      <c r="AI387" s="1041">
        <f t="shared" si="27"/>
        <v>0</v>
      </c>
      <c r="AJ387" s="867"/>
      <c r="AK387" s="986"/>
      <c r="AL387" s="986"/>
      <c r="AM387" s="986"/>
      <c r="AN387" s="987"/>
      <c r="AO387" s="1038"/>
      <c r="AP387" s="1038">
        <f t="shared" si="26"/>
        <v>0</v>
      </c>
      <c r="AR387" s="1027"/>
    </row>
    <row r="388" spans="1:52" s="153" customFormat="1" ht="30" outlineLevel="1">
      <c r="A388" s="578"/>
      <c r="B388" s="428" t="s">
        <v>572</v>
      </c>
      <c r="C388" s="428"/>
      <c r="D388" s="545" t="s">
        <v>58</v>
      </c>
      <c r="E388" s="545"/>
      <c r="F388" s="427"/>
      <c r="G388" s="96"/>
      <c r="H388" s="429"/>
      <c r="I388" s="425"/>
      <c r="J388" s="430"/>
      <c r="K388" s="430"/>
      <c r="L388" s="430"/>
      <c r="M388" s="430"/>
      <c r="N388" s="430"/>
      <c r="O388" s="430"/>
      <c r="P388" s="430"/>
      <c r="Q388" s="96"/>
      <c r="R388" s="850"/>
      <c r="S388" s="850"/>
      <c r="T388" s="850"/>
      <c r="U388" s="850"/>
      <c r="V388" s="850"/>
      <c r="W388" s="431"/>
      <c r="X388" s="96"/>
      <c r="Y388" s="426"/>
      <c r="Z388" s="425"/>
      <c r="AA388" s="425"/>
      <c r="AB388" s="432"/>
      <c r="AC388" s="433"/>
      <c r="AD388" s="433">
        <f>+AD389+AD392</f>
        <v>1057000</v>
      </c>
      <c r="AE388" s="685"/>
      <c r="AF388" s="96"/>
      <c r="AG388" s="433">
        <f>+AG389+AG392</f>
        <v>1057000</v>
      </c>
      <c r="AH388" s="433">
        <f>+AH389+AH392</f>
        <v>0</v>
      </c>
      <c r="AI388" s="433">
        <f t="shared" si="27"/>
        <v>1057000</v>
      </c>
      <c r="AJ388" s="865"/>
      <c r="AK388" s="977">
        <f>+AK389+AK392</f>
        <v>0</v>
      </c>
      <c r="AL388" s="977">
        <f>+AL389+AL392</f>
        <v>254000</v>
      </c>
      <c r="AM388" s="977">
        <f>+AM389+AM392</f>
        <v>94000</v>
      </c>
      <c r="AN388" s="978">
        <f>+AN389+AN392</f>
        <v>116000</v>
      </c>
      <c r="AO388" s="976">
        <f>+AO389+AO392</f>
        <v>116000</v>
      </c>
      <c r="AP388" s="976">
        <f t="shared" si="26"/>
        <v>580000</v>
      </c>
      <c r="AR388" s="1027"/>
    </row>
    <row r="389" spans="1:52" s="153" customFormat="1" ht="41.5" customHeight="1" outlineLevel="2">
      <c r="A389" s="172"/>
      <c r="B389" s="171" t="s">
        <v>573</v>
      </c>
      <c r="C389" s="171"/>
      <c r="D389" s="1652" t="s">
        <v>60</v>
      </c>
      <c r="E389" s="538"/>
      <c r="F389" s="106" t="s">
        <v>1556</v>
      </c>
      <c r="G389" s="96"/>
      <c r="H389" s="357" t="str">
        <f>+'1_MdR_Limpia'!C104</f>
        <v>Número</v>
      </c>
      <c r="I389" s="357">
        <f>+'1_MdR_Limpia'!D104</f>
        <v>0</v>
      </c>
      <c r="J389" s="357">
        <f>+'1_MdR_Limpia'!E104</f>
        <v>2021</v>
      </c>
      <c r="K389" s="357" t="str">
        <f>+'1_MdR_Limpia'!F104</f>
        <v>-</v>
      </c>
      <c r="L389" s="357" t="str">
        <f>+'1_MdR_Limpia'!G104</f>
        <v>-</v>
      </c>
      <c r="M389" s="357" t="str">
        <f>+'1_MdR_Limpia'!H104</f>
        <v>-</v>
      </c>
      <c r="N389" s="357" t="str">
        <f>+'1_MdR_Limpia'!I104</f>
        <v>-</v>
      </c>
      <c r="O389" s="357">
        <f>+'1_MdR_Limpia'!J104</f>
        <v>1</v>
      </c>
      <c r="P389" s="357">
        <f>+'1_MdR_Limpia'!L104</f>
        <v>1</v>
      </c>
      <c r="Q389" s="96"/>
      <c r="R389" s="854"/>
      <c r="S389" s="358"/>
      <c r="T389" s="358"/>
      <c r="U389" s="358"/>
      <c r="V389" s="358"/>
      <c r="W389" s="106"/>
      <c r="X389" s="96"/>
      <c r="Y389" s="106"/>
      <c r="Z389" s="172"/>
      <c r="AA389" s="172"/>
      <c r="AB389" s="171"/>
      <c r="AC389" s="176"/>
      <c r="AD389" s="176">
        <v>623000</v>
      </c>
      <c r="AE389" s="686"/>
      <c r="AF389" s="96"/>
      <c r="AG389" s="176">
        <f t="shared" ref="AG389:AG397" si="28">+AD389</f>
        <v>623000</v>
      </c>
      <c r="AH389" s="176">
        <f>SUM(AH390:AH391)</f>
        <v>0</v>
      </c>
      <c r="AI389" s="176">
        <f t="shared" si="27"/>
        <v>623000</v>
      </c>
      <c r="AJ389" s="865"/>
      <c r="AK389" s="980">
        <f>SUM(AK390:AK391)</f>
        <v>0</v>
      </c>
      <c r="AL389" s="980">
        <f>SUM(AL390:AL391)</f>
        <v>130000</v>
      </c>
      <c r="AM389" s="980">
        <f>SUM(AM390:AM391)</f>
        <v>0</v>
      </c>
      <c r="AN389" s="981">
        <f>SUM(AN390:AN391)</f>
        <v>0</v>
      </c>
      <c r="AO389" s="979">
        <f>SUM(AO390:AO391)</f>
        <v>0</v>
      </c>
      <c r="AP389" s="979">
        <f t="shared" si="26"/>
        <v>130000</v>
      </c>
      <c r="AR389" s="1027"/>
    </row>
    <row r="390" spans="1:52" s="108" customFormat="1" ht="27.5" hidden="1" customHeight="1" outlineLevel="3">
      <c r="A390" s="580"/>
      <c r="B390" s="107" t="s">
        <v>1049</v>
      </c>
      <c r="C390" s="107"/>
      <c r="D390" s="533" t="s">
        <v>3593</v>
      </c>
      <c r="E390" s="533"/>
      <c r="F390" s="103"/>
      <c r="G390" s="97"/>
      <c r="H390" s="363"/>
      <c r="I390" s="364"/>
      <c r="J390" s="364"/>
      <c r="K390" s="364"/>
      <c r="L390" s="364"/>
      <c r="M390" s="364"/>
      <c r="N390" s="364"/>
      <c r="O390" s="364"/>
      <c r="P390" s="364"/>
      <c r="Q390" s="97"/>
      <c r="R390" s="364" t="str">
        <f>+'9.3_PA_Det'!E191</f>
        <v>3CV</v>
      </c>
      <c r="S390" s="364" t="s">
        <v>1075</v>
      </c>
      <c r="T390" s="364" t="s">
        <v>1413</v>
      </c>
      <c r="U390" s="364">
        <f>+'9.3_PA_Det'!F191</f>
        <v>82</v>
      </c>
      <c r="V390" s="364"/>
      <c r="W390" s="181"/>
      <c r="X390" s="97"/>
      <c r="Y390" s="711" t="s">
        <v>1179</v>
      </c>
      <c r="Z390" s="712">
        <v>1</v>
      </c>
      <c r="AA390" s="179"/>
      <c r="AB390" s="180"/>
      <c r="AC390" s="1032">
        <v>30000</v>
      </c>
      <c r="AD390" s="1048">
        <f>+Z390*AC390</f>
        <v>30000</v>
      </c>
      <c r="AE390" s="1042"/>
      <c r="AF390" s="97"/>
      <c r="AG390" s="1032">
        <f t="shared" si="28"/>
        <v>30000</v>
      </c>
      <c r="AH390" s="1032"/>
      <c r="AI390" s="355">
        <f t="shared" si="27"/>
        <v>30000</v>
      </c>
      <c r="AJ390" s="867"/>
      <c r="AK390" s="986"/>
      <c r="AL390" s="986">
        <f>+AG390</f>
        <v>30000</v>
      </c>
      <c r="AM390" s="986"/>
      <c r="AN390" s="987"/>
      <c r="AO390" s="1038"/>
      <c r="AP390" s="1044">
        <f t="shared" si="26"/>
        <v>30000</v>
      </c>
      <c r="AR390" s="1027"/>
    </row>
    <row r="391" spans="1:52" s="108" customFormat="1" ht="27.5" hidden="1" customHeight="1" outlineLevel="3">
      <c r="A391" s="580"/>
      <c r="B391" s="107" t="s">
        <v>1054</v>
      </c>
      <c r="C391" s="107"/>
      <c r="D391" s="533" t="s">
        <v>3594</v>
      </c>
      <c r="E391" s="533"/>
      <c r="F391" s="103"/>
      <c r="G391" s="97"/>
      <c r="H391" s="363"/>
      <c r="I391" s="364"/>
      <c r="J391" s="364"/>
      <c r="K391" s="364"/>
      <c r="L391" s="364"/>
      <c r="M391" s="364"/>
      <c r="N391" s="364"/>
      <c r="O391" s="364"/>
      <c r="P391" s="364"/>
      <c r="Q391" s="97"/>
      <c r="R391" s="364" t="str">
        <f>+'9.3_PA_Det'!E24</f>
        <v>Licitación Pública Nacional</v>
      </c>
      <c r="S391" s="364" t="s">
        <v>1075</v>
      </c>
      <c r="T391" s="364" t="s">
        <v>2989</v>
      </c>
      <c r="U391" s="364">
        <f>+'9.3_PA_Det'!G24</f>
        <v>6</v>
      </c>
      <c r="V391" s="364"/>
      <c r="W391" s="181"/>
      <c r="X391" s="97"/>
      <c r="Y391" s="711" t="s">
        <v>1179</v>
      </c>
      <c r="Z391" s="712">
        <v>1</v>
      </c>
      <c r="AA391" s="179"/>
      <c r="AB391" s="180"/>
      <c r="AC391" s="1032">
        <v>100000</v>
      </c>
      <c r="AD391" s="1048">
        <f>+Z391*AC391</f>
        <v>100000</v>
      </c>
      <c r="AE391" s="1042"/>
      <c r="AF391" s="97"/>
      <c r="AG391" s="1032">
        <f t="shared" si="28"/>
        <v>100000</v>
      </c>
      <c r="AH391" s="1032"/>
      <c r="AI391" s="355">
        <f t="shared" si="27"/>
        <v>100000</v>
      </c>
      <c r="AJ391" s="867"/>
      <c r="AK391" s="986"/>
      <c r="AL391" s="986">
        <f>+AG391</f>
        <v>100000</v>
      </c>
      <c r="AM391" s="986"/>
      <c r="AN391" s="987"/>
      <c r="AO391" s="1038"/>
      <c r="AP391" s="1044">
        <f t="shared" si="26"/>
        <v>100000</v>
      </c>
      <c r="AR391" s="1027"/>
    </row>
    <row r="392" spans="1:52" s="153" customFormat="1" ht="47.5" customHeight="1" outlineLevel="2" collapsed="1">
      <c r="A392" s="172"/>
      <c r="B392" s="171" t="s">
        <v>575</v>
      </c>
      <c r="C392" s="171"/>
      <c r="D392" s="1652" t="s">
        <v>62</v>
      </c>
      <c r="E392" s="538"/>
      <c r="F392" s="106" t="s">
        <v>1556</v>
      </c>
      <c r="G392" s="96"/>
      <c r="H392" s="357" t="str">
        <f>+'1_MdR_Limpia'!C108</f>
        <v>Número</v>
      </c>
      <c r="I392" s="357">
        <f>+'1_MdR_Limpia'!D108</f>
        <v>0</v>
      </c>
      <c r="J392" s="357">
        <f>+'1_MdR_Limpia'!E108</f>
        <v>2021</v>
      </c>
      <c r="K392" s="357" t="str">
        <f>+'1_MdR_Limpia'!F108</f>
        <v>-</v>
      </c>
      <c r="L392" s="357" t="str">
        <f>+'1_MdR_Limpia'!G108</f>
        <v>-</v>
      </c>
      <c r="M392" s="357" t="str">
        <f>+'1_MdR_Limpia'!H108</f>
        <v>-</v>
      </c>
      <c r="N392" s="357" t="str">
        <f>+'1_MdR_Limpia'!I108</f>
        <v>-</v>
      </c>
      <c r="O392" s="357" t="str">
        <f>+'1_MdR_Limpia'!J108</f>
        <v>-</v>
      </c>
      <c r="P392" s="357">
        <f>+'1_MdR_Limpia'!L108</f>
        <v>1</v>
      </c>
      <c r="Q392" s="96"/>
      <c r="R392" s="854"/>
      <c r="S392" s="358"/>
      <c r="T392" s="358"/>
      <c r="U392" s="358"/>
      <c r="V392" s="358"/>
      <c r="W392" s="106"/>
      <c r="X392" s="96"/>
      <c r="Y392" s="106"/>
      <c r="Z392" s="172"/>
      <c r="AA392" s="172"/>
      <c r="AB392" s="171"/>
      <c r="AC392" s="176"/>
      <c r="AD392" s="176">
        <v>434000</v>
      </c>
      <c r="AE392" s="686"/>
      <c r="AF392" s="96"/>
      <c r="AG392" s="176">
        <f t="shared" si="28"/>
        <v>434000</v>
      </c>
      <c r="AH392" s="176">
        <f>SUM(AH393:AH397)</f>
        <v>0</v>
      </c>
      <c r="AI392" s="176">
        <f t="shared" si="27"/>
        <v>434000</v>
      </c>
      <c r="AJ392" s="865"/>
      <c r="AK392" s="980">
        <f>SUM(AK393:AK397)</f>
        <v>0</v>
      </c>
      <c r="AL392" s="980">
        <f>SUM(AL393:AL397)</f>
        <v>124000</v>
      </c>
      <c r="AM392" s="980">
        <f>SUM(AM393:AM397)</f>
        <v>94000</v>
      </c>
      <c r="AN392" s="981">
        <f>SUM(AN393:AN397)</f>
        <v>116000</v>
      </c>
      <c r="AO392" s="979">
        <f>SUM(AO393:AO397)</f>
        <v>116000</v>
      </c>
      <c r="AP392" s="979">
        <f t="shared" si="26"/>
        <v>450000</v>
      </c>
      <c r="AR392" s="1027"/>
    </row>
    <row r="393" spans="1:52" s="108" customFormat="1" ht="27.5" hidden="1" customHeight="1" outlineLevel="3">
      <c r="A393" s="580"/>
      <c r="B393" s="107" t="s">
        <v>2625</v>
      </c>
      <c r="C393" s="107"/>
      <c r="D393" s="533" t="s">
        <v>3593</v>
      </c>
      <c r="E393" s="533"/>
      <c r="F393" s="103"/>
      <c r="G393" s="97"/>
      <c r="H393" s="363"/>
      <c r="I393" s="364"/>
      <c r="J393" s="364"/>
      <c r="K393" s="364"/>
      <c r="L393" s="364"/>
      <c r="M393" s="364"/>
      <c r="N393" s="364"/>
      <c r="O393" s="364"/>
      <c r="P393" s="364"/>
      <c r="Q393" s="97"/>
      <c r="R393" s="364" t="str">
        <f>+'9.3_PA_Det'!E192</f>
        <v>3CV</v>
      </c>
      <c r="S393" s="364" t="s">
        <v>1075</v>
      </c>
      <c r="T393" s="364" t="s">
        <v>1413</v>
      </c>
      <c r="U393" s="364">
        <f>+'9.3_PA_Det'!F192</f>
        <v>83</v>
      </c>
      <c r="V393" s="364"/>
      <c r="W393" s="181"/>
      <c r="X393" s="97"/>
      <c r="Y393" s="711" t="s">
        <v>1179</v>
      </c>
      <c r="Z393" s="712">
        <v>1</v>
      </c>
      <c r="AA393" s="179"/>
      <c r="AB393" s="180"/>
      <c r="AC393" s="1032">
        <v>30000</v>
      </c>
      <c r="AD393" s="1048">
        <f>+Z393*AC393</f>
        <v>30000</v>
      </c>
      <c r="AE393" s="1042" t="s">
        <v>3595</v>
      </c>
      <c r="AF393" s="97"/>
      <c r="AG393" s="1032">
        <f t="shared" si="28"/>
        <v>30000</v>
      </c>
      <c r="AH393" s="1032">
        <v>0</v>
      </c>
      <c r="AI393" s="355">
        <f>+AH393+AG393</f>
        <v>30000</v>
      </c>
      <c r="AJ393" s="867"/>
      <c r="AK393" s="986"/>
      <c r="AL393" s="986">
        <f>+AG393</f>
        <v>30000</v>
      </c>
      <c r="AM393" s="986"/>
      <c r="AN393" s="987"/>
      <c r="AO393" s="1038"/>
      <c r="AP393" s="1044">
        <f t="shared" si="26"/>
        <v>30000</v>
      </c>
      <c r="AR393" s="1027"/>
    </row>
    <row r="394" spans="1:52" s="108" customFormat="1" ht="27.5" hidden="1" customHeight="1" outlineLevel="3">
      <c r="A394" s="580"/>
      <c r="B394" s="107" t="s">
        <v>2626</v>
      </c>
      <c r="C394" s="107"/>
      <c r="D394" s="533" t="s">
        <v>3594</v>
      </c>
      <c r="E394" s="533"/>
      <c r="F394" s="103"/>
      <c r="G394" s="97"/>
      <c r="H394" s="363"/>
      <c r="I394" s="364"/>
      <c r="J394" s="364"/>
      <c r="K394" s="364"/>
      <c r="L394" s="364"/>
      <c r="M394" s="364"/>
      <c r="N394" s="364"/>
      <c r="O394" s="364"/>
      <c r="P394" s="364"/>
      <c r="Q394" s="97"/>
      <c r="R394" s="364" t="str">
        <f>+'9.3_PA_Det'!E25</f>
        <v>Licitación Pública Nacional</v>
      </c>
      <c r="S394" s="956" t="s">
        <v>1075</v>
      </c>
      <c r="T394" s="364" t="s">
        <v>2989</v>
      </c>
      <c r="U394" s="957">
        <f>+'9.3_PA_Det'!G25</f>
        <v>7</v>
      </c>
      <c r="V394" s="957"/>
      <c r="W394" s="181"/>
      <c r="X394" s="97"/>
      <c r="Y394" s="711" t="s">
        <v>1179</v>
      </c>
      <c r="Z394" s="712">
        <v>1</v>
      </c>
      <c r="AA394" s="179"/>
      <c r="AB394" s="180"/>
      <c r="AC394" s="1032">
        <v>200000</v>
      </c>
      <c r="AD394" s="1048">
        <f>+Z394*AC394</f>
        <v>200000</v>
      </c>
      <c r="AE394" s="1042"/>
      <c r="AF394" s="97"/>
      <c r="AG394" s="1032">
        <f t="shared" si="28"/>
        <v>200000</v>
      </c>
      <c r="AH394" s="1032">
        <v>0</v>
      </c>
      <c r="AI394" s="355">
        <f>+AH394+AG394</f>
        <v>200000</v>
      </c>
      <c r="AJ394" s="867"/>
      <c r="AK394" s="986"/>
      <c r="AL394" s="986">
        <f>+$AG$394*25%</f>
        <v>50000</v>
      </c>
      <c r="AM394" s="986">
        <f>+$AG$394*25%</f>
        <v>50000</v>
      </c>
      <c r="AN394" s="986">
        <f>+$AG$394*25%</f>
        <v>50000</v>
      </c>
      <c r="AO394" s="986">
        <f>+$AG$394*25%</f>
        <v>50000</v>
      </c>
      <c r="AP394" s="1044">
        <f t="shared" si="26"/>
        <v>200000</v>
      </c>
      <c r="AR394" s="1027"/>
    </row>
    <row r="395" spans="1:52" s="108" customFormat="1" ht="14.5" hidden="1" customHeight="1" outlineLevel="3">
      <c r="A395" s="580"/>
      <c r="B395" s="107" t="s">
        <v>2627</v>
      </c>
      <c r="C395" s="107"/>
      <c r="D395" s="533" t="s">
        <v>3596</v>
      </c>
      <c r="E395" s="533"/>
      <c r="F395" s="103"/>
      <c r="G395" s="97"/>
      <c r="H395" s="363"/>
      <c r="I395" s="364"/>
      <c r="J395" s="364"/>
      <c r="K395" s="364"/>
      <c r="L395" s="364"/>
      <c r="M395" s="364"/>
      <c r="N395" s="364"/>
      <c r="O395" s="364"/>
      <c r="P395" s="364"/>
      <c r="Q395" s="97"/>
      <c r="R395" s="3897" t="str">
        <f>+'9.3_PA_Det'!$E$150</f>
        <v>Selección Basada en Calidad y Costo</v>
      </c>
      <c r="S395" s="3897" t="s">
        <v>1075</v>
      </c>
      <c r="T395" s="4594" t="s">
        <v>1198</v>
      </c>
      <c r="U395" s="3897">
        <f>+'9.3_PA_Det'!$F$150</f>
        <v>52</v>
      </c>
      <c r="V395" s="852"/>
      <c r="W395" s="3918"/>
      <c r="X395" s="97"/>
      <c r="Y395" s="711" t="s">
        <v>1179</v>
      </c>
      <c r="Z395" s="712">
        <v>1</v>
      </c>
      <c r="AA395" s="179"/>
      <c r="AB395" s="180"/>
      <c r="AC395" s="1032">
        <v>50000</v>
      </c>
      <c r="AD395" s="1048">
        <f>+Z395*AC395</f>
        <v>50000</v>
      </c>
      <c r="AE395" s="1042"/>
      <c r="AF395" s="97"/>
      <c r="AG395" s="1032">
        <f t="shared" si="28"/>
        <v>50000</v>
      </c>
      <c r="AH395" s="1032">
        <v>0</v>
      </c>
      <c r="AI395" s="355">
        <f>+AH395+AG395</f>
        <v>50000</v>
      </c>
      <c r="AJ395" s="867"/>
      <c r="AK395" s="986"/>
      <c r="AL395" s="986">
        <f>+$AG$395*20%</f>
        <v>10000</v>
      </c>
      <c r="AM395" s="986">
        <f>+$AG$395*20%</f>
        <v>10000</v>
      </c>
      <c r="AN395" s="986">
        <f>+$AG$395*30%</f>
        <v>15000</v>
      </c>
      <c r="AO395" s="986">
        <f>+$AG$395*30%</f>
        <v>15000</v>
      </c>
      <c r="AP395" s="1044">
        <f t="shared" si="26"/>
        <v>50000</v>
      </c>
      <c r="AR395" s="1027"/>
    </row>
    <row r="396" spans="1:52" s="108" customFormat="1" ht="26.5" hidden="1" customHeight="1" outlineLevel="3">
      <c r="A396" s="580"/>
      <c r="B396" s="107" t="s">
        <v>2628</v>
      </c>
      <c r="C396" s="107"/>
      <c r="D396" s="537" t="s">
        <v>3597</v>
      </c>
      <c r="E396" s="537"/>
      <c r="F396" s="103"/>
      <c r="G396" s="97"/>
      <c r="H396" s="363"/>
      <c r="I396" s="364"/>
      <c r="J396" s="364"/>
      <c r="K396" s="364"/>
      <c r="L396" s="364"/>
      <c r="M396" s="364"/>
      <c r="N396" s="364"/>
      <c r="O396" s="364"/>
      <c r="P396" s="364"/>
      <c r="Q396" s="97"/>
      <c r="R396" s="3898"/>
      <c r="S396" s="3898"/>
      <c r="T396" s="4594"/>
      <c r="U396" s="3898"/>
      <c r="V396" s="1190"/>
      <c r="W396" s="3919"/>
      <c r="X396" s="97"/>
      <c r="Y396" s="711" t="s">
        <v>1179</v>
      </c>
      <c r="Z396" s="712">
        <v>1</v>
      </c>
      <c r="AA396" s="179"/>
      <c r="AB396" s="180"/>
      <c r="AC396" s="1032">
        <v>120000</v>
      </c>
      <c r="AD396" s="1048">
        <f>+Z396*AC396</f>
        <v>120000</v>
      </c>
      <c r="AE396" s="1042" t="s">
        <v>3598</v>
      </c>
      <c r="AF396" s="97"/>
      <c r="AG396" s="1032">
        <f t="shared" si="28"/>
        <v>120000</v>
      </c>
      <c r="AH396" s="1032">
        <v>0</v>
      </c>
      <c r="AI396" s="355">
        <f>+AH396+AG396</f>
        <v>120000</v>
      </c>
      <c r="AJ396" s="867"/>
      <c r="AK396" s="986"/>
      <c r="AL396" s="986">
        <f>+$AG$396*20%</f>
        <v>24000</v>
      </c>
      <c r="AM396" s="986">
        <f>+$AG$396*20%</f>
        <v>24000</v>
      </c>
      <c r="AN396" s="986">
        <f>+$AG$396*30%</f>
        <v>36000</v>
      </c>
      <c r="AO396" s="986">
        <f>+$AG$396*30%</f>
        <v>36000</v>
      </c>
      <c r="AP396" s="1044">
        <f t="shared" si="26"/>
        <v>120000</v>
      </c>
      <c r="AR396" s="1027"/>
    </row>
    <row r="397" spans="1:52" s="108" customFormat="1" ht="14.5" hidden="1" customHeight="1" outlineLevel="3">
      <c r="A397" s="580"/>
      <c r="B397" s="107" t="s">
        <v>3599</v>
      </c>
      <c r="C397" s="107"/>
      <c r="D397" s="533" t="s">
        <v>1059</v>
      </c>
      <c r="E397" s="533"/>
      <c r="F397" s="103"/>
      <c r="G397" s="97"/>
      <c r="H397" s="363"/>
      <c r="I397" s="364"/>
      <c r="J397" s="364"/>
      <c r="K397" s="364"/>
      <c r="L397" s="364"/>
      <c r="M397" s="364"/>
      <c r="N397" s="364"/>
      <c r="O397" s="364"/>
      <c r="P397" s="364"/>
      <c r="Q397" s="97"/>
      <c r="R397" s="3899"/>
      <c r="S397" s="3899"/>
      <c r="T397" s="4594"/>
      <c r="U397" s="3899"/>
      <c r="V397" s="951"/>
      <c r="W397" s="3920"/>
      <c r="X397" s="97"/>
      <c r="Y397" s="711" t="s">
        <v>1179</v>
      </c>
      <c r="Z397" s="712">
        <v>1</v>
      </c>
      <c r="AA397" s="179"/>
      <c r="AB397" s="180"/>
      <c r="AC397" s="1032">
        <v>50000</v>
      </c>
      <c r="AD397" s="1048">
        <f>+Z397*AC397</f>
        <v>50000</v>
      </c>
      <c r="AE397" s="1042"/>
      <c r="AF397" s="97"/>
      <c r="AG397" s="1032">
        <f t="shared" si="28"/>
        <v>50000</v>
      </c>
      <c r="AH397" s="1032">
        <v>0</v>
      </c>
      <c r="AI397" s="355">
        <f>+AH397+AG397</f>
        <v>50000</v>
      </c>
      <c r="AJ397" s="867"/>
      <c r="AK397" s="986"/>
      <c r="AL397" s="986">
        <f>+$AG$397*20%</f>
        <v>10000</v>
      </c>
      <c r="AM397" s="986">
        <f>+$AG$397*20%</f>
        <v>10000</v>
      </c>
      <c r="AN397" s="986">
        <f>+$AG$397*30%</f>
        <v>15000</v>
      </c>
      <c r="AO397" s="986">
        <f>+$AG$397*30%</f>
        <v>15000</v>
      </c>
      <c r="AP397" s="1044">
        <f t="shared" si="26"/>
        <v>50000</v>
      </c>
      <c r="AR397" s="1027"/>
    </row>
    <row r="398" spans="1:52" s="108" customFormat="1" ht="14" customHeight="1" outlineLevel="2" collapsed="1">
      <c r="A398" s="580"/>
      <c r="B398" s="107"/>
      <c r="C398" s="107"/>
      <c r="D398" s="533"/>
      <c r="E398" s="533"/>
      <c r="F398" s="103"/>
      <c r="G398" s="97"/>
      <c r="H398" s="363"/>
      <c r="I398" s="364"/>
      <c r="J398" s="364"/>
      <c r="K398" s="364"/>
      <c r="L398" s="364"/>
      <c r="M398" s="364"/>
      <c r="N398" s="364"/>
      <c r="O398" s="364"/>
      <c r="P398" s="364"/>
      <c r="Q398" s="97"/>
      <c r="R398" s="364"/>
      <c r="S398" s="364"/>
      <c r="T398" s="951"/>
      <c r="U398" s="364"/>
      <c r="V398" s="364"/>
      <c r="W398" s="181"/>
      <c r="X398" s="97"/>
      <c r="Y398" s="711"/>
      <c r="Z398" s="712"/>
      <c r="AA398" s="179"/>
      <c r="AB398" s="180"/>
      <c r="AC398" s="1032"/>
      <c r="AD398" s="1032"/>
      <c r="AE398" s="1042"/>
      <c r="AF398" s="97"/>
      <c r="AG398" s="1032"/>
      <c r="AH398" s="1032"/>
      <c r="AI398" s="485"/>
      <c r="AJ398" s="867"/>
      <c r="AK398" s="986"/>
      <c r="AL398" s="986"/>
      <c r="AM398" s="986"/>
      <c r="AN398" s="987"/>
      <c r="AO398" s="1038"/>
      <c r="AP398" s="1038">
        <f t="shared" si="26"/>
        <v>0</v>
      </c>
      <c r="AR398" s="1027"/>
    </row>
    <row r="399" spans="1:52" s="108" customFormat="1" outlineLevel="1">
      <c r="A399" s="580"/>
      <c r="B399" s="107"/>
      <c r="C399" s="107"/>
      <c r="D399" s="533"/>
      <c r="E399" s="533"/>
      <c r="F399" s="103"/>
      <c r="G399" s="97"/>
      <c r="H399" s="363"/>
      <c r="I399" s="364"/>
      <c r="J399" s="364"/>
      <c r="K399" s="364"/>
      <c r="L399" s="364"/>
      <c r="M399" s="364"/>
      <c r="N399" s="364"/>
      <c r="O399" s="364"/>
      <c r="P399" s="364"/>
      <c r="Q399" s="97"/>
      <c r="R399" s="364"/>
      <c r="S399" s="364"/>
      <c r="T399" s="364"/>
      <c r="U399" s="364"/>
      <c r="V399" s="364"/>
      <c r="W399" s="181"/>
      <c r="X399" s="97"/>
      <c r="Y399" s="711"/>
      <c r="Z399" s="712"/>
      <c r="AA399" s="179"/>
      <c r="AB399" s="180"/>
      <c r="AC399" s="1032"/>
      <c r="AD399" s="1032"/>
      <c r="AE399" s="1042"/>
      <c r="AF399" s="97"/>
      <c r="AG399" s="1032"/>
      <c r="AH399" s="1032"/>
      <c r="AI399" s="485"/>
      <c r="AJ399" s="867"/>
      <c r="AK399" s="986"/>
      <c r="AL399" s="986"/>
      <c r="AM399" s="986"/>
      <c r="AN399" s="987"/>
      <c r="AO399" s="1038"/>
      <c r="AP399" s="1038">
        <f t="shared" si="26"/>
        <v>0</v>
      </c>
      <c r="AR399" s="1027"/>
    </row>
    <row r="400" spans="1:52" s="878" customFormat="1" ht="21.5" customHeight="1">
      <c r="A400" s="577"/>
      <c r="B400" s="67" t="s">
        <v>576</v>
      </c>
      <c r="C400" s="67"/>
      <c r="D400" s="546" t="s">
        <v>577</v>
      </c>
      <c r="E400" s="546"/>
      <c r="F400" s="68"/>
      <c r="G400" s="95"/>
      <c r="H400" s="369"/>
      <c r="I400" s="370"/>
      <c r="J400" s="371"/>
      <c r="K400" s="371"/>
      <c r="L400" s="371"/>
      <c r="M400" s="371"/>
      <c r="N400" s="371"/>
      <c r="O400" s="371"/>
      <c r="P400" s="371"/>
      <c r="Q400" s="95"/>
      <c r="R400" s="370"/>
      <c r="S400" s="370"/>
      <c r="T400" s="370"/>
      <c r="U400" s="370"/>
      <c r="V400" s="370"/>
      <c r="W400" s="169"/>
      <c r="X400" s="95"/>
      <c r="Y400" s="68"/>
      <c r="Z400" s="166"/>
      <c r="AA400" s="166"/>
      <c r="AB400" s="170"/>
      <c r="AC400" s="69"/>
      <c r="AD400" s="69">
        <f>+AD401+AD429+AD431</f>
        <v>5448000</v>
      </c>
      <c r="AE400" s="69">
        <v>3900000</v>
      </c>
      <c r="AF400" s="95"/>
      <c r="AG400" s="69">
        <f>+AG401+AG429+AG431</f>
        <v>5448000</v>
      </c>
      <c r="AH400" s="69">
        <f>+AH401+AH429+AH431</f>
        <v>0</v>
      </c>
      <c r="AI400" s="69">
        <f>+AI401+AI429+AI431</f>
        <v>5448000</v>
      </c>
      <c r="AJ400" s="864"/>
      <c r="AK400" s="69">
        <f>+AK401+AK429+AK431</f>
        <v>1149000</v>
      </c>
      <c r="AL400" s="69">
        <f>+AL401+AL429+AL431</f>
        <v>1149000</v>
      </c>
      <c r="AM400" s="69">
        <f>+AM401+AM429+AM431</f>
        <v>1179000</v>
      </c>
      <c r="AN400" s="69">
        <f>+AN401+AN429+AN431</f>
        <v>1149000</v>
      </c>
      <c r="AO400" s="69">
        <f>+AO401+AO429+AO431</f>
        <v>822000</v>
      </c>
      <c r="AP400" s="973">
        <f t="shared" si="26"/>
        <v>5448000</v>
      </c>
      <c r="AQ400" s="153"/>
      <c r="AR400" s="1027"/>
      <c r="AS400" s="153"/>
      <c r="AT400" s="153"/>
      <c r="AU400" s="153"/>
      <c r="AV400" s="153"/>
      <c r="AW400" s="153"/>
      <c r="AX400" s="153"/>
      <c r="AY400" s="153"/>
      <c r="AZ400" s="153"/>
    </row>
    <row r="401" spans="1:52" s="878" customFormat="1" ht="21.5" customHeight="1" outlineLevel="1" collapsed="1">
      <c r="A401" s="584"/>
      <c r="B401" s="188" t="s">
        <v>578</v>
      </c>
      <c r="C401" s="188"/>
      <c r="D401" s="538" t="s">
        <v>579</v>
      </c>
      <c r="E401" s="538"/>
      <c r="F401" s="106"/>
      <c r="G401" s="96"/>
      <c r="H401" s="372"/>
      <c r="I401" s="358"/>
      <c r="J401" s="359"/>
      <c r="K401" s="359"/>
      <c r="L401" s="359"/>
      <c r="M401" s="359"/>
      <c r="N401" s="359"/>
      <c r="O401" s="359"/>
      <c r="P401" s="359"/>
      <c r="Q401" s="96"/>
      <c r="R401" s="358"/>
      <c r="S401" s="358"/>
      <c r="T401" s="358"/>
      <c r="U401" s="358"/>
      <c r="V401" s="358"/>
      <c r="W401" s="174"/>
      <c r="X401" s="96"/>
      <c r="Y401" s="106"/>
      <c r="Z401" s="172"/>
      <c r="AA401" s="172"/>
      <c r="AB401" s="171"/>
      <c r="AC401" s="176">
        <f>+AC404+AC416+AC429+AC431</f>
        <v>0</v>
      </c>
      <c r="AD401" s="176">
        <f>+AD402+AD419</f>
        <v>5048000</v>
      </c>
      <c r="AE401" s="692"/>
      <c r="AF401" s="96"/>
      <c r="AG401" s="176">
        <f>+AG402+AG419</f>
        <v>5048000</v>
      </c>
      <c r="AH401" s="176">
        <f>+AH402+AH419</f>
        <v>0</v>
      </c>
      <c r="AI401" s="176">
        <f>+AI402+AI419</f>
        <v>5048000</v>
      </c>
      <c r="AJ401" s="865"/>
      <c r="AK401" s="176">
        <f t="shared" ref="AK401:AP401" si="29">+AK402+AK419</f>
        <v>1099000</v>
      </c>
      <c r="AL401" s="176">
        <f t="shared" si="29"/>
        <v>1099000</v>
      </c>
      <c r="AM401" s="176">
        <f t="shared" si="29"/>
        <v>1099000</v>
      </c>
      <c r="AN401" s="176">
        <f t="shared" si="29"/>
        <v>1099000</v>
      </c>
      <c r="AO401" s="176">
        <f t="shared" si="29"/>
        <v>652000</v>
      </c>
      <c r="AP401" s="176">
        <f t="shared" si="29"/>
        <v>5048000</v>
      </c>
      <c r="AQ401" s="153"/>
      <c r="AR401" s="1027"/>
      <c r="AS401" s="153"/>
      <c r="AT401" s="153"/>
      <c r="AU401" s="153"/>
      <c r="AV401" s="153"/>
      <c r="AW401" s="153"/>
      <c r="AX401" s="153"/>
      <c r="AY401" s="153"/>
      <c r="AZ401" s="153"/>
    </row>
    <row r="402" spans="1:52" s="878" customFormat="1" ht="21.5" customHeight="1" outlineLevel="2">
      <c r="A402" s="1113"/>
      <c r="B402" s="1114" t="s">
        <v>1630</v>
      </c>
      <c r="C402" s="1114"/>
      <c r="D402" s="1115" t="s">
        <v>1631</v>
      </c>
      <c r="E402" s="1115"/>
      <c r="F402" s="106"/>
      <c r="G402" s="96"/>
      <c r="H402" s="372"/>
      <c r="I402" s="358"/>
      <c r="J402" s="359"/>
      <c r="K402" s="359"/>
      <c r="L402" s="359"/>
      <c r="M402" s="359"/>
      <c r="N402" s="359"/>
      <c r="O402" s="359"/>
      <c r="P402" s="359"/>
      <c r="Q402" s="96"/>
      <c r="R402" s="1116"/>
      <c r="S402" s="1116"/>
      <c r="T402" s="1116"/>
      <c r="U402" s="1116"/>
      <c r="V402" s="1116"/>
      <c r="W402" s="1116"/>
      <c r="X402" s="96"/>
      <c r="Y402" s="1116"/>
      <c r="Z402" s="1117"/>
      <c r="AA402" s="1117"/>
      <c r="AB402" s="1118"/>
      <c r="AC402" s="1119"/>
      <c r="AD402" s="1119">
        <f>+AD403+AD404+AD412+AD416</f>
        <v>3598000</v>
      </c>
      <c r="AE402" s="1120"/>
      <c r="AF402" s="96"/>
      <c r="AG402" s="1119">
        <f>+AG403+AG404+AG412+AG416</f>
        <v>3598000</v>
      </c>
      <c r="AH402" s="1119">
        <f>+AH403+AH404+AH412+AH416</f>
        <v>0</v>
      </c>
      <c r="AI402" s="1119">
        <f>+AI403+AI404+AI412+AI416</f>
        <v>3598000</v>
      </c>
      <c r="AJ402" s="865"/>
      <c r="AK402" s="1119">
        <f>+AK403+AK404+AK412+AK416</f>
        <v>797000</v>
      </c>
      <c r="AL402" s="1119">
        <f>+AL403+AL404+AL412+AL416</f>
        <v>797000</v>
      </c>
      <c r="AM402" s="1119">
        <f>+AM403+AM404+AM412+AM416</f>
        <v>797000</v>
      </c>
      <c r="AN402" s="1119">
        <f>+AN403+AN404+AN412+AN416</f>
        <v>797000</v>
      </c>
      <c r="AO402" s="1119">
        <f>+AO403+AO404+AO412+AO416</f>
        <v>410000</v>
      </c>
      <c r="AP402" s="1119">
        <f t="shared" ref="AP402:AP417" si="30">SUM(AK402:AO402)</f>
        <v>3598000</v>
      </c>
      <c r="AQ402" s="153"/>
      <c r="AR402" s="1027"/>
      <c r="AS402" s="153"/>
      <c r="AT402" s="153"/>
      <c r="AU402" s="153"/>
      <c r="AV402" s="153"/>
      <c r="AW402" s="153"/>
      <c r="AX402" s="153"/>
      <c r="AY402" s="153"/>
      <c r="AZ402" s="153"/>
    </row>
    <row r="403" spans="1:52" s="558" customFormat="1" ht="36.5" customHeight="1" outlineLevel="3">
      <c r="A403" s="585" t="s">
        <v>2629</v>
      </c>
      <c r="B403" s="551" t="s">
        <v>1632</v>
      </c>
      <c r="C403" s="551"/>
      <c r="D403" s="537" t="s">
        <v>2630</v>
      </c>
      <c r="E403" s="537"/>
      <c r="F403" s="491"/>
      <c r="G403" s="571"/>
      <c r="H403" s="552"/>
      <c r="I403" s="552"/>
      <c r="J403" s="553"/>
      <c r="K403" s="553"/>
      <c r="L403" s="553"/>
      <c r="M403" s="553"/>
      <c r="N403" s="553"/>
      <c r="O403" s="553"/>
      <c r="P403" s="553"/>
      <c r="Q403" s="571"/>
      <c r="R403" s="1116"/>
      <c r="S403" s="1116"/>
      <c r="T403" s="1116"/>
      <c r="U403" s="1116"/>
      <c r="V403" s="1116"/>
      <c r="W403" s="1116"/>
      <c r="X403" s="571"/>
      <c r="Y403" s="555"/>
      <c r="Z403" s="572"/>
      <c r="AA403" s="572"/>
      <c r="AB403" s="556"/>
      <c r="AC403" s="573"/>
      <c r="AD403" s="557"/>
      <c r="AE403" s="713" t="s">
        <v>3600</v>
      </c>
      <c r="AF403" s="571"/>
      <c r="AG403" s="502"/>
      <c r="AH403" s="502"/>
      <c r="AI403" s="503"/>
      <c r="AJ403" s="871"/>
      <c r="AK403" s="985"/>
      <c r="AL403" s="985"/>
      <c r="AM403" s="985"/>
      <c r="AN403" s="1016"/>
      <c r="AO403" s="985"/>
      <c r="AP403" s="1017">
        <f t="shared" si="30"/>
        <v>0</v>
      </c>
      <c r="AQ403" s="879"/>
      <c r="AR403" s="1027"/>
    </row>
    <row r="404" spans="1:52" s="153" customFormat="1" ht="14" customHeight="1" outlineLevel="3">
      <c r="A404" s="586"/>
      <c r="B404" s="189" t="s">
        <v>1634</v>
      </c>
      <c r="C404" s="189"/>
      <c r="D404" s="559" t="s">
        <v>1635</v>
      </c>
      <c r="E404" s="559"/>
      <c r="F404" s="125"/>
      <c r="G404" s="173"/>
      <c r="H404" s="374"/>
      <c r="I404" s="374"/>
      <c r="J404" s="375"/>
      <c r="K404" s="375"/>
      <c r="L404" s="375"/>
      <c r="M404" s="375"/>
      <c r="N404" s="375"/>
      <c r="O404" s="375"/>
      <c r="P404" s="375"/>
      <c r="Q404" s="173"/>
      <c r="R404" s="1116"/>
      <c r="S404" s="1116"/>
      <c r="T404" s="1116"/>
      <c r="U404" s="1116"/>
      <c r="V404" s="1116"/>
      <c r="W404" s="1116"/>
      <c r="X404" s="173"/>
      <c r="Y404" s="125"/>
      <c r="Z404" s="190"/>
      <c r="AA404" s="190"/>
      <c r="AB404" s="192"/>
      <c r="AC404" s="193"/>
      <c r="AD404" s="193">
        <f>SUM(AD405:AD411)</f>
        <v>1800000</v>
      </c>
      <c r="AE404" s="695"/>
      <c r="AF404" s="173"/>
      <c r="AG404" s="193">
        <f>SUM(AG405:AG411)</f>
        <v>1800000</v>
      </c>
      <c r="AH404" s="193">
        <f>SUM(AH405:AH411)</f>
        <v>0</v>
      </c>
      <c r="AI404" s="193">
        <f>SUM(AI405:AI411)</f>
        <v>1800000</v>
      </c>
      <c r="AJ404" s="872"/>
      <c r="AK404" s="1019">
        <f>SUM(AK405:AK411)</f>
        <v>360000</v>
      </c>
      <c r="AL404" s="1019">
        <f>SUM(AL405:AL411)</f>
        <v>360000</v>
      </c>
      <c r="AM404" s="1019">
        <f>SUM(AM405:AM411)</f>
        <v>360000</v>
      </c>
      <c r="AN404" s="1020">
        <f>SUM(AN405:AN411)</f>
        <v>360000</v>
      </c>
      <c r="AO404" s="1018">
        <f>SUM(AO405:AO411)</f>
        <v>360000</v>
      </c>
      <c r="AP404" s="1018">
        <f t="shared" si="30"/>
        <v>1800000</v>
      </c>
      <c r="AR404" s="1027"/>
    </row>
    <row r="405" spans="1:52" s="881" customFormat="1" ht="27.5" customHeight="1" outlineLevel="4">
      <c r="A405" s="587"/>
      <c r="B405" s="183" t="s">
        <v>1636</v>
      </c>
      <c r="C405" s="183"/>
      <c r="D405" s="1060" t="s">
        <v>3016</v>
      </c>
      <c r="E405" s="1060"/>
      <c r="F405" s="103"/>
      <c r="G405" s="574"/>
      <c r="H405" s="376"/>
      <c r="I405" s="376"/>
      <c r="J405" s="361"/>
      <c r="K405" s="361"/>
      <c r="L405" s="361"/>
      <c r="M405" s="361"/>
      <c r="N405" s="361"/>
      <c r="O405" s="361"/>
      <c r="P405" s="361"/>
      <c r="Q405" s="574"/>
      <c r="R405" s="1116" t="str">
        <f>+'9.3_PA_Det'!E193</f>
        <v>3CV</v>
      </c>
      <c r="S405" s="1116" t="s">
        <v>1075</v>
      </c>
      <c r="T405" s="1116" t="s">
        <v>1430</v>
      </c>
      <c r="U405" s="1116">
        <f>+'9.3_PA_Det'!$F$193</f>
        <v>84</v>
      </c>
      <c r="V405" s="1116"/>
      <c r="W405" s="1116"/>
      <c r="X405" s="574"/>
      <c r="Y405" s="126" t="s">
        <v>1267</v>
      </c>
      <c r="Z405" s="1046">
        <v>1</v>
      </c>
      <c r="AA405" s="1046">
        <v>60</v>
      </c>
      <c r="AB405" s="186"/>
      <c r="AC405" s="1047">
        <v>4500</v>
      </c>
      <c r="AD405" s="187">
        <f t="shared" ref="AD405:AD411" si="31">Z405*AA405*AC405</f>
        <v>270000</v>
      </c>
      <c r="AE405" s="1043"/>
      <c r="AF405" s="574"/>
      <c r="AG405" s="1032">
        <f>+AD405</f>
        <v>270000</v>
      </c>
      <c r="AH405" s="1032"/>
      <c r="AI405" s="1041">
        <f t="shared" ref="AI405:AI411" si="32">+AH405+AG405</f>
        <v>270000</v>
      </c>
      <c r="AJ405" s="869"/>
      <c r="AK405" s="1002">
        <f>+$AC$405*12</f>
        <v>54000</v>
      </c>
      <c r="AL405" s="1002">
        <f>+$AC$405*12</f>
        <v>54000</v>
      </c>
      <c r="AM405" s="1002">
        <f>+$AC$405*12</f>
        <v>54000</v>
      </c>
      <c r="AN405" s="1002">
        <f>+$AC$405*12</f>
        <v>54000</v>
      </c>
      <c r="AO405" s="1002">
        <f>+$AC$405*12</f>
        <v>54000</v>
      </c>
      <c r="AP405" s="1003">
        <f t="shared" si="30"/>
        <v>270000</v>
      </c>
      <c r="AQ405" s="108"/>
      <c r="AR405" s="1027"/>
    </row>
    <row r="406" spans="1:52" s="881" customFormat="1" ht="27.5" customHeight="1" outlineLevel="4">
      <c r="A406" s="587"/>
      <c r="B406" s="183" t="s">
        <v>1638</v>
      </c>
      <c r="C406" s="183"/>
      <c r="D406" s="1060" t="s">
        <v>3017</v>
      </c>
      <c r="E406" s="1060"/>
      <c r="F406" s="103"/>
      <c r="G406" s="574"/>
      <c r="H406" s="376"/>
      <c r="I406" s="376"/>
      <c r="J406" s="361"/>
      <c r="K406" s="361"/>
      <c r="L406" s="361"/>
      <c r="M406" s="361"/>
      <c r="N406" s="361"/>
      <c r="O406" s="361"/>
      <c r="P406" s="361"/>
      <c r="Q406" s="574"/>
      <c r="R406" s="1116" t="str">
        <f>+'9.3_PA_Det'!E194</f>
        <v>3CV</v>
      </c>
      <c r="S406" s="1116" t="s">
        <v>1075</v>
      </c>
      <c r="T406" s="1116" t="s">
        <v>1430</v>
      </c>
      <c r="U406" s="1116">
        <f>+'9.3_PA_Det'!$F$194</f>
        <v>85</v>
      </c>
      <c r="V406" s="1116"/>
      <c r="W406" s="1116"/>
      <c r="X406" s="574"/>
      <c r="Y406" s="126" t="s">
        <v>1267</v>
      </c>
      <c r="Z406" s="1046">
        <v>1</v>
      </c>
      <c r="AA406" s="1046">
        <v>60</v>
      </c>
      <c r="AB406" s="186"/>
      <c r="AC406" s="1047">
        <v>3500</v>
      </c>
      <c r="AD406" s="187">
        <f t="shared" si="31"/>
        <v>210000</v>
      </c>
      <c r="AE406" s="1043"/>
      <c r="AF406" s="574"/>
      <c r="AG406" s="1032">
        <f t="shared" ref="AG406:AG411" si="33">+AD406</f>
        <v>210000</v>
      </c>
      <c r="AH406" s="1032"/>
      <c r="AI406" s="1041">
        <f t="shared" si="32"/>
        <v>210000</v>
      </c>
      <c r="AJ406" s="869"/>
      <c r="AK406" s="1002">
        <f>+$AC$406*12</f>
        <v>42000</v>
      </c>
      <c r="AL406" s="1002">
        <f>+$AC$406*12</f>
        <v>42000</v>
      </c>
      <c r="AM406" s="1002">
        <f>+$AC$406*12</f>
        <v>42000</v>
      </c>
      <c r="AN406" s="1002">
        <f>+$AC$406*12</f>
        <v>42000</v>
      </c>
      <c r="AO406" s="1002">
        <f>+$AC$406*12</f>
        <v>42000</v>
      </c>
      <c r="AP406" s="1003">
        <f t="shared" si="30"/>
        <v>210000</v>
      </c>
      <c r="AQ406" s="108"/>
      <c r="AR406" s="1027"/>
    </row>
    <row r="407" spans="1:52" s="881" customFormat="1" ht="27.5" customHeight="1" outlineLevel="4">
      <c r="A407" s="587"/>
      <c r="B407" s="183" t="s">
        <v>1640</v>
      </c>
      <c r="C407" s="183"/>
      <c r="D407" s="1060" t="s">
        <v>3019</v>
      </c>
      <c r="E407" s="1060"/>
      <c r="F407" s="103"/>
      <c r="G407" s="574"/>
      <c r="H407" s="376"/>
      <c r="I407" s="376"/>
      <c r="J407" s="361"/>
      <c r="K407" s="361"/>
      <c r="L407" s="361"/>
      <c r="M407" s="361"/>
      <c r="N407" s="361"/>
      <c r="O407" s="361"/>
      <c r="P407" s="361"/>
      <c r="Q407" s="574"/>
      <c r="R407" s="1116" t="str">
        <f>+'9.3_PA_Det'!E195</f>
        <v>3CV</v>
      </c>
      <c r="S407" s="1116" t="s">
        <v>1075</v>
      </c>
      <c r="T407" s="1116" t="s">
        <v>1430</v>
      </c>
      <c r="U407" s="1116">
        <f>+'9.3_PA_Det'!$F$195</f>
        <v>86</v>
      </c>
      <c r="V407" s="1116"/>
      <c r="W407" s="1116"/>
      <c r="X407" s="574"/>
      <c r="Y407" s="126" t="s">
        <v>1267</v>
      </c>
      <c r="Z407" s="1046">
        <v>1</v>
      </c>
      <c r="AA407" s="1046">
        <v>60</v>
      </c>
      <c r="AB407" s="186"/>
      <c r="AC407" s="1047">
        <v>3500</v>
      </c>
      <c r="AD407" s="187">
        <f t="shared" si="31"/>
        <v>210000</v>
      </c>
      <c r="AE407" s="1043"/>
      <c r="AF407" s="574"/>
      <c r="AG407" s="1032">
        <f t="shared" si="33"/>
        <v>210000</v>
      </c>
      <c r="AH407" s="1032"/>
      <c r="AI407" s="1041">
        <f t="shared" si="32"/>
        <v>210000</v>
      </c>
      <c r="AJ407" s="869"/>
      <c r="AK407" s="1002">
        <f>+$AC$407*12</f>
        <v>42000</v>
      </c>
      <c r="AL407" s="1002">
        <f>+$AC$407*12</f>
        <v>42000</v>
      </c>
      <c r="AM407" s="1002">
        <f>+$AC$407*12</f>
        <v>42000</v>
      </c>
      <c r="AN407" s="1002">
        <f>+$AC$407*12</f>
        <v>42000</v>
      </c>
      <c r="AO407" s="1002">
        <f>+$AC$407*12</f>
        <v>42000</v>
      </c>
      <c r="AP407" s="1003">
        <f t="shared" si="30"/>
        <v>210000</v>
      </c>
      <c r="AQ407" s="108"/>
      <c r="AR407" s="1027"/>
    </row>
    <row r="408" spans="1:52" s="881" customFormat="1" ht="27.5" customHeight="1" outlineLevel="4">
      <c r="A408" s="587"/>
      <c r="B408" s="183" t="s">
        <v>1642</v>
      </c>
      <c r="C408" s="183"/>
      <c r="D408" s="1060" t="s">
        <v>3021</v>
      </c>
      <c r="E408" s="1060"/>
      <c r="F408" s="103"/>
      <c r="G408" s="574"/>
      <c r="H408" s="376"/>
      <c r="I408" s="376"/>
      <c r="J408" s="361"/>
      <c r="K408" s="361"/>
      <c r="L408" s="361"/>
      <c r="M408" s="361"/>
      <c r="N408" s="361"/>
      <c r="O408" s="361"/>
      <c r="P408" s="361"/>
      <c r="Q408" s="574"/>
      <c r="R408" s="1116" t="str">
        <f>+'9.3_PA_Det'!E196</f>
        <v>3CV</v>
      </c>
      <c r="S408" s="1116" t="s">
        <v>1075</v>
      </c>
      <c r="T408" s="1116" t="s">
        <v>1430</v>
      </c>
      <c r="U408" s="1116">
        <f>+'9.3_PA_Det'!$F$196</f>
        <v>87</v>
      </c>
      <c r="V408" s="1116"/>
      <c r="W408" s="1116"/>
      <c r="X408" s="574"/>
      <c r="Y408" s="126" t="s">
        <v>1267</v>
      </c>
      <c r="Z408" s="1046">
        <v>1</v>
      </c>
      <c r="AA408" s="1046">
        <v>60</v>
      </c>
      <c r="AB408" s="186"/>
      <c r="AC408" s="1047">
        <v>3500</v>
      </c>
      <c r="AD408" s="187">
        <f t="shared" si="31"/>
        <v>210000</v>
      </c>
      <c r="AE408" s="1043"/>
      <c r="AF408" s="574"/>
      <c r="AG408" s="1032">
        <f t="shared" si="33"/>
        <v>210000</v>
      </c>
      <c r="AH408" s="1032"/>
      <c r="AI408" s="1041">
        <f t="shared" si="32"/>
        <v>210000</v>
      </c>
      <c r="AJ408" s="869"/>
      <c r="AK408" s="1002">
        <f>+$AC$408*12</f>
        <v>42000</v>
      </c>
      <c r="AL408" s="1002">
        <f>+$AC$408*12</f>
        <v>42000</v>
      </c>
      <c r="AM408" s="1002">
        <f>+$AC$408*12</f>
        <v>42000</v>
      </c>
      <c r="AN408" s="1002">
        <f>+$AC$408*12</f>
        <v>42000</v>
      </c>
      <c r="AO408" s="1002">
        <f>+$AC$408*12</f>
        <v>42000</v>
      </c>
      <c r="AP408" s="1003">
        <f t="shared" si="30"/>
        <v>210000</v>
      </c>
      <c r="AQ408" s="108"/>
      <c r="AR408" s="1027"/>
    </row>
    <row r="409" spans="1:52" s="881" customFormat="1" ht="27.5" customHeight="1" outlineLevel="4">
      <c r="A409" s="587"/>
      <c r="B409" s="183" t="s">
        <v>1644</v>
      </c>
      <c r="C409" s="183"/>
      <c r="D409" s="1060" t="s">
        <v>1645</v>
      </c>
      <c r="E409" s="1060"/>
      <c r="F409" s="103"/>
      <c r="G409" s="574"/>
      <c r="H409" s="376"/>
      <c r="I409" s="376"/>
      <c r="J409" s="361"/>
      <c r="K409" s="361"/>
      <c r="L409" s="361"/>
      <c r="M409" s="361"/>
      <c r="N409" s="361"/>
      <c r="O409" s="361"/>
      <c r="P409" s="361"/>
      <c r="Q409" s="574"/>
      <c r="R409" s="1116" t="str">
        <f>+'9.3_PA_Det'!E197</f>
        <v>3CV</v>
      </c>
      <c r="S409" s="1116" t="s">
        <v>1075</v>
      </c>
      <c r="T409" s="1116" t="s">
        <v>1430</v>
      </c>
      <c r="U409" s="1116">
        <f>+'9.3_PA_Det'!$F$197</f>
        <v>88</v>
      </c>
      <c r="V409" s="1116"/>
      <c r="W409" s="1116"/>
      <c r="X409" s="574"/>
      <c r="Y409" s="126" t="s">
        <v>1267</v>
      </c>
      <c r="Z409" s="1046">
        <v>2</v>
      </c>
      <c r="AA409" s="1046">
        <v>60</v>
      </c>
      <c r="AB409" s="186"/>
      <c r="AC409" s="1047">
        <v>4000</v>
      </c>
      <c r="AD409" s="187">
        <f t="shared" si="31"/>
        <v>480000</v>
      </c>
      <c r="AE409" s="1043"/>
      <c r="AF409" s="574"/>
      <c r="AG409" s="1032">
        <f t="shared" si="33"/>
        <v>480000</v>
      </c>
      <c r="AH409" s="1032"/>
      <c r="AI409" s="1041">
        <f t="shared" si="32"/>
        <v>480000</v>
      </c>
      <c r="AJ409" s="869"/>
      <c r="AK409" s="1002">
        <f>+$AC$409*12*2</f>
        <v>96000</v>
      </c>
      <c r="AL409" s="1002">
        <f>+$AC$409*12*2</f>
        <v>96000</v>
      </c>
      <c r="AM409" s="1002">
        <f>+$AC$409*12*2</f>
        <v>96000</v>
      </c>
      <c r="AN409" s="1002">
        <f>+$AC$409*12*2</f>
        <v>96000</v>
      </c>
      <c r="AO409" s="1002">
        <f>+$AC$409*12*2</f>
        <v>96000</v>
      </c>
      <c r="AP409" s="1003">
        <f t="shared" si="30"/>
        <v>480000</v>
      </c>
      <c r="AQ409" s="108"/>
      <c r="AR409" s="1027"/>
    </row>
    <row r="410" spans="1:52" s="881" customFormat="1" ht="27.5" customHeight="1" outlineLevel="4">
      <c r="A410" s="587"/>
      <c r="B410" s="183" t="s">
        <v>1646</v>
      </c>
      <c r="C410" s="183"/>
      <c r="D410" s="1060" t="s">
        <v>3029</v>
      </c>
      <c r="E410" s="1060"/>
      <c r="F410" s="103"/>
      <c r="G410" s="574"/>
      <c r="H410" s="376"/>
      <c r="I410" s="376"/>
      <c r="J410" s="361"/>
      <c r="K410" s="361"/>
      <c r="L410" s="361"/>
      <c r="M410" s="361"/>
      <c r="N410" s="361"/>
      <c r="O410" s="361"/>
      <c r="P410" s="361"/>
      <c r="Q410" s="574"/>
      <c r="R410" s="1116" t="str">
        <f>+'9.3_PA_Det'!E198</f>
        <v>3CV</v>
      </c>
      <c r="S410" s="1116" t="s">
        <v>1075</v>
      </c>
      <c r="T410" s="1116" t="s">
        <v>1430</v>
      </c>
      <c r="U410" s="1116">
        <f>+'9.3_PA_Det'!$F$198</f>
        <v>89</v>
      </c>
      <c r="V410" s="1116"/>
      <c r="W410" s="1116"/>
      <c r="X410" s="574"/>
      <c r="Y410" s="126" t="s">
        <v>1267</v>
      </c>
      <c r="Z410" s="1046">
        <v>2</v>
      </c>
      <c r="AA410" s="1046">
        <v>60</v>
      </c>
      <c r="AB410" s="186"/>
      <c r="AC410" s="1047">
        <v>2500</v>
      </c>
      <c r="AD410" s="187">
        <f t="shared" si="31"/>
        <v>300000</v>
      </c>
      <c r="AE410" s="1043"/>
      <c r="AF410" s="574"/>
      <c r="AG410" s="1032">
        <f t="shared" si="33"/>
        <v>300000</v>
      </c>
      <c r="AH410" s="1032"/>
      <c r="AI410" s="1041">
        <f t="shared" si="32"/>
        <v>300000</v>
      </c>
      <c r="AJ410" s="869"/>
      <c r="AK410" s="1002">
        <f>+$AC$410*12*2</f>
        <v>60000</v>
      </c>
      <c r="AL410" s="1002">
        <f>+$AC$410*12*2</f>
        <v>60000</v>
      </c>
      <c r="AM410" s="1002">
        <f>+$AC$410*12*2</f>
        <v>60000</v>
      </c>
      <c r="AN410" s="1002">
        <f>+$AC$410*12*2</f>
        <v>60000</v>
      </c>
      <c r="AO410" s="1002">
        <f>+$AC$410*12*2</f>
        <v>60000</v>
      </c>
      <c r="AP410" s="1003">
        <f t="shared" si="30"/>
        <v>300000</v>
      </c>
      <c r="AQ410" s="108"/>
      <c r="AR410" s="1027"/>
    </row>
    <row r="411" spans="1:52" s="881" customFormat="1" ht="27.5" customHeight="1" outlineLevel="4">
      <c r="A411" s="587"/>
      <c r="B411" s="183" t="s">
        <v>1648</v>
      </c>
      <c r="C411" s="183"/>
      <c r="D411" s="1060" t="s">
        <v>1649</v>
      </c>
      <c r="E411" s="1060"/>
      <c r="F411" s="103"/>
      <c r="G411" s="103"/>
      <c r="H411" s="362"/>
      <c r="I411" s="362"/>
      <c r="J411" s="361"/>
      <c r="K411" s="361"/>
      <c r="L411" s="361"/>
      <c r="M411" s="361"/>
      <c r="N411" s="361"/>
      <c r="O411" s="361"/>
      <c r="P411" s="361"/>
      <c r="Q411" s="103"/>
      <c r="R411" s="1116" t="str">
        <f>+'9.3_PA_Det'!$E$199</f>
        <v>3CV</v>
      </c>
      <c r="S411" s="1116" t="s">
        <v>1075</v>
      </c>
      <c r="T411" s="1116" t="s">
        <v>1430</v>
      </c>
      <c r="U411" s="1116">
        <f>+'9.3_PA_Det'!$F$199</f>
        <v>90</v>
      </c>
      <c r="V411" s="1116"/>
      <c r="W411" s="1116"/>
      <c r="X411" s="103"/>
      <c r="Y411" s="126" t="s">
        <v>1267</v>
      </c>
      <c r="Z411" s="1046">
        <v>1</v>
      </c>
      <c r="AA411" s="1046">
        <v>60</v>
      </c>
      <c r="AB411" s="186"/>
      <c r="AC411" s="1047">
        <v>2000</v>
      </c>
      <c r="AD411" s="187">
        <f t="shared" si="31"/>
        <v>120000</v>
      </c>
      <c r="AE411" s="1043"/>
      <c r="AF411" s="103"/>
      <c r="AG411" s="1032">
        <f t="shared" si="33"/>
        <v>120000</v>
      </c>
      <c r="AH411" s="1032"/>
      <c r="AI411" s="1041">
        <f t="shared" si="32"/>
        <v>120000</v>
      </c>
      <c r="AJ411" s="873"/>
      <c r="AK411" s="1002">
        <f>+$AC$411*12</f>
        <v>24000</v>
      </c>
      <c r="AL411" s="1002">
        <f>+$AC$411*12</f>
        <v>24000</v>
      </c>
      <c r="AM411" s="1002">
        <f>+$AC$411*12</f>
        <v>24000</v>
      </c>
      <c r="AN411" s="1002">
        <f>+$AC$411*12</f>
        <v>24000</v>
      </c>
      <c r="AO411" s="1002">
        <f>+$AC$411*12</f>
        <v>24000</v>
      </c>
      <c r="AP411" s="1003">
        <f t="shared" si="30"/>
        <v>120000</v>
      </c>
      <c r="AQ411" s="108"/>
      <c r="AR411" s="1027"/>
    </row>
    <row r="412" spans="1:52" s="153" customFormat="1" ht="14" customHeight="1" outlineLevel="3">
      <c r="A412" s="586"/>
      <c r="B412" s="189" t="s">
        <v>1653</v>
      </c>
      <c r="C412" s="189"/>
      <c r="D412" s="559" t="s">
        <v>1654</v>
      </c>
      <c r="E412" s="559"/>
      <c r="F412" s="125"/>
      <c r="G412" s="96"/>
      <c r="H412" s="373"/>
      <c r="I412" s="374"/>
      <c r="J412" s="375"/>
      <c r="K412" s="375"/>
      <c r="L412" s="375"/>
      <c r="M412" s="375"/>
      <c r="N412" s="375"/>
      <c r="O412" s="375"/>
      <c r="P412" s="375"/>
      <c r="Q412" s="96"/>
      <c r="R412" s="1116"/>
      <c r="S412" s="1116"/>
      <c r="T412" s="1116"/>
      <c r="U412" s="1116"/>
      <c r="V412" s="1116"/>
      <c r="W412" s="1116"/>
      <c r="X412" s="96"/>
      <c r="Y412" s="125"/>
      <c r="Z412" s="190"/>
      <c r="AA412" s="190"/>
      <c r="AB412" s="192"/>
      <c r="AC412" s="193"/>
      <c r="AD412" s="193">
        <f>+AD414+AD415+AD413</f>
        <v>1548000</v>
      </c>
      <c r="AE412" s="695"/>
      <c r="AF412" s="96"/>
      <c r="AG412" s="193">
        <f>+AG414+AG415+AG413</f>
        <v>1548000</v>
      </c>
      <c r="AH412" s="193">
        <f>+AH414+AH415+AH413</f>
        <v>0</v>
      </c>
      <c r="AI412" s="193">
        <f>+AI414+AI415+AI413</f>
        <v>1548000</v>
      </c>
      <c r="AJ412" s="865"/>
      <c r="AK412" s="193">
        <f>+AK414+AK415+AK413</f>
        <v>387000</v>
      </c>
      <c r="AL412" s="193">
        <f>+AL414+AL415+AL413</f>
        <v>387000</v>
      </c>
      <c r="AM412" s="193">
        <f>+AM414+AM415+AM413</f>
        <v>387000</v>
      </c>
      <c r="AN412" s="193">
        <f>+AN414+AN415+AN413</f>
        <v>387000</v>
      </c>
      <c r="AO412" s="193">
        <f>+AO414+AO415+AO413</f>
        <v>0</v>
      </c>
      <c r="AP412" s="1018">
        <f t="shared" si="30"/>
        <v>1548000</v>
      </c>
      <c r="AR412" s="1027"/>
    </row>
    <row r="413" spans="1:52" s="558" customFormat="1" ht="29.5" customHeight="1" outlineLevel="4">
      <c r="A413" s="585" t="s">
        <v>2629</v>
      </c>
      <c r="B413" s="551" t="s">
        <v>1655</v>
      </c>
      <c r="C413" s="551"/>
      <c r="D413" s="537" t="s">
        <v>1656</v>
      </c>
      <c r="E413" s="537"/>
      <c r="F413" s="491"/>
      <c r="G413" s="571"/>
      <c r="H413" s="552"/>
      <c r="I413" s="552"/>
      <c r="J413" s="553"/>
      <c r="K413" s="553"/>
      <c r="L413" s="553"/>
      <c r="M413" s="553"/>
      <c r="N413" s="553"/>
      <c r="O413" s="553"/>
      <c r="P413" s="553"/>
      <c r="Q413" s="571"/>
      <c r="R413" s="1116"/>
      <c r="S413" s="1116"/>
      <c r="T413" s="1116"/>
      <c r="U413" s="1116"/>
      <c r="V413" s="1116"/>
      <c r="W413" s="1116"/>
      <c r="X413" s="571"/>
      <c r="Y413" s="555"/>
      <c r="Z413" s="572"/>
      <c r="AA413" s="572"/>
      <c r="AB413" s="556"/>
      <c r="AC413" s="573"/>
      <c r="AD413" s="557">
        <f>+Z413*AC413</f>
        <v>0</v>
      </c>
      <c r="AE413" s="943" t="s">
        <v>3601</v>
      </c>
      <c r="AF413" s="571"/>
      <c r="AG413" s="502"/>
      <c r="AH413" s="502"/>
      <c r="AI413" s="1041">
        <f>+AH413+AG413</f>
        <v>0</v>
      </c>
      <c r="AJ413" s="871"/>
      <c r="AK413" s="985"/>
      <c r="AL413" s="985"/>
      <c r="AM413" s="985"/>
      <c r="AN413" s="1016"/>
      <c r="AO413" s="985"/>
      <c r="AP413" s="1017">
        <f t="shared" si="30"/>
        <v>0</v>
      </c>
      <c r="AQ413" s="879"/>
      <c r="AR413" s="1027"/>
    </row>
    <row r="414" spans="1:52" s="881" customFormat="1" ht="25.25" customHeight="1" outlineLevel="4">
      <c r="A414" s="587"/>
      <c r="B414" s="183" t="s">
        <v>3602</v>
      </c>
      <c r="C414" s="183"/>
      <c r="D414" s="1060" t="s">
        <v>3603</v>
      </c>
      <c r="E414" s="1060"/>
      <c r="F414" s="103"/>
      <c r="G414" s="574"/>
      <c r="H414" s="376"/>
      <c r="I414" s="376"/>
      <c r="J414" s="361"/>
      <c r="K414" s="361"/>
      <c r="L414" s="361"/>
      <c r="M414" s="361"/>
      <c r="N414" s="361"/>
      <c r="O414" s="361"/>
      <c r="P414" s="361"/>
      <c r="Q414" s="574"/>
      <c r="R414" s="1176" t="str">
        <f>+'9.3_PA_Det'!E153</f>
        <v>Selección Basada en Calidad y Costo</v>
      </c>
      <c r="S414" s="1176" t="s">
        <v>1075</v>
      </c>
      <c r="T414" s="1176" t="s">
        <v>1667</v>
      </c>
      <c r="U414" s="1116">
        <f>+'9.3_PA_Det'!F153</f>
        <v>53</v>
      </c>
      <c r="V414" s="1116"/>
      <c r="W414" s="1116"/>
      <c r="X414" s="574"/>
      <c r="Y414" s="126" t="s">
        <v>1652</v>
      </c>
      <c r="Z414" s="1046">
        <v>1</v>
      </c>
      <c r="AA414" s="1046">
        <v>48</v>
      </c>
      <c r="AB414" s="186">
        <v>1.5</v>
      </c>
      <c r="AC414" s="1047">
        <v>4000</v>
      </c>
      <c r="AD414" s="187">
        <f>Z414*AA414*AB414*AC414</f>
        <v>288000</v>
      </c>
      <c r="AE414" s="1043"/>
      <c r="AF414" s="574"/>
      <c r="AG414" s="1032">
        <f>+AD414</f>
        <v>288000</v>
      </c>
      <c r="AH414" s="1032"/>
      <c r="AI414" s="1041">
        <f>+AH414+AG414</f>
        <v>288000</v>
      </c>
      <c r="AJ414" s="869"/>
      <c r="AK414" s="1002">
        <f>+$AG$414/4</f>
        <v>72000</v>
      </c>
      <c r="AL414" s="1002">
        <f>+$AG$414/4</f>
        <v>72000</v>
      </c>
      <c r="AM414" s="1002">
        <f>+$AG$414/4</f>
        <v>72000</v>
      </c>
      <c r="AN414" s="1002">
        <f>+$AG$414/4</f>
        <v>72000</v>
      </c>
      <c r="AO414" s="1038"/>
      <c r="AP414" s="1003">
        <f t="shared" si="30"/>
        <v>288000</v>
      </c>
      <c r="AQ414" s="108"/>
      <c r="AR414" s="1027"/>
    </row>
    <row r="415" spans="1:52" s="881" customFormat="1" ht="25.25" customHeight="1" outlineLevel="4">
      <c r="A415" s="587"/>
      <c r="B415" s="183" t="s">
        <v>1657</v>
      </c>
      <c r="C415" s="183"/>
      <c r="D415" s="1060" t="s">
        <v>1658</v>
      </c>
      <c r="E415" s="1060"/>
      <c r="F415" s="103"/>
      <c r="G415" s="574"/>
      <c r="H415" s="376"/>
      <c r="I415" s="376"/>
      <c r="J415" s="361"/>
      <c r="K415" s="361"/>
      <c r="L415" s="361"/>
      <c r="M415" s="361"/>
      <c r="N415" s="361"/>
      <c r="O415" s="361"/>
      <c r="P415" s="361"/>
      <c r="Q415" s="574"/>
      <c r="R415" s="1116"/>
      <c r="S415" s="1116"/>
      <c r="T415" s="1116"/>
      <c r="U415" s="1116"/>
      <c r="V415" s="1116"/>
      <c r="W415" s="1116"/>
      <c r="X415" s="574"/>
      <c r="Y415" s="126" t="s">
        <v>1652</v>
      </c>
      <c r="Z415" s="1046">
        <v>5</v>
      </c>
      <c r="AA415" s="1046">
        <v>48</v>
      </c>
      <c r="AB415" s="186">
        <v>1.5</v>
      </c>
      <c r="AC415" s="1047">
        <v>3500</v>
      </c>
      <c r="AD415" s="187">
        <f>Z415*AA415*AB415*AC415</f>
        <v>1260000</v>
      </c>
      <c r="AE415" s="1043"/>
      <c r="AF415" s="574"/>
      <c r="AG415" s="1032">
        <f>+AD415</f>
        <v>1260000</v>
      </c>
      <c r="AH415" s="1032"/>
      <c r="AI415" s="1041">
        <f>+AH415+AG415</f>
        <v>1260000</v>
      </c>
      <c r="AJ415" s="869"/>
      <c r="AK415" s="1002">
        <f>+$AG$415/4</f>
        <v>315000</v>
      </c>
      <c r="AL415" s="1002">
        <f>+$AG$415/4</f>
        <v>315000</v>
      </c>
      <c r="AM415" s="1002">
        <f>+$AG$415/4</f>
        <v>315000</v>
      </c>
      <c r="AN415" s="1002">
        <f>+$AG$415/4</f>
        <v>315000</v>
      </c>
      <c r="AO415" s="1038"/>
      <c r="AP415" s="1003">
        <f t="shared" si="30"/>
        <v>1260000</v>
      </c>
      <c r="AQ415" s="108"/>
      <c r="AR415" s="1027"/>
    </row>
    <row r="416" spans="1:52" s="878" customFormat="1" ht="13.25" customHeight="1" outlineLevel="3">
      <c r="A416" s="586"/>
      <c r="B416" s="189" t="s">
        <v>1660</v>
      </c>
      <c r="C416" s="189"/>
      <c r="D416" s="559" t="s">
        <v>1661</v>
      </c>
      <c r="E416" s="559"/>
      <c r="F416" s="125"/>
      <c r="G416" s="96"/>
      <c r="H416" s="373"/>
      <c r="I416" s="374"/>
      <c r="J416" s="375"/>
      <c r="K416" s="375"/>
      <c r="L416" s="375"/>
      <c r="M416" s="375"/>
      <c r="N416" s="375"/>
      <c r="O416" s="375"/>
      <c r="P416" s="375"/>
      <c r="Q416" s="96"/>
      <c r="R416" s="1116"/>
      <c r="S416" s="1116"/>
      <c r="T416" s="1116"/>
      <c r="U416" s="1116"/>
      <c r="V416" s="1116"/>
      <c r="W416" s="1116"/>
      <c r="X416" s="96"/>
      <c r="Y416" s="125"/>
      <c r="Z416" s="190"/>
      <c r="AA416" s="190"/>
      <c r="AB416" s="192"/>
      <c r="AC416" s="193"/>
      <c r="AD416" s="193">
        <f>SUM(AD417:AD417)</f>
        <v>250000</v>
      </c>
      <c r="AE416" s="695"/>
      <c r="AF416" s="96"/>
      <c r="AG416" s="193">
        <f>SUM(AG417:AG417)</f>
        <v>250000</v>
      </c>
      <c r="AH416" s="193">
        <f>SUM(AH417:AH417)</f>
        <v>0</v>
      </c>
      <c r="AI416" s="193">
        <f>SUM(AI417:AI417)</f>
        <v>250000</v>
      </c>
      <c r="AJ416" s="865"/>
      <c r="AK416" s="1021">
        <f>SUM(AK417:AK417)</f>
        <v>50000</v>
      </c>
      <c r="AL416" s="1021">
        <f>SUM(AL417:AL417)</f>
        <v>50000</v>
      </c>
      <c r="AM416" s="1021">
        <f>SUM(AM417:AM417)</f>
        <v>50000</v>
      </c>
      <c r="AN416" s="1021">
        <f>SUM(AN417:AN417)</f>
        <v>50000</v>
      </c>
      <c r="AO416" s="1021">
        <f>SUM(AO417:AO417)</f>
        <v>50000</v>
      </c>
      <c r="AP416" s="1018">
        <f t="shared" si="30"/>
        <v>250000</v>
      </c>
      <c r="AQ416" s="153"/>
      <c r="AR416" s="1027"/>
      <c r="AS416" s="153"/>
      <c r="AT416" s="153"/>
      <c r="AU416" s="153"/>
      <c r="AV416" s="153"/>
      <c r="AW416" s="153"/>
      <c r="AX416" s="153"/>
      <c r="AY416" s="153"/>
      <c r="AZ416" s="153"/>
    </row>
    <row r="417" spans="1:52" s="882" customFormat="1" ht="14" hidden="1" customHeight="1" outlineLevel="4">
      <c r="A417" s="587"/>
      <c r="B417" s="183" t="s">
        <v>1662</v>
      </c>
      <c r="C417" s="183"/>
      <c r="D417" s="944" t="s">
        <v>1663</v>
      </c>
      <c r="E417" s="944"/>
      <c r="F417" s="103"/>
      <c r="G417" s="97"/>
      <c r="H417" s="360"/>
      <c r="I417" s="362"/>
      <c r="J417" s="361"/>
      <c r="K417" s="361"/>
      <c r="L417" s="361"/>
      <c r="M417" s="361"/>
      <c r="N417" s="361"/>
      <c r="O417" s="361"/>
      <c r="P417" s="361"/>
      <c r="Q417" s="97"/>
      <c r="R417" s="1116" t="s">
        <v>723</v>
      </c>
      <c r="S417" s="1116"/>
      <c r="T417" s="1116"/>
      <c r="U417" s="1116"/>
      <c r="V417" s="1116"/>
      <c r="W417" s="1116"/>
      <c r="X417" s="97"/>
      <c r="Y417" s="126" t="s">
        <v>1664</v>
      </c>
      <c r="Z417" s="522">
        <v>5</v>
      </c>
      <c r="AA417" s="522">
        <v>1</v>
      </c>
      <c r="AB417" s="186"/>
      <c r="AC417" s="523">
        <v>50000</v>
      </c>
      <c r="AD417" s="187">
        <f>Z417*AA417*AC417</f>
        <v>250000</v>
      </c>
      <c r="AE417" s="1043"/>
      <c r="AF417" s="97"/>
      <c r="AG417" s="1032">
        <f>+AD417</f>
        <v>250000</v>
      </c>
      <c r="AH417" s="1032"/>
      <c r="AI417" s="1041">
        <f>+AH417+AG417</f>
        <v>250000</v>
      </c>
      <c r="AJ417" s="867"/>
      <c r="AK417" s="1022">
        <f>+$AC$417</f>
        <v>50000</v>
      </c>
      <c r="AL417" s="1022">
        <f>+$AC$417</f>
        <v>50000</v>
      </c>
      <c r="AM417" s="1022">
        <f>+$AC$417</f>
        <v>50000</v>
      </c>
      <c r="AN417" s="1022">
        <f>+$AC$417</f>
        <v>50000</v>
      </c>
      <c r="AO417" s="1022">
        <f>+$AC$417</f>
        <v>50000</v>
      </c>
      <c r="AP417" s="1003">
        <f t="shared" si="30"/>
        <v>250000</v>
      </c>
      <c r="AQ417" s="108"/>
      <c r="AR417" s="1027"/>
      <c r="AS417" s="881"/>
      <c r="AT417" s="881"/>
      <c r="AU417" s="881"/>
      <c r="AV417" s="881"/>
      <c r="AW417" s="881"/>
      <c r="AX417" s="881"/>
      <c r="AY417" s="881"/>
      <c r="AZ417" s="881"/>
    </row>
    <row r="418" spans="1:52" s="882" customFormat="1" ht="14" customHeight="1" outlineLevel="3" collapsed="1">
      <c r="A418" s="587"/>
      <c r="B418" s="183"/>
      <c r="C418" s="183"/>
      <c r="D418" s="944"/>
      <c r="E418" s="944"/>
      <c r="F418" s="103"/>
      <c r="G418" s="97"/>
      <c r="H418" s="360"/>
      <c r="I418" s="362"/>
      <c r="J418" s="361"/>
      <c r="K418" s="361"/>
      <c r="L418" s="361"/>
      <c r="M418" s="361"/>
      <c r="N418" s="361"/>
      <c r="O418" s="361"/>
      <c r="P418" s="361"/>
      <c r="Q418" s="97"/>
      <c r="R418" s="1116"/>
      <c r="S418" s="1116"/>
      <c r="T418" s="1116"/>
      <c r="U418" s="1116"/>
      <c r="V418" s="1116"/>
      <c r="W418" s="1116"/>
      <c r="X418" s="97"/>
      <c r="Y418" s="126"/>
      <c r="Z418" s="522"/>
      <c r="AA418" s="522"/>
      <c r="AB418" s="186"/>
      <c r="AC418" s="523"/>
      <c r="AD418" s="187"/>
      <c r="AE418" s="1043"/>
      <c r="AF418" s="97"/>
      <c r="AG418" s="1032"/>
      <c r="AH418" s="1032"/>
      <c r="AI418" s="1041"/>
      <c r="AJ418" s="867"/>
      <c r="AK418" s="1022"/>
      <c r="AL418" s="1022"/>
      <c r="AM418" s="1022"/>
      <c r="AN418" s="1022"/>
      <c r="AO418" s="1022"/>
      <c r="AP418" s="1003"/>
      <c r="AQ418" s="108"/>
      <c r="AR418" s="1027"/>
      <c r="AS418" s="881"/>
      <c r="AT418" s="881"/>
      <c r="AU418" s="881"/>
      <c r="AV418" s="881"/>
      <c r="AW418" s="881"/>
      <c r="AX418" s="881"/>
      <c r="AY418" s="881"/>
      <c r="AZ418" s="881"/>
    </row>
    <row r="419" spans="1:52" s="878" customFormat="1" ht="21.5" customHeight="1" outlineLevel="2">
      <c r="A419" s="1113"/>
      <c r="B419" s="1114" t="s">
        <v>2631</v>
      </c>
      <c r="C419" s="1114"/>
      <c r="D419" s="1115" t="s">
        <v>2632</v>
      </c>
      <c r="E419" s="1115"/>
      <c r="F419" s="106"/>
      <c r="G419" s="96"/>
      <c r="H419" s="372"/>
      <c r="I419" s="358"/>
      <c r="J419" s="359"/>
      <c r="K419" s="359"/>
      <c r="L419" s="359"/>
      <c r="M419" s="359"/>
      <c r="N419" s="359"/>
      <c r="O419" s="359"/>
      <c r="P419" s="359"/>
      <c r="Q419" s="96"/>
      <c r="R419" s="1116"/>
      <c r="S419" s="1116"/>
      <c r="T419" s="1116"/>
      <c r="U419" s="1116"/>
      <c r="V419" s="1116"/>
      <c r="W419" s="1116"/>
      <c r="X419" s="96"/>
      <c r="Y419" s="1116"/>
      <c r="Z419" s="1117"/>
      <c r="AA419" s="1117"/>
      <c r="AB419" s="1118"/>
      <c r="AC419" s="1119"/>
      <c r="AD419" s="1119">
        <f>SUM(AD420:AD427)</f>
        <v>1450000</v>
      </c>
      <c r="AE419" s="1120"/>
      <c r="AF419" s="96"/>
      <c r="AG419" s="1119">
        <f>SUM(AG420:AG427)</f>
        <v>1450000</v>
      </c>
      <c r="AH419" s="1119">
        <f>SUM(AH420:AH427)</f>
        <v>0</v>
      </c>
      <c r="AI419" s="1119">
        <f>SUM(AI420:AI427)</f>
        <v>1450000</v>
      </c>
      <c r="AJ419" s="865"/>
      <c r="AK419" s="1119">
        <f>SUM(AK420:AK427)</f>
        <v>302000</v>
      </c>
      <c r="AL419" s="1119">
        <f>SUM(AL420:AL427)</f>
        <v>302000</v>
      </c>
      <c r="AM419" s="1119">
        <f>SUM(AM420:AM427)</f>
        <v>302000</v>
      </c>
      <c r="AN419" s="1121">
        <f>SUM(AN420:AN427)</f>
        <v>302000</v>
      </c>
      <c r="AO419" s="1121">
        <f>SUM(AO420:AO427)</f>
        <v>242000</v>
      </c>
      <c r="AP419" s="1121">
        <f t="shared" ref="AP419:AP427" si="34">SUM(AK419:AO419)</f>
        <v>1450000</v>
      </c>
      <c r="AQ419" s="153"/>
      <c r="AR419" s="1027"/>
      <c r="AS419" s="153"/>
      <c r="AT419" s="153"/>
      <c r="AU419" s="153"/>
      <c r="AV419" s="153"/>
      <c r="AW419" s="153"/>
      <c r="AX419" s="153"/>
      <c r="AY419" s="153"/>
      <c r="AZ419" s="153"/>
    </row>
    <row r="420" spans="1:52" s="885" customFormat="1" ht="14" customHeight="1" outlineLevel="3">
      <c r="A420" s="580"/>
      <c r="B420" s="107" t="s">
        <v>2633</v>
      </c>
      <c r="C420" s="107"/>
      <c r="D420" s="944" t="s">
        <v>2634</v>
      </c>
      <c r="E420" s="944"/>
      <c r="F420" s="177"/>
      <c r="G420" s="98"/>
      <c r="H420" s="363"/>
      <c r="I420" s="377"/>
      <c r="J420" s="377"/>
      <c r="K420" s="377"/>
      <c r="L420" s="377"/>
      <c r="M420" s="377"/>
      <c r="N420" s="377"/>
      <c r="O420" s="377"/>
      <c r="P420" s="377"/>
      <c r="Q420" s="98"/>
      <c r="R420" s="364" t="str">
        <f>+'9.3_PA_Det'!E200</f>
        <v>3CV</v>
      </c>
      <c r="S420" s="362" t="s">
        <v>1075</v>
      </c>
      <c r="T420" s="362" t="s">
        <v>1430</v>
      </c>
      <c r="U420" s="364">
        <f>+'9.3_PA_Det'!F200</f>
        <v>91</v>
      </c>
      <c r="V420" s="364"/>
      <c r="W420" s="195"/>
      <c r="X420" s="98"/>
      <c r="Y420" s="711" t="s">
        <v>1267</v>
      </c>
      <c r="Z420" s="522">
        <v>1</v>
      </c>
      <c r="AA420" s="522">
        <v>60</v>
      </c>
      <c r="AB420" s="180"/>
      <c r="AC420" s="523">
        <v>4000</v>
      </c>
      <c r="AD420" s="187">
        <f t="shared" ref="AD420:AD427" si="35">+Z420*AA420*AC420</f>
        <v>240000</v>
      </c>
      <c r="AE420" s="696"/>
      <c r="AF420" s="98"/>
      <c r="AG420" s="1032">
        <f>+AD420</f>
        <v>240000</v>
      </c>
      <c r="AH420" s="1032"/>
      <c r="AI420" s="1041">
        <f t="shared" ref="AI420:AI427" si="36">+AH420+AG420</f>
        <v>240000</v>
      </c>
      <c r="AJ420" s="874"/>
      <c r="AK420" s="728">
        <f>+$AC$420*12</f>
        <v>48000</v>
      </c>
      <c r="AL420" s="728">
        <f>+$AC$420*12</f>
        <v>48000</v>
      </c>
      <c r="AM420" s="728">
        <f>+$AC$420*12</f>
        <v>48000</v>
      </c>
      <c r="AN420" s="728">
        <f>+$AC$420*12</f>
        <v>48000</v>
      </c>
      <c r="AO420" s="728">
        <f>+$AC$420*12</f>
        <v>48000</v>
      </c>
      <c r="AP420" s="1003">
        <f t="shared" si="34"/>
        <v>240000</v>
      </c>
      <c r="AQ420" s="884"/>
      <c r="AR420" s="1027"/>
      <c r="AS420" s="884"/>
      <c r="AT420" s="884"/>
      <c r="AU420" s="884"/>
      <c r="AV420" s="884"/>
      <c r="AW420" s="884"/>
      <c r="AX420" s="884"/>
      <c r="AY420" s="884"/>
      <c r="AZ420" s="884"/>
    </row>
    <row r="421" spans="1:52" s="885" customFormat="1" ht="14" customHeight="1" outlineLevel="3">
      <c r="A421" s="580"/>
      <c r="B421" s="107" t="s">
        <v>2635</v>
      </c>
      <c r="C421" s="107"/>
      <c r="D421" s="944" t="s">
        <v>2636</v>
      </c>
      <c r="E421" s="944"/>
      <c r="F421" s="196"/>
      <c r="G421" s="99"/>
      <c r="H421" s="378"/>
      <c r="I421" s="379"/>
      <c r="J421" s="377"/>
      <c r="K421" s="361"/>
      <c r="L421" s="361"/>
      <c r="M421" s="361"/>
      <c r="N421" s="361"/>
      <c r="O421" s="361"/>
      <c r="P421" s="361"/>
      <c r="Q421" s="99"/>
      <c r="R421" s="364" t="str">
        <f>+'9.3_PA_Det'!E201</f>
        <v>3CV</v>
      </c>
      <c r="S421" s="362" t="s">
        <v>1075</v>
      </c>
      <c r="T421" s="362" t="s">
        <v>1430</v>
      </c>
      <c r="U421" s="364">
        <f>+'9.3_PA_Det'!F201</f>
        <v>92</v>
      </c>
      <c r="V421" s="364"/>
      <c r="W421" s="197"/>
      <c r="X421" s="99"/>
      <c r="Y421" s="711" t="s">
        <v>1267</v>
      </c>
      <c r="Z421" s="522">
        <v>1</v>
      </c>
      <c r="AA421" s="522">
        <v>60</v>
      </c>
      <c r="AB421" s="180"/>
      <c r="AC421" s="523">
        <v>3000</v>
      </c>
      <c r="AD421" s="187">
        <f t="shared" si="35"/>
        <v>180000</v>
      </c>
      <c r="AE421" s="696"/>
      <c r="AF421" s="99"/>
      <c r="AG421" s="1032">
        <f t="shared" ref="AG421:AG427" si="37">+AD421</f>
        <v>180000</v>
      </c>
      <c r="AH421" s="1032"/>
      <c r="AI421" s="1041">
        <f t="shared" si="36"/>
        <v>180000</v>
      </c>
      <c r="AJ421" s="875"/>
      <c r="AK421" s="728">
        <f>+$AC$421*12</f>
        <v>36000</v>
      </c>
      <c r="AL421" s="728">
        <f>+$AC$421*12</f>
        <v>36000</v>
      </c>
      <c r="AM421" s="728">
        <f>+$AC$421*12</f>
        <v>36000</v>
      </c>
      <c r="AN421" s="728">
        <f>+$AC$421*12</f>
        <v>36000</v>
      </c>
      <c r="AO421" s="728">
        <f>+$AC$421*12</f>
        <v>36000</v>
      </c>
      <c r="AP421" s="1003">
        <f t="shared" si="34"/>
        <v>180000</v>
      </c>
      <c r="AQ421" s="884"/>
      <c r="AR421" s="1027"/>
      <c r="AS421" s="884"/>
      <c r="AT421" s="884"/>
      <c r="AU421" s="884"/>
      <c r="AV421" s="884"/>
      <c r="AW421" s="884"/>
      <c r="AX421" s="884"/>
      <c r="AY421" s="884"/>
      <c r="AZ421" s="884"/>
    </row>
    <row r="422" spans="1:52" s="885" customFormat="1" ht="14" customHeight="1" outlineLevel="3">
      <c r="A422" s="580"/>
      <c r="B422" s="107" t="s">
        <v>2637</v>
      </c>
      <c r="C422" s="107"/>
      <c r="D422" s="944" t="s">
        <v>2638</v>
      </c>
      <c r="E422" s="944"/>
      <c r="F422" s="196"/>
      <c r="G422" s="99"/>
      <c r="H422" s="378"/>
      <c r="I422" s="379"/>
      <c r="J422" s="377"/>
      <c r="K422" s="361"/>
      <c r="L422" s="361"/>
      <c r="M422" s="361"/>
      <c r="N422" s="361"/>
      <c r="O422" s="361"/>
      <c r="P422" s="361"/>
      <c r="Q422" s="99"/>
      <c r="R422" s="364" t="str">
        <f>+'9.3_PA_Det'!E202</f>
        <v>3CV</v>
      </c>
      <c r="S422" s="362" t="s">
        <v>1075</v>
      </c>
      <c r="T422" s="362" t="s">
        <v>1430</v>
      </c>
      <c r="U422" s="364">
        <f>+'9.3_PA_Det'!F202</f>
        <v>93</v>
      </c>
      <c r="V422" s="364"/>
      <c r="W422" s="197"/>
      <c r="X422" s="99"/>
      <c r="Y422" s="711" t="s">
        <v>1267</v>
      </c>
      <c r="Z422" s="522">
        <v>1</v>
      </c>
      <c r="AA422" s="522">
        <v>60</v>
      </c>
      <c r="AB422" s="180"/>
      <c r="AC422" s="523">
        <v>3500</v>
      </c>
      <c r="AD422" s="187">
        <f t="shared" si="35"/>
        <v>210000</v>
      </c>
      <c r="AE422" s="696"/>
      <c r="AF422" s="99"/>
      <c r="AG422" s="1032">
        <f t="shared" si="37"/>
        <v>210000</v>
      </c>
      <c r="AH422" s="1032"/>
      <c r="AI422" s="1041">
        <f t="shared" si="36"/>
        <v>210000</v>
      </c>
      <c r="AJ422" s="875"/>
      <c r="AK422" s="728">
        <f>+$AC$422*12</f>
        <v>42000</v>
      </c>
      <c r="AL422" s="728">
        <f>+$AC$422*12</f>
        <v>42000</v>
      </c>
      <c r="AM422" s="728">
        <f>+$AC$422*12</f>
        <v>42000</v>
      </c>
      <c r="AN422" s="728">
        <f>+$AC$422*12</f>
        <v>42000</v>
      </c>
      <c r="AO422" s="728">
        <f>+$AC$422*12</f>
        <v>42000</v>
      </c>
      <c r="AP422" s="1003">
        <f t="shared" si="34"/>
        <v>210000</v>
      </c>
      <c r="AQ422" s="884"/>
      <c r="AR422" s="1027"/>
      <c r="AS422" s="884"/>
      <c r="AT422" s="884"/>
      <c r="AU422" s="884"/>
      <c r="AV422" s="884"/>
      <c r="AW422" s="884"/>
      <c r="AX422" s="884"/>
      <c r="AY422" s="884"/>
      <c r="AZ422" s="884"/>
    </row>
    <row r="423" spans="1:52" s="885" customFormat="1" ht="14" customHeight="1" outlineLevel="3">
      <c r="A423" s="580"/>
      <c r="B423" s="107" t="s">
        <v>2639</v>
      </c>
      <c r="C423" s="107"/>
      <c r="D423" s="944" t="s">
        <v>2640</v>
      </c>
      <c r="E423" s="944"/>
      <c r="F423" s="196"/>
      <c r="G423" s="99"/>
      <c r="H423" s="378"/>
      <c r="I423" s="379"/>
      <c r="J423" s="377"/>
      <c r="K423" s="361"/>
      <c r="L423" s="361"/>
      <c r="M423" s="361"/>
      <c r="N423" s="361"/>
      <c r="O423" s="361"/>
      <c r="P423" s="361"/>
      <c r="Q423" s="99"/>
      <c r="R423" s="364" t="str">
        <f>+'9.3_PA_Det'!E203</f>
        <v>3CV</v>
      </c>
      <c r="S423" s="362" t="s">
        <v>1075</v>
      </c>
      <c r="T423" s="362" t="s">
        <v>1430</v>
      </c>
      <c r="U423" s="364">
        <f>+'9.3_PA_Det'!F203</f>
        <v>94</v>
      </c>
      <c r="V423" s="364"/>
      <c r="W423" s="197"/>
      <c r="X423" s="99"/>
      <c r="Y423" s="711" t="s">
        <v>1267</v>
      </c>
      <c r="Z423" s="522">
        <v>1</v>
      </c>
      <c r="AA423" s="522">
        <v>60</v>
      </c>
      <c r="AB423" s="180"/>
      <c r="AC423" s="523">
        <v>3500</v>
      </c>
      <c r="AD423" s="187">
        <f t="shared" si="35"/>
        <v>210000</v>
      </c>
      <c r="AE423" s="696"/>
      <c r="AF423" s="99"/>
      <c r="AG423" s="1032">
        <f t="shared" si="37"/>
        <v>210000</v>
      </c>
      <c r="AH423" s="1032"/>
      <c r="AI423" s="1041">
        <f t="shared" si="36"/>
        <v>210000</v>
      </c>
      <c r="AJ423" s="875"/>
      <c r="AK423" s="728">
        <f>+$AC$423*12</f>
        <v>42000</v>
      </c>
      <c r="AL423" s="728">
        <f>+$AC$423*12</f>
        <v>42000</v>
      </c>
      <c r="AM423" s="728">
        <f>+$AC$423*12</f>
        <v>42000</v>
      </c>
      <c r="AN423" s="728">
        <f>+$AC$423*12</f>
        <v>42000</v>
      </c>
      <c r="AO423" s="728">
        <f>+$AC$423*12</f>
        <v>42000</v>
      </c>
      <c r="AP423" s="1003">
        <f t="shared" si="34"/>
        <v>210000</v>
      </c>
      <c r="AQ423" s="884"/>
      <c r="AR423" s="1027"/>
      <c r="AS423" s="884"/>
      <c r="AT423" s="884"/>
      <c r="AU423" s="884"/>
      <c r="AV423" s="884"/>
      <c r="AW423" s="884"/>
      <c r="AX423" s="884"/>
      <c r="AY423" s="884"/>
      <c r="AZ423" s="884"/>
    </row>
    <row r="424" spans="1:52" s="885" customFormat="1" ht="14" customHeight="1" outlineLevel="3">
      <c r="A424" s="580"/>
      <c r="B424" s="107" t="s">
        <v>2641</v>
      </c>
      <c r="C424" s="107"/>
      <c r="D424" s="944" t="s">
        <v>2642</v>
      </c>
      <c r="E424" s="944"/>
      <c r="F424" s="196"/>
      <c r="G424" s="99"/>
      <c r="H424" s="378"/>
      <c r="I424" s="379"/>
      <c r="J424" s="377"/>
      <c r="K424" s="361"/>
      <c r="L424" s="361"/>
      <c r="M424" s="361"/>
      <c r="N424" s="361"/>
      <c r="O424" s="361"/>
      <c r="P424" s="361"/>
      <c r="Q424" s="99"/>
      <c r="R424" s="364" t="str">
        <f>+'9.3_PA_Det'!E204</f>
        <v>3CV</v>
      </c>
      <c r="S424" s="362" t="s">
        <v>1075</v>
      </c>
      <c r="T424" s="362" t="s">
        <v>1430</v>
      </c>
      <c r="U424" s="364">
        <f>+'9.3_PA_Det'!F204</f>
        <v>95</v>
      </c>
      <c r="V424" s="364"/>
      <c r="W424" s="197"/>
      <c r="X424" s="99"/>
      <c r="Y424" s="711" t="s">
        <v>1267</v>
      </c>
      <c r="Z424" s="522">
        <v>1</v>
      </c>
      <c r="AA424" s="522">
        <v>60</v>
      </c>
      <c r="AB424" s="180"/>
      <c r="AC424" s="523">
        <v>2500</v>
      </c>
      <c r="AD424" s="187">
        <f t="shared" si="35"/>
        <v>150000</v>
      </c>
      <c r="AE424" s="696"/>
      <c r="AF424" s="99"/>
      <c r="AG424" s="1032">
        <f t="shared" si="37"/>
        <v>150000</v>
      </c>
      <c r="AH424" s="1032"/>
      <c r="AI424" s="1041">
        <f t="shared" si="36"/>
        <v>150000</v>
      </c>
      <c r="AJ424" s="875"/>
      <c r="AK424" s="728">
        <f>+$AC$424*12</f>
        <v>30000</v>
      </c>
      <c r="AL424" s="728">
        <f>+$AC$424*12</f>
        <v>30000</v>
      </c>
      <c r="AM424" s="728">
        <f>+$AC$424*12</f>
        <v>30000</v>
      </c>
      <c r="AN424" s="728">
        <f>+$AC$424*12</f>
        <v>30000</v>
      </c>
      <c r="AO424" s="728">
        <f>+$AC$424*12</f>
        <v>30000</v>
      </c>
      <c r="AP424" s="1003">
        <f t="shared" si="34"/>
        <v>150000</v>
      </c>
      <c r="AQ424" s="884"/>
      <c r="AR424" s="1027"/>
      <c r="AS424" s="884"/>
      <c r="AT424" s="884"/>
      <c r="AU424" s="884"/>
      <c r="AV424" s="884"/>
      <c r="AW424" s="884"/>
      <c r="AX424" s="884"/>
      <c r="AY424" s="884"/>
      <c r="AZ424" s="884"/>
    </row>
    <row r="425" spans="1:52" s="885" customFormat="1" ht="14" customHeight="1" outlineLevel="3">
      <c r="A425" s="580"/>
      <c r="B425" s="107" t="s">
        <v>2643</v>
      </c>
      <c r="C425" s="107"/>
      <c r="D425" s="944" t="s">
        <v>3029</v>
      </c>
      <c r="E425" s="944"/>
      <c r="F425" s="196"/>
      <c r="G425" s="99"/>
      <c r="H425" s="378"/>
      <c r="I425" s="379"/>
      <c r="J425" s="377"/>
      <c r="K425" s="361"/>
      <c r="L425" s="361"/>
      <c r="M425" s="361"/>
      <c r="N425" s="361"/>
      <c r="O425" s="361"/>
      <c r="P425" s="361"/>
      <c r="Q425" s="99"/>
      <c r="R425" s="364" t="str">
        <f>+'9.3_PA_Det'!E205</f>
        <v>3CV</v>
      </c>
      <c r="S425" s="362" t="s">
        <v>1075</v>
      </c>
      <c r="T425" s="362" t="s">
        <v>1430</v>
      </c>
      <c r="U425" s="364">
        <f>+'9.3_PA_Det'!F205</f>
        <v>96</v>
      </c>
      <c r="V425" s="364"/>
      <c r="W425" s="197"/>
      <c r="X425" s="99"/>
      <c r="Y425" s="711" t="s">
        <v>1267</v>
      </c>
      <c r="Z425" s="522">
        <v>2</v>
      </c>
      <c r="AA425" s="522">
        <v>48</v>
      </c>
      <c r="AB425" s="180"/>
      <c r="AC425" s="523">
        <v>2500</v>
      </c>
      <c r="AD425" s="187">
        <f t="shared" si="35"/>
        <v>240000</v>
      </c>
      <c r="AE425" s="696"/>
      <c r="AF425" s="99"/>
      <c r="AG425" s="1032">
        <f t="shared" si="37"/>
        <v>240000</v>
      </c>
      <c r="AH425" s="1032"/>
      <c r="AI425" s="1041">
        <f t="shared" si="36"/>
        <v>240000</v>
      </c>
      <c r="AJ425" s="875"/>
      <c r="AK425" s="728">
        <f>+$AC$425*12*2</f>
        <v>60000</v>
      </c>
      <c r="AL425" s="728">
        <f>+$AC$425*12*2</f>
        <v>60000</v>
      </c>
      <c r="AM425" s="728">
        <f>+$AC$425*12*2</f>
        <v>60000</v>
      </c>
      <c r="AN425" s="728">
        <f>+$AC$425*12*2</f>
        <v>60000</v>
      </c>
      <c r="AO425" s="728"/>
      <c r="AP425" s="1003">
        <f t="shared" si="34"/>
        <v>240000</v>
      </c>
      <c r="AQ425" s="884"/>
      <c r="AR425" s="1027"/>
      <c r="AS425" s="884"/>
      <c r="AT425" s="884"/>
      <c r="AU425" s="884"/>
      <c r="AV425" s="884"/>
      <c r="AW425" s="884"/>
      <c r="AX425" s="884"/>
      <c r="AY425" s="884"/>
      <c r="AZ425" s="884"/>
    </row>
    <row r="426" spans="1:52" s="885" customFormat="1" ht="14" customHeight="1" outlineLevel="3">
      <c r="A426" s="580"/>
      <c r="B426" s="107" t="s">
        <v>2645</v>
      </c>
      <c r="C426" s="107"/>
      <c r="D426" s="944" t="s">
        <v>2646</v>
      </c>
      <c r="E426" s="944"/>
      <c r="F426" s="196"/>
      <c r="G426" s="99"/>
      <c r="H426" s="378"/>
      <c r="I426" s="379"/>
      <c r="J426" s="377"/>
      <c r="K426" s="361"/>
      <c r="L426" s="361"/>
      <c r="M426" s="361"/>
      <c r="N426" s="361"/>
      <c r="O426" s="361"/>
      <c r="P426" s="361"/>
      <c r="Q426" s="99"/>
      <c r="R426" s="364" t="str">
        <f>+'9.3_PA_Det'!E206</f>
        <v>3CV</v>
      </c>
      <c r="S426" s="362" t="s">
        <v>1075</v>
      </c>
      <c r="T426" s="362" t="s">
        <v>1430</v>
      </c>
      <c r="U426" s="364">
        <f>+'9.3_PA_Det'!F206</f>
        <v>97</v>
      </c>
      <c r="V426" s="364"/>
      <c r="W426" s="197"/>
      <c r="X426" s="99"/>
      <c r="Y426" s="711" t="s">
        <v>1267</v>
      </c>
      <c r="Z426" s="522">
        <v>1</v>
      </c>
      <c r="AA426" s="522">
        <v>60</v>
      </c>
      <c r="AB426" s="180"/>
      <c r="AC426" s="523">
        <v>2000</v>
      </c>
      <c r="AD426" s="187">
        <f t="shared" si="35"/>
        <v>120000</v>
      </c>
      <c r="AE426" s="696"/>
      <c r="AF426" s="99"/>
      <c r="AG426" s="1032">
        <f t="shared" si="37"/>
        <v>120000</v>
      </c>
      <c r="AH426" s="1032"/>
      <c r="AI426" s="1041">
        <f t="shared" si="36"/>
        <v>120000</v>
      </c>
      <c r="AJ426" s="875"/>
      <c r="AK426" s="728">
        <f>+$AC$426*12</f>
        <v>24000</v>
      </c>
      <c r="AL426" s="728">
        <f>+$AC$426*12</f>
        <v>24000</v>
      </c>
      <c r="AM426" s="728">
        <f>+$AC$426*12</f>
        <v>24000</v>
      </c>
      <c r="AN426" s="728">
        <f>+$AC$426*12</f>
        <v>24000</v>
      </c>
      <c r="AO426" s="728">
        <f>+$AC$426*12</f>
        <v>24000</v>
      </c>
      <c r="AP426" s="1003">
        <f t="shared" si="34"/>
        <v>120000</v>
      </c>
      <c r="AQ426" s="884"/>
      <c r="AR426" s="1027"/>
      <c r="AS426" s="884"/>
      <c r="AT426" s="884"/>
      <c r="AU426" s="884"/>
      <c r="AV426" s="884"/>
      <c r="AW426" s="884"/>
      <c r="AX426" s="884"/>
      <c r="AY426" s="884"/>
      <c r="AZ426" s="884"/>
    </row>
    <row r="427" spans="1:52" s="885" customFormat="1" ht="14" customHeight="1" outlineLevel="3">
      <c r="A427" s="580"/>
      <c r="B427" s="107" t="s">
        <v>2647</v>
      </c>
      <c r="C427" s="107"/>
      <c r="D427" s="944" t="s">
        <v>1663</v>
      </c>
      <c r="E427" s="944"/>
      <c r="F427" s="196"/>
      <c r="G427" s="99"/>
      <c r="H427" s="378"/>
      <c r="I427" s="379"/>
      <c r="J427" s="377"/>
      <c r="K427" s="361"/>
      <c r="L427" s="361"/>
      <c r="M427" s="361"/>
      <c r="N427" s="361"/>
      <c r="O427" s="361"/>
      <c r="P427" s="361"/>
      <c r="Q427" s="99"/>
      <c r="R427" s="364" t="s">
        <v>723</v>
      </c>
      <c r="S427" s="362"/>
      <c r="T427" s="362"/>
      <c r="U427" s="364"/>
      <c r="V427" s="364"/>
      <c r="W427" s="197"/>
      <c r="X427" s="99"/>
      <c r="Y427" s="194" t="s">
        <v>3604</v>
      </c>
      <c r="Z427" s="522">
        <v>5</v>
      </c>
      <c r="AA427" s="522">
        <v>1</v>
      </c>
      <c r="AB427" s="180"/>
      <c r="AC427" s="523">
        <v>20000</v>
      </c>
      <c r="AD427" s="187">
        <f t="shared" si="35"/>
        <v>100000</v>
      </c>
      <c r="AE427" s="696"/>
      <c r="AF427" s="99"/>
      <c r="AG427" s="1032">
        <f t="shared" si="37"/>
        <v>100000</v>
      </c>
      <c r="AH427" s="1032"/>
      <c r="AI427" s="1041">
        <f t="shared" si="36"/>
        <v>100000</v>
      </c>
      <c r="AJ427" s="875"/>
      <c r="AK427" s="1002">
        <f>+$AI$427/5</f>
        <v>20000</v>
      </c>
      <c r="AL427" s="1002">
        <f>+$AI$427/5</f>
        <v>20000</v>
      </c>
      <c r="AM427" s="1002">
        <f>+$AI$427/5</f>
        <v>20000</v>
      </c>
      <c r="AN427" s="1002">
        <f>+$AI$427/5</f>
        <v>20000</v>
      </c>
      <c r="AO427" s="1002">
        <f>+$AI$427/5</f>
        <v>20000</v>
      </c>
      <c r="AP427" s="1003">
        <f t="shared" si="34"/>
        <v>100000</v>
      </c>
      <c r="AQ427" s="884"/>
      <c r="AR427" s="1027"/>
      <c r="AS427" s="884"/>
      <c r="AT427" s="884"/>
      <c r="AU427" s="884"/>
      <c r="AV427" s="884"/>
      <c r="AW427" s="884"/>
      <c r="AX427" s="884"/>
      <c r="AY427" s="884"/>
      <c r="AZ427" s="884"/>
    </row>
    <row r="428" spans="1:52" s="885" customFormat="1" ht="14" customHeight="1" outlineLevel="2">
      <c r="A428" s="580"/>
      <c r="B428" s="107"/>
      <c r="C428" s="107"/>
      <c r="D428" s="944"/>
      <c r="E428" s="944"/>
      <c r="F428" s="196"/>
      <c r="G428" s="99"/>
      <c r="H428" s="378"/>
      <c r="I428" s="379"/>
      <c r="J428" s="377"/>
      <c r="K428" s="361"/>
      <c r="L428" s="361"/>
      <c r="M428" s="361"/>
      <c r="N428" s="361"/>
      <c r="O428" s="361"/>
      <c r="P428" s="361"/>
      <c r="Q428" s="99"/>
      <c r="R428" s="364"/>
      <c r="S428" s="362"/>
      <c r="T428" s="362"/>
      <c r="U428" s="364"/>
      <c r="V428" s="364"/>
      <c r="W428" s="197"/>
      <c r="X428" s="99"/>
      <c r="Y428" s="194"/>
      <c r="Z428" s="522"/>
      <c r="AA428" s="522"/>
      <c r="AB428" s="180"/>
      <c r="AC428" s="523"/>
      <c r="AD428" s="187"/>
      <c r="AE428" s="696"/>
      <c r="AF428" s="99"/>
      <c r="AG428" s="1032"/>
      <c r="AH428" s="1032"/>
      <c r="AI428" s="1041"/>
      <c r="AJ428" s="875"/>
      <c r="AK428" s="1002"/>
      <c r="AL428" s="1002"/>
      <c r="AM428" s="1002"/>
      <c r="AN428" s="1002"/>
      <c r="AO428" s="1002"/>
      <c r="AP428" s="1003"/>
      <c r="AQ428" s="884"/>
      <c r="AR428" s="1027"/>
      <c r="AS428" s="884"/>
      <c r="AT428" s="884"/>
      <c r="AU428" s="884"/>
      <c r="AV428" s="884"/>
      <c r="AW428" s="884"/>
      <c r="AX428" s="884"/>
      <c r="AY428" s="884"/>
      <c r="AZ428" s="884"/>
    </row>
    <row r="429" spans="1:52" s="878" customFormat="1" ht="21.5" customHeight="1" outlineLevel="1">
      <c r="A429" s="584"/>
      <c r="B429" s="188" t="s">
        <v>580</v>
      </c>
      <c r="C429" s="188"/>
      <c r="D429" s="538" t="s">
        <v>581</v>
      </c>
      <c r="E429" s="538"/>
      <c r="F429" s="106"/>
      <c r="G429" s="96"/>
      <c r="H429" s="372"/>
      <c r="I429" s="358"/>
      <c r="J429" s="359"/>
      <c r="K429" s="359"/>
      <c r="L429" s="359"/>
      <c r="M429" s="359"/>
      <c r="N429" s="359"/>
      <c r="O429" s="359"/>
      <c r="P429" s="359"/>
      <c r="Q429" s="96"/>
      <c r="R429" s="358"/>
      <c r="S429" s="358"/>
      <c r="T429" s="358"/>
      <c r="U429" s="358"/>
      <c r="V429" s="358"/>
      <c r="W429" s="174"/>
      <c r="X429" s="96"/>
      <c r="Y429" s="106"/>
      <c r="Z429" s="172"/>
      <c r="AA429" s="172"/>
      <c r="AB429" s="171"/>
      <c r="AC429" s="176"/>
      <c r="AD429" s="176">
        <f>+AD430</f>
        <v>250000</v>
      </c>
      <c r="AE429" s="692"/>
      <c r="AF429" s="96"/>
      <c r="AG429" s="176">
        <f>+AG430</f>
        <v>250000</v>
      </c>
      <c r="AH429" s="176">
        <f>+AH430</f>
        <v>0</v>
      </c>
      <c r="AI429" s="176">
        <f>+AI430</f>
        <v>250000</v>
      </c>
      <c r="AJ429" s="865"/>
      <c r="AK429" s="980">
        <f>+AK430</f>
        <v>50000</v>
      </c>
      <c r="AL429" s="980">
        <f>+AL430</f>
        <v>50000</v>
      </c>
      <c r="AM429" s="980">
        <f>+AM430</f>
        <v>50000</v>
      </c>
      <c r="AN429" s="981">
        <f>+AN430</f>
        <v>50000</v>
      </c>
      <c r="AO429" s="979">
        <f>+AO430</f>
        <v>50000</v>
      </c>
      <c r="AP429" s="979">
        <f t="shared" ref="AP429:AP437" si="38">SUM(AK429:AO429)</f>
        <v>250000</v>
      </c>
      <c r="AQ429" s="153"/>
      <c r="AR429" s="1027"/>
      <c r="AS429" s="153"/>
      <c r="AT429" s="153"/>
      <c r="AU429" s="153"/>
      <c r="AV429" s="153"/>
      <c r="AW429" s="153"/>
      <c r="AX429" s="153"/>
      <c r="AY429" s="153"/>
      <c r="AZ429" s="153"/>
    </row>
    <row r="430" spans="1:52" s="882" customFormat="1" ht="41.5" hidden="1" customHeight="1" outlineLevel="3">
      <c r="A430" s="587"/>
      <c r="B430" s="183" t="s">
        <v>1665</v>
      </c>
      <c r="C430" s="183"/>
      <c r="D430" s="944" t="s">
        <v>1666</v>
      </c>
      <c r="E430" s="944"/>
      <c r="F430" s="126"/>
      <c r="G430" s="97"/>
      <c r="H430" s="360"/>
      <c r="I430" s="362"/>
      <c r="J430" s="361"/>
      <c r="K430" s="361"/>
      <c r="L430" s="361"/>
      <c r="M430" s="361"/>
      <c r="N430" s="361"/>
      <c r="O430" s="361"/>
      <c r="P430" s="361"/>
      <c r="Q430" s="97"/>
      <c r="R430" s="362" t="str">
        <f>'9.3_PA_Det'!$E$155</f>
        <v>Selección Basada en Calidad y Costo</v>
      </c>
      <c r="S430" s="362" t="s">
        <v>1075</v>
      </c>
      <c r="T430" s="362" t="s">
        <v>1667</v>
      </c>
      <c r="U430" s="362">
        <f>'9.3_PA_Det'!$F$155</f>
        <v>54</v>
      </c>
      <c r="V430" s="362"/>
      <c r="W430" s="178"/>
      <c r="X430" s="97"/>
      <c r="Y430" s="523" t="s">
        <v>1668</v>
      </c>
      <c r="Z430" s="523">
        <v>5</v>
      </c>
      <c r="AA430" s="523">
        <v>1</v>
      </c>
      <c r="AB430" s="523"/>
      <c r="AC430" s="523">
        <v>50000</v>
      </c>
      <c r="AD430" s="187">
        <f>Z430*AA430*AC430</f>
        <v>250000</v>
      </c>
      <c r="AE430" s="1043"/>
      <c r="AF430" s="97"/>
      <c r="AG430" s="1032">
        <f>+AD430</f>
        <v>250000</v>
      </c>
      <c r="AH430" s="1032"/>
      <c r="AI430" s="1041">
        <f>+AH430+AG430</f>
        <v>250000</v>
      </c>
      <c r="AJ430" s="867"/>
      <c r="AK430" s="1022">
        <f>+$AC$430</f>
        <v>50000</v>
      </c>
      <c r="AL430" s="1022">
        <f>+$AC$430</f>
        <v>50000</v>
      </c>
      <c r="AM430" s="1022">
        <f>+$AC$430</f>
        <v>50000</v>
      </c>
      <c r="AN430" s="1022">
        <f>+$AC$430</f>
        <v>50000</v>
      </c>
      <c r="AO430" s="1022">
        <f>+$AC$430</f>
        <v>50000</v>
      </c>
      <c r="AP430" s="1003">
        <f t="shared" si="38"/>
        <v>250000</v>
      </c>
      <c r="AQ430" s="108"/>
      <c r="AR430" s="1027"/>
      <c r="AS430" s="881"/>
      <c r="AT430" s="881"/>
      <c r="AU430" s="881"/>
      <c r="AV430" s="881"/>
      <c r="AW430" s="881"/>
      <c r="AX430" s="881"/>
      <c r="AY430" s="881"/>
      <c r="AZ430" s="881"/>
    </row>
    <row r="431" spans="1:52" s="878" customFormat="1" ht="21.5" customHeight="1" outlineLevel="1" collapsed="1">
      <c r="A431" s="584"/>
      <c r="B431" s="188" t="s">
        <v>582</v>
      </c>
      <c r="C431" s="188"/>
      <c r="D431" s="538" t="s">
        <v>583</v>
      </c>
      <c r="E431" s="538"/>
      <c r="F431" s="106"/>
      <c r="G431" s="96"/>
      <c r="H431" s="372"/>
      <c r="I431" s="358"/>
      <c r="J431" s="359"/>
      <c r="K431" s="359"/>
      <c r="L431" s="359"/>
      <c r="M431" s="359"/>
      <c r="N431" s="359"/>
      <c r="O431" s="359"/>
      <c r="P431" s="359"/>
      <c r="Q431" s="96"/>
      <c r="R431" s="358"/>
      <c r="S431" s="358"/>
      <c r="T431" s="358"/>
      <c r="U431" s="358"/>
      <c r="V431" s="358"/>
      <c r="W431" s="174"/>
      <c r="X431" s="96"/>
      <c r="Y431" s="106"/>
      <c r="Z431" s="172"/>
      <c r="AA431" s="172"/>
      <c r="AB431" s="171"/>
      <c r="AC431" s="176"/>
      <c r="AD431" s="176">
        <f>SUM(AD432:AD435)</f>
        <v>150000</v>
      </c>
      <c r="AE431" s="692"/>
      <c r="AF431" s="96"/>
      <c r="AG431" s="176">
        <f>SUM(AG432:AG435)</f>
        <v>150000</v>
      </c>
      <c r="AH431" s="176">
        <f>SUM(AH432:AH435)</f>
        <v>0</v>
      </c>
      <c r="AI431" s="176">
        <f>SUM(AI432:AI435)</f>
        <v>150000</v>
      </c>
      <c r="AJ431" s="865"/>
      <c r="AK431" s="980">
        <f>SUM(AK432:AK435)</f>
        <v>0</v>
      </c>
      <c r="AL431" s="980">
        <f>SUM(AL432:AL435)</f>
        <v>0</v>
      </c>
      <c r="AM431" s="980">
        <f>SUM(AM432:AM435)</f>
        <v>30000</v>
      </c>
      <c r="AN431" s="981">
        <f>SUM(AN432:AN435)</f>
        <v>0</v>
      </c>
      <c r="AO431" s="979">
        <f>SUM(AO432:AO435)</f>
        <v>120000</v>
      </c>
      <c r="AP431" s="979">
        <f t="shared" si="38"/>
        <v>150000</v>
      </c>
      <c r="AQ431" s="153"/>
      <c r="AR431" s="1027"/>
      <c r="AS431" s="153"/>
      <c r="AT431" s="153"/>
      <c r="AU431" s="153"/>
      <c r="AV431" s="153"/>
      <c r="AW431" s="153"/>
      <c r="AX431" s="153"/>
      <c r="AY431" s="153"/>
      <c r="AZ431" s="153"/>
    </row>
    <row r="432" spans="1:52" s="882" customFormat="1" ht="14" hidden="1" customHeight="1" outlineLevel="3">
      <c r="A432" s="587"/>
      <c r="B432" s="183" t="s">
        <v>1672</v>
      </c>
      <c r="C432" s="183"/>
      <c r="D432" s="944" t="s">
        <v>1673</v>
      </c>
      <c r="E432" s="944"/>
      <c r="F432" s="126"/>
      <c r="G432" s="97"/>
      <c r="H432" s="360"/>
      <c r="I432" s="362"/>
      <c r="J432" s="361"/>
      <c r="K432" s="361"/>
      <c r="L432" s="361"/>
      <c r="M432" s="361"/>
      <c r="N432" s="361"/>
      <c r="O432" s="361"/>
      <c r="P432" s="361"/>
      <c r="Q432" s="97"/>
      <c r="R432" s="362"/>
      <c r="S432" s="362"/>
      <c r="T432" s="362"/>
      <c r="U432" s="362"/>
      <c r="V432" s="362"/>
      <c r="W432" s="178"/>
      <c r="X432" s="97"/>
      <c r="Y432" s="126" t="s">
        <v>1179</v>
      </c>
      <c r="Z432" s="522">
        <v>1</v>
      </c>
      <c r="AA432" s="185"/>
      <c r="AB432" s="186"/>
      <c r="AC432" s="523">
        <v>0</v>
      </c>
      <c r="AD432" s="187">
        <f>+AC432*Z432</f>
        <v>0</v>
      </c>
      <c r="AE432" s="1043"/>
      <c r="AF432" s="97"/>
      <c r="AG432" s="1032">
        <f>+AD432</f>
        <v>0</v>
      </c>
      <c r="AH432" s="1032"/>
      <c r="AI432" s="1041">
        <f>+AH432+AG432</f>
        <v>0</v>
      </c>
      <c r="AJ432" s="867"/>
      <c r="AK432" s="1023"/>
      <c r="AL432" s="1023"/>
      <c r="AM432" s="1003"/>
      <c r="AN432" s="1004"/>
      <c r="AO432" s="1023"/>
      <c r="AP432" s="1003">
        <f t="shared" si="38"/>
        <v>0</v>
      </c>
      <c r="AQ432" s="108"/>
      <c r="AR432" s="1027"/>
      <c r="AS432" s="881"/>
      <c r="AT432" s="881"/>
      <c r="AU432" s="881"/>
      <c r="AV432" s="881"/>
      <c r="AW432" s="881"/>
      <c r="AX432" s="881"/>
      <c r="AY432" s="881"/>
      <c r="AZ432" s="881"/>
    </row>
    <row r="433" spans="1:52" s="882" customFormat="1" ht="55.25" hidden="1" customHeight="1" outlineLevel="3">
      <c r="A433" s="587"/>
      <c r="B433" s="183" t="s">
        <v>1674</v>
      </c>
      <c r="C433" s="183"/>
      <c r="D433" s="944" t="s">
        <v>1675</v>
      </c>
      <c r="E433" s="944"/>
      <c r="F433" s="126"/>
      <c r="G433" s="97"/>
      <c r="H433" s="360"/>
      <c r="I433" s="362"/>
      <c r="J433" s="361"/>
      <c r="K433" s="361"/>
      <c r="L433" s="361"/>
      <c r="M433" s="361"/>
      <c r="N433" s="361"/>
      <c r="O433" s="361"/>
      <c r="P433" s="361"/>
      <c r="Q433" s="97"/>
      <c r="R433" s="362" t="str">
        <f>'9.3_PA_Det'!$E$156</f>
        <v>Selección Basada en Calificación de Consultores</v>
      </c>
      <c r="S433" s="362" t="s">
        <v>1075</v>
      </c>
      <c r="T433" s="362" t="s">
        <v>1667</v>
      </c>
      <c r="U433" s="362">
        <f>'9.3_PA_Det'!$F$156</f>
        <v>55</v>
      </c>
      <c r="V433" s="362"/>
      <c r="W433" s="178"/>
      <c r="X433" s="97"/>
      <c r="Y433" s="126" t="s">
        <v>1179</v>
      </c>
      <c r="Z433" s="522">
        <v>1</v>
      </c>
      <c r="AA433" s="185"/>
      <c r="AB433" s="186"/>
      <c r="AC433" s="523">
        <v>30000</v>
      </c>
      <c r="AD433" s="187">
        <f>+AC433*Z433</f>
        <v>30000</v>
      </c>
      <c r="AE433" s="1043"/>
      <c r="AF433" s="97"/>
      <c r="AG433" s="1032">
        <f>+AD433</f>
        <v>30000</v>
      </c>
      <c r="AH433" s="1032"/>
      <c r="AI433" s="1041">
        <f>+AH433+AG433</f>
        <v>30000</v>
      </c>
      <c r="AJ433" s="867"/>
      <c r="AK433" s="1023"/>
      <c r="AL433" s="1023"/>
      <c r="AM433" s="1003">
        <f>+AI433</f>
        <v>30000</v>
      </c>
      <c r="AN433" s="1004"/>
      <c r="AO433" s="1023"/>
      <c r="AP433" s="1003">
        <f t="shared" si="38"/>
        <v>30000</v>
      </c>
      <c r="AQ433" s="108"/>
      <c r="AR433" s="1027"/>
      <c r="AS433" s="881"/>
      <c r="AT433" s="881"/>
      <c r="AU433" s="881"/>
      <c r="AV433" s="881"/>
      <c r="AW433" s="881"/>
      <c r="AX433" s="881"/>
      <c r="AY433" s="881"/>
      <c r="AZ433" s="881"/>
    </row>
    <row r="434" spans="1:52" s="882" customFormat="1" ht="14" hidden="1" customHeight="1" outlineLevel="3">
      <c r="A434" s="587"/>
      <c r="B434" s="183" t="s">
        <v>1676</v>
      </c>
      <c r="C434" s="183"/>
      <c r="D434" s="944" t="s">
        <v>1677</v>
      </c>
      <c r="E434" s="944"/>
      <c r="F434" s="126"/>
      <c r="G434" s="97"/>
      <c r="H434" s="360"/>
      <c r="I434" s="362"/>
      <c r="J434" s="361"/>
      <c r="K434" s="361"/>
      <c r="L434" s="361"/>
      <c r="M434" s="361"/>
      <c r="N434" s="361"/>
      <c r="O434" s="361"/>
      <c r="P434" s="361"/>
      <c r="Q434" s="97"/>
      <c r="R434" s="362" t="s">
        <v>723</v>
      </c>
      <c r="S434" s="362"/>
      <c r="T434" s="362"/>
      <c r="U434" s="362"/>
      <c r="V434" s="362"/>
      <c r="W434" s="178"/>
      <c r="X434" s="97"/>
      <c r="Y434" s="126" t="s">
        <v>1179</v>
      </c>
      <c r="Z434" s="522">
        <v>1</v>
      </c>
      <c r="AA434" s="185"/>
      <c r="AB434" s="186"/>
      <c r="AC434" s="523">
        <v>50000</v>
      </c>
      <c r="AD434" s="187">
        <f>+AC434*Z434</f>
        <v>50000</v>
      </c>
      <c r="AE434" s="1043"/>
      <c r="AF434" s="97"/>
      <c r="AG434" s="1032">
        <f>+AD434</f>
        <v>50000</v>
      </c>
      <c r="AH434" s="1032"/>
      <c r="AI434" s="1041">
        <f>+AH434+AG434</f>
        <v>50000</v>
      </c>
      <c r="AJ434" s="867"/>
      <c r="AK434" s="1023"/>
      <c r="AL434" s="1023"/>
      <c r="AM434" s="1003"/>
      <c r="AN434" s="1004"/>
      <c r="AO434" s="1023">
        <f>+AI434</f>
        <v>50000</v>
      </c>
      <c r="AP434" s="1003">
        <f t="shared" si="38"/>
        <v>50000</v>
      </c>
      <c r="AQ434" s="108"/>
      <c r="AR434" s="1027"/>
      <c r="AS434" s="881"/>
      <c r="AT434" s="881"/>
      <c r="AU434" s="881"/>
      <c r="AV434" s="881"/>
      <c r="AW434" s="881"/>
      <c r="AX434" s="881"/>
      <c r="AY434" s="881"/>
      <c r="AZ434" s="881"/>
    </row>
    <row r="435" spans="1:52" s="882" customFormat="1" ht="14" hidden="1" customHeight="1" outlineLevel="3">
      <c r="A435" s="587"/>
      <c r="B435" s="183" t="s">
        <v>1678</v>
      </c>
      <c r="C435" s="183"/>
      <c r="D435" s="944" t="s">
        <v>1679</v>
      </c>
      <c r="E435" s="944"/>
      <c r="F435" s="126"/>
      <c r="G435" s="97"/>
      <c r="H435" s="360"/>
      <c r="I435" s="362"/>
      <c r="J435" s="361"/>
      <c r="K435" s="361"/>
      <c r="L435" s="361"/>
      <c r="M435" s="361"/>
      <c r="N435" s="361"/>
      <c r="O435" s="361"/>
      <c r="P435" s="361"/>
      <c r="Q435" s="97"/>
      <c r="R435" s="362" t="s">
        <v>723</v>
      </c>
      <c r="S435" s="362"/>
      <c r="T435" s="362"/>
      <c r="U435" s="362"/>
      <c r="V435" s="362"/>
      <c r="W435" s="178"/>
      <c r="X435" s="97"/>
      <c r="Y435" s="126" t="s">
        <v>1179</v>
      </c>
      <c r="Z435" s="522">
        <v>1</v>
      </c>
      <c r="AA435" s="185"/>
      <c r="AB435" s="186"/>
      <c r="AC435" s="523">
        <v>70000</v>
      </c>
      <c r="AD435" s="187">
        <f>+AC435*Z435</f>
        <v>70000</v>
      </c>
      <c r="AE435" s="1043"/>
      <c r="AF435" s="97"/>
      <c r="AG435" s="1032">
        <f>+AD435</f>
        <v>70000</v>
      </c>
      <c r="AH435" s="1032"/>
      <c r="AI435" s="1041">
        <f>+AH435+AG435</f>
        <v>70000</v>
      </c>
      <c r="AJ435" s="867"/>
      <c r="AK435" s="1023"/>
      <c r="AL435" s="1023"/>
      <c r="AM435" s="1003"/>
      <c r="AN435" s="1004"/>
      <c r="AO435" s="1023">
        <f>+AI435</f>
        <v>70000</v>
      </c>
      <c r="AP435" s="1003">
        <f t="shared" si="38"/>
        <v>70000</v>
      </c>
      <c r="AQ435" s="108"/>
      <c r="AR435" s="1027"/>
      <c r="AS435" s="881"/>
      <c r="AT435" s="881"/>
      <c r="AU435" s="881"/>
      <c r="AV435" s="881"/>
      <c r="AW435" s="881"/>
      <c r="AX435" s="881"/>
      <c r="AY435" s="881"/>
      <c r="AZ435" s="881"/>
    </row>
    <row r="436" spans="1:52" s="882" customFormat="1" ht="14" customHeight="1" outlineLevel="2" collapsed="1">
      <c r="A436" s="587"/>
      <c r="B436" s="183"/>
      <c r="C436" s="183"/>
      <c r="D436" s="944"/>
      <c r="E436" s="944"/>
      <c r="F436" s="126"/>
      <c r="G436" s="97"/>
      <c r="H436" s="360"/>
      <c r="I436" s="362"/>
      <c r="J436" s="361"/>
      <c r="K436" s="361"/>
      <c r="L436" s="361"/>
      <c r="M436" s="361"/>
      <c r="N436" s="361"/>
      <c r="O436" s="361"/>
      <c r="P436" s="361"/>
      <c r="Q436" s="97"/>
      <c r="R436" s="362"/>
      <c r="S436" s="362"/>
      <c r="T436" s="362"/>
      <c r="U436" s="362"/>
      <c r="V436" s="362"/>
      <c r="W436" s="178"/>
      <c r="X436" s="97"/>
      <c r="Y436" s="126"/>
      <c r="Z436" s="522"/>
      <c r="AA436" s="185"/>
      <c r="AB436" s="186"/>
      <c r="AC436" s="523"/>
      <c r="AD436" s="187"/>
      <c r="AE436" s="1043"/>
      <c r="AF436" s="97"/>
      <c r="AG436" s="1032"/>
      <c r="AH436" s="1032"/>
      <c r="AI436" s="1041"/>
      <c r="AJ436" s="867"/>
      <c r="AK436" s="1023"/>
      <c r="AL436" s="1023"/>
      <c r="AM436" s="1003"/>
      <c r="AN436" s="1004"/>
      <c r="AO436" s="1023"/>
      <c r="AP436" s="1003">
        <f t="shared" si="38"/>
        <v>0</v>
      </c>
      <c r="AQ436" s="108"/>
      <c r="AR436" s="1027"/>
      <c r="AS436" s="881"/>
      <c r="AT436" s="881"/>
      <c r="AU436" s="881"/>
      <c r="AV436" s="881"/>
      <c r="AW436" s="881"/>
      <c r="AX436" s="881"/>
      <c r="AY436" s="881"/>
      <c r="AZ436" s="881"/>
    </row>
    <row r="437" spans="1:52" s="885" customFormat="1" ht="14" customHeight="1" outlineLevel="1">
      <c r="A437" s="580"/>
      <c r="B437" s="107"/>
      <c r="C437" s="107"/>
      <c r="D437" s="945"/>
      <c r="E437" s="945"/>
      <c r="F437" s="196"/>
      <c r="G437" s="99"/>
      <c r="H437" s="378"/>
      <c r="I437" s="379"/>
      <c r="J437" s="377"/>
      <c r="K437" s="361"/>
      <c r="L437" s="361"/>
      <c r="M437" s="361"/>
      <c r="N437" s="361"/>
      <c r="O437" s="361"/>
      <c r="P437" s="361"/>
      <c r="Q437" s="99"/>
      <c r="R437" s="364"/>
      <c r="S437" s="364"/>
      <c r="T437" s="364"/>
      <c r="U437" s="364"/>
      <c r="V437" s="364"/>
      <c r="W437" s="197"/>
      <c r="X437" s="99"/>
      <c r="Y437" s="194"/>
      <c r="Z437" s="522"/>
      <c r="AA437" s="522"/>
      <c r="AB437" s="180"/>
      <c r="AC437" s="523"/>
      <c r="AD437" s="187"/>
      <c r="AE437" s="696"/>
      <c r="AF437" s="99"/>
      <c r="AG437" s="1032"/>
      <c r="AH437" s="1032"/>
      <c r="AI437" s="1041"/>
      <c r="AJ437" s="875"/>
      <c r="AK437" s="1023"/>
      <c r="AL437" s="1023"/>
      <c r="AM437" s="1023"/>
      <c r="AN437" s="987"/>
      <c r="AO437" s="1023"/>
      <c r="AP437" s="1003">
        <f t="shared" si="38"/>
        <v>0</v>
      </c>
      <c r="AQ437" s="884"/>
      <c r="AR437" s="1027"/>
      <c r="AS437" s="884"/>
      <c r="AT437" s="884"/>
      <c r="AU437" s="884"/>
      <c r="AV437" s="884"/>
      <c r="AW437" s="884"/>
      <c r="AX437" s="884"/>
      <c r="AY437" s="884"/>
      <c r="AZ437" s="884"/>
    </row>
    <row r="438" spans="1:52" s="885" customFormat="1" ht="15.5" customHeight="1">
      <c r="A438" s="946"/>
      <c r="B438" s="947" t="s">
        <v>1680</v>
      </c>
      <c r="C438" s="947"/>
      <c r="D438" s="948" t="s">
        <v>1681</v>
      </c>
      <c r="E438" s="948"/>
      <c r="F438" s="949"/>
      <c r="G438" s="100"/>
      <c r="H438" s="380"/>
      <c r="I438" s="381"/>
      <c r="J438" s="382"/>
      <c r="K438" s="383"/>
      <c r="L438" s="383"/>
      <c r="M438" s="383"/>
      <c r="N438" s="383"/>
      <c r="O438" s="383"/>
      <c r="P438" s="383"/>
      <c r="Q438" s="100"/>
      <c r="R438" s="859"/>
      <c r="S438" s="859"/>
      <c r="T438" s="859"/>
      <c r="U438" s="859"/>
      <c r="V438" s="859"/>
      <c r="W438" s="198"/>
      <c r="X438" s="100"/>
      <c r="Y438" s="199"/>
      <c r="Z438" s="200"/>
      <c r="AA438" s="200"/>
      <c r="AB438" s="201"/>
      <c r="AC438" s="202"/>
      <c r="AD438" s="202"/>
      <c r="AE438" s="697"/>
      <c r="AF438" s="100"/>
      <c r="AG438" s="70"/>
      <c r="AH438" s="70"/>
      <c r="AI438" s="70">
        <f>+AH438+AG438</f>
        <v>0</v>
      </c>
      <c r="AJ438" s="876"/>
      <c r="AK438" s="1024"/>
      <c r="AL438" s="1024"/>
      <c r="AM438" s="1024"/>
      <c r="AN438" s="1025"/>
      <c r="AO438" s="1024"/>
      <c r="AP438" s="1024">
        <f>SUM(AK438:AO438)</f>
        <v>0</v>
      </c>
      <c r="AQ438" s="884"/>
      <c r="AR438" s="1027"/>
      <c r="AS438" s="884"/>
      <c r="AT438" s="884"/>
      <c r="AU438" s="884"/>
      <c r="AV438" s="884"/>
      <c r="AW438" s="884"/>
      <c r="AX438" s="884"/>
      <c r="AY438" s="884"/>
      <c r="AZ438" s="884"/>
    </row>
    <row r="439" spans="1:52" s="878" customFormat="1" ht="15.5" customHeight="1">
      <c r="A439" s="577"/>
      <c r="B439" s="67" t="s">
        <v>1682</v>
      </c>
      <c r="C439" s="67"/>
      <c r="D439" s="546" t="s">
        <v>1683</v>
      </c>
      <c r="E439" s="546"/>
      <c r="F439" s="68"/>
      <c r="G439" s="95"/>
      <c r="H439" s="384"/>
      <c r="I439" s="370"/>
      <c r="J439" s="371"/>
      <c r="K439" s="371"/>
      <c r="L439" s="371"/>
      <c r="M439" s="371"/>
      <c r="N439" s="371"/>
      <c r="O439" s="371"/>
      <c r="P439" s="371"/>
      <c r="Q439" s="95"/>
      <c r="R439" s="370"/>
      <c r="S439" s="370"/>
      <c r="T439" s="370"/>
      <c r="U439" s="370"/>
      <c r="V439" s="370"/>
      <c r="W439" s="169"/>
      <c r="X439" s="95"/>
      <c r="Y439" s="68"/>
      <c r="Z439" s="166"/>
      <c r="AA439" s="166"/>
      <c r="AB439" s="170"/>
      <c r="AC439" s="69"/>
      <c r="AD439" s="69"/>
      <c r="AE439" s="684"/>
      <c r="AF439" s="95"/>
      <c r="AG439" s="69">
        <f>+AD439</f>
        <v>0</v>
      </c>
      <c r="AH439" s="69"/>
      <c r="AI439" s="69">
        <f>+AH439+AG439</f>
        <v>0</v>
      </c>
      <c r="AJ439" s="864"/>
      <c r="AK439" s="974"/>
      <c r="AL439" s="974"/>
      <c r="AM439" s="974"/>
      <c r="AN439" s="975"/>
      <c r="AO439" s="973"/>
      <c r="AP439" s="973">
        <f>SUM(AK439:AO439)</f>
        <v>0</v>
      </c>
      <c r="AQ439" s="153"/>
      <c r="AR439" s="1027"/>
      <c r="AS439" s="153"/>
      <c r="AT439" s="153"/>
      <c r="AU439" s="153"/>
      <c r="AV439" s="153"/>
      <c r="AW439" s="153"/>
      <c r="AX439" s="153"/>
      <c r="AY439" s="153"/>
      <c r="AZ439" s="153"/>
    </row>
    <row r="440" spans="1:52" s="885" customFormat="1">
      <c r="A440" s="588"/>
      <c r="B440" s="203"/>
      <c r="C440" s="203"/>
      <c r="D440" s="547"/>
      <c r="E440" s="547"/>
      <c r="F440" s="204"/>
      <c r="G440" s="101"/>
      <c r="H440" s="205"/>
      <c r="I440" s="206"/>
      <c r="J440" s="157"/>
      <c r="K440" s="157"/>
      <c r="L440" s="157"/>
      <c r="M440" s="157"/>
      <c r="N440" s="157"/>
      <c r="O440" s="157"/>
      <c r="P440" s="157"/>
      <c r="Q440" s="101"/>
      <c r="R440" s="848"/>
      <c r="S440" s="848"/>
      <c r="T440" s="848"/>
      <c r="U440" s="848"/>
      <c r="V440" s="848"/>
      <c r="W440" s="207"/>
      <c r="X440" s="101"/>
      <c r="Y440" s="127"/>
      <c r="Z440" s="152"/>
      <c r="AA440" s="152"/>
      <c r="AB440" s="109"/>
      <c r="AC440" s="109"/>
      <c r="AD440" s="109"/>
      <c r="AE440" s="203"/>
      <c r="AF440" s="101"/>
      <c r="AG440" s="109"/>
      <c r="AH440" s="109"/>
      <c r="AI440" s="109"/>
      <c r="AJ440" s="101"/>
      <c r="AK440" s="966"/>
      <c r="AL440" s="966"/>
      <c r="AM440" s="966"/>
      <c r="AN440" s="967"/>
      <c r="AO440" s="967"/>
      <c r="AP440" s="967"/>
      <c r="AQ440" s="884"/>
      <c r="AR440" s="1027"/>
      <c r="AS440" s="884"/>
      <c r="AT440" s="884"/>
      <c r="AU440" s="884"/>
      <c r="AV440" s="884"/>
      <c r="AW440" s="884"/>
      <c r="AX440" s="884"/>
      <c r="AY440" s="884"/>
      <c r="AZ440" s="884"/>
    </row>
    <row r="441" spans="1:52" s="885" customFormat="1">
      <c r="A441" s="588"/>
      <c r="B441" s="203"/>
      <c r="C441" s="203"/>
      <c r="D441" s="547"/>
      <c r="E441" s="547"/>
      <c r="F441" s="204"/>
      <c r="G441" s="101"/>
      <c r="H441" s="205"/>
      <c r="I441" s="206"/>
      <c r="J441" s="157"/>
      <c r="K441" s="157"/>
      <c r="L441" s="157"/>
      <c r="M441" s="157"/>
      <c r="N441" s="157"/>
      <c r="O441" s="157"/>
      <c r="P441" s="157"/>
      <c r="Q441" s="101"/>
      <c r="R441" s="848"/>
      <c r="S441" s="848"/>
      <c r="T441" s="848"/>
      <c r="U441" s="848"/>
      <c r="V441" s="848"/>
      <c r="W441" s="207"/>
      <c r="X441" s="101"/>
      <c r="Y441" s="208"/>
      <c r="Z441" s="152"/>
      <c r="AA441" s="152"/>
      <c r="AB441" s="109"/>
      <c r="AC441" s="109"/>
      <c r="AD441" s="109"/>
      <c r="AE441" s="203"/>
      <c r="AF441" s="101"/>
      <c r="AG441" s="109"/>
      <c r="AH441" s="109"/>
      <c r="AI441" s="109"/>
      <c r="AJ441" s="101"/>
      <c r="AK441" s="966"/>
      <c r="AL441" s="966"/>
      <c r="AM441" s="966"/>
      <c r="AN441" s="967"/>
      <c r="AO441" s="967"/>
      <c r="AP441" s="967"/>
      <c r="AQ441" s="884"/>
      <c r="AR441" s="1027"/>
      <c r="AS441" s="884"/>
      <c r="AT441" s="884"/>
      <c r="AU441" s="884"/>
      <c r="AV441" s="884"/>
      <c r="AW441" s="884"/>
      <c r="AX441" s="884"/>
      <c r="AY441" s="884"/>
      <c r="AZ441" s="884"/>
    </row>
    <row r="442" spans="1:52">
      <c r="A442" s="589"/>
      <c r="B442" s="1081" t="s">
        <v>1684</v>
      </c>
      <c r="C442" s="1081"/>
      <c r="D442" s="541"/>
      <c r="E442" s="541"/>
      <c r="F442" s="127"/>
      <c r="H442" s="156"/>
      <c r="I442" s="152"/>
      <c r="J442" s="157"/>
      <c r="K442" s="157"/>
      <c r="L442" s="157"/>
      <c r="M442" s="157"/>
      <c r="N442" s="157"/>
      <c r="O442" s="157"/>
      <c r="P442" s="157"/>
      <c r="R442" s="847"/>
      <c r="S442" s="847"/>
      <c r="T442" s="848"/>
      <c r="U442" s="847"/>
      <c r="V442" s="847"/>
      <c r="W442" s="108"/>
      <c r="Y442" s="208"/>
      <c r="Z442" s="152"/>
      <c r="AA442" s="152"/>
      <c r="AB442" s="109"/>
      <c r="AC442" s="102"/>
      <c r="AD442" s="209"/>
      <c r="AE442" s="203"/>
      <c r="AG442" s="109"/>
      <c r="AH442" s="109"/>
      <c r="AI442" s="109"/>
      <c r="AK442" s="966"/>
      <c r="AL442" s="966"/>
      <c r="AM442" s="966"/>
      <c r="AN442" s="967"/>
      <c r="AO442" s="1026"/>
      <c r="AP442" s="967"/>
      <c r="AQ442" s="108"/>
      <c r="AR442" s="1027"/>
      <c r="AS442" s="108"/>
      <c r="AT442" s="108"/>
      <c r="AU442" s="108"/>
      <c r="AV442" s="108"/>
      <c r="AW442" s="108"/>
      <c r="AX442" s="108"/>
      <c r="AY442" s="108"/>
      <c r="AZ442" s="108"/>
    </row>
    <row r="443" spans="1:52" ht="15">
      <c r="A443" s="576"/>
      <c r="B443" s="65"/>
      <c r="C443" s="1171"/>
      <c r="D443" s="541" t="s">
        <v>1685</v>
      </c>
      <c r="E443" s="541"/>
      <c r="F443" s="127"/>
      <c r="H443" s="156"/>
      <c r="I443" s="152"/>
      <c r="J443" s="157"/>
      <c r="K443" s="157"/>
      <c r="L443" s="157"/>
      <c r="M443" s="157"/>
      <c r="N443" s="157"/>
      <c r="O443" s="157"/>
      <c r="P443" s="157"/>
      <c r="R443" s="847"/>
      <c r="S443" s="847"/>
      <c r="T443" s="848"/>
      <c r="U443" s="847"/>
      <c r="V443" s="847"/>
      <c r="W443" s="108"/>
      <c r="Y443" s="210"/>
      <c r="Z443" s="152"/>
      <c r="AA443" s="152"/>
      <c r="AB443" s="109"/>
      <c r="AC443" s="109"/>
      <c r="AD443" s="109"/>
      <c r="AE443" s="203"/>
      <c r="AG443" s="109"/>
      <c r="AH443" s="109"/>
      <c r="AI443" s="109"/>
      <c r="AK443" s="966"/>
      <c r="AL443" s="966"/>
      <c r="AM443" s="966"/>
      <c r="AN443" s="967"/>
      <c r="AO443" s="967"/>
      <c r="AP443" s="967"/>
      <c r="AQ443" s="108"/>
      <c r="AR443" s="1027"/>
      <c r="AS443" s="108"/>
      <c r="AT443" s="108"/>
      <c r="AU443" s="108"/>
      <c r="AV443" s="108"/>
      <c r="AW443" s="108"/>
      <c r="AX443" s="108"/>
      <c r="AY443" s="108"/>
      <c r="AZ443" s="108"/>
    </row>
    <row r="444" spans="1:52" ht="15">
      <c r="A444" s="577"/>
      <c r="B444" s="67"/>
      <c r="C444" s="1172"/>
      <c r="D444" s="541" t="s">
        <v>1686</v>
      </c>
      <c r="E444" s="541"/>
      <c r="F444" s="127"/>
      <c r="H444" s="156"/>
      <c r="I444" s="152"/>
      <c r="J444" s="157"/>
      <c r="K444" s="157"/>
      <c r="L444" s="157"/>
      <c r="M444" s="157"/>
      <c r="N444" s="157"/>
      <c r="O444" s="157"/>
      <c r="P444" s="157"/>
      <c r="R444" s="847"/>
      <c r="S444" s="847"/>
      <c r="T444" s="848"/>
      <c r="U444" s="847"/>
      <c r="V444" s="847"/>
      <c r="W444" s="108"/>
      <c r="Y444" s="127"/>
      <c r="Z444" s="152"/>
      <c r="AA444" s="152"/>
      <c r="AB444" s="109"/>
      <c r="AC444" s="108"/>
      <c r="AD444" s="155"/>
      <c r="AE444" s="698"/>
      <c r="AG444" s="155"/>
      <c r="AH444" s="155"/>
      <c r="AI444" s="108"/>
      <c r="AK444" s="966"/>
      <c r="AL444" s="966"/>
      <c r="AM444" s="966"/>
      <c r="AN444" s="967"/>
      <c r="AO444" s="1027"/>
      <c r="AP444" s="1027"/>
      <c r="AQ444" s="108"/>
      <c r="AR444" s="1027"/>
      <c r="AS444" s="108"/>
      <c r="AT444" s="108"/>
      <c r="AU444" s="108"/>
      <c r="AV444" s="108"/>
      <c r="AW444" s="108"/>
      <c r="AX444" s="108"/>
      <c r="AY444" s="108"/>
      <c r="AZ444" s="108"/>
    </row>
    <row r="445" spans="1:52" ht="15">
      <c r="A445" s="584"/>
      <c r="B445" s="188"/>
      <c r="C445" s="1173"/>
      <c r="D445" s="541" t="s">
        <v>184</v>
      </c>
      <c r="E445" s="541"/>
      <c r="F445" s="127"/>
      <c r="H445" s="156"/>
      <c r="I445" s="152"/>
      <c r="J445" s="157"/>
      <c r="K445" s="157"/>
      <c r="L445" s="157"/>
      <c r="M445" s="157"/>
      <c r="N445" s="157"/>
      <c r="O445" s="157"/>
      <c r="P445" s="157"/>
      <c r="R445" s="847"/>
      <c r="S445" s="847"/>
      <c r="T445" s="848"/>
      <c r="U445" s="847"/>
      <c r="V445" s="847"/>
      <c r="W445" s="108"/>
      <c r="Y445" s="127"/>
      <c r="Z445" s="152"/>
      <c r="AA445" s="152"/>
      <c r="AB445" s="109"/>
      <c r="AC445" s="108"/>
      <c r="AD445" s="155"/>
      <c r="AE445" s="698"/>
      <c r="AG445" s="155"/>
      <c r="AH445" s="155"/>
      <c r="AI445" s="108"/>
      <c r="AK445" s="966"/>
      <c r="AL445" s="966"/>
      <c r="AM445" s="966"/>
      <c r="AN445" s="967"/>
      <c r="AO445" s="1027"/>
      <c r="AP445" s="1027"/>
      <c r="AQ445" s="108"/>
      <c r="AR445" s="1027"/>
      <c r="AS445" s="108"/>
      <c r="AT445" s="108"/>
      <c r="AU445" s="108"/>
      <c r="AV445" s="108"/>
      <c r="AW445" s="108"/>
      <c r="AX445" s="108"/>
      <c r="AY445" s="108"/>
      <c r="AZ445" s="108"/>
    </row>
    <row r="446" spans="1:52" ht="15">
      <c r="A446" s="590"/>
      <c r="B446" s="449"/>
      <c r="C446" s="1174"/>
      <c r="D446" s="541" t="s">
        <v>1694</v>
      </c>
      <c r="E446" s="541"/>
      <c r="F446" s="127"/>
      <c r="H446" s="205"/>
      <c r="I446" s="152"/>
      <c r="J446" s="157"/>
      <c r="K446" s="157"/>
      <c r="L446" s="157"/>
      <c r="M446" s="157"/>
      <c r="N446" s="157"/>
      <c r="O446" s="157"/>
      <c r="P446" s="157"/>
      <c r="R446" s="847"/>
      <c r="S446" s="847"/>
      <c r="T446" s="848"/>
      <c r="U446" s="847"/>
      <c r="V446" s="847"/>
      <c r="W446" s="108"/>
      <c r="Y446" s="127"/>
      <c r="Z446" s="152"/>
      <c r="AA446" s="152"/>
      <c r="AB446" s="109"/>
      <c r="AC446" s="108"/>
      <c r="AD446" s="155"/>
      <c r="AE446" s="698"/>
      <c r="AG446" s="155"/>
      <c r="AH446" s="155"/>
      <c r="AI446" s="108"/>
      <c r="AK446" s="966"/>
      <c r="AL446" s="966"/>
      <c r="AM446" s="966"/>
      <c r="AN446" s="967"/>
      <c r="AO446" s="1027"/>
      <c r="AP446" s="1027"/>
      <c r="AQ446" s="108"/>
      <c r="AR446" s="1027"/>
      <c r="AS446" s="108"/>
      <c r="AT446" s="108"/>
      <c r="AU446" s="108"/>
      <c r="AV446" s="108"/>
      <c r="AW446" s="108"/>
      <c r="AX446" s="108"/>
      <c r="AY446" s="108"/>
      <c r="AZ446" s="108"/>
    </row>
    <row r="447" spans="1:52" ht="15">
      <c r="A447" s="946"/>
      <c r="B447" s="947"/>
      <c r="C447" s="1175"/>
      <c r="D447" s="541" t="s">
        <v>1704</v>
      </c>
      <c r="E447" s="541"/>
      <c r="F447" s="127"/>
      <c r="H447" s="205"/>
      <c r="I447" s="152"/>
      <c r="J447" s="157"/>
      <c r="K447" s="157"/>
      <c r="L447" s="157"/>
      <c r="M447" s="157"/>
      <c r="N447" s="157"/>
      <c r="O447" s="157"/>
      <c r="P447" s="157"/>
      <c r="R447" s="847"/>
      <c r="S447" s="847"/>
      <c r="T447" s="848"/>
      <c r="U447" s="847"/>
      <c r="V447" s="847"/>
      <c r="W447" s="108"/>
      <c r="Y447" s="127"/>
      <c r="Z447" s="152"/>
      <c r="AA447" s="152"/>
      <c r="AB447" s="109"/>
      <c r="AC447" s="108"/>
      <c r="AD447" s="155"/>
      <c r="AE447" s="698"/>
      <c r="AG447" s="108"/>
      <c r="AH447" s="108"/>
      <c r="AI447" s="108"/>
      <c r="AK447" s="966"/>
      <c r="AL447" s="966"/>
      <c r="AM447" s="966"/>
      <c r="AN447" s="967"/>
      <c r="AO447" s="1027"/>
      <c r="AP447" s="1027"/>
      <c r="AQ447" s="108"/>
      <c r="AR447" s="1027"/>
      <c r="AS447" s="108"/>
      <c r="AT447" s="108"/>
      <c r="AU447" s="108"/>
      <c r="AV447" s="108"/>
      <c r="AW447" s="108"/>
      <c r="AX447" s="108"/>
      <c r="AY447" s="108"/>
      <c r="AZ447" s="108"/>
    </row>
    <row r="448" spans="1:52">
      <c r="B448" s="109"/>
      <c r="C448" s="109"/>
      <c r="D448" s="541"/>
      <c r="E448" s="541"/>
      <c r="F448" s="127"/>
      <c r="H448" s="205"/>
      <c r="I448" s="152"/>
      <c r="J448" s="157"/>
      <c r="K448" s="157"/>
      <c r="L448" s="157"/>
      <c r="M448" s="157"/>
      <c r="N448" s="157"/>
      <c r="O448" s="157"/>
      <c r="P448" s="157"/>
      <c r="R448" s="847"/>
      <c r="S448" s="847"/>
      <c r="T448" s="848"/>
      <c r="U448" s="847"/>
      <c r="V448" s="847"/>
      <c r="W448" s="108"/>
      <c r="Y448" s="127"/>
      <c r="Z448" s="152"/>
      <c r="AA448" s="152"/>
      <c r="AB448" s="109"/>
      <c r="AC448" s="108"/>
      <c r="AD448" s="155"/>
      <c r="AE448" s="698"/>
      <c r="AG448" s="108"/>
      <c r="AH448" s="108"/>
      <c r="AI448" s="108"/>
      <c r="AK448" s="966"/>
      <c r="AL448" s="966"/>
      <c r="AM448" s="966"/>
      <c r="AN448" s="967"/>
      <c r="AO448" s="1027"/>
      <c r="AP448" s="1027"/>
      <c r="AQ448" s="108"/>
      <c r="AR448" s="1027"/>
      <c r="AS448" s="108"/>
      <c r="AT448" s="108"/>
      <c r="AU448" s="108"/>
      <c r="AV448" s="108"/>
      <c r="AW448" s="108"/>
      <c r="AX448" s="108"/>
      <c r="AY448" s="108"/>
      <c r="AZ448" s="108"/>
    </row>
    <row r="449" spans="2:52">
      <c r="B449" s="109"/>
      <c r="C449" s="109"/>
      <c r="D449" s="541"/>
      <c r="E449" s="541"/>
      <c r="F449" s="127"/>
      <c r="H449" s="205"/>
      <c r="I449" s="152"/>
      <c r="J449" s="157"/>
      <c r="K449" s="157"/>
      <c r="L449" s="157"/>
      <c r="M449" s="157"/>
      <c r="N449" s="157"/>
      <c r="O449" s="157"/>
      <c r="P449" s="157"/>
      <c r="R449" s="847"/>
      <c r="S449" s="847"/>
      <c r="T449" s="848"/>
      <c r="U449" s="847"/>
      <c r="V449" s="847"/>
      <c r="W449" s="108"/>
      <c r="Y449" s="127"/>
      <c r="Z449" s="152"/>
      <c r="AA449" s="152"/>
      <c r="AB449" s="109"/>
      <c r="AC449" s="108"/>
      <c r="AD449" s="155"/>
      <c r="AE449" s="698"/>
      <c r="AG449" s="108"/>
      <c r="AH449" s="108"/>
      <c r="AI449" s="108"/>
      <c r="AK449" s="966"/>
      <c r="AL449" s="966"/>
      <c r="AM449" s="966"/>
      <c r="AN449" s="967"/>
      <c r="AO449" s="1027"/>
      <c r="AP449" s="1027"/>
      <c r="AQ449" s="108"/>
      <c r="AR449" s="1027"/>
      <c r="AS449" s="108"/>
      <c r="AT449" s="108"/>
      <c r="AU449" s="108"/>
      <c r="AV449" s="108"/>
      <c r="AW449" s="108"/>
      <c r="AX449" s="108"/>
      <c r="AY449" s="108"/>
      <c r="AZ449" s="108"/>
    </row>
    <row r="450" spans="2:52">
      <c r="B450" s="109"/>
      <c r="C450" s="109"/>
      <c r="D450" s="541"/>
      <c r="E450" s="541"/>
      <c r="F450" s="127"/>
      <c r="H450" s="156"/>
      <c r="I450" s="152"/>
      <c r="J450" s="157"/>
      <c r="K450" s="157"/>
      <c r="L450" s="157"/>
      <c r="M450" s="157"/>
      <c r="N450" s="157"/>
      <c r="O450" s="157"/>
      <c r="P450" s="157"/>
      <c r="R450" s="847"/>
      <c r="S450" s="847"/>
      <c r="T450" s="848"/>
      <c r="U450" s="847"/>
      <c r="V450" s="847"/>
      <c r="W450" s="108"/>
      <c r="Y450" s="127"/>
      <c r="Z450" s="152"/>
      <c r="AA450" s="152"/>
      <c r="AB450" s="109"/>
      <c r="AC450" s="108"/>
      <c r="AD450" s="155"/>
      <c r="AE450" s="698"/>
      <c r="AG450" s="108"/>
      <c r="AH450" s="108"/>
      <c r="AI450" s="108"/>
      <c r="AK450" s="966"/>
      <c r="AL450" s="966"/>
      <c r="AM450" s="966"/>
      <c r="AN450" s="967"/>
      <c r="AO450" s="1027"/>
      <c r="AP450" s="1027"/>
      <c r="AQ450" s="108"/>
      <c r="AR450" s="1027"/>
      <c r="AS450" s="108"/>
      <c r="AT450" s="108"/>
      <c r="AU450" s="108"/>
      <c r="AV450" s="108"/>
      <c r="AW450" s="108"/>
      <c r="AX450" s="108"/>
      <c r="AY450" s="108"/>
      <c r="AZ450" s="108"/>
    </row>
    <row r="451" spans="2:52">
      <c r="B451" s="109"/>
      <c r="C451" s="109"/>
      <c r="D451" s="541"/>
      <c r="E451" s="541"/>
      <c r="F451" s="127"/>
      <c r="H451" s="156"/>
      <c r="I451" s="152"/>
      <c r="J451" s="157"/>
      <c r="K451" s="157"/>
      <c r="L451" s="157"/>
      <c r="M451" s="157"/>
      <c r="N451" s="157"/>
      <c r="O451" s="157"/>
      <c r="P451" s="157"/>
      <c r="R451" s="847"/>
      <c r="S451" s="847"/>
      <c r="T451" s="848"/>
      <c r="U451" s="847"/>
      <c r="V451" s="847"/>
      <c r="W451" s="108"/>
      <c r="Y451" s="127"/>
      <c r="Z451" s="152"/>
      <c r="AA451" s="152"/>
      <c r="AB451" s="109"/>
      <c r="AC451" s="108"/>
      <c r="AD451" s="155"/>
      <c r="AE451" s="698"/>
      <c r="AG451" s="108"/>
      <c r="AH451" s="108"/>
      <c r="AI451" s="108"/>
      <c r="AK451" s="966"/>
      <c r="AL451" s="966"/>
      <c r="AM451" s="966"/>
      <c r="AN451" s="967"/>
      <c r="AO451" s="1027"/>
      <c r="AP451" s="1027"/>
      <c r="AQ451" s="108"/>
      <c r="AR451" s="1027"/>
      <c r="AS451" s="108"/>
      <c r="AT451" s="108"/>
      <c r="AU451" s="108"/>
      <c r="AV451" s="108"/>
      <c r="AW451" s="108"/>
      <c r="AX451" s="108"/>
      <c r="AY451" s="108"/>
      <c r="AZ451" s="108"/>
    </row>
    <row r="452" spans="2:52">
      <c r="B452" s="109"/>
      <c r="C452" s="109"/>
      <c r="D452" s="541"/>
      <c r="E452" s="541"/>
      <c r="F452" s="127"/>
      <c r="H452" s="156"/>
      <c r="I452" s="152"/>
      <c r="J452" s="157"/>
      <c r="K452" s="157"/>
      <c r="L452" s="157"/>
      <c r="M452" s="157"/>
      <c r="N452" s="157"/>
      <c r="O452" s="157"/>
      <c r="P452" s="157"/>
      <c r="R452" s="847"/>
      <c r="S452" s="847"/>
      <c r="T452" s="848"/>
      <c r="U452" s="847"/>
      <c r="V452" s="847"/>
      <c r="W452" s="108"/>
      <c r="Y452" s="127"/>
      <c r="Z452" s="152"/>
      <c r="AA452" s="152"/>
      <c r="AB452" s="109"/>
      <c r="AC452" s="108"/>
      <c r="AD452" s="155"/>
      <c r="AE452" s="698"/>
      <c r="AG452" s="108"/>
      <c r="AH452" s="108"/>
      <c r="AI452" s="108"/>
      <c r="AK452" s="966"/>
      <c r="AL452" s="966"/>
      <c r="AM452" s="966"/>
      <c r="AN452" s="967"/>
      <c r="AO452" s="1027"/>
      <c r="AP452" s="1027"/>
      <c r="AQ452" s="108"/>
      <c r="AR452" s="1027"/>
      <c r="AS452" s="108"/>
      <c r="AT452" s="108"/>
      <c r="AU452" s="108"/>
      <c r="AV452" s="108"/>
      <c r="AW452" s="108"/>
      <c r="AX452" s="108"/>
      <c r="AY452" s="108"/>
      <c r="AZ452" s="108"/>
    </row>
    <row r="453" spans="2:52">
      <c r="B453" s="109"/>
      <c r="C453" s="109"/>
      <c r="D453" s="541"/>
      <c r="E453" s="541"/>
      <c r="F453" s="127"/>
      <c r="H453" s="156"/>
      <c r="I453" s="152"/>
      <c r="J453" s="157"/>
      <c r="K453" s="157"/>
      <c r="L453" s="157"/>
      <c r="M453" s="157"/>
      <c r="N453" s="157"/>
      <c r="O453" s="157"/>
      <c r="P453" s="157"/>
      <c r="R453" s="847"/>
      <c r="S453" s="847"/>
      <c r="T453" s="848"/>
      <c r="U453" s="847"/>
      <c r="V453" s="847"/>
      <c r="W453" s="108"/>
      <c r="Y453" s="127"/>
      <c r="Z453" s="152"/>
      <c r="AA453" s="152"/>
      <c r="AB453" s="109"/>
      <c r="AC453" s="108"/>
      <c r="AD453" s="155"/>
      <c r="AE453" s="698"/>
      <c r="AG453" s="108"/>
      <c r="AH453" s="108"/>
      <c r="AI453" s="108"/>
      <c r="AK453" s="966"/>
      <c r="AL453" s="966"/>
      <c r="AM453" s="966"/>
      <c r="AN453" s="967"/>
      <c r="AO453" s="1027"/>
      <c r="AP453" s="1027"/>
      <c r="AQ453" s="108"/>
      <c r="AR453" s="1027"/>
      <c r="AS453" s="108"/>
      <c r="AT453" s="108"/>
      <c r="AU453" s="108"/>
      <c r="AV453" s="108"/>
      <c r="AW453" s="108"/>
      <c r="AX453" s="108"/>
      <c r="AY453" s="108"/>
      <c r="AZ453" s="108"/>
    </row>
    <row r="454" spans="2:52">
      <c r="B454" s="109"/>
      <c r="C454" s="109"/>
      <c r="D454" s="541"/>
      <c r="E454" s="541"/>
      <c r="F454" s="127"/>
      <c r="H454" s="156"/>
      <c r="I454" s="152"/>
      <c r="J454" s="157"/>
      <c r="K454" s="157"/>
      <c r="L454" s="157"/>
      <c r="M454" s="157"/>
      <c r="N454" s="157"/>
      <c r="O454" s="157"/>
      <c r="P454" s="157"/>
      <c r="R454" s="847"/>
      <c r="S454" s="847"/>
      <c r="T454" s="848"/>
      <c r="U454" s="847"/>
      <c r="V454" s="847"/>
      <c r="W454" s="108"/>
      <c r="Y454" s="127"/>
      <c r="Z454" s="152"/>
      <c r="AA454" s="152"/>
      <c r="AB454" s="109"/>
      <c r="AC454" s="108"/>
      <c r="AD454" s="155"/>
      <c r="AE454" s="698"/>
      <c r="AG454" s="108"/>
      <c r="AH454" s="108"/>
      <c r="AI454" s="108"/>
      <c r="AK454" s="966"/>
      <c r="AL454" s="966"/>
      <c r="AM454" s="966"/>
      <c r="AN454" s="967"/>
      <c r="AO454" s="1027"/>
      <c r="AP454" s="1027"/>
      <c r="AQ454" s="108"/>
      <c r="AR454" s="1027"/>
      <c r="AS454" s="108"/>
      <c r="AT454" s="108"/>
      <c r="AU454" s="108"/>
      <c r="AV454" s="108"/>
      <c r="AW454" s="108"/>
      <c r="AX454" s="108"/>
      <c r="AY454" s="108"/>
      <c r="AZ454" s="108"/>
    </row>
    <row r="455" spans="2:52">
      <c r="B455" s="109"/>
      <c r="C455" s="109"/>
      <c r="D455" s="541"/>
      <c r="E455" s="541"/>
      <c r="F455" s="127"/>
      <c r="H455" s="156"/>
      <c r="I455" s="152"/>
      <c r="J455" s="157"/>
      <c r="K455" s="157"/>
      <c r="L455" s="157"/>
      <c r="M455" s="157"/>
      <c r="N455" s="157"/>
      <c r="O455" s="157"/>
      <c r="P455" s="157"/>
      <c r="R455" s="847"/>
      <c r="S455" s="847"/>
      <c r="T455" s="848"/>
      <c r="U455" s="847"/>
      <c r="V455" s="847"/>
      <c r="W455" s="108"/>
      <c r="Y455" s="127"/>
      <c r="Z455" s="152"/>
      <c r="AA455" s="152"/>
      <c r="AB455" s="109"/>
      <c r="AC455" s="108"/>
      <c r="AD455" s="155"/>
      <c r="AE455" s="698"/>
      <c r="AG455" s="108"/>
      <c r="AH455" s="108"/>
      <c r="AI455" s="108"/>
      <c r="AK455" s="966"/>
      <c r="AL455" s="966"/>
      <c r="AM455" s="966"/>
      <c r="AN455" s="967"/>
      <c r="AO455" s="1027"/>
      <c r="AP455" s="1027"/>
      <c r="AQ455" s="108"/>
      <c r="AR455" s="1027"/>
      <c r="AS455" s="108"/>
      <c r="AT455" s="108"/>
      <c r="AU455" s="108"/>
      <c r="AV455" s="108"/>
      <c r="AW455" s="108"/>
      <c r="AX455" s="108"/>
      <c r="AY455" s="108"/>
      <c r="AZ455" s="108"/>
    </row>
    <row r="456" spans="2:52">
      <c r="B456" s="109"/>
      <c r="C456" s="109"/>
      <c r="D456" s="541"/>
      <c r="E456" s="541"/>
      <c r="F456" s="127"/>
      <c r="H456" s="156"/>
      <c r="I456" s="152"/>
      <c r="J456" s="157"/>
      <c r="K456" s="157"/>
      <c r="L456" s="157"/>
      <c r="M456" s="157"/>
      <c r="N456" s="157"/>
      <c r="O456" s="157"/>
      <c r="P456" s="157"/>
      <c r="R456" s="847"/>
      <c r="S456" s="847"/>
      <c r="T456" s="848"/>
      <c r="U456" s="847"/>
      <c r="V456" s="847"/>
      <c r="W456" s="108"/>
      <c r="Y456" s="127"/>
      <c r="Z456" s="152"/>
      <c r="AA456" s="152"/>
      <c r="AB456" s="109"/>
      <c r="AC456" s="108"/>
      <c r="AD456" s="155"/>
      <c r="AE456" s="698"/>
      <c r="AG456" s="108"/>
      <c r="AH456" s="108"/>
      <c r="AI456" s="108"/>
      <c r="AK456" s="966"/>
      <c r="AL456" s="966"/>
      <c r="AM456" s="966"/>
      <c r="AN456" s="967"/>
      <c r="AO456" s="1027"/>
      <c r="AP456" s="1027"/>
      <c r="AQ456" s="108"/>
      <c r="AR456" s="1027"/>
      <c r="AS456" s="108"/>
      <c r="AT456" s="108"/>
      <c r="AU456" s="108"/>
      <c r="AV456" s="108"/>
      <c r="AW456" s="108"/>
      <c r="AX456" s="108"/>
      <c r="AY456" s="108"/>
      <c r="AZ456" s="108"/>
    </row>
    <row r="457" spans="2:52">
      <c r="B457" s="109"/>
      <c r="C457" s="109"/>
      <c r="D457" s="541"/>
      <c r="E457" s="541"/>
      <c r="F457" s="127"/>
      <c r="H457" s="156"/>
      <c r="I457" s="152"/>
      <c r="J457" s="157"/>
      <c r="K457" s="157"/>
      <c r="L457" s="157"/>
      <c r="M457" s="157"/>
      <c r="N457" s="157"/>
      <c r="O457" s="157"/>
      <c r="P457" s="157"/>
      <c r="R457" s="847"/>
      <c r="S457" s="847"/>
      <c r="T457" s="848"/>
      <c r="U457" s="847"/>
      <c r="V457" s="847"/>
      <c r="W457" s="108"/>
      <c r="Y457" s="127"/>
      <c r="Z457" s="152"/>
      <c r="AA457" s="152"/>
      <c r="AB457" s="109"/>
      <c r="AC457" s="108"/>
      <c r="AD457" s="155"/>
      <c r="AE457" s="698"/>
      <c r="AG457" s="108"/>
      <c r="AH457" s="108"/>
      <c r="AI457" s="108"/>
      <c r="AK457" s="966"/>
      <c r="AL457" s="966"/>
      <c r="AM457" s="966"/>
      <c r="AN457" s="967"/>
      <c r="AO457" s="1027"/>
      <c r="AP457" s="1027"/>
      <c r="AQ457" s="108"/>
      <c r="AR457" s="1027"/>
      <c r="AS457" s="108"/>
      <c r="AT457" s="108"/>
      <c r="AU457" s="108"/>
      <c r="AV457" s="108"/>
      <c r="AW457" s="108"/>
      <c r="AX457" s="108"/>
      <c r="AY457" s="108"/>
      <c r="AZ457" s="108"/>
    </row>
    <row r="458" spans="2:52">
      <c r="B458" s="109"/>
      <c r="C458" s="109"/>
      <c r="D458" s="541"/>
      <c r="E458" s="541"/>
      <c r="F458" s="127"/>
      <c r="H458" s="156"/>
      <c r="I458" s="152"/>
      <c r="J458" s="157"/>
      <c r="K458" s="157"/>
      <c r="L458" s="157"/>
      <c r="M458" s="157"/>
      <c r="N458" s="157"/>
      <c r="O458" s="157"/>
      <c r="P458" s="157"/>
      <c r="R458" s="847"/>
      <c r="S458" s="847"/>
      <c r="T458" s="848"/>
      <c r="U458" s="847"/>
      <c r="V458" s="847"/>
      <c r="W458" s="108"/>
      <c r="Y458" s="127"/>
      <c r="Z458" s="152"/>
      <c r="AA458" s="152"/>
      <c r="AB458" s="109"/>
      <c r="AC458" s="108"/>
      <c r="AD458" s="155"/>
      <c r="AE458" s="698"/>
      <c r="AG458" s="108"/>
      <c r="AH458" s="108"/>
      <c r="AI458" s="108"/>
      <c r="AK458" s="966"/>
      <c r="AL458" s="966"/>
      <c r="AM458" s="966"/>
      <c r="AN458" s="967"/>
      <c r="AO458" s="1027"/>
      <c r="AP458" s="1027"/>
      <c r="AQ458" s="108"/>
      <c r="AR458" s="1027"/>
      <c r="AS458" s="108"/>
      <c r="AT458" s="108"/>
      <c r="AU458" s="108"/>
      <c r="AV458" s="108"/>
      <c r="AW458" s="108"/>
      <c r="AX458" s="108"/>
      <c r="AY458" s="108"/>
      <c r="AZ458" s="108"/>
    </row>
    <row r="459" spans="2:52">
      <c r="B459" s="109"/>
      <c r="C459" s="109"/>
      <c r="D459" s="541"/>
      <c r="E459" s="541"/>
      <c r="F459" s="127"/>
      <c r="H459" s="156"/>
      <c r="I459" s="152"/>
      <c r="J459" s="157"/>
      <c r="K459" s="157"/>
      <c r="L459" s="157"/>
      <c r="M459" s="157"/>
      <c r="N459" s="157"/>
      <c r="O459" s="157"/>
      <c r="P459" s="157"/>
      <c r="R459" s="847"/>
      <c r="S459" s="847"/>
      <c r="T459" s="848"/>
      <c r="U459" s="847"/>
      <c r="V459" s="847"/>
      <c r="W459" s="108"/>
      <c r="Y459" s="127"/>
      <c r="Z459" s="152"/>
      <c r="AA459" s="152"/>
      <c r="AB459" s="109"/>
      <c r="AC459" s="108"/>
      <c r="AD459" s="155"/>
      <c r="AE459" s="698"/>
      <c r="AG459" s="108"/>
      <c r="AH459" s="108"/>
      <c r="AI459" s="108"/>
      <c r="AK459" s="966"/>
      <c r="AL459" s="966"/>
      <c r="AM459" s="966"/>
      <c r="AN459" s="967"/>
      <c r="AO459" s="1027"/>
      <c r="AP459" s="1027"/>
      <c r="AQ459" s="108"/>
      <c r="AR459" s="1027"/>
      <c r="AS459" s="108"/>
      <c r="AT459" s="108"/>
      <c r="AU459" s="108"/>
      <c r="AV459" s="108"/>
      <c r="AW459" s="108"/>
      <c r="AX459" s="108"/>
      <c r="AY459" s="108"/>
      <c r="AZ459" s="108"/>
    </row>
    <row r="460" spans="2:52">
      <c r="B460" s="109"/>
      <c r="C460" s="109"/>
      <c r="D460" s="541"/>
      <c r="E460" s="541"/>
      <c r="F460" s="127"/>
      <c r="H460" s="156"/>
      <c r="I460" s="152"/>
      <c r="J460" s="157"/>
      <c r="K460" s="157"/>
      <c r="L460" s="157"/>
      <c r="M460" s="157"/>
      <c r="N460" s="157"/>
      <c r="O460" s="157"/>
      <c r="P460" s="157"/>
      <c r="R460" s="847"/>
      <c r="S460" s="847"/>
      <c r="T460" s="848"/>
      <c r="U460" s="847"/>
      <c r="V460" s="847"/>
      <c r="W460" s="108"/>
      <c r="Y460" s="127"/>
      <c r="Z460" s="152"/>
      <c r="AA460" s="152"/>
      <c r="AB460" s="109"/>
      <c r="AC460" s="108"/>
      <c r="AD460" s="155"/>
      <c r="AE460" s="698"/>
      <c r="AG460" s="108"/>
      <c r="AH460" s="108"/>
      <c r="AI460" s="108"/>
      <c r="AK460" s="966"/>
      <c r="AL460" s="966"/>
      <c r="AM460" s="966"/>
      <c r="AN460" s="967"/>
      <c r="AO460" s="1027"/>
      <c r="AP460" s="1027"/>
      <c r="AQ460" s="108"/>
      <c r="AR460" s="1027"/>
      <c r="AS460" s="108"/>
      <c r="AT460" s="108"/>
      <c r="AU460" s="108"/>
      <c r="AV460" s="108"/>
      <c r="AW460" s="108"/>
      <c r="AX460" s="108"/>
      <c r="AY460" s="108"/>
      <c r="AZ460" s="108"/>
    </row>
    <row r="461" spans="2:52">
      <c r="B461" s="109"/>
      <c r="C461" s="109"/>
      <c r="D461" s="541"/>
      <c r="E461" s="541"/>
      <c r="F461" s="127"/>
      <c r="H461" s="156"/>
      <c r="I461" s="152"/>
      <c r="J461" s="157"/>
      <c r="K461" s="157"/>
      <c r="L461" s="157"/>
      <c r="M461" s="157"/>
      <c r="N461" s="157"/>
      <c r="O461" s="157"/>
      <c r="P461" s="157"/>
      <c r="R461" s="847"/>
      <c r="S461" s="847"/>
      <c r="T461" s="848"/>
      <c r="U461" s="847"/>
      <c r="V461" s="847"/>
      <c r="W461" s="108"/>
      <c r="Y461" s="127"/>
      <c r="Z461" s="152"/>
      <c r="AA461" s="152"/>
      <c r="AB461" s="109"/>
      <c r="AC461" s="108"/>
      <c r="AD461" s="155"/>
      <c r="AE461" s="698"/>
      <c r="AG461" s="108"/>
      <c r="AH461" s="108"/>
      <c r="AI461" s="108"/>
      <c r="AK461" s="966"/>
      <c r="AL461" s="966"/>
      <c r="AM461" s="966"/>
      <c r="AN461" s="967"/>
      <c r="AO461" s="1027"/>
      <c r="AP461" s="1027"/>
      <c r="AQ461" s="108"/>
      <c r="AR461" s="1027"/>
      <c r="AS461" s="108"/>
      <c r="AT461" s="108"/>
      <c r="AU461" s="108"/>
      <c r="AV461" s="108"/>
      <c r="AW461" s="108"/>
      <c r="AX461" s="108"/>
      <c r="AY461" s="108"/>
      <c r="AZ461" s="108"/>
    </row>
    <row r="462" spans="2:52">
      <c r="B462" s="109"/>
      <c r="C462" s="109"/>
      <c r="D462" s="541"/>
      <c r="E462" s="541"/>
      <c r="F462" s="127"/>
      <c r="H462" s="156"/>
      <c r="I462" s="152"/>
      <c r="J462" s="157"/>
      <c r="K462" s="157"/>
      <c r="L462" s="157"/>
      <c r="M462" s="157"/>
      <c r="N462" s="157"/>
      <c r="O462" s="157"/>
      <c r="P462" s="157"/>
      <c r="R462" s="847"/>
      <c r="S462" s="847"/>
      <c r="T462" s="848"/>
      <c r="U462" s="847"/>
      <c r="V462" s="847"/>
      <c r="W462" s="108"/>
      <c r="Y462" s="127"/>
      <c r="Z462" s="152"/>
      <c r="AA462" s="152"/>
      <c r="AB462" s="109"/>
      <c r="AC462" s="108"/>
      <c r="AD462" s="155"/>
      <c r="AE462" s="698"/>
      <c r="AG462" s="108"/>
      <c r="AH462" s="108"/>
      <c r="AI462" s="108"/>
      <c r="AK462" s="966"/>
      <c r="AL462" s="966"/>
      <c r="AM462" s="966"/>
      <c r="AN462" s="967"/>
      <c r="AO462" s="1027"/>
      <c r="AP462" s="1027"/>
      <c r="AQ462" s="108"/>
      <c r="AR462" s="1027"/>
      <c r="AS462" s="108"/>
      <c r="AT462" s="108"/>
      <c r="AU462" s="108"/>
      <c r="AV462" s="108"/>
      <c r="AW462" s="108"/>
      <c r="AX462" s="108"/>
      <c r="AY462" s="108"/>
      <c r="AZ462" s="108"/>
    </row>
    <row r="463" spans="2:52">
      <c r="B463" s="109"/>
      <c r="C463" s="109"/>
      <c r="D463" s="541"/>
      <c r="E463" s="541"/>
      <c r="F463" s="127"/>
      <c r="H463" s="156"/>
      <c r="I463" s="152"/>
      <c r="J463" s="157"/>
      <c r="K463" s="157"/>
      <c r="L463" s="157"/>
      <c r="M463" s="157"/>
      <c r="N463" s="157"/>
      <c r="O463" s="157"/>
      <c r="P463" s="157"/>
      <c r="R463" s="847"/>
      <c r="S463" s="847"/>
      <c r="T463" s="848"/>
      <c r="U463" s="847"/>
      <c r="V463" s="847"/>
      <c r="W463" s="108"/>
      <c r="Y463" s="127"/>
      <c r="Z463" s="152"/>
      <c r="AA463" s="152"/>
      <c r="AB463" s="109"/>
      <c r="AC463" s="108"/>
      <c r="AD463" s="155"/>
      <c r="AE463" s="698"/>
      <c r="AG463" s="108"/>
      <c r="AH463" s="108"/>
      <c r="AI463" s="108"/>
      <c r="AK463" s="966"/>
      <c r="AL463" s="966"/>
      <c r="AM463" s="966"/>
      <c r="AN463" s="967"/>
      <c r="AO463" s="1027"/>
      <c r="AP463" s="1027"/>
      <c r="AQ463" s="108"/>
      <c r="AR463" s="1027"/>
      <c r="AS463" s="108"/>
      <c r="AT463" s="108"/>
      <c r="AU463" s="108"/>
      <c r="AV463" s="108"/>
      <c r="AW463" s="108"/>
      <c r="AX463" s="108"/>
      <c r="AY463" s="108"/>
      <c r="AZ463" s="108"/>
    </row>
    <row r="464" spans="2:52">
      <c r="B464" s="109"/>
      <c r="C464" s="109"/>
      <c r="D464" s="541"/>
      <c r="E464" s="541"/>
      <c r="F464" s="127"/>
      <c r="H464" s="156"/>
      <c r="I464" s="152"/>
      <c r="J464" s="157"/>
      <c r="K464" s="157"/>
      <c r="L464" s="157"/>
      <c r="M464" s="157"/>
      <c r="N464" s="157"/>
      <c r="O464" s="157"/>
      <c r="P464" s="157"/>
      <c r="R464" s="847"/>
      <c r="S464" s="847"/>
      <c r="T464" s="848"/>
      <c r="U464" s="847"/>
      <c r="V464" s="847"/>
      <c r="W464" s="108"/>
      <c r="Y464" s="127"/>
      <c r="Z464" s="152"/>
      <c r="AA464" s="152"/>
      <c r="AB464" s="109"/>
      <c r="AC464" s="108"/>
      <c r="AD464" s="155"/>
      <c r="AE464" s="698"/>
      <c r="AG464" s="108"/>
      <c r="AH464" s="108"/>
      <c r="AI464" s="108"/>
      <c r="AK464" s="966"/>
      <c r="AL464" s="966"/>
      <c r="AM464" s="966"/>
      <c r="AN464" s="967"/>
      <c r="AO464" s="1027"/>
      <c r="AP464" s="1027"/>
      <c r="AQ464" s="108"/>
      <c r="AR464" s="1027"/>
      <c r="AS464" s="108"/>
      <c r="AT464" s="108"/>
      <c r="AU464" s="108"/>
      <c r="AV464" s="108"/>
      <c r="AW464" s="108"/>
      <c r="AX464" s="108"/>
      <c r="AY464" s="108"/>
      <c r="AZ464" s="108"/>
    </row>
    <row r="465" spans="2:52">
      <c r="B465" s="109"/>
      <c r="C465" s="109"/>
      <c r="D465" s="541"/>
      <c r="E465" s="541"/>
      <c r="F465" s="127"/>
      <c r="H465" s="156"/>
      <c r="I465" s="152"/>
      <c r="J465" s="157"/>
      <c r="K465" s="157"/>
      <c r="L465" s="157"/>
      <c r="M465" s="157"/>
      <c r="N465" s="157"/>
      <c r="O465" s="157"/>
      <c r="P465" s="157"/>
      <c r="R465" s="847"/>
      <c r="S465" s="847"/>
      <c r="T465" s="848"/>
      <c r="U465" s="847"/>
      <c r="V465" s="847"/>
      <c r="W465" s="108"/>
      <c r="Y465" s="127"/>
      <c r="Z465" s="152"/>
      <c r="AA465" s="152"/>
      <c r="AB465" s="109"/>
      <c r="AC465" s="108"/>
      <c r="AD465" s="155"/>
      <c r="AE465" s="698"/>
      <c r="AG465" s="108"/>
      <c r="AH465" s="108"/>
      <c r="AI465" s="108"/>
      <c r="AK465" s="966"/>
      <c r="AL465" s="966"/>
      <c r="AM465" s="966"/>
      <c r="AN465" s="967"/>
      <c r="AO465" s="1027"/>
      <c r="AP465" s="1027"/>
      <c r="AQ465" s="108"/>
      <c r="AR465" s="1027"/>
      <c r="AS465" s="108"/>
      <c r="AT465" s="108"/>
      <c r="AU465" s="108"/>
      <c r="AV465" s="108"/>
      <c r="AW465" s="108"/>
      <c r="AX465" s="108"/>
      <c r="AY465" s="108"/>
      <c r="AZ465" s="108"/>
    </row>
    <row r="466" spans="2:52">
      <c r="B466" s="109"/>
      <c r="C466" s="109"/>
      <c r="D466" s="548"/>
      <c r="E466" s="548"/>
      <c r="F466" s="148"/>
      <c r="H466" s="156"/>
      <c r="I466" s="152"/>
      <c r="J466" s="157"/>
      <c r="K466" s="157"/>
      <c r="L466" s="157"/>
      <c r="M466" s="211"/>
      <c r="N466" s="157"/>
      <c r="O466" s="157"/>
      <c r="P466" s="157"/>
      <c r="R466" s="847"/>
      <c r="S466" s="847"/>
      <c r="T466" s="848"/>
      <c r="U466" s="847"/>
      <c r="V466" s="847"/>
      <c r="W466" s="108"/>
      <c r="Y466" s="127"/>
      <c r="Z466" s="152"/>
      <c r="AA466" s="152"/>
      <c r="AB466" s="109"/>
      <c r="AC466" s="108"/>
      <c r="AD466" s="155"/>
      <c r="AE466" s="698"/>
      <c r="AG466" s="108"/>
      <c r="AH466" s="108"/>
      <c r="AI466" s="108"/>
      <c r="AK466" s="966"/>
      <c r="AL466" s="966"/>
      <c r="AM466" s="966"/>
      <c r="AN466" s="967"/>
      <c r="AO466" s="1027"/>
      <c r="AP466" s="1027"/>
      <c r="AQ466" s="108"/>
      <c r="AR466" s="1027"/>
      <c r="AS466" s="108"/>
      <c r="AT466" s="108"/>
      <c r="AU466" s="108"/>
      <c r="AV466" s="108"/>
      <c r="AW466" s="108"/>
      <c r="AX466" s="108"/>
      <c r="AY466" s="108"/>
      <c r="AZ466" s="108"/>
    </row>
    <row r="467" spans="2:52">
      <c r="B467" s="109"/>
      <c r="C467" s="109"/>
      <c r="D467" s="541"/>
      <c r="E467" s="541"/>
      <c r="F467" s="127"/>
      <c r="H467" s="156"/>
      <c r="I467" s="152"/>
      <c r="J467" s="157"/>
      <c r="K467" s="157"/>
      <c r="L467" s="157"/>
      <c r="M467" s="157"/>
      <c r="N467" s="157"/>
      <c r="O467" s="157"/>
      <c r="P467" s="157"/>
      <c r="R467" s="847"/>
      <c r="S467" s="847"/>
      <c r="T467" s="848"/>
      <c r="U467" s="847"/>
      <c r="V467" s="847"/>
      <c r="W467" s="108"/>
      <c r="Y467" s="127"/>
      <c r="Z467" s="152"/>
      <c r="AA467" s="152"/>
      <c r="AB467" s="109"/>
      <c r="AC467" s="108"/>
      <c r="AD467" s="155"/>
      <c r="AE467" s="698"/>
      <c r="AG467" s="108"/>
      <c r="AH467" s="108"/>
      <c r="AI467" s="108"/>
      <c r="AK467" s="966"/>
      <c r="AL467" s="966"/>
      <c r="AM467" s="966"/>
      <c r="AN467" s="967"/>
      <c r="AO467" s="1027"/>
      <c r="AP467" s="1027"/>
      <c r="AQ467" s="108"/>
      <c r="AR467" s="1027"/>
      <c r="AS467" s="108"/>
      <c r="AT467" s="108"/>
      <c r="AU467" s="108"/>
      <c r="AV467" s="108"/>
      <c r="AW467" s="108"/>
      <c r="AX467" s="108"/>
      <c r="AY467" s="108"/>
      <c r="AZ467" s="108"/>
    </row>
    <row r="468" spans="2:52">
      <c r="B468" s="109"/>
      <c r="C468" s="109"/>
      <c r="D468" s="541"/>
      <c r="E468" s="541"/>
      <c r="F468" s="127"/>
      <c r="H468" s="156"/>
      <c r="I468" s="152"/>
      <c r="J468" s="157"/>
      <c r="K468" s="157"/>
      <c r="L468" s="157"/>
      <c r="M468" s="157"/>
      <c r="N468" s="157"/>
      <c r="O468" s="157"/>
      <c r="P468" s="157"/>
      <c r="R468" s="847"/>
      <c r="S468" s="847"/>
      <c r="T468" s="848"/>
      <c r="U468" s="847"/>
      <c r="V468" s="847"/>
      <c r="W468" s="108"/>
      <c r="Y468" s="127"/>
      <c r="Z468" s="152"/>
      <c r="AA468" s="152"/>
      <c r="AB468" s="109"/>
      <c r="AC468" s="108"/>
      <c r="AD468" s="155"/>
      <c r="AE468" s="698"/>
      <c r="AG468" s="108"/>
      <c r="AH468" s="108"/>
      <c r="AI468" s="108"/>
      <c r="AK468" s="966"/>
      <c r="AL468" s="966"/>
      <c r="AM468" s="966"/>
      <c r="AN468" s="967"/>
      <c r="AO468" s="1027"/>
      <c r="AP468" s="1027"/>
      <c r="AQ468" s="108"/>
      <c r="AR468" s="1027"/>
      <c r="AS468" s="108"/>
      <c r="AT468" s="108"/>
      <c r="AU468" s="108"/>
      <c r="AV468" s="108"/>
      <c r="AW468" s="108"/>
      <c r="AX468" s="108"/>
      <c r="AY468" s="108"/>
      <c r="AZ468" s="108"/>
    </row>
    <row r="469" spans="2:52">
      <c r="B469" s="109"/>
      <c r="C469" s="109"/>
      <c r="D469" s="541"/>
      <c r="E469" s="541"/>
      <c r="F469" s="127"/>
      <c r="H469" s="156"/>
      <c r="I469" s="152"/>
      <c r="J469" s="157"/>
      <c r="K469" s="157"/>
      <c r="L469" s="157"/>
      <c r="M469" s="157"/>
      <c r="N469" s="157"/>
      <c r="O469" s="157"/>
      <c r="P469" s="157"/>
      <c r="R469" s="847"/>
      <c r="S469" s="847"/>
      <c r="T469" s="848"/>
      <c r="U469" s="847"/>
      <c r="V469" s="847"/>
      <c r="W469" s="108"/>
      <c r="Y469" s="127"/>
      <c r="Z469" s="152"/>
      <c r="AA469" s="152"/>
      <c r="AB469" s="109"/>
      <c r="AC469" s="108"/>
      <c r="AD469" s="155"/>
      <c r="AE469" s="698"/>
      <c r="AG469" s="108"/>
      <c r="AH469" s="108"/>
      <c r="AI469" s="108"/>
      <c r="AK469" s="966"/>
      <c r="AL469" s="966"/>
      <c r="AM469" s="966"/>
      <c r="AN469" s="967"/>
      <c r="AO469" s="1027"/>
      <c r="AP469" s="1027"/>
      <c r="AQ469" s="108"/>
      <c r="AR469" s="1027"/>
      <c r="AS469" s="108"/>
      <c r="AT469" s="108"/>
      <c r="AU469" s="108"/>
      <c r="AV469" s="108"/>
      <c r="AW469" s="108"/>
      <c r="AX469" s="108"/>
      <c r="AY469" s="108"/>
      <c r="AZ469" s="108"/>
    </row>
    <row r="470" spans="2:52">
      <c r="B470" s="109"/>
      <c r="C470" s="109"/>
      <c r="D470" s="541"/>
      <c r="E470" s="541"/>
      <c r="F470" s="127"/>
      <c r="H470" s="156"/>
      <c r="I470" s="152"/>
      <c r="J470" s="157"/>
      <c r="K470" s="157"/>
      <c r="L470" s="157"/>
      <c r="M470" s="157"/>
      <c r="N470" s="157"/>
      <c r="O470" s="157"/>
      <c r="P470" s="157"/>
      <c r="R470" s="847"/>
      <c r="S470" s="847"/>
      <c r="T470" s="848"/>
      <c r="U470" s="847"/>
      <c r="V470" s="847"/>
      <c r="W470" s="108"/>
      <c r="Y470" s="127"/>
      <c r="Z470" s="152"/>
      <c r="AA470" s="152"/>
      <c r="AB470" s="109"/>
      <c r="AC470" s="108"/>
      <c r="AD470" s="155"/>
      <c r="AE470" s="698"/>
      <c r="AG470" s="108"/>
      <c r="AH470" s="108"/>
      <c r="AI470" s="108"/>
      <c r="AK470" s="966"/>
      <c r="AL470" s="966"/>
      <c r="AM470" s="966"/>
      <c r="AN470" s="967"/>
      <c r="AO470" s="1027"/>
      <c r="AP470" s="1027"/>
      <c r="AQ470" s="108"/>
      <c r="AR470" s="1027"/>
      <c r="AS470" s="108"/>
      <c r="AT470" s="108"/>
      <c r="AU470" s="108"/>
      <c r="AV470" s="108"/>
      <c r="AW470" s="108"/>
      <c r="AX470" s="108"/>
      <c r="AY470" s="108"/>
      <c r="AZ470" s="108"/>
    </row>
    <row r="471" spans="2:52">
      <c r="B471" s="109"/>
      <c r="C471" s="109"/>
      <c r="D471" s="541"/>
      <c r="E471" s="541"/>
      <c r="F471" s="127"/>
      <c r="H471" s="156"/>
      <c r="I471" s="152"/>
      <c r="J471" s="157"/>
      <c r="K471" s="157"/>
      <c r="L471" s="157"/>
      <c r="M471" s="157"/>
      <c r="N471" s="157"/>
      <c r="O471" s="157"/>
      <c r="P471" s="157"/>
      <c r="R471" s="847"/>
      <c r="S471" s="847"/>
      <c r="T471" s="848"/>
      <c r="U471" s="847"/>
      <c r="V471" s="847"/>
      <c r="W471" s="108"/>
      <c r="Y471" s="127"/>
      <c r="Z471" s="152"/>
      <c r="AA471" s="152"/>
      <c r="AB471" s="109"/>
      <c r="AC471" s="108"/>
      <c r="AD471" s="155"/>
      <c r="AE471" s="698"/>
      <c r="AG471" s="108"/>
      <c r="AH471" s="108"/>
      <c r="AI471" s="108"/>
      <c r="AK471" s="966"/>
      <c r="AL471" s="966"/>
      <c r="AM471" s="966"/>
      <c r="AN471" s="967"/>
      <c r="AO471" s="1027"/>
      <c r="AP471" s="1027"/>
      <c r="AQ471" s="108"/>
      <c r="AR471" s="1027"/>
      <c r="AS471" s="108"/>
      <c r="AT471" s="108"/>
      <c r="AU471" s="108"/>
      <c r="AV471" s="108"/>
      <c r="AW471" s="108"/>
      <c r="AX471" s="108"/>
      <c r="AY471" s="108"/>
      <c r="AZ471" s="108"/>
    </row>
    <row r="472" spans="2:52">
      <c r="B472" s="109"/>
      <c r="C472" s="109"/>
      <c r="D472" s="541"/>
      <c r="E472" s="541"/>
      <c r="F472" s="127"/>
      <c r="H472" s="156"/>
      <c r="I472" s="152"/>
      <c r="J472" s="157"/>
      <c r="K472" s="157"/>
      <c r="L472" s="157"/>
      <c r="M472" s="157"/>
      <c r="N472" s="157"/>
      <c r="O472" s="157"/>
      <c r="P472" s="157"/>
      <c r="R472" s="847"/>
      <c r="S472" s="847"/>
      <c r="T472" s="848"/>
      <c r="U472" s="847"/>
      <c r="V472" s="847"/>
      <c r="W472" s="108"/>
      <c r="Y472" s="127"/>
      <c r="Z472" s="152"/>
      <c r="AA472" s="152"/>
      <c r="AB472" s="109"/>
      <c r="AC472" s="108"/>
      <c r="AD472" s="155"/>
      <c r="AE472" s="698"/>
      <c r="AG472" s="108"/>
      <c r="AH472" s="108"/>
      <c r="AI472" s="108"/>
      <c r="AK472" s="966"/>
      <c r="AL472" s="966"/>
      <c r="AM472" s="966"/>
      <c r="AN472" s="967"/>
      <c r="AO472" s="1027"/>
      <c r="AP472" s="1027"/>
      <c r="AQ472" s="108"/>
      <c r="AR472" s="1027"/>
      <c r="AS472" s="108"/>
      <c r="AT472" s="108"/>
      <c r="AU472" s="108"/>
      <c r="AV472" s="108"/>
      <c r="AW472" s="108"/>
      <c r="AX472" s="108"/>
      <c r="AY472" s="108"/>
      <c r="AZ472" s="108"/>
    </row>
    <row r="473" spans="2:52">
      <c r="B473" s="109"/>
      <c r="C473" s="109"/>
      <c r="D473" s="541"/>
      <c r="E473" s="541"/>
      <c r="F473" s="127"/>
      <c r="H473" s="156"/>
      <c r="I473" s="152"/>
      <c r="J473" s="157"/>
      <c r="K473" s="157"/>
      <c r="L473" s="157"/>
      <c r="M473" s="157"/>
      <c r="N473" s="157"/>
      <c r="O473" s="157"/>
      <c r="P473" s="157"/>
      <c r="R473" s="847"/>
      <c r="S473" s="847"/>
      <c r="T473" s="848"/>
      <c r="U473" s="847"/>
      <c r="V473" s="847"/>
      <c r="W473" s="108"/>
      <c r="Y473" s="127"/>
      <c r="Z473" s="152"/>
      <c r="AA473" s="152"/>
      <c r="AB473" s="109"/>
      <c r="AC473" s="108"/>
      <c r="AD473" s="155"/>
      <c r="AE473" s="698"/>
      <c r="AG473" s="108"/>
      <c r="AH473" s="108"/>
      <c r="AI473" s="108"/>
      <c r="AK473" s="966"/>
      <c r="AL473" s="966"/>
      <c r="AM473" s="966"/>
      <c r="AN473" s="967"/>
      <c r="AO473" s="1027"/>
      <c r="AP473" s="1027"/>
      <c r="AQ473" s="108"/>
      <c r="AR473" s="1027"/>
      <c r="AS473" s="108"/>
      <c r="AT473" s="108"/>
      <c r="AU473" s="108"/>
      <c r="AV473" s="108"/>
      <c r="AW473" s="108"/>
      <c r="AX473" s="108"/>
      <c r="AY473" s="108"/>
      <c r="AZ473" s="108"/>
    </row>
    <row r="474" spans="2:52">
      <c r="B474" s="109"/>
      <c r="C474" s="109"/>
      <c r="D474" s="541"/>
      <c r="E474" s="541"/>
      <c r="F474" s="127"/>
      <c r="H474" s="156"/>
      <c r="I474" s="152"/>
      <c r="J474" s="157"/>
      <c r="K474" s="157"/>
      <c r="L474" s="157"/>
      <c r="M474" s="157"/>
      <c r="N474" s="157"/>
      <c r="O474" s="157"/>
      <c r="P474" s="157"/>
      <c r="R474" s="847"/>
      <c r="S474" s="847"/>
      <c r="T474" s="848"/>
      <c r="U474" s="847"/>
      <c r="V474" s="847"/>
      <c r="W474" s="108"/>
      <c r="Y474" s="127"/>
      <c r="Z474" s="152"/>
      <c r="AA474" s="152"/>
      <c r="AB474" s="109"/>
      <c r="AC474" s="108"/>
      <c r="AD474" s="155"/>
      <c r="AE474" s="698"/>
      <c r="AG474" s="108"/>
      <c r="AH474" s="108"/>
      <c r="AI474" s="108"/>
      <c r="AK474" s="966"/>
      <c r="AL474" s="966"/>
      <c r="AM474" s="966"/>
      <c r="AN474" s="967"/>
      <c r="AO474" s="1027"/>
      <c r="AP474" s="1027"/>
      <c r="AQ474" s="108"/>
      <c r="AR474" s="1027"/>
      <c r="AS474" s="108"/>
      <c r="AT474" s="108"/>
      <c r="AU474" s="108"/>
      <c r="AV474" s="108"/>
      <c r="AW474" s="108"/>
      <c r="AX474" s="108"/>
      <c r="AY474" s="108"/>
      <c r="AZ474" s="108"/>
    </row>
    <row r="475" spans="2:52">
      <c r="B475" s="109"/>
      <c r="C475" s="109"/>
      <c r="D475" s="541"/>
      <c r="E475" s="541"/>
      <c r="F475" s="127"/>
      <c r="H475" s="156"/>
      <c r="I475" s="152"/>
      <c r="J475" s="157"/>
      <c r="K475" s="157"/>
      <c r="L475" s="157"/>
      <c r="M475" s="157"/>
      <c r="N475" s="157"/>
      <c r="O475" s="157"/>
      <c r="P475" s="157"/>
      <c r="R475" s="847"/>
      <c r="S475" s="847"/>
      <c r="T475" s="848"/>
      <c r="U475" s="847"/>
      <c r="V475" s="847"/>
      <c r="W475" s="108"/>
      <c r="Y475" s="127"/>
      <c r="Z475" s="152"/>
      <c r="AA475" s="152"/>
      <c r="AB475" s="109"/>
      <c r="AC475" s="108"/>
      <c r="AD475" s="155"/>
      <c r="AE475" s="698"/>
      <c r="AG475" s="108"/>
      <c r="AH475" s="108"/>
      <c r="AI475" s="108"/>
      <c r="AK475" s="966"/>
      <c r="AL475" s="966"/>
      <c r="AM475" s="966"/>
      <c r="AN475" s="967"/>
      <c r="AO475" s="1027"/>
      <c r="AP475" s="1027"/>
      <c r="AQ475" s="108"/>
      <c r="AR475" s="1027"/>
      <c r="AS475" s="108"/>
      <c r="AT475" s="108"/>
      <c r="AU475" s="108"/>
      <c r="AV475" s="108"/>
      <c r="AW475" s="108"/>
      <c r="AX475" s="108"/>
      <c r="AY475" s="108"/>
      <c r="AZ475" s="108"/>
    </row>
    <row r="476" spans="2:52">
      <c r="B476" s="109"/>
      <c r="C476" s="109"/>
      <c r="D476" s="541"/>
      <c r="E476" s="541"/>
      <c r="F476" s="127"/>
      <c r="H476" s="156"/>
      <c r="I476" s="152"/>
      <c r="J476" s="157"/>
      <c r="K476" s="157"/>
      <c r="L476" s="157"/>
      <c r="M476" s="157"/>
      <c r="N476" s="157"/>
      <c r="O476" s="157"/>
      <c r="P476" s="157"/>
      <c r="R476" s="847"/>
      <c r="S476" s="847"/>
      <c r="T476" s="848"/>
      <c r="U476" s="847"/>
      <c r="V476" s="847"/>
      <c r="W476" s="108"/>
      <c r="Y476" s="127"/>
      <c r="Z476" s="152"/>
      <c r="AA476" s="152"/>
      <c r="AB476" s="109"/>
      <c r="AC476" s="108"/>
      <c r="AD476" s="155"/>
      <c r="AE476" s="698"/>
      <c r="AG476" s="108"/>
      <c r="AH476" s="108"/>
      <c r="AI476" s="108"/>
      <c r="AK476" s="966"/>
      <c r="AL476" s="966"/>
      <c r="AM476" s="966"/>
      <c r="AN476" s="967"/>
      <c r="AO476" s="1027"/>
      <c r="AP476" s="1027"/>
      <c r="AQ476" s="108"/>
      <c r="AR476" s="1027"/>
      <c r="AS476" s="108"/>
      <c r="AT476" s="108"/>
      <c r="AU476" s="108"/>
      <c r="AV476" s="108"/>
      <c r="AW476" s="108"/>
      <c r="AX476" s="108"/>
      <c r="AY476" s="108"/>
      <c r="AZ476" s="108"/>
    </row>
    <row r="477" spans="2:52">
      <c r="B477" s="109"/>
      <c r="C477" s="109"/>
      <c r="D477" s="541"/>
      <c r="E477" s="541"/>
      <c r="F477" s="127"/>
      <c r="H477" s="156"/>
      <c r="I477" s="152"/>
      <c r="J477" s="157"/>
      <c r="K477" s="157"/>
      <c r="L477" s="157"/>
      <c r="M477" s="157"/>
      <c r="N477" s="157"/>
      <c r="O477" s="157"/>
      <c r="P477" s="157"/>
      <c r="R477" s="847"/>
      <c r="S477" s="847"/>
      <c r="T477" s="848"/>
      <c r="U477" s="847"/>
      <c r="V477" s="847"/>
      <c r="W477" s="108"/>
      <c r="Y477" s="127"/>
      <c r="Z477" s="152"/>
      <c r="AA477" s="152"/>
      <c r="AB477" s="109"/>
      <c r="AC477" s="108"/>
      <c r="AD477" s="155"/>
      <c r="AE477" s="698"/>
      <c r="AG477" s="108"/>
      <c r="AH477" s="108"/>
      <c r="AI477" s="108"/>
      <c r="AK477" s="966"/>
      <c r="AL477" s="966"/>
      <c r="AM477" s="966"/>
      <c r="AN477" s="967"/>
      <c r="AO477" s="1027"/>
      <c r="AP477" s="1027"/>
      <c r="AQ477" s="108"/>
      <c r="AR477" s="1027"/>
      <c r="AS477" s="108"/>
      <c r="AT477" s="108"/>
      <c r="AU477" s="108"/>
      <c r="AV477" s="108"/>
      <c r="AW477" s="108"/>
      <c r="AX477" s="108"/>
      <c r="AY477" s="108"/>
      <c r="AZ477" s="108"/>
    </row>
    <row r="478" spans="2:52">
      <c r="B478" s="109"/>
      <c r="C478" s="109"/>
      <c r="D478" s="541"/>
      <c r="E478" s="541"/>
      <c r="F478" s="127"/>
      <c r="H478" s="156"/>
      <c r="I478" s="152"/>
      <c r="J478" s="157"/>
      <c r="K478" s="157"/>
      <c r="L478" s="157"/>
      <c r="M478" s="157"/>
      <c r="N478" s="157"/>
      <c r="O478" s="157"/>
      <c r="P478" s="157"/>
      <c r="R478" s="847"/>
      <c r="S478" s="847"/>
      <c r="T478" s="848"/>
      <c r="U478" s="847"/>
      <c r="V478" s="847"/>
      <c r="W478" s="108"/>
      <c r="Y478" s="127"/>
      <c r="Z478" s="152"/>
      <c r="AA478" s="152"/>
      <c r="AB478" s="109"/>
      <c r="AC478" s="108"/>
      <c r="AD478" s="155"/>
      <c r="AE478" s="698"/>
      <c r="AG478" s="108"/>
      <c r="AH478" s="108"/>
      <c r="AI478" s="108"/>
      <c r="AK478" s="966"/>
      <c r="AL478" s="966"/>
      <c r="AM478" s="966"/>
      <c r="AN478" s="967"/>
      <c r="AO478" s="1027"/>
      <c r="AP478" s="1027"/>
      <c r="AQ478" s="108"/>
      <c r="AR478" s="1027"/>
      <c r="AS478" s="108"/>
      <c r="AT478" s="108"/>
      <c r="AU478" s="108"/>
      <c r="AV478" s="108"/>
      <c r="AW478" s="108"/>
      <c r="AX478" s="108"/>
      <c r="AY478" s="108"/>
      <c r="AZ478" s="108"/>
    </row>
    <row r="479" spans="2:52">
      <c r="B479" s="109"/>
      <c r="C479" s="109"/>
      <c r="D479" s="541"/>
      <c r="E479" s="541"/>
      <c r="F479" s="127"/>
      <c r="H479" s="156"/>
      <c r="I479" s="152"/>
      <c r="J479" s="157"/>
      <c r="K479" s="157"/>
      <c r="L479" s="157"/>
      <c r="M479" s="157"/>
      <c r="N479" s="157"/>
      <c r="O479" s="157"/>
      <c r="P479" s="157"/>
      <c r="R479" s="847"/>
      <c r="S479" s="847"/>
      <c r="T479" s="848"/>
      <c r="U479" s="847"/>
      <c r="V479" s="847"/>
      <c r="W479" s="108"/>
      <c r="Y479" s="127"/>
      <c r="Z479" s="152"/>
      <c r="AA479" s="152"/>
      <c r="AB479" s="109"/>
      <c r="AC479" s="108"/>
      <c r="AD479" s="155"/>
      <c r="AE479" s="698"/>
      <c r="AG479" s="108"/>
      <c r="AH479" s="108"/>
      <c r="AI479" s="108"/>
      <c r="AK479" s="966"/>
      <c r="AL479" s="966"/>
      <c r="AM479" s="966"/>
      <c r="AN479" s="967"/>
      <c r="AO479" s="1027"/>
      <c r="AP479" s="1027"/>
      <c r="AQ479" s="108"/>
      <c r="AR479" s="1027"/>
      <c r="AS479" s="108"/>
      <c r="AT479" s="108"/>
      <c r="AU479" s="108"/>
      <c r="AV479" s="108"/>
      <c r="AW479" s="108"/>
      <c r="AX479" s="108"/>
      <c r="AY479" s="108"/>
      <c r="AZ479" s="108"/>
    </row>
    <row r="480" spans="2:52">
      <c r="B480" s="109"/>
      <c r="C480" s="109"/>
      <c r="D480" s="541"/>
      <c r="E480" s="541"/>
      <c r="F480" s="127"/>
      <c r="H480" s="156"/>
      <c r="I480" s="152"/>
      <c r="J480" s="157"/>
      <c r="K480" s="157"/>
      <c r="L480" s="157"/>
      <c r="M480" s="157"/>
      <c r="N480" s="157"/>
      <c r="O480" s="157"/>
      <c r="P480" s="157"/>
      <c r="R480" s="847"/>
      <c r="S480" s="847"/>
      <c r="T480" s="848"/>
      <c r="U480" s="847"/>
      <c r="V480" s="847"/>
      <c r="W480" s="108"/>
      <c r="Y480" s="127"/>
      <c r="Z480" s="152"/>
      <c r="AA480" s="152"/>
      <c r="AB480" s="109"/>
      <c r="AC480" s="108"/>
      <c r="AD480" s="155"/>
      <c r="AE480" s="698"/>
      <c r="AG480" s="108"/>
      <c r="AH480" s="108"/>
      <c r="AI480" s="108"/>
      <c r="AK480" s="966"/>
      <c r="AL480" s="966"/>
      <c r="AM480" s="966"/>
      <c r="AN480" s="967"/>
      <c r="AO480" s="1027"/>
      <c r="AP480" s="1027"/>
      <c r="AQ480" s="108"/>
      <c r="AR480" s="1027"/>
      <c r="AS480" s="108"/>
      <c r="AT480" s="108"/>
      <c r="AU480" s="108"/>
      <c r="AV480" s="108"/>
      <c r="AW480" s="108"/>
      <c r="AX480" s="108"/>
      <c r="AY480" s="108"/>
      <c r="AZ480" s="108"/>
    </row>
    <row r="481" spans="2:52">
      <c r="B481" s="109"/>
      <c r="C481" s="109"/>
      <c r="D481" s="541"/>
      <c r="E481" s="541"/>
      <c r="F481" s="127"/>
      <c r="H481" s="156"/>
      <c r="I481" s="152"/>
      <c r="J481" s="157"/>
      <c r="K481" s="157"/>
      <c r="L481" s="157"/>
      <c r="M481" s="157"/>
      <c r="N481" s="157"/>
      <c r="O481" s="157"/>
      <c r="P481" s="157"/>
      <c r="R481" s="847"/>
      <c r="S481" s="847"/>
      <c r="T481" s="848"/>
      <c r="U481" s="847"/>
      <c r="V481" s="847"/>
      <c r="W481" s="108"/>
      <c r="Y481" s="127"/>
      <c r="Z481" s="152"/>
      <c r="AA481" s="152"/>
      <c r="AB481" s="109"/>
      <c r="AC481" s="108"/>
      <c r="AD481" s="155"/>
      <c r="AE481" s="698"/>
      <c r="AG481" s="108"/>
      <c r="AH481" s="108"/>
      <c r="AI481" s="108"/>
      <c r="AK481" s="966"/>
      <c r="AL481" s="966"/>
      <c r="AM481" s="966"/>
      <c r="AN481" s="967"/>
      <c r="AO481" s="1027"/>
      <c r="AP481" s="1027"/>
      <c r="AQ481" s="108"/>
      <c r="AR481" s="1027"/>
      <c r="AS481" s="108"/>
      <c r="AT481" s="108"/>
      <c r="AU481" s="108"/>
      <c r="AV481" s="108"/>
      <c r="AW481" s="108"/>
      <c r="AX481" s="108"/>
      <c r="AY481" s="108"/>
      <c r="AZ481" s="108"/>
    </row>
    <row r="482" spans="2:52">
      <c r="B482" s="109"/>
      <c r="C482" s="109"/>
      <c r="D482" s="541"/>
      <c r="E482" s="541"/>
      <c r="F482" s="127"/>
      <c r="H482" s="156"/>
      <c r="I482" s="152"/>
      <c r="J482" s="157"/>
      <c r="K482" s="157"/>
      <c r="L482" s="157"/>
      <c r="M482" s="157"/>
      <c r="N482" s="157"/>
      <c r="O482" s="157"/>
      <c r="P482" s="157"/>
      <c r="R482" s="847"/>
      <c r="S482" s="847"/>
      <c r="T482" s="848"/>
      <c r="U482" s="847"/>
      <c r="V482" s="847"/>
      <c r="W482" s="108"/>
      <c r="Y482" s="127"/>
      <c r="Z482" s="152"/>
      <c r="AA482" s="152"/>
      <c r="AB482" s="109"/>
      <c r="AC482" s="108"/>
      <c r="AD482" s="155"/>
      <c r="AE482" s="698"/>
      <c r="AG482" s="108"/>
      <c r="AH482" s="108"/>
      <c r="AI482" s="108"/>
      <c r="AK482" s="966"/>
      <c r="AL482" s="966"/>
      <c r="AM482" s="966"/>
      <c r="AN482" s="967"/>
      <c r="AO482" s="1027"/>
      <c r="AP482" s="1027"/>
      <c r="AQ482" s="108"/>
      <c r="AR482" s="1027"/>
      <c r="AS482" s="108"/>
      <c r="AT482" s="108"/>
      <c r="AU482" s="108"/>
      <c r="AV482" s="108"/>
      <c r="AW482" s="108"/>
      <c r="AX482" s="108"/>
      <c r="AY482" s="108"/>
      <c r="AZ482" s="108"/>
    </row>
    <row r="483" spans="2:52">
      <c r="B483" s="109"/>
      <c r="C483" s="109"/>
      <c r="D483" s="541"/>
      <c r="E483" s="541"/>
      <c r="F483" s="127"/>
      <c r="H483" s="156"/>
      <c r="I483" s="152"/>
      <c r="J483" s="157"/>
      <c r="K483" s="157"/>
      <c r="L483" s="157"/>
      <c r="M483" s="157"/>
      <c r="N483" s="157"/>
      <c r="O483" s="157"/>
      <c r="P483" s="157"/>
      <c r="R483" s="847"/>
      <c r="S483" s="847"/>
      <c r="T483" s="848"/>
      <c r="U483" s="847"/>
      <c r="V483" s="847"/>
      <c r="W483" s="108"/>
      <c r="Y483" s="127"/>
      <c r="Z483" s="152"/>
      <c r="AA483" s="152"/>
      <c r="AB483" s="109"/>
      <c r="AC483" s="108"/>
      <c r="AD483" s="155"/>
      <c r="AE483" s="698"/>
      <c r="AG483" s="108"/>
      <c r="AH483" s="108"/>
      <c r="AI483" s="108"/>
      <c r="AK483" s="966"/>
      <c r="AL483" s="966"/>
      <c r="AM483" s="966"/>
      <c r="AN483" s="967"/>
      <c r="AO483" s="1027"/>
      <c r="AP483" s="1027"/>
      <c r="AQ483" s="108"/>
      <c r="AR483" s="1027"/>
      <c r="AS483" s="108"/>
      <c r="AT483" s="108"/>
      <c r="AU483" s="108"/>
      <c r="AV483" s="108"/>
      <c r="AW483" s="108"/>
      <c r="AX483" s="108"/>
      <c r="AY483" s="108"/>
      <c r="AZ483" s="108"/>
    </row>
    <row r="484" spans="2:52">
      <c r="B484" s="109"/>
      <c r="C484" s="109"/>
      <c r="D484" s="541"/>
      <c r="E484" s="541"/>
      <c r="F484" s="127"/>
      <c r="H484" s="156"/>
      <c r="I484" s="152"/>
      <c r="J484" s="157"/>
      <c r="K484" s="157"/>
      <c r="L484" s="157"/>
      <c r="M484" s="157"/>
      <c r="N484" s="157"/>
      <c r="O484" s="157"/>
      <c r="P484" s="157"/>
      <c r="R484" s="847"/>
      <c r="S484" s="847"/>
      <c r="T484" s="848"/>
      <c r="U484" s="847"/>
      <c r="V484" s="847"/>
      <c r="W484" s="108"/>
      <c r="Y484" s="127"/>
      <c r="Z484" s="152"/>
      <c r="AA484" s="152"/>
      <c r="AB484" s="109"/>
      <c r="AC484" s="108"/>
      <c r="AD484" s="155"/>
      <c r="AE484" s="698"/>
      <c r="AG484" s="108"/>
      <c r="AH484" s="108"/>
      <c r="AI484" s="108"/>
      <c r="AK484" s="966"/>
      <c r="AL484" s="966"/>
      <c r="AM484" s="966"/>
      <c r="AN484" s="967"/>
      <c r="AO484" s="1027"/>
      <c r="AP484" s="1027"/>
      <c r="AQ484" s="108"/>
      <c r="AR484" s="1027"/>
      <c r="AS484" s="108"/>
      <c r="AT484" s="108"/>
      <c r="AU484" s="108"/>
      <c r="AV484" s="108"/>
      <c r="AW484" s="108"/>
      <c r="AX484" s="108"/>
      <c r="AY484" s="108"/>
      <c r="AZ484" s="108"/>
    </row>
    <row r="485" spans="2:52">
      <c r="B485" s="109"/>
      <c r="C485" s="109"/>
      <c r="D485" s="541"/>
      <c r="E485" s="541"/>
      <c r="F485" s="127"/>
      <c r="H485" s="156"/>
      <c r="I485" s="152"/>
      <c r="J485" s="157"/>
      <c r="K485" s="157"/>
      <c r="L485" s="157"/>
      <c r="M485" s="157"/>
      <c r="N485" s="157"/>
      <c r="O485" s="157"/>
      <c r="P485" s="157"/>
      <c r="R485" s="847"/>
      <c r="S485" s="847"/>
      <c r="T485" s="848"/>
      <c r="U485" s="847"/>
      <c r="V485" s="847"/>
      <c r="W485" s="108"/>
      <c r="Y485" s="127"/>
      <c r="Z485" s="152"/>
      <c r="AA485" s="152"/>
      <c r="AB485" s="109"/>
      <c r="AC485" s="108"/>
      <c r="AD485" s="155"/>
      <c r="AE485" s="698"/>
      <c r="AG485" s="108"/>
      <c r="AH485" s="108"/>
      <c r="AI485" s="108"/>
      <c r="AK485" s="966"/>
      <c r="AL485" s="966"/>
      <c r="AM485" s="966"/>
      <c r="AN485" s="967"/>
      <c r="AO485" s="1027"/>
      <c r="AP485" s="1027"/>
      <c r="AQ485" s="108"/>
      <c r="AR485" s="1027"/>
      <c r="AS485" s="108"/>
      <c r="AT485" s="108"/>
      <c r="AU485" s="108"/>
      <c r="AV485" s="108"/>
      <c r="AW485" s="108"/>
      <c r="AX485" s="108"/>
      <c r="AY485" s="108"/>
      <c r="AZ485" s="108"/>
    </row>
    <row r="486" spans="2:52">
      <c r="B486" s="109"/>
      <c r="C486" s="109"/>
      <c r="D486" s="541"/>
      <c r="E486" s="541"/>
      <c r="F486" s="127"/>
      <c r="H486" s="156"/>
      <c r="I486" s="152"/>
      <c r="J486" s="157"/>
      <c r="K486" s="157"/>
      <c r="L486" s="157"/>
      <c r="M486" s="157"/>
      <c r="N486" s="157"/>
      <c r="O486" s="157"/>
      <c r="P486" s="157"/>
      <c r="R486" s="847"/>
      <c r="S486" s="847"/>
      <c r="T486" s="848"/>
      <c r="U486" s="847"/>
      <c r="V486" s="847"/>
      <c r="W486" s="108"/>
      <c r="Y486" s="127"/>
      <c r="Z486" s="152"/>
      <c r="AA486" s="152"/>
      <c r="AB486" s="109"/>
      <c r="AC486" s="108"/>
      <c r="AD486" s="155"/>
      <c r="AE486" s="698"/>
      <c r="AG486" s="108"/>
      <c r="AH486" s="108"/>
      <c r="AI486" s="108"/>
      <c r="AK486" s="966"/>
      <c r="AL486" s="966"/>
      <c r="AM486" s="966"/>
      <c r="AN486" s="967"/>
      <c r="AO486" s="1027"/>
      <c r="AP486" s="1027"/>
      <c r="AQ486" s="108"/>
      <c r="AR486" s="1027"/>
      <c r="AS486" s="108"/>
      <c r="AT486" s="108"/>
      <c r="AU486" s="108"/>
      <c r="AV486" s="108"/>
      <c r="AW486" s="108"/>
      <c r="AX486" s="108"/>
      <c r="AY486" s="108"/>
      <c r="AZ486" s="108"/>
    </row>
    <row r="487" spans="2:52">
      <c r="B487" s="109"/>
      <c r="C487" s="109"/>
      <c r="D487" s="541"/>
      <c r="E487" s="541"/>
      <c r="F487" s="127"/>
      <c r="H487" s="156"/>
      <c r="I487" s="152"/>
      <c r="J487" s="157"/>
      <c r="K487" s="157"/>
      <c r="L487" s="157"/>
      <c r="M487" s="157"/>
      <c r="N487" s="157"/>
      <c r="O487" s="157"/>
      <c r="P487" s="157"/>
      <c r="R487" s="847"/>
      <c r="S487" s="847"/>
      <c r="T487" s="848"/>
      <c r="U487" s="847"/>
      <c r="V487" s="847"/>
      <c r="W487" s="108"/>
      <c r="Y487" s="127"/>
      <c r="Z487" s="152"/>
      <c r="AA487" s="152"/>
      <c r="AB487" s="109"/>
      <c r="AC487" s="108"/>
      <c r="AD487" s="155"/>
      <c r="AE487" s="698"/>
      <c r="AG487" s="108"/>
      <c r="AH487" s="108"/>
      <c r="AI487" s="108"/>
      <c r="AK487" s="966"/>
      <c r="AL487" s="966"/>
      <c r="AM487" s="966"/>
      <c r="AN487" s="967"/>
      <c r="AO487" s="1027"/>
      <c r="AP487" s="1027"/>
      <c r="AQ487" s="108"/>
      <c r="AR487" s="1027"/>
      <c r="AS487" s="108"/>
      <c r="AT487" s="108"/>
      <c r="AU487" s="108"/>
      <c r="AV487" s="108"/>
      <c r="AW487" s="108"/>
      <c r="AX487" s="108"/>
      <c r="AY487" s="108"/>
      <c r="AZ487" s="108"/>
    </row>
    <row r="488" spans="2:52">
      <c r="B488" s="109"/>
      <c r="C488" s="109"/>
      <c r="D488" s="541"/>
      <c r="E488" s="541"/>
      <c r="F488" s="127"/>
      <c r="H488" s="156"/>
      <c r="I488" s="152"/>
      <c r="J488" s="157"/>
      <c r="K488" s="157"/>
      <c r="L488" s="157"/>
      <c r="M488" s="157"/>
      <c r="N488" s="157"/>
      <c r="O488" s="157"/>
      <c r="P488" s="157"/>
      <c r="R488" s="847"/>
      <c r="S488" s="847"/>
      <c r="T488" s="848"/>
      <c r="U488" s="847"/>
      <c r="V488" s="847"/>
      <c r="W488" s="108"/>
      <c r="Y488" s="127"/>
      <c r="Z488" s="152"/>
      <c r="AA488" s="152"/>
      <c r="AB488" s="109"/>
      <c r="AC488" s="108"/>
      <c r="AD488" s="155"/>
      <c r="AE488" s="698"/>
      <c r="AG488" s="108"/>
      <c r="AH488" s="108"/>
      <c r="AI488" s="108"/>
      <c r="AK488" s="966"/>
      <c r="AL488" s="966"/>
      <c r="AM488" s="966"/>
      <c r="AN488" s="967"/>
      <c r="AO488" s="1027"/>
      <c r="AP488" s="1027"/>
      <c r="AQ488" s="108"/>
      <c r="AR488" s="1027"/>
      <c r="AS488" s="108"/>
      <c r="AT488" s="108"/>
      <c r="AU488" s="108"/>
      <c r="AV488" s="108"/>
      <c r="AW488" s="108"/>
      <c r="AX488" s="108"/>
      <c r="AY488" s="108"/>
      <c r="AZ488" s="108"/>
    </row>
    <row r="489" spans="2:52">
      <c r="B489" s="109"/>
      <c r="C489" s="109"/>
      <c r="D489" s="541"/>
      <c r="E489" s="541"/>
      <c r="F489" s="127"/>
      <c r="H489" s="156"/>
      <c r="I489" s="152"/>
      <c r="J489" s="157"/>
      <c r="K489" s="157"/>
      <c r="L489" s="157"/>
      <c r="M489" s="157"/>
      <c r="N489" s="157"/>
      <c r="O489" s="157"/>
      <c r="P489" s="157"/>
      <c r="R489" s="847"/>
      <c r="S489" s="847"/>
      <c r="T489" s="848"/>
      <c r="U489" s="847"/>
      <c r="V489" s="847"/>
      <c r="W489" s="108"/>
      <c r="Y489" s="127"/>
      <c r="Z489" s="152"/>
      <c r="AA489" s="152"/>
      <c r="AB489" s="109"/>
      <c r="AC489" s="108"/>
      <c r="AD489" s="155"/>
      <c r="AE489" s="698"/>
      <c r="AG489" s="108"/>
      <c r="AH489" s="108"/>
      <c r="AI489" s="108"/>
      <c r="AK489" s="966"/>
      <c r="AL489" s="966"/>
      <c r="AM489" s="966"/>
      <c r="AN489" s="967"/>
      <c r="AO489" s="1027"/>
      <c r="AP489" s="1027"/>
      <c r="AQ489" s="108"/>
      <c r="AR489" s="108"/>
      <c r="AS489" s="108"/>
      <c r="AT489" s="108"/>
      <c r="AU489" s="108"/>
      <c r="AV489" s="108"/>
      <c r="AW489" s="108"/>
      <c r="AX489" s="108"/>
      <c r="AY489" s="108"/>
      <c r="AZ489" s="108"/>
    </row>
    <row r="490" spans="2:52">
      <c r="B490" s="109"/>
      <c r="C490" s="109"/>
      <c r="D490" s="541"/>
      <c r="E490" s="541"/>
      <c r="F490" s="127"/>
      <c r="H490" s="156"/>
      <c r="I490" s="152"/>
      <c r="J490" s="157"/>
      <c r="K490" s="157"/>
      <c r="L490" s="157"/>
      <c r="M490" s="157"/>
      <c r="N490" s="157"/>
      <c r="O490" s="157"/>
      <c r="P490" s="157"/>
      <c r="R490" s="847"/>
      <c r="S490" s="847"/>
      <c r="T490" s="848"/>
      <c r="U490" s="847"/>
      <c r="V490" s="847"/>
      <c r="W490" s="108"/>
      <c r="Y490" s="127"/>
      <c r="Z490" s="152"/>
      <c r="AA490" s="152"/>
      <c r="AB490" s="109"/>
      <c r="AC490" s="108"/>
      <c r="AD490" s="155"/>
      <c r="AE490" s="698"/>
      <c r="AG490" s="108"/>
      <c r="AH490" s="108"/>
      <c r="AI490" s="108"/>
      <c r="AK490" s="966"/>
      <c r="AL490" s="966"/>
      <c r="AM490" s="966"/>
      <c r="AN490" s="967"/>
      <c r="AO490" s="1027"/>
      <c r="AP490" s="1027"/>
      <c r="AQ490" s="108"/>
      <c r="AR490" s="108"/>
      <c r="AS490" s="108"/>
      <c r="AT490" s="108"/>
      <c r="AU490" s="108"/>
      <c r="AV490" s="108"/>
      <c r="AW490" s="108"/>
      <c r="AX490" s="108"/>
      <c r="AY490" s="108"/>
      <c r="AZ490" s="108"/>
    </row>
    <row r="491" spans="2:52">
      <c r="B491" s="109"/>
      <c r="C491" s="109"/>
      <c r="D491" s="541"/>
      <c r="E491" s="541"/>
      <c r="F491" s="127"/>
      <c r="H491" s="156"/>
      <c r="I491" s="152"/>
      <c r="J491" s="157"/>
      <c r="K491" s="157"/>
      <c r="L491" s="157"/>
      <c r="M491" s="157"/>
      <c r="N491" s="157"/>
      <c r="O491" s="157"/>
      <c r="P491" s="157"/>
      <c r="R491" s="847"/>
      <c r="S491" s="847"/>
      <c r="T491" s="848"/>
      <c r="U491" s="847"/>
      <c r="V491" s="847"/>
      <c r="W491" s="108"/>
      <c r="Y491" s="127"/>
      <c r="Z491" s="152"/>
      <c r="AA491" s="152"/>
      <c r="AB491" s="109"/>
      <c r="AC491" s="108"/>
      <c r="AD491" s="155"/>
      <c r="AE491" s="698"/>
      <c r="AG491" s="108"/>
      <c r="AH491" s="108"/>
      <c r="AI491" s="108"/>
      <c r="AK491" s="966"/>
      <c r="AL491" s="966"/>
      <c r="AM491" s="966"/>
      <c r="AN491" s="967"/>
      <c r="AO491" s="1027"/>
      <c r="AP491" s="1027"/>
      <c r="AQ491" s="108"/>
      <c r="AR491" s="108"/>
      <c r="AS491" s="108"/>
      <c r="AT491" s="108"/>
      <c r="AU491" s="108"/>
      <c r="AV491" s="108"/>
      <c r="AW491" s="108"/>
      <c r="AX491" s="108"/>
      <c r="AY491" s="108"/>
      <c r="AZ491" s="108"/>
    </row>
    <row r="492" spans="2:52">
      <c r="B492" s="109"/>
      <c r="C492" s="109"/>
      <c r="D492" s="541"/>
      <c r="E492" s="541"/>
      <c r="F492" s="127"/>
      <c r="H492" s="156"/>
      <c r="I492" s="152"/>
      <c r="J492" s="157"/>
      <c r="K492" s="157"/>
      <c r="L492" s="157"/>
      <c r="M492" s="157"/>
      <c r="N492" s="157"/>
      <c r="O492" s="157"/>
      <c r="P492" s="157"/>
      <c r="R492" s="847"/>
      <c r="S492" s="847"/>
      <c r="T492" s="848"/>
      <c r="U492" s="847"/>
      <c r="V492" s="847"/>
      <c r="W492" s="108"/>
      <c r="Y492" s="127"/>
      <c r="Z492" s="152"/>
      <c r="AA492" s="152"/>
      <c r="AB492" s="109"/>
      <c r="AC492" s="108"/>
      <c r="AD492" s="155"/>
      <c r="AE492" s="698"/>
      <c r="AG492" s="108"/>
      <c r="AH492" s="108"/>
      <c r="AI492" s="108"/>
      <c r="AK492" s="966"/>
      <c r="AL492" s="966"/>
      <c r="AM492" s="966"/>
      <c r="AN492" s="967"/>
      <c r="AO492" s="1027"/>
      <c r="AP492" s="1027"/>
      <c r="AQ492" s="108"/>
      <c r="AR492" s="108"/>
      <c r="AS492" s="108"/>
      <c r="AT492" s="108"/>
      <c r="AU492" s="108"/>
      <c r="AV492" s="108"/>
      <c r="AW492" s="108"/>
      <c r="AX492" s="108"/>
      <c r="AY492" s="108"/>
      <c r="AZ492" s="108"/>
    </row>
    <row r="493" spans="2:52">
      <c r="B493" s="109"/>
      <c r="C493" s="109"/>
      <c r="D493" s="541"/>
      <c r="E493" s="541"/>
      <c r="F493" s="127"/>
      <c r="H493" s="156"/>
      <c r="I493" s="152"/>
      <c r="J493" s="157"/>
      <c r="K493" s="157"/>
      <c r="L493" s="157"/>
      <c r="M493" s="157"/>
      <c r="N493" s="157"/>
      <c r="O493" s="157"/>
      <c r="P493" s="157"/>
      <c r="R493" s="847"/>
      <c r="S493" s="847"/>
      <c r="T493" s="848"/>
      <c r="U493" s="847"/>
      <c r="V493" s="847"/>
      <c r="W493" s="108"/>
      <c r="Y493" s="127"/>
      <c r="Z493" s="152"/>
      <c r="AA493" s="152"/>
      <c r="AB493" s="109"/>
      <c r="AC493" s="108"/>
      <c r="AD493" s="155"/>
      <c r="AE493" s="698"/>
      <c r="AG493" s="108"/>
      <c r="AH493" s="108"/>
      <c r="AI493" s="108"/>
      <c r="AK493" s="966"/>
      <c r="AL493" s="966"/>
      <c r="AM493" s="966"/>
      <c r="AN493" s="967"/>
      <c r="AO493" s="1027"/>
      <c r="AP493" s="1027"/>
      <c r="AQ493" s="108"/>
      <c r="AR493" s="108"/>
      <c r="AS493" s="108"/>
      <c r="AT493" s="108"/>
      <c r="AU493" s="108"/>
      <c r="AV493" s="108"/>
      <c r="AW493" s="108"/>
      <c r="AX493" s="108"/>
      <c r="AY493" s="108"/>
      <c r="AZ493" s="108"/>
    </row>
    <row r="494" spans="2:52">
      <c r="B494" s="109"/>
      <c r="C494" s="109"/>
      <c r="D494" s="541"/>
      <c r="E494" s="541"/>
      <c r="F494" s="127"/>
      <c r="H494" s="156"/>
      <c r="I494" s="152"/>
      <c r="J494" s="157"/>
      <c r="K494" s="157"/>
      <c r="L494" s="157"/>
      <c r="M494" s="157"/>
      <c r="N494" s="157"/>
      <c r="O494" s="157"/>
      <c r="P494" s="157"/>
      <c r="R494" s="847"/>
      <c r="S494" s="847"/>
      <c r="T494" s="848"/>
      <c r="U494" s="847"/>
      <c r="V494" s="847"/>
      <c r="W494" s="108"/>
      <c r="Y494" s="127"/>
      <c r="Z494" s="152"/>
      <c r="AA494" s="152"/>
      <c r="AB494" s="109"/>
      <c r="AC494" s="108"/>
      <c r="AD494" s="155"/>
      <c r="AE494" s="698"/>
      <c r="AG494" s="108"/>
      <c r="AH494" s="108"/>
      <c r="AI494" s="108"/>
      <c r="AK494" s="966"/>
      <c r="AL494" s="966"/>
      <c r="AM494" s="966"/>
      <c r="AN494" s="967"/>
      <c r="AO494" s="1027"/>
      <c r="AP494" s="1027"/>
      <c r="AQ494" s="108"/>
      <c r="AR494" s="108"/>
      <c r="AS494" s="108"/>
      <c r="AT494" s="108"/>
      <c r="AU494" s="108"/>
      <c r="AV494" s="108"/>
      <c r="AW494" s="108"/>
      <c r="AX494" s="108"/>
      <c r="AY494" s="108"/>
      <c r="AZ494" s="108"/>
    </row>
    <row r="495" spans="2:52">
      <c r="B495" s="109"/>
      <c r="C495" s="109"/>
      <c r="D495" s="541"/>
      <c r="E495" s="541"/>
      <c r="F495" s="127"/>
      <c r="H495" s="156"/>
      <c r="I495" s="152"/>
      <c r="J495" s="157"/>
      <c r="K495" s="157"/>
      <c r="L495" s="157"/>
      <c r="M495" s="157"/>
      <c r="N495" s="157"/>
      <c r="O495" s="157"/>
      <c r="P495" s="157"/>
      <c r="R495" s="847"/>
      <c r="S495" s="847"/>
      <c r="T495" s="848"/>
      <c r="U495" s="847"/>
      <c r="V495" s="847"/>
      <c r="W495" s="108"/>
      <c r="Y495" s="127"/>
      <c r="Z495" s="152"/>
      <c r="AA495" s="152"/>
      <c r="AB495" s="109"/>
      <c r="AC495" s="108"/>
      <c r="AD495" s="155"/>
      <c r="AE495" s="698"/>
      <c r="AG495" s="108"/>
      <c r="AH495" s="108"/>
      <c r="AI495" s="108"/>
      <c r="AK495" s="966"/>
      <c r="AL495" s="966"/>
      <c r="AM495" s="966"/>
      <c r="AN495" s="967"/>
      <c r="AO495" s="1027"/>
      <c r="AP495" s="1027"/>
      <c r="AQ495" s="108"/>
      <c r="AR495" s="108"/>
      <c r="AS495" s="108"/>
      <c r="AT495" s="108"/>
      <c r="AU495" s="108"/>
      <c r="AV495" s="108"/>
      <c r="AW495" s="108"/>
      <c r="AX495" s="108"/>
      <c r="AY495" s="108"/>
      <c r="AZ495" s="108"/>
    </row>
    <row r="496" spans="2:52">
      <c r="B496" s="109"/>
      <c r="C496" s="109"/>
      <c r="D496" s="541"/>
      <c r="E496" s="541"/>
      <c r="F496" s="127"/>
      <c r="H496" s="156"/>
      <c r="I496" s="152"/>
      <c r="J496" s="157"/>
      <c r="K496" s="157"/>
      <c r="L496" s="157"/>
      <c r="M496" s="157"/>
      <c r="N496" s="157"/>
      <c r="O496" s="157"/>
      <c r="P496" s="157"/>
      <c r="R496" s="847"/>
      <c r="S496" s="847"/>
      <c r="T496" s="848"/>
      <c r="U496" s="847"/>
      <c r="V496" s="847"/>
      <c r="W496" s="108"/>
      <c r="Y496" s="127"/>
      <c r="Z496" s="152"/>
      <c r="AA496" s="152"/>
      <c r="AB496" s="109"/>
      <c r="AC496" s="108"/>
      <c r="AD496" s="155"/>
      <c r="AE496" s="698"/>
      <c r="AG496" s="108"/>
      <c r="AH496" s="108"/>
      <c r="AI496" s="108"/>
      <c r="AK496" s="966"/>
      <c r="AL496" s="966"/>
      <c r="AM496" s="966"/>
      <c r="AN496" s="967"/>
      <c r="AO496" s="1027"/>
      <c r="AP496" s="1027"/>
      <c r="AQ496" s="108"/>
      <c r="AR496" s="108"/>
      <c r="AS496" s="108"/>
      <c r="AT496" s="108"/>
      <c r="AU496" s="108"/>
      <c r="AV496" s="108"/>
      <c r="AW496" s="108"/>
      <c r="AX496" s="108"/>
      <c r="AY496" s="108"/>
      <c r="AZ496" s="108"/>
    </row>
    <row r="497" spans="2:52">
      <c r="B497" s="109"/>
      <c r="C497" s="109"/>
      <c r="D497" s="541"/>
      <c r="E497" s="541"/>
      <c r="F497" s="127"/>
      <c r="H497" s="156"/>
      <c r="I497" s="152"/>
      <c r="J497" s="157"/>
      <c r="K497" s="157"/>
      <c r="L497" s="157"/>
      <c r="M497" s="157"/>
      <c r="N497" s="157"/>
      <c r="O497" s="157"/>
      <c r="P497" s="157"/>
      <c r="R497" s="847"/>
      <c r="S497" s="847"/>
      <c r="T497" s="848"/>
      <c r="U497" s="847"/>
      <c r="V497" s="847"/>
      <c r="W497" s="108"/>
      <c r="Y497" s="127"/>
      <c r="Z497" s="152"/>
      <c r="AA497" s="152"/>
      <c r="AB497" s="109"/>
      <c r="AC497" s="108"/>
      <c r="AD497" s="155"/>
      <c r="AE497" s="698"/>
      <c r="AG497" s="108"/>
      <c r="AH497" s="108"/>
      <c r="AI497" s="108"/>
      <c r="AK497" s="966"/>
      <c r="AL497" s="966"/>
      <c r="AM497" s="966"/>
      <c r="AN497" s="967"/>
      <c r="AO497" s="1027"/>
      <c r="AP497" s="1027"/>
      <c r="AQ497" s="108"/>
      <c r="AR497" s="108"/>
      <c r="AS497" s="108"/>
      <c r="AT497" s="108"/>
      <c r="AU497" s="108"/>
      <c r="AV497" s="108"/>
      <c r="AW497" s="108"/>
      <c r="AX497" s="108"/>
      <c r="AY497" s="108"/>
      <c r="AZ497" s="108"/>
    </row>
    <row r="498" spans="2:52">
      <c r="B498" s="109"/>
      <c r="C498" s="109"/>
      <c r="D498" s="541"/>
      <c r="E498" s="541"/>
      <c r="F498" s="127"/>
      <c r="H498" s="156"/>
      <c r="I498" s="152"/>
      <c r="J498" s="157"/>
      <c r="K498" s="157"/>
      <c r="L498" s="157"/>
      <c r="M498" s="157"/>
      <c r="N498" s="157"/>
      <c r="O498" s="157"/>
      <c r="P498" s="157"/>
      <c r="R498" s="847"/>
      <c r="S498" s="847"/>
      <c r="T498" s="848"/>
      <c r="U498" s="847"/>
      <c r="V498" s="847"/>
      <c r="W498" s="108"/>
      <c r="Y498" s="127"/>
      <c r="Z498" s="152"/>
      <c r="AA498" s="152"/>
      <c r="AB498" s="109"/>
      <c r="AC498" s="108"/>
      <c r="AD498" s="155"/>
      <c r="AE498" s="698"/>
      <c r="AG498" s="108"/>
      <c r="AH498" s="108"/>
      <c r="AI498" s="108"/>
      <c r="AK498" s="966"/>
      <c r="AL498" s="966"/>
      <c r="AM498" s="966"/>
      <c r="AN498" s="967"/>
      <c r="AO498" s="1027"/>
      <c r="AP498" s="1027"/>
      <c r="AQ498" s="108"/>
      <c r="AR498" s="108"/>
      <c r="AS498" s="108"/>
      <c r="AT498" s="108"/>
      <c r="AU498" s="108"/>
      <c r="AV498" s="108"/>
      <c r="AW498" s="108"/>
      <c r="AX498" s="108"/>
      <c r="AY498" s="108"/>
      <c r="AZ498" s="108"/>
    </row>
    <row r="499" spans="2:52">
      <c r="B499" s="109"/>
      <c r="C499" s="109"/>
      <c r="D499" s="541"/>
      <c r="E499" s="541"/>
      <c r="F499" s="127"/>
      <c r="H499" s="156"/>
      <c r="I499" s="152"/>
      <c r="J499" s="157"/>
      <c r="K499" s="157"/>
      <c r="L499" s="157"/>
      <c r="M499" s="157"/>
      <c r="N499" s="157"/>
      <c r="O499" s="157"/>
      <c r="P499" s="157"/>
      <c r="R499" s="847"/>
      <c r="S499" s="847"/>
      <c r="T499" s="848"/>
      <c r="U499" s="847"/>
      <c r="V499" s="847"/>
      <c r="W499" s="108"/>
      <c r="Y499" s="127"/>
      <c r="Z499" s="152"/>
      <c r="AA499" s="152"/>
      <c r="AB499" s="109"/>
      <c r="AC499" s="108"/>
      <c r="AD499" s="155"/>
      <c r="AE499" s="698"/>
      <c r="AG499" s="108"/>
      <c r="AH499" s="108"/>
      <c r="AI499" s="108"/>
      <c r="AK499" s="966"/>
      <c r="AL499" s="966"/>
      <c r="AM499" s="966"/>
      <c r="AN499" s="967"/>
      <c r="AO499" s="1027"/>
      <c r="AP499" s="1027"/>
      <c r="AQ499" s="108"/>
      <c r="AR499" s="108"/>
      <c r="AS499" s="108"/>
      <c r="AT499" s="108"/>
      <c r="AU499" s="108"/>
      <c r="AV499" s="108"/>
      <c r="AW499" s="108"/>
      <c r="AX499" s="108"/>
      <c r="AY499" s="108"/>
      <c r="AZ499" s="108"/>
    </row>
    <row r="500" spans="2:52">
      <c r="B500" s="109"/>
      <c r="C500" s="109"/>
      <c r="D500" s="541"/>
      <c r="E500" s="541"/>
      <c r="F500" s="127"/>
      <c r="H500" s="156"/>
      <c r="I500" s="152"/>
      <c r="J500" s="157"/>
      <c r="K500" s="157"/>
      <c r="L500" s="157"/>
      <c r="M500" s="157"/>
      <c r="N500" s="157"/>
      <c r="O500" s="157"/>
      <c r="P500" s="157"/>
      <c r="R500" s="847"/>
      <c r="S500" s="847"/>
      <c r="T500" s="848"/>
      <c r="U500" s="847"/>
      <c r="V500" s="847"/>
      <c r="W500" s="108"/>
      <c r="Y500" s="127"/>
      <c r="Z500" s="152"/>
      <c r="AA500" s="152"/>
      <c r="AB500" s="109"/>
      <c r="AC500" s="108"/>
      <c r="AD500" s="155"/>
      <c r="AE500" s="698"/>
      <c r="AG500" s="108"/>
      <c r="AH500" s="108"/>
      <c r="AI500" s="108"/>
      <c r="AK500" s="966"/>
      <c r="AL500" s="966"/>
      <c r="AM500" s="966"/>
      <c r="AN500" s="967"/>
      <c r="AO500" s="1027"/>
      <c r="AP500" s="1027"/>
      <c r="AQ500" s="108"/>
      <c r="AR500" s="108"/>
      <c r="AS500" s="108"/>
      <c r="AT500" s="108"/>
      <c r="AU500" s="108"/>
      <c r="AV500" s="108"/>
      <c r="AW500" s="108"/>
      <c r="AX500" s="108"/>
      <c r="AY500" s="108"/>
      <c r="AZ500" s="108"/>
    </row>
    <row r="501" spans="2:52">
      <c r="B501" s="109"/>
      <c r="C501" s="109"/>
      <c r="D501" s="541"/>
      <c r="E501" s="541"/>
      <c r="F501" s="127"/>
      <c r="H501" s="156"/>
      <c r="I501" s="152"/>
      <c r="J501" s="157"/>
      <c r="K501" s="157"/>
      <c r="L501" s="157"/>
      <c r="M501" s="157"/>
      <c r="N501" s="157"/>
      <c r="O501" s="157"/>
      <c r="P501" s="157"/>
      <c r="R501" s="847"/>
      <c r="S501" s="847"/>
      <c r="T501" s="848"/>
      <c r="U501" s="847"/>
      <c r="V501" s="847"/>
      <c r="W501" s="108"/>
      <c r="Y501" s="127"/>
      <c r="Z501" s="152"/>
      <c r="AA501" s="152"/>
      <c r="AB501" s="109"/>
      <c r="AC501" s="108"/>
      <c r="AD501" s="155"/>
      <c r="AE501" s="698"/>
      <c r="AG501" s="108"/>
      <c r="AH501" s="108"/>
      <c r="AI501" s="108"/>
      <c r="AK501" s="966"/>
      <c r="AL501" s="966"/>
      <c r="AM501" s="966"/>
      <c r="AN501" s="967"/>
      <c r="AO501" s="1027"/>
      <c r="AP501" s="1027"/>
      <c r="AQ501" s="108"/>
      <c r="AR501" s="108"/>
      <c r="AS501" s="108"/>
      <c r="AT501" s="108"/>
      <c r="AU501" s="108"/>
      <c r="AV501" s="108"/>
      <c r="AW501" s="108"/>
      <c r="AX501" s="108"/>
      <c r="AY501" s="108"/>
      <c r="AZ501" s="108"/>
    </row>
    <row r="502" spans="2:52">
      <c r="B502" s="109"/>
      <c r="C502" s="109"/>
      <c r="D502" s="541"/>
      <c r="E502" s="541"/>
      <c r="F502" s="127"/>
      <c r="H502" s="156"/>
      <c r="I502" s="152"/>
      <c r="J502" s="157"/>
      <c r="K502" s="157"/>
      <c r="L502" s="157"/>
      <c r="M502" s="157"/>
      <c r="N502" s="157"/>
      <c r="O502" s="157"/>
      <c r="P502" s="157"/>
      <c r="R502" s="847"/>
      <c r="S502" s="847"/>
      <c r="T502" s="848"/>
      <c r="U502" s="847"/>
      <c r="V502" s="847"/>
      <c r="W502" s="108"/>
      <c r="Y502" s="127"/>
      <c r="Z502" s="152"/>
      <c r="AA502" s="152"/>
      <c r="AB502" s="109"/>
      <c r="AC502" s="108"/>
      <c r="AD502" s="155"/>
      <c r="AE502" s="698"/>
      <c r="AG502" s="108"/>
      <c r="AH502" s="108"/>
      <c r="AI502" s="108"/>
      <c r="AK502" s="966"/>
      <c r="AL502" s="966"/>
      <c r="AM502" s="966"/>
      <c r="AN502" s="967"/>
      <c r="AO502" s="1027"/>
      <c r="AP502" s="1027"/>
      <c r="AQ502" s="108"/>
      <c r="AR502" s="108"/>
      <c r="AS502" s="108"/>
      <c r="AT502" s="108"/>
      <c r="AU502" s="108"/>
      <c r="AV502" s="108"/>
      <c r="AW502" s="108"/>
      <c r="AX502" s="108"/>
      <c r="AY502" s="108"/>
      <c r="AZ502" s="108"/>
    </row>
    <row r="503" spans="2:52">
      <c r="B503" s="109"/>
      <c r="C503" s="109"/>
      <c r="D503" s="541"/>
      <c r="E503" s="541"/>
      <c r="F503" s="127"/>
      <c r="H503" s="156"/>
      <c r="I503" s="152"/>
      <c r="J503" s="157"/>
      <c r="K503" s="157"/>
      <c r="L503" s="157"/>
      <c r="M503" s="157"/>
      <c r="N503" s="157"/>
      <c r="O503" s="157"/>
      <c r="P503" s="157"/>
      <c r="R503" s="847"/>
      <c r="S503" s="847"/>
      <c r="T503" s="848"/>
      <c r="U503" s="847"/>
      <c r="V503" s="847"/>
      <c r="W503" s="108"/>
      <c r="Y503" s="127"/>
      <c r="Z503" s="152"/>
      <c r="AA503" s="152"/>
      <c r="AB503" s="109"/>
      <c r="AC503" s="108"/>
      <c r="AD503" s="155"/>
      <c r="AE503" s="698"/>
      <c r="AG503" s="108"/>
      <c r="AH503" s="108"/>
      <c r="AI503" s="108"/>
      <c r="AK503" s="966"/>
      <c r="AL503" s="966"/>
      <c r="AM503" s="966"/>
      <c r="AN503" s="967"/>
      <c r="AO503" s="1027"/>
      <c r="AP503" s="1027"/>
      <c r="AQ503" s="108"/>
      <c r="AR503" s="108"/>
      <c r="AS503" s="108"/>
      <c r="AT503" s="108"/>
      <c r="AU503" s="108"/>
      <c r="AV503" s="108"/>
      <c r="AW503" s="108"/>
      <c r="AX503" s="108"/>
      <c r="AY503" s="108"/>
      <c r="AZ503" s="108"/>
    </row>
    <row r="504" spans="2:52">
      <c r="B504" s="109"/>
      <c r="C504" s="109"/>
      <c r="D504" s="541"/>
      <c r="E504" s="541"/>
      <c r="F504" s="127"/>
      <c r="H504" s="156"/>
      <c r="I504" s="152"/>
      <c r="J504" s="157"/>
      <c r="K504" s="157"/>
      <c r="L504" s="157"/>
      <c r="M504" s="157"/>
      <c r="N504" s="157"/>
      <c r="O504" s="157"/>
      <c r="P504" s="157"/>
      <c r="R504" s="847"/>
      <c r="S504" s="847"/>
      <c r="T504" s="848"/>
      <c r="U504" s="847"/>
      <c r="V504" s="847"/>
      <c r="W504" s="108"/>
      <c r="Y504" s="127"/>
      <c r="Z504" s="152"/>
      <c r="AA504" s="152"/>
      <c r="AB504" s="109"/>
      <c r="AC504" s="108"/>
      <c r="AD504" s="155"/>
      <c r="AE504" s="698"/>
      <c r="AG504" s="108"/>
      <c r="AH504" s="108"/>
      <c r="AI504" s="108"/>
      <c r="AK504" s="966"/>
      <c r="AL504" s="966"/>
      <c r="AM504" s="966"/>
      <c r="AN504" s="967"/>
      <c r="AO504" s="1027"/>
      <c r="AP504" s="1027"/>
      <c r="AQ504" s="108"/>
      <c r="AR504" s="108"/>
      <c r="AS504" s="108"/>
      <c r="AT504" s="108"/>
      <c r="AU504" s="108"/>
      <c r="AV504" s="108"/>
      <c r="AW504" s="108"/>
      <c r="AX504" s="108"/>
      <c r="AY504" s="108"/>
      <c r="AZ504" s="108"/>
    </row>
    <row r="505" spans="2:52">
      <c r="B505" s="109"/>
      <c r="C505" s="109"/>
      <c r="D505" s="541"/>
      <c r="E505" s="541"/>
      <c r="F505" s="127"/>
      <c r="H505" s="156"/>
      <c r="I505" s="152"/>
      <c r="J505" s="157"/>
      <c r="K505" s="157"/>
      <c r="L505" s="157"/>
      <c r="M505" s="157"/>
      <c r="N505" s="157"/>
      <c r="O505" s="157"/>
      <c r="P505" s="157"/>
      <c r="R505" s="847"/>
      <c r="S505" s="847"/>
      <c r="T505" s="848"/>
      <c r="U505" s="847"/>
      <c r="V505" s="847"/>
      <c r="W505" s="108"/>
      <c r="Y505" s="127"/>
      <c r="Z505" s="152"/>
      <c r="AA505" s="152"/>
      <c r="AB505" s="109"/>
      <c r="AC505" s="108"/>
      <c r="AD505" s="155"/>
      <c r="AE505" s="698"/>
      <c r="AG505" s="108"/>
      <c r="AH505" s="108"/>
      <c r="AI505" s="108"/>
      <c r="AK505" s="966"/>
      <c r="AL505" s="966"/>
      <c r="AM505" s="966"/>
      <c r="AN505" s="967"/>
      <c r="AO505" s="1027"/>
      <c r="AP505" s="1027"/>
      <c r="AQ505" s="108"/>
      <c r="AR505" s="108"/>
      <c r="AS505" s="108"/>
      <c r="AT505" s="108"/>
      <c r="AU505" s="108"/>
      <c r="AV505" s="108"/>
      <c r="AW505" s="108"/>
      <c r="AX505" s="108"/>
      <c r="AY505" s="108"/>
      <c r="AZ505" s="108"/>
    </row>
    <row r="506" spans="2:52">
      <c r="B506" s="109"/>
      <c r="C506" s="109"/>
      <c r="D506" s="541"/>
      <c r="E506" s="541"/>
      <c r="F506" s="127"/>
      <c r="H506" s="156"/>
      <c r="I506" s="152"/>
      <c r="J506" s="157"/>
      <c r="K506" s="157"/>
      <c r="L506" s="157"/>
      <c r="M506" s="157"/>
      <c r="N506" s="157"/>
      <c r="O506" s="157"/>
      <c r="P506" s="157"/>
      <c r="R506" s="847"/>
      <c r="S506" s="847"/>
      <c r="T506" s="848"/>
      <c r="U506" s="847"/>
      <c r="V506" s="847"/>
      <c r="W506" s="108"/>
      <c r="Y506" s="127"/>
      <c r="Z506" s="152"/>
      <c r="AA506" s="152"/>
      <c r="AB506" s="109"/>
      <c r="AC506" s="108"/>
      <c r="AD506" s="155"/>
      <c r="AE506" s="698"/>
      <c r="AG506" s="108"/>
      <c r="AH506" s="108"/>
      <c r="AI506" s="108"/>
      <c r="AK506" s="966"/>
      <c r="AL506" s="966"/>
      <c r="AM506" s="966"/>
      <c r="AN506" s="967"/>
      <c r="AO506" s="1027"/>
      <c r="AP506" s="1027"/>
      <c r="AQ506" s="108"/>
      <c r="AR506" s="108"/>
      <c r="AS506" s="108"/>
      <c r="AT506" s="108"/>
      <c r="AU506" s="108"/>
      <c r="AV506" s="108"/>
      <c r="AW506" s="108"/>
      <c r="AX506" s="108"/>
      <c r="AY506" s="108"/>
      <c r="AZ506" s="108"/>
    </row>
    <row r="507" spans="2:52">
      <c r="B507" s="109"/>
      <c r="C507" s="109"/>
      <c r="D507" s="541"/>
      <c r="E507" s="541"/>
      <c r="F507" s="127"/>
      <c r="H507" s="156"/>
      <c r="I507" s="152"/>
      <c r="J507" s="157"/>
      <c r="K507" s="157"/>
      <c r="L507" s="157"/>
      <c r="M507" s="157"/>
      <c r="N507" s="157"/>
      <c r="O507" s="157"/>
      <c r="P507" s="157"/>
      <c r="R507" s="847"/>
      <c r="S507" s="847"/>
      <c r="T507" s="848"/>
      <c r="U507" s="847"/>
      <c r="V507" s="847"/>
      <c r="W507" s="108"/>
      <c r="Y507" s="127"/>
      <c r="Z507" s="152"/>
      <c r="AA507" s="152"/>
      <c r="AB507" s="109"/>
      <c r="AC507" s="108"/>
      <c r="AD507" s="155"/>
      <c r="AE507" s="698"/>
      <c r="AG507" s="108"/>
      <c r="AH507" s="108"/>
      <c r="AI507" s="108"/>
      <c r="AK507" s="966"/>
      <c r="AL507" s="966"/>
      <c r="AM507" s="966"/>
      <c r="AN507" s="967"/>
      <c r="AO507" s="1027"/>
      <c r="AP507" s="1027"/>
      <c r="AQ507" s="108"/>
      <c r="AR507" s="108"/>
      <c r="AS507" s="108"/>
      <c r="AT507" s="108"/>
      <c r="AU507" s="108"/>
      <c r="AV507" s="108"/>
      <c r="AW507" s="108"/>
      <c r="AX507" s="108"/>
      <c r="AY507" s="108"/>
      <c r="AZ507" s="108"/>
    </row>
    <row r="508" spans="2:52">
      <c r="B508" s="109"/>
      <c r="C508" s="109"/>
      <c r="D508" s="541"/>
      <c r="E508" s="541"/>
      <c r="F508" s="127"/>
      <c r="H508" s="156"/>
      <c r="I508" s="152"/>
      <c r="J508" s="157"/>
      <c r="K508" s="157"/>
      <c r="L508" s="157"/>
      <c r="M508" s="157"/>
      <c r="N508" s="157"/>
      <c r="O508" s="157"/>
      <c r="P508" s="157"/>
      <c r="R508" s="847"/>
      <c r="S508" s="847"/>
      <c r="T508" s="848"/>
      <c r="U508" s="847"/>
      <c r="V508" s="847"/>
      <c r="W508" s="108"/>
      <c r="Y508" s="127"/>
      <c r="Z508" s="152"/>
      <c r="AA508" s="152"/>
      <c r="AB508" s="109"/>
      <c r="AC508" s="108"/>
      <c r="AD508" s="155"/>
      <c r="AE508" s="698"/>
      <c r="AG508" s="108"/>
      <c r="AH508" s="108"/>
      <c r="AI508" s="108"/>
      <c r="AK508" s="966"/>
      <c r="AL508" s="966"/>
      <c r="AM508" s="966"/>
      <c r="AN508" s="967"/>
      <c r="AO508" s="1027"/>
      <c r="AP508" s="1027"/>
      <c r="AQ508" s="108"/>
      <c r="AR508" s="108"/>
      <c r="AS508" s="108"/>
      <c r="AT508" s="108"/>
      <c r="AU508" s="108"/>
      <c r="AV508" s="108"/>
      <c r="AW508" s="108"/>
      <c r="AX508" s="108"/>
      <c r="AY508" s="108"/>
      <c r="AZ508" s="108"/>
    </row>
    <row r="509" spans="2:52">
      <c r="B509" s="109"/>
      <c r="C509" s="109"/>
      <c r="D509" s="541"/>
      <c r="E509" s="541"/>
      <c r="F509" s="127"/>
      <c r="H509" s="156"/>
      <c r="I509" s="152"/>
      <c r="J509" s="157"/>
      <c r="K509" s="157"/>
      <c r="L509" s="157"/>
      <c r="M509" s="157"/>
      <c r="N509" s="157"/>
      <c r="O509" s="157"/>
      <c r="P509" s="157"/>
      <c r="R509" s="847"/>
      <c r="S509" s="847"/>
      <c r="T509" s="848"/>
      <c r="U509" s="847"/>
      <c r="V509" s="847"/>
      <c r="W509" s="108"/>
      <c r="Y509" s="127"/>
      <c r="Z509" s="152"/>
      <c r="AA509" s="152"/>
      <c r="AB509" s="109"/>
      <c r="AC509" s="108"/>
      <c r="AD509" s="155"/>
      <c r="AE509" s="698"/>
      <c r="AG509" s="108"/>
      <c r="AH509" s="108"/>
      <c r="AI509" s="108"/>
      <c r="AK509" s="966"/>
      <c r="AL509" s="966"/>
      <c r="AM509" s="966"/>
      <c r="AN509" s="967"/>
      <c r="AO509" s="1027"/>
      <c r="AP509" s="1027"/>
      <c r="AQ509" s="108"/>
      <c r="AR509" s="108"/>
      <c r="AS509" s="108"/>
      <c r="AT509" s="108"/>
      <c r="AU509" s="108"/>
      <c r="AV509" s="108"/>
      <c r="AW509" s="108"/>
      <c r="AX509" s="108"/>
      <c r="AY509" s="108"/>
      <c r="AZ509" s="108"/>
    </row>
    <row r="510" spans="2:52">
      <c r="B510" s="109"/>
      <c r="C510" s="109"/>
      <c r="D510" s="541"/>
      <c r="E510" s="541"/>
      <c r="F510" s="127"/>
      <c r="H510" s="156"/>
      <c r="I510" s="152"/>
      <c r="J510" s="157"/>
      <c r="K510" s="157"/>
      <c r="L510" s="157"/>
      <c r="M510" s="157"/>
      <c r="N510" s="157"/>
      <c r="O510" s="157"/>
      <c r="P510" s="157"/>
      <c r="R510" s="847"/>
      <c r="S510" s="847"/>
      <c r="T510" s="848"/>
      <c r="U510" s="847"/>
      <c r="V510" s="847"/>
      <c r="W510" s="108"/>
      <c r="Y510" s="127"/>
      <c r="Z510" s="152"/>
      <c r="AA510" s="152"/>
      <c r="AB510" s="109"/>
      <c r="AC510" s="108"/>
      <c r="AD510" s="155"/>
      <c r="AE510" s="698"/>
      <c r="AG510" s="108"/>
      <c r="AH510" s="108"/>
      <c r="AI510" s="108"/>
      <c r="AK510" s="966"/>
      <c r="AL510" s="966"/>
      <c r="AM510" s="966"/>
      <c r="AN510" s="967"/>
      <c r="AO510" s="1027"/>
      <c r="AP510" s="1027"/>
      <c r="AQ510" s="108"/>
      <c r="AR510" s="108"/>
      <c r="AS510" s="108"/>
      <c r="AT510" s="108"/>
      <c r="AU510" s="108"/>
      <c r="AV510" s="108"/>
      <c r="AW510" s="108"/>
      <c r="AX510" s="108"/>
      <c r="AY510" s="108"/>
      <c r="AZ510" s="108"/>
    </row>
    <row r="511" spans="2:52">
      <c r="B511" s="109"/>
      <c r="C511" s="109"/>
      <c r="D511" s="541"/>
      <c r="E511" s="541"/>
      <c r="F511" s="127"/>
      <c r="H511" s="156"/>
      <c r="I511" s="152"/>
      <c r="J511" s="157"/>
      <c r="K511" s="157"/>
      <c r="L511" s="157"/>
      <c r="M511" s="157"/>
      <c r="N511" s="157"/>
      <c r="O511" s="157"/>
      <c r="P511" s="157"/>
      <c r="R511" s="847"/>
      <c r="S511" s="847"/>
      <c r="T511" s="848"/>
      <c r="U511" s="847"/>
      <c r="V511" s="847"/>
      <c r="W511" s="108"/>
      <c r="Y511" s="127"/>
      <c r="Z511" s="152"/>
      <c r="AA511" s="152"/>
      <c r="AB511" s="109"/>
      <c r="AC511" s="108"/>
      <c r="AD511" s="155"/>
      <c r="AE511" s="698"/>
      <c r="AG511" s="108"/>
      <c r="AH511" s="108"/>
      <c r="AI511" s="108"/>
      <c r="AK511" s="966"/>
      <c r="AL511" s="966"/>
      <c r="AM511" s="966"/>
      <c r="AN511" s="967"/>
      <c r="AO511" s="1027"/>
      <c r="AP511" s="1027"/>
      <c r="AQ511" s="108"/>
      <c r="AR511" s="108"/>
      <c r="AS511" s="108"/>
      <c r="AT511" s="108"/>
      <c r="AU511" s="108"/>
      <c r="AV511" s="108"/>
      <c r="AW511" s="108"/>
      <c r="AX511" s="108"/>
      <c r="AY511" s="108"/>
      <c r="AZ511" s="108"/>
    </row>
    <row r="512" spans="2:52">
      <c r="B512" s="109"/>
      <c r="C512" s="109"/>
      <c r="D512" s="541"/>
      <c r="E512" s="541"/>
      <c r="F512" s="127"/>
      <c r="H512" s="156"/>
      <c r="I512" s="152"/>
      <c r="J512" s="157"/>
      <c r="K512" s="157"/>
      <c r="L512" s="157"/>
      <c r="M512" s="157"/>
      <c r="N512" s="157"/>
      <c r="O512" s="157"/>
      <c r="P512" s="157"/>
      <c r="R512" s="847"/>
      <c r="S512" s="847"/>
      <c r="T512" s="848"/>
      <c r="U512" s="847"/>
      <c r="V512" s="847"/>
      <c r="W512" s="108"/>
      <c r="Y512" s="127"/>
      <c r="Z512" s="152"/>
      <c r="AA512" s="152"/>
      <c r="AB512" s="109"/>
      <c r="AC512" s="108"/>
      <c r="AD512" s="155"/>
      <c r="AE512" s="698"/>
      <c r="AG512" s="108"/>
      <c r="AH512" s="108"/>
      <c r="AI512" s="108"/>
      <c r="AK512" s="966"/>
      <c r="AL512" s="966"/>
      <c r="AM512" s="966"/>
      <c r="AN512" s="967"/>
      <c r="AO512" s="1027"/>
      <c r="AP512" s="1027"/>
      <c r="AQ512" s="108"/>
      <c r="AR512" s="108"/>
      <c r="AS512" s="108"/>
      <c r="AT512" s="108"/>
      <c r="AU512" s="108"/>
      <c r="AV512" s="108"/>
      <c r="AW512" s="108"/>
      <c r="AX512" s="108"/>
      <c r="AY512" s="108"/>
      <c r="AZ512" s="108"/>
    </row>
    <row r="513" spans="2:52">
      <c r="B513" s="109"/>
      <c r="C513" s="109"/>
      <c r="D513" s="541"/>
      <c r="E513" s="541"/>
      <c r="F513" s="127"/>
      <c r="H513" s="156"/>
      <c r="I513" s="152"/>
      <c r="J513" s="157"/>
      <c r="K513" s="157"/>
      <c r="L513" s="157"/>
      <c r="M513" s="157"/>
      <c r="N513" s="157"/>
      <c r="O513" s="157"/>
      <c r="P513" s="157"/>
      <c r="R513" s="847"/>
      <c r="S513" s="847"/>
      <c r="T513" s="848"/>
      <c r="U513" s="847"/>
      <c r="V513" s="847"/>
      <c r="W513" s="108"/>
      <c r="Y513" s="127"/>
      <c r="Z513" s="152"/>
      <c r="AA513" s="152"/>
      <c r="AB513" s="109"/>
      <c r="AC513" s="108"/>
      <c r="AD513" s="155"/>
      <c r="AE513" s="698"/>
      <c r="AG513" s="108"/>
      <c r="AH513" s="108"/>
      <c r="AI513" s="108"/>
      <c r="AK513" s="966"/>
      <c r="AL513" s="966"/>
      <c r="AM513" s="966"/>
      <c r="AN513" s="967"/>
      <c r="AO513" s="1027"/>
      <c r="AP513" s="1027"/>
      <c r="AQ513" s="108"/>
      <c r="AR513" s="108"/>
      <c r="AS513" s="108"/>
      <c r="AT513" s="108"/>
      <c r="AU513" s="108"/>
      <c r="AV513" s="108"/>
      <c r="AW513" s="108"/>
      <c r="AX513" s="108"/>
      <c r="AY513" s="108"/>
      <c r="AZ513" s="108"/>
    </row>
    <row r="514" spans="2:52">
      <c r="B514" s="109"/>
      <c r="C514" s="109"/>
      <c r="D514" s="541"/>
      <c r="E514" s="541"/>
      <c r="F514" s="127"/>
      <c r="H514" s="156"/>
      <c r="I514" s="152"/>
      <c r="J514" s="157"/>
      <c r="K514" s="157"/>
      <c r="L514" s="157"/>
      <c r="M514" s="157"/>
      <c r="N514" s="157"/>
      <c r="O514" s="157"/>
      <c r="P514" s="157"/>
      <c r="R514" s="847"/>
      <c r="S514" s="847"/>
      <c r="T514" s="848"/>
      <c r="U514" s="847"/>
      <c r="V514" s="847"/>
      <c r="W514" s="108"/>
      <c r="Y514" s="127"/>
      <c r="Z514" s="152"/>
      <c r="AA514" s="152"/>
      <c r="AB514" s="109"/>
      <c r="AC514" s="108"/>
      <c r="AD514" s="155"/>
      <c r="AE514" s="698"/>
      <c r="AG514" s="108"/>
      <c r="AH514" s="108"/>
      <c r="AI514" s="108"/>
      <c r="AK514" s="966"/>
      <c r="AL514" s="966"/>
      <c r="AM514" s="966"/>
      <c r="AN514" s="967"/>
      <c r="AO514" s="1027"/>
      <c r="AP514" s="1027"/>
      <c r="AQ514" s="108"/>
      <c r="AR514" s="108"/>
      <c r="AS514" s="108"/>
      <c r="AT514" s="108"/>
      <c r="AU514" s="108"/>
      <c r="AV514" s="108"/>
      <c r="AW514" s="108"/>
      <c r="AX514" s="108"/>
      <c r="AY514" s="108"/>
      <c r="AZ514" s="108"/>
    </row>
    <row r="515" spans="2:52">
      <c r="B515" s="109"/>
      <c r="C515" s="109"/>
      <c r="D515" s="541"/>
      <c r="E515" s="541"/>
      <c r="F515" s="127"/>
      <c r="H515" s="156"/>
      <c r="I515" s="152"/>
      <c r="J515" s="157"/>
      <c r="K515" s="157"/>
      <c r="L515" s="157"/>
      <c r="M515" s="157"/>
      <c r="N515" s="157"/>
      <c r="O515" s="157"/>
      <c r="P515" s="157"/>
      <c r="R515" s="847"/>
      <c r="S515" s="847"/>
      <c r="T515" s="848"/>
      <c r="U515" s="847"/>
      <c r="V515" s="847"/>
      <c r="W515" s="108"/>
      <c r="Y515" s="127"/>
      <c r="Z515" s="152"/>
      <c r="AA515" s="152"/>
      <c r="AB515" s="109"/>
      <c r="AC515" s="108"/>
      <c r="AD515" s="155"/>
      <c r="AE515" s="698"/>
      <c r="AG515" s="108"/>
      <c r="AH515" s="108"/>
      <c r="AI515" s="108"/>
      <c r="AK515" s="966"/>
      <c r="AL515" s="966"/>
      <c r="AM515" s="966"/>
      <c r="AN515" s="967"/>
      <c r="AO515" s="1027"/>
      <c r="AP515" s="1027"/>
      <c r="AQ515" s="108"/>
      <c r="AR515" s="108"/>
      <c r="AS515" s="108"/>
      <c r="AT515" s="108"/>
      <c r="AU515" s="108"/>
      <c r="AV515" s="108"/>
      <c r="AW515" s="108"/>
      <c r="AX515" s="108"/>
      <c r="AY515" s="108"/>
      <c r="AZ515" s="108"/>
    </row>
    <row r="516" spans="2:52">
      <c r="B516" s="109"/>
      <c r="C516" s="109"/>
      <c r="D516" s="541"/>
      <c r="E516" s="541"/>
      <c r="F516" s="127"/>
      <c r="H516" s="156"/>
      <c r="I516" s="152"/>
      <c r="J516" s="157"/>
      <c r="K516" s="157"/>
      <c r="L516" s="157"/>
      <c r="M516" s="157"/>
      <c r="N516" s="157"/>
      <c r="O516" s="157"/>
      <c r="P516" s="157"/>
      <c r="R516" s="847"/>
      <c r="S516" s="847"/>
      <c r="T516" s="848"/>
      <c r="U516" s="847"/>
      <c r="V516" s="847"/>
      <c r="W516" s="108"/>
      <c r="Y516" s="127"/>
      <c r="Z516" s="152"/>
      <c r="AA516" s="152"/>
      <c r="AB516" s="109"/>
      <c r="AC516" s="108"/>
      <c r="AD516" s="155"/>
      <c r="AE516" s="698"/>
      <c r="AG516" s="108"/>
      <c r="AH516" s="108"/>
      <c r="AI516" s="108"/>
      <c r="AK516" s="966"/>
      <c r="AL516" s="966"/>
      <c r="AM516" s="966"/>
      <c r="AN516" s="967"/>
      <c r="AO516" s="1027"/>
      <c r="AP516" s="1027"/>
      <c r="AQ516" s="108"/>
      <c r="AR516" s="108"/>
      <c r="AS516" s="108"/>
      <c r="AT516" s="108"/>
      <c r="AU516" s="108"/>
      <c r="AV516" s="108"/>
      <c r="AW516" s="108"/>
      <c r="AX516" s="108"/>
      <c r="AY516" s="108"/>
      <c r="AZ516" s="108"/>
    </row>
    <row r="517" spans="2:52">
      <c r="B517" s="109"/>
      <c r="C517" s="109"/>
      <c r="D517" s="541"/>
      <c r="E517" s="541"/>
      <c r="F517" s="127"/>
      <c r="H517" s="156"/>
      <c r="I517" s="152"/>
      <c r="J517" s="157"/>
      <c r="K517" s="157"/>
      <c r="L517" s="157"/>
      <c r="M517" s="157"/>
      <c r="N517" s="157"/>
      <c r="O517" s="157"/>
      <c r="P517" s="157"/>
      <c r="R517" s="847"/>
      <c r="S517" s="847"/>
      <c r="T517" s="848"/>
      <c r="U517" s="847"/>
      <c r="V517" s="847"/>
      <c r="W517" s="108"/>
      <c r="Y517" s="127"/>
      <c r="Z517" s="152"/>
      <c r="AA517" s="152"/>
      <c r="AB517" s="109"/>
      <c r="AC517" s="108"/>
      <c r="AD517" s="155"/>
      <c r="AE517" s="698"/>
      <c r="AG517" s="108"/>
      <c r="AH517" s="108"/>
      <c r="AI517" s="108"/>
      <c r="AK517" s="966"/>
      <c r="AL517" s="966"/>
      <c r="AM517" s="966"/>
      <c r="AN517" s="967"/>
      <c r="AO517" s="1027"/>
      <c r="AP517" s="1027"/>
      <c r="AQ517" s="108"/>
      <c r="AR517" s="108"/>
      <c r="AS517" s="108"/>
      <c r="AT517" s="108"/>
      <c r="AU517" s="108"/>
      <c r="AV517" s="108"/>
      <c r="AW517" s="108"/>
      <c r="AX517" s="108"/>
      <c r="AY517" s="108"/>
      <c r="AZ517" s="108"/>
    </row>
    <row r="518" spans="2:52">
      <c r="B518" s="109"/>
      <c r="C518" s="109"/>
      <c r="D518" s="541"/>
      <c r="E518" s="541"/>
      <c r="F518" s="127"/>
      <c r="H518" s="156"/>
      <c r="I518" s="152"/>
      <c r="J518" s="157"/>
      <c r="K518" s="157"/>
      <c r="L518" s="157"/>
      <c r="M518" s="157"/>
      <c r="N518" s="157"/>
      <c r="O518" s="157"/>
      <c r="P518" s="157"/>
      <c r="R518" s="847"/>
      <c r="S518" s="847"/>
      <c r="T518" s="848"/>
      <c r="U518" s="847"/>
      <c r="V518" s="847"/>
      <c r="W518" s="108"/>
      <c r="Y518" s="127"/>
      <c r="Z518" s="152"/>
      <c r="AA518" s="152"/>
      <c r="AB518" s="109"/>
      <c r="AC518" s="108"/>
      <c r="AD518" s="155"/>
      <c r="AE518" s="698"/>
      <c r="AG518" s="108"/>
      <c r="AH518" s="108"/>
      <c r="AI518" s="108"/>
      <c r="AK518" s="966"/>
      <c r="AL518" s="966"/>
      <c r="AM518" s="966"/>
      <c r="AN518" s="967"/>
      <c r="AO518" s="1027"/>
      <c r="AP518" s="1027"/>
      <c r="AQ518" s="108"/>
      <c r="AR518" s="108"/>
      <c r="AS518" s="108"/>
      <c r="AT518" s="108"/>
      <c r="AU518" s="108"/>
      <c r="AV518" s="108"/>
      <c r="AW518" s="108"/>
      <c r="AX518" s="108"/>
      <c r="AY518" s="108"/>
      <c r="AZ518" s="108"/>
    </row>
    <row r="519" spans="2:52">
      <c r="B519" s="109"/>
      <c r="C519" s="109"/>
      <c r="D519" s="541"/>
      <c r="E519" s="541"/>
      <c r="F519" s="127"/>
      <c r="H519" s="156"/>
      <c r="I519" s="152"/>
      <c r="J519" s="157"/>
      <c r="K519" s="157"/>
      <c r="L519" s="157"/>
      <c r="M519" s="157"/>
      <c r="N519" s="157"/>
      <c r="O519" s="157"/>
      <c r="P519" s="157"/>
      <c r="R519" s="847"/>
      <c r="S519" s="847"/>
      <c r="T519" s="848"/>
      <c r="U519" s="847"/>
      <c r="V519" s="847"/>
      <c r="W519" s="108"/>
      <c r="Y519" s="127"/>
      <c r="Z519" s="152"/>
      <c r="AA519" s="152"/>
      <c r="AB519" s="109"/>
      <c r="AC519" s="108"/>
      <c r="AD519" s="155"/>
      <c r="AE519" s="698"/>
      <c r="AG519" s="108"/>
      <c r="AH519" s="108"/>
      <c r="AI519" s="108"/>
      <c r="AK519" s="966"/>
      <c r="AL519" s="966"/>
      <c r="AM519" s="966"/>
      <c r="AN519" s="967"/>
      <c r="AO519" s="1027"/>
      <c r="AP519" s="1027"/>
      <c r="AQ519" s="108"/>
      <c r="AR519" s="108"/>
      <c r="AS519" s="108"/>
      <c r="AT519" s="108"/>
      <c r="AU519" s="108"/>
      <c r="AV519" s="108"/>
      <c r="AW519" s="108"/>
      <c r="AX519" s="108"/>
      <c r="AY519" s="108"/>
      <c r="AZ519" s="108"/>
    </row>
    <row r="520" spans="2:52">
      <c r="B520" s="109"/>
      <c r="C520" s="109"/>
      <c r="D520" s="541"/>
      <c r="E520" s="541"/>
      <c r="F520" s="127"/>
      <c r="H520" s="156"/>
      <c r="I520" s="152"/>
      <c r="J520" s="157"/>
      <c r="K520" s="157"/>
      <c r="L520" s="157"/>
      <c r="M520" s="157"/>
      <c r="N520" s="157"/>
      <c r="O520" s="157"/>
      <c r="P520" s="157"/>
      <c r="R520" s="847"/>
      <c r="S520" s="847"/>
      <c r="T520" s="848"/>
      <c r="U520" s="847"/>
      <c r="V520" s="847"/>
      <c r="W520" s="108"/>
      <c r="Y520" s="127"/>
      <c r="Z520" s="152"/>
      <c r="AA520" s="152"/>
      <c r="AB520" s="109"/>
      <c r="AC520" s="108"/>
      <c r="AD520" s="155"/>
      <c r="AE520" s="698"/>
      <c r="AG520" s="108"/>
      <c r="AH520" s="108"/>
      <c r="AI520" s="108"/>
      <c r="AK520" s="966"/>
      <c r="AL520" s="966"/>
      <c r="AM520" s="966"/>
      <c r="AN520" s="967"/>
      <c r="AO520" s="1027"/>
      <c r="AP520" s="1027"/>
      <c r="AQ520" s="108"/>
      <c r="AR520" s="108"/>
      <c r="AS520" s="108"/>
      <c r="AT520" s="108"/>
      <c r="AU520" s="108"/>
      <c r="AV520" s="108"/>
      <c r="AW520" s="108"/>
      <c r="AX520" s="108"/>
      <c r="AY520" s="108"/>
      <c r="AZ520" s="108"/>
    </row>
    <row r="521" spans="2:52">
      <c r="B521" s="109"/>
      <c r="C521" s="109"/>
      <c r="D521" s="541"/>
      <c r="E521" s="541"/>
      <c r="F521" s="127"/>
      <c r="H521" s="156"/>
      <c r="I521" s="152"/>
      <c r="J521" s="157"/>
      <c r="K521" s="157"/>
      <c r="L521" s="157"/>
      <c r="M521" s="157"/>
      <c r="N521" s="157"/>
      <c r="O521" s="157"/>
      <c r="P521" s="157"/>
      <c r="R521" s="847"/>
      <c r="S521" s="847"/>
      <c r="T521" s="848"/>
      <c r="U521" s="847"/>
      <c r="V521" s="847"/>
      <c r="W521" s="108"/>
      <c r="Y521" s="127"/>
      <c r="Z521" s="152"/>
      <c r="AA521" s="152"/>
      <c r="AB521" s="109"/>
      <c r="AC521" s="108"/>
      <c r="AD521" s="155"/>
      <c r="AE521" s="698"/>
      <c r="AG521" s="108"/>
      <c r="AH521" s="108"/>
      <c r="AI521" s="108"/>
      <c r="AK521" s="966"/>
      <c r="AL521" s="966"/>
      <c r="AM521" s="966"/>
      <c r="AN521" s="967"/>
      <c r="AO521" s="1027"/>
      <c r="AP521" s="1027"/>
      <c r="AQ521" s="108"/>
      <c r="AR521" s="108"/>
      <c r="AS521" s="108"/>
      <c r="AT521" s="108"/>
      <c r="AU521" s="108"/>
      <c r="AV521" s="108"/>
      <c r="AW521" s="108"/>
      <c r="AX521" s="108"/>
      <c r="AY521" s="108"/>
      <c r="AZ521" s="108"/>
    </row>
    <row r="522" spans="2:52">
      <c r="B522" s="109"/>
      <c r="C522" s="109"/>
      <c r="D522" s="541"/>
      <c r="E522" s="541"/>
      <c r="F522" s="127"/>
      <c r="H522" s="156"/>
      <c r="I522" s="152"/>
      <c r="J522" s="157"/>
      <c r="K522" s="157"/>
      <c r="L522" s="157"/>
      <c r="M522" s="157"/>
      <c r="N522" s="157"/>
      <c r="O522" s="157"/>
      <c r="P522" s="157"/>
      <c r="R522" s="847"/>
      <c r="S522" s="847"/>
      <c r="T522" s="848"/>
      <c r="U522" s="847"/>
      <c r="V522" s="847"/>
      <c r="W522" s="108"/>
      <c r="Y522" s="127"/>
      <c r="Z522" s="152"/>
      <c r="AA522" s="152"/>
      <c r="AB522" s="109"/>
      <c r="AC522" s="108"/>
      <c r="AD522" s="155"/>
      <c r="AE522" s="698"/>
      <c r="AG522" s="108"/>
      <c r="AH522" s="108"/>
      <c r="AI522" s="108"/>
      <c r="AK522" s="966"/>
      <c r="AL522" s="966"/>
      <c r="AM522" s="966"/>
      <c r="AN522" s="967"/>
      <c r="AO522" s="1027"/>
      <c r="AP522" s="1027"/>
      <c r="AQ522" s="108"/>
      <c r="AR522" s="108"/>
      <c r="AS522" s="108"/>
      <c r="AT522" s="108"/>
      <c r="AU522" s="108"/>
      <c r="AV522" s="108"/>
      <c r="AW522" s="108"/>
      <c r="AX522" s="108"/>
      <c r="AY522" s="108"/>
      <c r="AZ522" s="108"/>
    </row>
    <row r="523" spans="2:52">
      <c r="B523" s="109"/>
      <c r="C523" s="109"/>
      <c r="D523" s="541"/>
      <c r="E523" s="541"/>
      <c r="F523" s="127"/>
      <c r="H523" s="156"/>
      <c r="I523" s="152"/>
      <c r="J523" s="157"/>
      <c r="K523" s="157"/>
      <c r="L523" s="157"/>
      <c r="M523" s="157"/>
      <c r="N523" s="157"/>
      <c r="O523" s="157"/>
      <c r="P523" s="157"/>
      <c r="R523" s="847"/>
      <c r="S523" s="847"/>
      <c r="T523" s="848"/>
      <c r="U523" s="847"/>
      <c r="V523" s="847"/>
      <c r="W523" s="108"/>
      <c r="Y523" s="127"/>
      <c r="Z523" s="152"/>
      <c r="AA523" s="152"/>
      <c r="AB523" s="109"/>
      <c r="AC523" s="108"/>
      <c r="AD523" s="155"/>
      <c r="AE523" s="698"/>
      <c r="AG523" s="108"/>
      <c r="AH523" s="108"/>
      <c r="AI523" s="108"/>
      <c r="AK523" s="966"/>
      <c r="AL523" s="966"/>
      <c r="AM523" s="966"/>
      <c r="AN523" s="967"/>
      <c r="AO523" s="1027"/>
      <c r="AP523" s="1027"/>
      <c r="AQ523" s="108"/>
      <c r="AR523" s="108"/>
      <c r="AS523" s="108"/>
      <c r="AT523" s="108"/>
      <c r="AU523" s="108"/>
      <c r="AV523" s="108"/>
      <c r="AW523" s="108"/>
      <c r="AX523" s="108"/>
      <c r="AY523" s="108"/>
      <c r="AZ523" s="108"/>
    </row>
    <row r="524" spans="2:52">
      <c r="B524" s="109"/>
      <c r="C524" s="109"/>
      <c r="D524" s="541"/>
      <c r="E524" s="541"/>
      <c r="F524" s="127"/>
      <c r="H524" s="156"/>
      <c r="I524" s="152"/>
      <c r="J524" s="157"/>
      <c r="K524" s="157"/>
      <c r="L524" s="157"/>
      <c r="M524" s="157"/>
      <c r="N524" s="157"/>
      <c r="O524" s="157"/>
      <c r="P524" s="157"/>
      <c r="R524" s="847"/>
      <c r="S524" s="847"/>
      <c r="T524" s="848"/>
      <c r="U524" s="847"/>
      <c r="V524" s="847"/>
      <c r="W524" s="108"/>
      <c r="Y524" s="127"/>
      <c r="Z524" s="152"/>
      <c r="AA524" s="152"/>
      <c r="AB524" s="109"/>
      <c r="AC524" s="108"/>
      <c r="AD524" s="155"/>
      <c r="AE524" s="698"/>
      <c r="AG524" s="108"/>
      <c r="AH524" s="108"/>
      <c r="AI524" s="108"/>
      <c r="AK524" s="966"/>
      <c r="AL524" s="966"/>
      <c r="AM524" s="966"/>
      <c r="AN524" s="967"/>
      <c r="AO524" s="1027"/>
      <c r="AP524" s="1027"/>
      <c r="AQ524" s="108"/>
      <c r="AR524" s="108"/>
      <c r="AS524" s="108"/>
      <c r="AT524" s="108"/>
      <c r="AU524" s="108"/>
      <c r="AV524" s="108"/>
      <c r="AW524" s="108"/>
      <c r="AX524" s="108"/>
      <c r="AY524" s="108"/>
      <c r="AZ524" s="108"/>
    </row>
    <row r="525" spans="2:52">
      <c r="B525" s="109"/>
      <c r="C525" s="109"/>
      <c r="D525" s="541"/>
      <c r="E525" s="541"/>
      <c r="F525" s="127"/>
      <c r="H525" s="156"/>
      <c r="I525" s="152"/>
      <c r="J525" s="157"/>
      <c r="K525" s="157"/>
      <c r="L525" s="157"/>
      <c r="M525" s="157"/>
      <c r="N525" s="157"/>
      <c r="O525" s="157"/>
      <c r="P525" s="157"/>
      <c r="R525" s="847"/>
      <c r="S525" s="847"/>
      <c r="T525" s="848"/>
      <c r="U525" s="847"/>
      <c r="V525" s="847"/>
      <c r="W525" s="108"/>
      <c r="Y525" s="127"/>
      <c r="Z525" s="152"/>
      <c r="AA525" s="152"/>
      <c r="AB525" s="109"/>
      <c r="AC525" s="108"/>
      <c r="AD525" s="155"/>
      <c r="AE525" s="698"/>
      <c r="AG525" s="108"/>
      <c r="AH525" s="108"/>
      <c r="AI525" s="108"/>
      <c r="AK525" s="966"/>
      <c r="AL525" s="966"/>
      <c r="AM525" s="966"/>
      <c r="AN525" s="967"/>
      <c r="AO525" s="1027"/>
      <c r="AP525" s="1027"/>
      <c r="AQ525" s="108"/>
      <c r="AR525" s="108"/>
      <c r="AS525" s="108"/>
      <c r="AT525" s="108"/>
      <c r="AU525" s="108"/>
      <c r="AV525" s="108"/>
      <c r="AW525" s="108"/>
      <c r="AX525" s="108"/>
      <c r="AY525" s="108"/>
      <c r="AZ525" s="108"/>
    </row>
    <row r="526" spans="2:52">
      <c r="B526" s="109"/>
      <c r="C526" s="109"/>
      <c r="D526" s="541"/>
      <c r="E526" s="541"/>
      <c r="F526" s="127"/>
      <c r="H526" s="156"/>
      <c r="I526" s="152"/>
      <c r="J526" s="157"/>
      <c r="K526" s="157"/>
      <c r="L526" s="157"/>
      <c r="M526" s="157"/>
      <c r="N526" s="157"/>
      <c r="O526" s="157"/>
      <c r="P526" s="157"/>
      <c r="R526" s="847"/>
      <c r="S526" s="847"/>
      <c r="T526" s="848"/>
      <c r="U526" s="847"/>
      <c r="V526" s="847"/>
      <c r="W526" s="108"/>
      <c r="Y526" s="127"/>
      <c r="Z526" s="152"/>
      <c r="AA526" s="152"/>
      <c r="AB526" s="109"/>
      <c r="AC526" s="108"/>
      <c r="AD526" s="155"/>
      <c r="AE526" s="698"/>
      <c r="AG526" s="108"/>
      <c r="AH526" s="108"/>
      <c r="AI526" s="108"/>
      <c r="AK526" s="966"/>
      <c r="AL526" s="966"/>
      <c r="AM526" s="966"/>
      <c r="AN526" s="967"/>
      <c r="AO526" s="1027"/>
      <c r="AP526" s="1027"/>
      <c r="AQ526" s="108"/>
      <c r="AR526" s="108"/>
      <c r="AS526" s="108"/>
      <c r="AT526" s="108"/>
      <c r="AU526" s="108"/>
      <c r="AV526" s="108"/>
      <c r="AW526" s="108"/>
      <c r="AX526" s="108"/>
      <c r="AY526" s="108"/>
      <c r="AZ526" s="108"/>
    </row>
    <row r="527" spans="2:52">
      <c r="B527" s="109"/>
      <c r="C527" s="109"/>
      <c r="D527" s="541"/>
      <c r="E527" s="541"/>
      <c r="F527" s="127"/>
      <c r="H527" s="156"/>
      <c r="I527" s="152"/>
      <c r="J527" s="157"/>
      <c r="K527" s="157"/>
      <c r="L527" s="157"/>
      <c r="M527" s="157"/>
      <c r="N527" s="157"/>
      <c r="O527" s="157"/>
      <c r="P527" s="157"/>
      <c r="R527" s="847"/>
      <c r="S527" s="847"/>
      <c r="T527" s="848"/>
      <c r="U527" s="847"/>
      <c r="V527" s="847"/>
      <c r="W527" s="108"/>
      <c r="Y527" s="127"/>
      <c r="Z527" s="152"/>
      <c r="AA527" s="152"/>
      <c r="AB527" s="109"/>
      <c r="AC527" s="108"/>
      <c r="AD527" s="155"/>
      <c r="AE527" s="698"/>
      <c r="AG527" s="108"/>
      <c r="AH527" s="108"/>
      <c r="AI527" s="108"/>
      <c r="AK527" s="966"/>
      <c r="AL527" s="966"/>
      <c r="AM527" s="966"/>
      <c r="AN527" s="967"/>
      <c r="AO527" s="1027"/>
      <c r="AP527" s="1027"/>
      <c r="AQ527" s="108"/>
      <c r="AR527" s="108"/>
      <c r="AS527" s="108"/>
      <c r="AT527" s="108"/>
      <c r="AU527" s="108"/>
      <c r="AV527" s="108"/>
      <c r="AW527" s="108"/>
      <c r="AX527" s="108"/>
      <c r="AY527" s="108"/>
      <c r="AZ527" s="108"/>
    </row>
    <row r="528" spans="2:52">
      <c r="B528" s="109"/>
      <c r="C528" s="109"/>
      <c r="D528" s="541"/>
      <c r="E528" s="541"/>
      <c r="F528" s="127"/>
      <c r="H528" s="156"/>
      <c r="I528" s="152"/>
      <c r="J528" s="157"/>
      <c r="K528" s="157"/>
      <c r="L528" s="157"/>
      <c r="M528" s="157"/>
      <c r="N528" s="157"/>
      <c r="O528" s="157"/>
      <c r="P528" s="157"/>
      <c r="R528" s="847"/>
      <c r="S528" s="847"/>
      <c r="T528" s="848"/>
      <c r="U528" s="847"/>
      <c r="V528" s="847"/>
      <c r="W528" s="108"/>
      <c r="Y528" s="127"/>
      <c r="Z528" s="152"/>
      <c r="AA528" s="152"/>
      <c r="AB528" s="109"/>
      <c r="AC528" s="108"/>
      <c r="AD528" s="155"/>
      <c r="AE528" s="698"/>
      <c r="AG528" s="108"/>
      <c r="AH528" s="108"/>
      <c r="AI528" s="108"/>
      <c r="AK528" s="966"/>
      <c r="AL528" s="966"/>
      <c r="AM528" s="966"/>
      <c r="AN528" s="967"/>
      <c r="AO528" s="1027"/>
      <c r="AP528" s="1027"/>
      <c r="AQ528" s="108"/>
      <c r="AR528" s="108"/>
      <c r="AS528" s="108"/>
      <c r="AT528" s="108"/>
      <c r="AU528" s="108"/>
      <c r="AV528" s="108"/>
      <c r="AW528" s="108"/>
      <c r="AX528" s="108"/>
      <c r="AY528" s="108"/>
      <c r="AZ528" s="108"/>
    </row>
    <row r="529" spans="2:52">
      <c r="B529" s="109"/>
      <c r="C529" s="109"/>
      <c r="D529" s="541"/>
      <c r="E529" s="541"/>
      <c r="F529" s="127"/>
      <c r="H529" s="156"/>
      <c r="I529" s="152"/>
      <c r="J529" s="157"/>
      <c r="K529" s="157"/>
      <c r="L529" s="157"/>
      <c r="M529" s="157"/>
      <c r="N529" s="157"/>
      <c r="O529" s="157"/>
      <c r="P529" s="157"/>
      <c r="R529" s="847"/>
      <c r="S529" s="847"/>
      <c r="T529" s="848"/>
      <c r="U529" s="847"/>
      <c r="V529" s="847"/>
      <c r="W529" s="108"/>
      <c r="Y529" s="127"/>
      <c r="Z529" s="152"/>
      <c r="AA529" s="152"/>
      <c r="AB529" s="109"/>
      <c r="AC529" s="108"/>
      <c r="AD529" s="155"/>
      <c r="AE529" s="698"/>
      <c r="AG529" s="108"/>
      <c r="AH529" s="108"/>
      <c r="AI529" s="108"/>
      <c r="AK529" s="966"/>
      <c r="AL529" s="966"/>
      <c r="AM529" s="966"/>
      <c r="AN529" s="967"/>
      <c r="AO529" s="1027"/>
      <c r="AP529" s="1027"/>
      <c r="AQ529" s="108"/>
      <c r="AR529" s="108"/>
      <c r="AS529" s="108"/>
      <c r="AT529" s="108"/>
      <c r="AU529" s="108"/>
      <c r="AV529" s="108"/>
      <c r="AW529" s="108"/>
      <c r="AX529" s="108"/>
      <c r="AY529" s="108"/>
      <c r="AZ529" s="108"/>
    </row>
    <row r="530" spans="2:52">
      <c r="B530" s="109"/>
      <c r="C530" s="109"/>
      <c r="D530" s="541"/>
      <c r="E530" s="541"/>
      <c r="F530" s="127"/>
      <c r="H530" s="156"/>
      <c r="I530" s="152"/>
      <c r="J530" s="157"/>
      <c r="K530" s="157"/>
      <c r="L530" s="157"/>
      <c r="M530" s="157"/>
      <c r="N530" s="157"/>
      <c r="O530" s="157"/>
      <c r="P530" s="157"/>
      <c r="R530" s="847"/>
      <c r="S530" s="847"/>
      <c r="T530" s="848"/>
      <c r="U530" s="847"/>
      <c r="V530" s="847"/>
      <c r="W530" s="108"/>
      <c r="Y530" s="127"/>
      <c r="Z530" s="152"/>
      <c r="AA530" s="152"/>
      <c r="AB530" s="109"/>
      <c r="AC530" s="108"/>
      <c r="AD530" s="155"/>
      <c r="AE530" s="698"/>
      <c r="AG530" s="108"/>
      <c r="AH530" s="108"/>
      <c r="AI530" s="108"/>
      <c r="AK530" s="966"/>
      <c r="AL530" s="966"/>
      <c r="AM530" s="966"/>
      <c r="AN530" s="967"/>
      <c r="AO530" s="1027"/>
      <c r="AP530" s="1027"/>
      <c r="AQ530" s="108"/>
      <c r="AR530" s="108"/>
      <c r="AS530" s="108"/>
      <c r="AT530" s="108"/>
      <c r="AU530" s="108"/>
      <c r="AV530" s="108"/>
      <c r="AW530" s="108"/>
      <c r="AX530" s="108"/>
      <c r="AY530" s="108"/>
      <c r="AZ530" s="108"/>
    </row>
    <row r="531" spans="2:52">
      <c r="B531" s="109"/>
      <c r="C531" s="109"/>
      <c r="D531" s="541"/>
      <c r="E531" s="541"/>
      <c r="F531" s="127"/>
      <c r="H531" s="156"/>
      <c r="I531" s="152"/>
      <c r="J531" s="157"/>
      <c r="K531" s="157"/>
      <c r="L531" s="157"/>
      <c r="M531" s="157"/>
      <c r="N531" s="157"/>
      <c r="O531" s="157"/>
      <c r="P531" s="157"/>
      <c r="R531" s="847"/>
      <c r="S531" s="847"/>
      <c r="T531" s="848"/>
      <c r="U531" s="847"/>
      <c r="V531" s="847"/>
      <c r="W531" s="108"/>
      <c r="Y531" s="127"/>
      <c r="Z531" s="152"/>
      <c r="AA531" s="152"/>
      <c r="AB531" s="109"/>
      <c r="AC531" s="108"/>
      <c r="AD531" s="155"/>
      <c r="AE531" s="698"/>
      <c r="AG531" s="108"/>
      <c r="AH531" s="108"/>
      <c r="AI531" s="108"/>
      <c r="AK531" s="966"/>
      <c r="AL531" s="966"/>
      <c r="AM531" s="966"/>
      <c r="AN531" s="967"/>
      <c r="AO531" s="1027"/>
      <c r="AP531" s="1027"/>
      <c r="AQ531" s="108"/>
      <c r="AR531" s="108"/>
      <c r="AS531" s="108"/>
      <c r="AT531" s="108"/>
      <c r="AU531" s="108"/>
      <c r="AV531" s="108"/>
      <c r="AW531" s="108"/>
      <c r="AX531" s="108"/>
      <c r="AY531" s="108"/>
      <c r="AZ531" s="108"/>
    </row>
    <row r="532" spans="2:52">
      <c r="B532" s="109"/>
      <c r="C532" s="109"/>
      <c r="D532" s="541"/>
      <c r="E532" s="541"/>
      <c r="F532" s="127"/>
      <c r="H532" s="156"/>
      <c r="I532" s="152"/>
      <c r="J532" s="157"/>
      <c r="K532" s="157"/>
      <c r="L532" s="157"/>
      <c r="M532" s="157"/>
      <c r="N532" s="157"/>
      <c r="O532" s="157"/>
      <c r="P532" s="157"/>
      <c r="R532" s="847"/>
      <c r="S532" s="847"/>
      <c r="T532" s="848"/>
      <c r="U532" s="847"/>
      <c r="V532" s="847"/>
      <c r="W532" s="108"/>
      <c r="Y532" s="127"/>
      <c r="Z532" s="152"/>
      <c r="AA532" s="152"/>
      <c r="AB532" s="109"/>
      <c r="AC532" s="108"/>
      <c r="AD532" s="155"/>
      <c r="AE532" s="698"/>
      <c r="AG532" s="108"/>
      <c r="AH532" s="108"/>
      <c r="AI532" s="108"/>
      <c r="AK532" s="966"/>
      <c r="AL532" s="966"/>
      <c r="AM532" s="966"/>
      <c r="AN532" s="967"/>
      <c r="AO532" s="1027"/>
      <c r="AP532" s="1027"/>
      <c r="AQ532" s="108"/>
      <c r="AR532" s="108"/>
      <c r="AS532" s="108"/>
      <c r="AT532" s="108"/>
      <c r="AU532" s="108"/>
      <c r="AV532" s="108"/>
      <c r="AW532" s="108"/>
      <c r="AX532" s="108"/>
      <c r="AY532" s="108"/>
      <c r="AZ532" s="108"/>
    </row>
  </sheetData>
  <mergeCells count="474">
    <mergeCell ref="Y4:AE4"/>
    <mergeCell ref="AG4:AI4"/>
    <mergeCell ref="AK4:AP4"/>
    <mergeCell ref="A5:A6"/>
    <mergeCell ref="B5:B6"/>
    <mergeCell ref="C5:C6"/>
    <mergeCell ref="D5:D6"/>
    <mergeCell ref="E5:E6"/>
    <mergeCell ref="F5:F6"/>
    <mergeCell ref="B4:F4"/>
    <mergeCell ref="H4:P4"/>
    <mergeCell ref="R4:W4"/>
    <mergeCell ref="N5:N6"/>
    <mergeCell ref="O5:O6"/>
    <mergeCell ref="P5:P6"/>
    <mergeCell ref="R5:R6"/>
    <mergeCell ref="S5:S6"/>
    <mergeCell ref="T5:T6"/>
    <mergeCell ref="H5:H6"/>
    <mergeCell ref="I5:I6"/>
    <mergeCell ref="J5:J6"/>
    <mergeCell ref="K5:K6"/>
    <mergeCell ref="L5:L6"/>
    <mergeCell ref="M5:M6"/>
    <mergeCell ref="AD5:AD6"/>
    <mergeCell ref="AE5:AE6"/>
    <mergeCell ref="AG5:AG6"/>
    <mergeCell ref="AH5:AH6"/>
    <mergeCell ref="U5:U6"/>
    <mergeCell ref="V5:V6"/>
    <mergeCell ref="W5:W6"/>
    <mergeCell ref="Y5:Y6"/>
    <mergeCell ref="Z5:Z6"/>
    <mergeCell ref="AA5:AA6"/>
    <mergeCell ref="AE12:AE14"/>
    <mergeCell ref="R20:R22"/>
    <mergeCell ref="S20:S22"/>
    <mergeCell ref="T20:T22"/>
    <mergeCell ref="U20:U22"/>
    <mergeCell ref="W20:W22"/>
    <mergeCell ref="AP5:AP6"/>
    <mergeCell ref="R12:R13"/>
    <mergeCell ref="V12:V15"/>
    <mergeCell ref="W12:W15"/>
    <mergeCell ref="Y12:Y13"/>
    <mergeCell ref="Z12:Z13"/>
    <mergeCell ref="AA12:AA13"/>
    <mergeCell ref="AB12:AB13"/>
    <mergeCell ref="AC12:AC13"/>
    <mergeCell ref="AD12:AD13"/>
    <mergeCell ref="AI5:AI6"/>
    <mergeCell ref="AK5:AK6"/>
    <mergeCell ref="AL5:AL6"/>
    <mergeCell ref="AM5:AM6"/>
    <mergeCell ref="AN5:AN6"/>
    <mergeCell ref="AO5:AO6"/>
    <mergeCell ref="AB5:AB6"/>
    <mergeCell ref="AC5:AC6"/>
    <mergeCell ref="R31:R34"/>
    <mergeCell ref="S31:S32"/>
    <mergeCell ref="T31:T34"/>
    <mergeCell ref="U31:U34"/>
    <mergeCell ref="V31:V34"/>
    <mergeCell ref="W31:W34"/>
    <mergeCell ref="AE31:AE34"/>
    <mergeCell ref="R24:R26"/>
    <mergeCell ref="W24:W26"/>
    <mergeCell ref="Y24:Y26"/>
    <mergeCell ref="Z24:Z26"/>
    <mergeCell ref="AA24:AA26"/>
    <mergeCell ref="AB24:AB26"/>
    <mergeCell ref="Y32:Y34"/>
    <mergeCell ref="Z32:Z34"/>
    <mergeCell ref="AA32:AA34"/>
    <mergeCell ref="AB32:AB34"/>
    <mergeCell ref="AC32:AC34"/>
    <mergeCell ref="AD32:AD34"/>
    <mergeCell ref="AC24:AC26"/>
    <mergeCell ref="AD24:AD26"/>
    <mergeCell ref="AE24:AE26"/>
    <mergeCell ref="AJ50:AJ51"/>
    <mergeCell ref="AB38:AB40"/>
    <mergeCell ref="AC38:AC40"/>
    <mergeCell ref="AD38:AD40"/>
    <mergeCell ref="G50:G51"/>
    <mergeCell ref="H50:H51"/>
    <mergeCell ref="I50:I51"/>
    <mergeCell ref="J50:J51"/>
    <mergeCell ref="K50:K51"/>
    <mergeCell ref="L50:L51"/>
    <mergeCell ref="M50:M51"/>
    <mergeCell ref="AE36:AE40"/>
    <mergeCell ref="R38:R40"/>
    <mergeCell ref="S38:S40"/>
    <mergeCell ref="T38:T40"/>
    <mergeCell ref="U38:U40"/>
    <mergeCell ref="V38:V40"/>
    <mergeCell ref="W38:W40"/>
    <mergeCell ref="Y38:Y40"/>
    <mergeCell ref="Z38:Z40"/>
    <mergeCell ref="AA38:AA40"/>
    <mergeCell ref="T113:T119"/>
    <mergeCell ref="R124:R127"/>
    <mergeCell ref="T124:T127"/>
    <mergeCell ref="V124:V127"/>
    <mergeCell ref="W124:W127"/>
    <mergeCell ref="Y124:Y127"/>
    <mergeCell ref="N50:N51"/>
    <mergeCell ref="O50:O51"/>
    <mergeCell ref="P50:P51"/>
    <mergeCell ref="Q50:Q51"/>
    <mergeCell ref="X50:X51"/>
    <mergeCell ref="AN124:AN131"/>
    <mergeCell ref="AO124:AO131"/>
    <mergeCell ref="AP124:AP131"/>
    <mergeCell ref="AE142:AE143"/>
    <mergeCell ref="R145:R149"/>
    <mergeCell ref="T145:T149"/>
    <mergeCell ref="V145:V149"/>
    <mergeCell ref="W145:W149"/>
    <mergeCell ref="Y145:Y149"/>
    <mergeCell ref="Z145:Z149"/>
    <mergeCell ref="AG124:AG127"/>
    <mergeCell ref="AH124:AH127"/>
    <mergeCell ref="AI124:AI127"/>
    <mergeCell ref="AK124:AK131"/>
    <mergeCell ref="AL124:AL131"/>
    <mergeCell ref="AM124:AM131"/>
    <mergeCell ref="Z124:Z127"/>
    <mergeCell ref="AA124:AA127"/>
    <mergeCell ref="AB124:AB127"/>
    <mergeCell ref="AC124:AC127"/>
    <mergeCell ref="AD124:AD127"/>
    <mergeCell ref="AE124:AE131"/>
    <mergeCell ref="AP145:AP149"/>
    <mergeCell ref="AE146:AE149"/>
    <mergeCell ref="R150:R153"/>
    <mergeCell ref="T150:T153"/>
    <mergeCell ref="V150:V153"/>
    <mergeCell ref="W150:W153"/>
    <mergeCell ref="Y150:Y153"/>
    <mergeCell ref="Z150:Z153"/>
    <mergeCell ref="AA150:AA153"/>
    <mergeCell ref="AB150:AB153"/>
    <mergeCell ref="AI145:AI149"/>
    <mergeCell ref="AK145:AK149"/>
    <mergeCell ref="AL145:AL149"/>
    <mergeCell ref="AM145:AM149"/>
    <mergeCell ref="AN145:AN149"/>
    <mergeCell ref="AO145:AO149"/>
    <mergeCell ref="AA145:AA149"/>
    <mergeCell ref="AB145:AB149"/>
    <mergeCell ref="AC145:AC149"/>
    <mergeCell ref="AD145:AD149"/>
    <mergeCell ref="AG145:AG149"/>
    <mergeCell ref="AH145:AH149"/>
    <mergeCell ref="V158:V163"/>
    <mergeCell ref="W158:W163"/>
    <mergeCell ref="AL150:AL153"/>
    <mergeCell ref="AM150:AM153"/>
    <mergeCell ref="AN150:AN153"/>
    <mergeCell ref="AO150:AO153"/>
    <mergeCell ref="AP150:AP153"/>
    <mergeCell ref="AE151:AE153"/>
    <mergeCell ref="AC150:AC153"/>
    <mergeCell ref="AD150:AD153"/>
    <mergeCell ref="AG150:AG153"/>
    <mergeCell ref="AH150:AH153"/>
    <mergeCell ref="AI150:AI153"/>
    <mergeCell ref="AK150:AK153"/>
    <mergeCell ref="W179:W182"/>
    <mergeCell ref="R192:R194"/>
    <mergeCell ref="S192:S194"/>
    <mergeCell ref="T192:T194"/>
    <mergeCell ref="U192:U194"/>
    <mergeCell ref="W192:W194"/>
    <mergeCell ref="AG161:AG163"/>
    <mergeCell ref="AH161:AH163"/>
    <mergeCell ref="AI161:AI163"/>
    <mergeCell ref="R168:R171"/>
    <mergeCell ref="T168:T171"/>
    <mergeCell ref="V168:V171"/>
    <mergeCell ref="W168:W171"/>
    <mergeCell ref="AE158:AE163"/>
    <mergeCell ref="Y161:Y163"/>
    <mergeCell ref="Z161:Z163"/>
    <mergeCell ref="AA161:AA163"/>
    <mergeCell ref="AB161:AB163"/>
    <mergeCell ref="AC161:AC163"/>
    <mergeCell ref="AD161:AD163"/>
    <mergeCell ref="R158:R163"/>
    <mergeCell ref="S158:S163"/>
    <mergeCell ref="T158:T163"/>
    <mergeCell ref="U158:U163"/>
    <mergeCell ref="AM192:AM194"/>
    <mergeCell ref="AN192:AN194"/>
    <mergeCell ref="AO192:AO194"/>
    <mergeCell ref="AP192:AP194"/>
    <mergeCell ref="R196:R197"/>
    <mergeCell ref="T196:T197"/>
    <mergeCell ref="V196:V197"/>
    <mergeCell ref="W196:W197"/>
    <mergeCell ref="Y196:Y197"/>
    <mergeCell ref="Z196:Z197"/>
    <mergeCell ref="AE192:AE194"/>
    <mergeCell ref="AG192:AG194"/>
    <mergeCell ref="AH192:AH194"/>
    <mergeCell ref="AI192:AI194"/>
    <mergeCell ref="AK192:AK194"/>
    <mergeCell ref="AL192:AL194"/>
    <mergeCell ref="Y192:Y194"/>
    <mergeCell ref="Z192:Z194"/>
    <mergeCell ref="AA192:AA194"/>
    <mergeCell ref="AB192:AB194"/>
    <mergeCell ref="AC192:AC194"/>
    <mergeCell ref="AD192:AD194"/>
    <mergeCell ref="AP196:AP197"/>
    <mergeCell ref="AI196:AI197"/>
    <mergeCell ref="W199:W202"/>
    <mergeCell ref="G207:G213"/>
    <mergeCell ref="Q207:Q213"/>
    <mergeCell ref="R207:R213"/>
    <mergeCell ref="S207:S213"/>
    <mergeCell ref="T207:T213"/>
    <mergeCell ref="U207:U213"/>
    <mergeCell ref="W207:W213"/>
    <mergeCell ref="X207:X213"/>
    <mergeCell ref="AK196:AK197"/>
    <mergeCell ref="AL196:AL197"/>
    <mergeCell ref="AM196:AM197"/>
    <mergeCell ref="AN196:AN197"/>
    <mergeCell ref="AO196:AO197"/>
    <mergeCell ref="AA196:AA197"/>
    <mergeCell ref="AB196:AB197"/>
    <mergeCell ref="AC196:AC197"/>
    <mergeCell ref="AD196:AD197"/>
    <mergeCell ref="AG196:AG197"/>
    <mergeCell ref="AH196:AH197"/>
    <mergeCell ref="AL207:AL213"/>
    <mergeCell ref="AM207:AM213"/>
    <mergeCell ref="AN207:AN213"/>
    <mergeCell ref="AO207:AO213"/>
    <mergeCell ref="AP207:AP213"/>
    <mergeCell ref="G218:G225"/>
    <mergeCell ref="Q218:Q225"/>
    <mergeCell ref="R218:R225"/>
    <mergeCell ref="S218:S225"/>
    <mergeCell ref="T218:T225"/>
    <mergeCell ref="AE207:AE213"/>
    <mergeCell ref="AF207:AF213"/>
    <mergeCell ref="AG207:AG213"/>
    <mergeCell ref="AH207:AH213"/>
    <mergeCell ref="AI207:AI213"/>
    <mergeCell ref="AK207:AK213"/>
    <mergeCell ref="Y207:Y213"/>
    <mergeCell ref="Z207:Z213"/>
    <mergeCell ref="AA207:AA213"/>
    <mergeCell ref="AB207:AB213"/>
    <mergeCell ref="AC207:AC213"/>
    <mergeCell ref="AD207:AD213"/>
    <mergeCell ref="AD218:AD225"/>
    <mergeCell ref="AE218:AE225"/>
    <mergeCell ref="AF218:AF225"/>
    <mergeCell ref="AG218:AG225"/>
    <mergeCell ref="U218:U225"/>
    <mergeCell ref="W218:W225"/>
    <mergeCell ref="X218:X225"/>
    <mergeCell ref="Y218:Y225"/>
    <mergeCell ref="Z218:Z225"/>
    <mergeCell ref="AA218:AA225"/>
    <mergeCell ref="X231:X236"/>
    <mergeCell ref="Y231:Y237"/>
    <mergeCell ref="Z231:Z237"/>
    <mergeCell ref="AA231:AA237"/>
    <mergeCell ref="AB231:AB237"/>
    <mergeCell ref="AC231:AC237"/>
    <mergeCell ref="AO218:AO225"/>
    <mergeCell ref="AP218:AP225"/>
    <mergeCell ref="G231:G236"/>
    <mergeCell ref="Q231:Q236"/>
    <mergeCell ref="R231:R239"/>
    <mergeCell ref="S231:S236"/>
    <mergeCell ref="T231:T239"/>
    <mergeCell ref="U231:U236"/>
    <mergeCell ref="V231:V239"/>
    <mergeCell ref="W231:W239"/>
    <mergeCell ref="AH218:AH225"/>
    <mergeCell ref="AI218:AI225"/>
    <mergeCell ref="AK218:AK225"/>
    <mergeCell ref="AL218:AL225"/>
    <mergeCell ref="AM218:AM225"/>
    <mergeCell ref="AN218:AN225"/>
    <mergeCell ref="AB218:AB225"/>
    <mergeCell ref="AC218:AC225"/>
    <mergeCell ref="AP231:AP237"/>
    <mergeCell ref="Y238:Y239"/>
    <mergeCell ref="Z238:Z239"/>
    <mergeCell ref="AA238:AA239"/>
    <mergeCell ref="AB238:AB239"/>
    <mergeCell ref="AC238:AC239"/>
    <mergeCell ref="AD238:AD239"/>
    <mergeCell ref="AE238:AE239"/>
    <mergeCell ref="AJ231:AJ237"/>
    <mergeCell ref="AK231:AK237"/>
    <mergeCell ref="AL231:AL237"/>
    <mergeCell ref="AM231:AM237"/>
    <mergeCell ref="AN231:AN237"/>
    <mergeCell ref="AO231:AO237"/>
    <mergeCell ref="AD231:AD237"/>
    <mergeCell ref="AE231:AE237"/>
    <mergeCell ref="AF231:AF236"/>
    <mergeCell ref="AG231:AG237"/>
    <mergeCell ref="AH231:AH237"/>
    <mergeCell ref="AI231:AI237"/>
    <mergeCell ref="V260:V263"/>
    <mergeCell ref="W260:W263"/>
    <mergeCell ref="Y260:Y263"/>
    <mergeCell ref="Z260:Z263"/>
    <mergeCell ref="R247:R248"/>
    <mergeCell ref="T247:T248"/>
    <mergeCell ref="V247:V248"/>
    <mergeCell ref="W247:W248"/>
    <mergeCell ref="R249:R250"/>
    <mergeCell ref="T249:T250"/>
    <mergeCell ref="V249:V250"/>
    <mergeCell ref="W249:W250"/>
    <mergeCell ref="AO260:AO263"/>
    <mergeCell ref="AP260:AP263"/>
    <mergeCell ref="R268:R277"/>
    <mergeCell ref="S268:S277"/>
    <mergeCell ref="T268:T277"/>
    <mergeCell ref="U268:U277"/>
    <mergeCell ref="V268:V277"/>
    <mergeCell ref="W268:W277"/>
    <mergeCell ref="Y268:Y277"/>
    <mergeCell ref="Z268:Z277"/>
    <mergeCell ref="AH260:AH263"/>
    <mergeCell ref="AI260:AI263"/>
    <mergeCell ref="AK260:AK263"/>
    <mergeCell ref="AL260:AL263"/>
    <mergeCell ref="AM260:AM263"/>
    <mergeCell ref="AN260:AN263"/>
    <mergeCell ref="AA260:AA263"/>
    <mergeCell ref="AB260:AB263"/>
    <mergeCell ref="AC260:AC263"/>
    <mergeCell ref="AD260:AD263"/>
    <mergeCell ref="AE260:AE263"/>
    <mergeCell ref="AG260:AG263"/>
    <mergeCell ref="R260:R263"/>
    <mergeCell ref="T260:T263"/>
    <mergeCell ref="AO268:AO277"/>
    <mergeCell ref="AP268:AP277"/>
    <mergeCell ref="R280:R284"/>
    <mergeCell ref="T280:T284"/>
    <mergeCell ref="V280:V284"/>
    <mergeCell ref="W280:W284"/>
    <mergeCell ref="AH268:AH277"/>
    <mergeCell ref="AI268:AI277"/>
    <mergeCell ref="AK268:AK277"/>
    <mergeCell ref="AL268:AL277"/>
    <mergeCell ref="AM268:AM277"/>
    <mergeCell ref="AN268:AN277"/>
    <mergeCell ref="AA268:AA277"/>
    <mergeCell ref="AB268:AB277"/>
    <mergeCell ref="AC268:AC277"/>
    <mergeCell ref="AD268:AD277"/>
    <mergeCell ref="AE268:AE277"/>
    <mergeCell ref="AG268:AG277"/>
    <mergeCell ref="AH288:AH293"/>
    <mergeCell ref="AI288:AI293"/>
    <mergeCell ref="R322:R327"/>
    <mergeCell ref="S322:S327"/>
    <mergeCell ref="T322:T327"/>
    <mergeCell ref="U322:U327"/>
    <mergeCell ref="W322:W327"/>
    <mergeCell ref="AA288:AA293"/>
    <mergeCell ref="AB288:AB293"/>
    <mergeCell ref="AC288:AC293"/>
    <mergeCell ref="AD288:AD293"/>
    <mergeCell ref="AE288:AE293"/>
    <mergeCell ref="AG288:AG293"/>
    <mergeCell ref="R288:R293"/>
    <mergeCell ref="T288:T293"/>
    <mergeCell ref="V288:V293"/>
    <mergeCell ref="W288:W293"/>
    <mergeCell ref="Y288:Y293"/>
    <mergeCell ref="Z288:Z293"/>
    <mergeCell ref="T342:T343"/>
    <mergeCell ref="U342:U343"/>
    <mergeCell ref="W342:W343"/>
    <mergeCell ref="Y342:Y343"/>
    <mergeCell ref="R329:R334"/>
    <mergeCell ref="S329:S334"/>
    <mergeCell ref="T329:T334"/>
    <mergeCell ref="U329:U334"/>
    <mergeCell ref="W329:W334"/>
    <mergeCell ref="R336:R340"/>
    <mergeCell ref="S336:S340"/>
    <mergeCell ref="T336:T340"/>
    <mergeCell ref="U336:U340"/>
    <mergeCell ref="W336:W340"/>
    <mergeCell ref="AN342:AN343"/>
    <mergeCell ref="AO342:AO343"/>
    <mergeCell ref="AP342:AP343"/>
    <mergeCell ref="R347:R348"/>
    <mergeCell ref="S347:S348"/>
    <mergeCell ref="T347:T348"/>
    <mergeCell ref="U347:U348"/>
    <mergeCell ref="W347:W348"/>
    <mergeCell ref="Y347:Y348"/>
    <mergeCell ref="Z347:Z348"/>
    <mergeCell ref="AG342:AG343"/>
    <mergeCell ref="AH342:AH343"/>
    <mergeCell ref="AI342:AI343"/>
    <mergeCell ref="AK342:AK343"/>
    <mergeCell ref="AL342:AL343"/>
    <mergeCell ref="AM342:AM343"/>
    <mergeCell ref="Z342:Z343"/>
    <mergeCell ref="AA342:AA343"/>
    <mergeCell ref="AB342:AB343"/>
    <mergeCell ref="AC342:AC343"/>
    <mergeCell ref="AD342:AD343"/>
    <mergeCell ref="AE342:AE343"/>
    <mergeCell ref="R342:R343"/>
    <mergeCell ref="S342:S343"/>
    <mergeCell ref="AO347:AO348"/>
    <mergeCell ref="AP347:AP348"/>
    <mergeCell ref="R353:R354"/>
    <mergeCell ref="S353:S354"/>
    <mergeCell ref="T353:T354"/>
    <mergeCell ref="U353:U354"/>
    <mergeCell ref="W353:W354"/>
    <mergeCell ref="AH347:AH348"/>
    <mergeCell ref="AI347:AI348"/>
    <mergeCell ref="AK347:AK348"/>
    <mergeCell ref="AL347:AL348"/>
    <mergeCell ref="AM347:AM348"/>
    <mergeCell ref="AN347:AN348"/>
    <mergeCell ref="AA347:AA348"/>
    <mergeCell ref="AB347:AB348"/>
    <mergeCell ref="AC347:AC348"/>
    <mergeCell ref="AD347:AD348"/>
    <mergeCell ref="AE347:AE348"/>
    <mergeCell ref="AG347:AG348"/>
    <mergeCell ref="R361:R364"/>
    <mergeCell ref="S361:S364"/>
    <mergeCell ref="T361:T364"/>
    <mergeCell ref="U361:U364"/>
    <mergeCell ref="W361:W364"/>
    <mergeCell ref="R366:R368"/>
    <mergeCell ref="S366:S368"/>
    <mergeCell ref="T366:T368"/>
    <mergeCell ref="U366:U368"/>
    <mergeCell ref="W366:W368"/>
    <mergeCell ref="R369:R370"/>
    <mergeCell ref="S369:S370"/>
    <mergeCell ref="T369:T370"/>
    <mergeCell ref="U369:U370"/>
    <mergeCell ref="W369:W370"/>
    <mergeCell ref="R372:R373"/>
    <mergeCell ref="S372:S373"/>
    <mergeCell ref="T372:T373"/>
    <mergeCell ref="U372:U373"/>
    <mergeCell ref="W372:W373"/>
    <mergeCell ref="R374:R375"/>
    <mergeCell ref="S374:S375"/>
    <mergeCell ref="T374:T375"/>
    <mergeCell ref="U374:U375"/>
    <mergeCell ref="W374:W375"/>
    <mergeCell ref="R395:R397"/>
    <mergeCell ref="S395:S397"/>
    <mergeCell ref="T395:T397"/>
    <mergeCell ref="U395:U397"/>
    <mergeCell ref="W395:W397"/>
  </mergeCells>
  <conditionalFormatting sqref="C1:C1048576">
    <cfRule type="expression" dxfId="9" priority="5">
      <formula>$C1="Sí"</formula>
    </cfRule>
    <cfRule type="expression" dxfId="8" priority="6">
      <formula>$C1="Si"</formula>
    </cfRule>
  </conditionalFormatting>
  <conditionalFormatting sqref="D133">
    <cfRule type="expression" dxfId="7" priority="7">
      <formula>$D133="Sí"</formula>
    </cfRule>
    <cfRule type="expression" dxfId="6" priority="8">
      <formula>$D133="Si"</formula>
    </cfRule>
  </conditionalFormatting>
  <conditionalFormatting sqref="D226">
    <cfRule type="expression" dxfId="5" priority="3">
      <formula>$C226="Sí"</formula>
    </cfRule>
    <cfRule type="expression" dxfId="4" priority="4">
      <formula>$C226="Si"</formula>
    </cfRule>
  </conditionalFormatting>
  <conditionalFormatting sqref="D233">
    <cfRule type="expression" dxfId="3" priority="1">
      <formula>$C233="Sí"</formula>
    </cfRule>
    <cfRule type="expression" dxfId="2" priority="2">
      <formula>$C233="Si"</formula>
    </cfRule>
  </conditionalFormatting>
  <pageMargins left="0.7" right="0.7" top="0.75" bottom="0.75" header="0.3" footer="0.3"/>
  <pageSetup orientation="landscape"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AY491"/>
  <sheetViews>
    <sheetView showGridLines="0" zoomScale="85" zoomScaleNormal="85" zoomScalePageLayoutView="125" workbookViewId="0">
      <pane xSplit="6" ySplit="7" topLeftCell="AA352" activePane="bottomRight" state="frozen"/>
      <selection pane="topRight" activeCell="B4" sqref="B4:P10"/>
      <selection pane="bottomLeft" activeCell="B4" sqref="B4:P10"/>
      <selection pane="bottomRight" activeCell="D363" sqref="D363"/>
    </sheetView>
  </sheetViews>
  <sheetFormatPr baseColWidth="10" defaultColWidth="11.5" defaultRowHeight="14" outlineLevelRow="5" outlineLevelCol="1"/>
  <cols>
    <col min="1" max="1" width="4.5" style="152" customWidth="1"/>
    <col min="2" max="2" width="8.83203125" style="87" customWidth="1"/>
    <col min="3" max="3" width="8.83203125" style="87" bestFit="1" customWidth="1"/>
    <col min="4" max="4" width="50.83203125" style="549" customWidth="1"/>
    <col min="5" max="5" width="14.5" style="549" hidden="1" customWidth="1" outlineLevel="1"/>
    <col min="6" max="6" width="14.5" style="89" hidden="1" customWidth="1" outlineLevel="1"/>
    <col min="7" max="7" width="2.1640625" style="91" customWidth="1" collapsed="1"/>
    <col min="8" max="8" width="15.5" style="90" hidden="1" customWidth="1" outlineLevel="1"/>
    <col min="9" max="9" width="10" style="86" hidden="1" customWidth="1" outlineLevel="1"/>
    <col min="10" max="16" width="10" style="92" hidden="1" customWidth="1" outlineLevel="1"/>
    <col min="17" max="17" width="2.1640625" style="91" customWidth="1" collapsed="1"/>
    <col min="18" max="18" width="14" style="860" customWidth="1" outlineLevel="1"/>
    <col min="19" max="19" width="10.5" style="860" customWidth="1" outlineLevel="1"/>
    <col min="20" max="20" width="13.83203125" style="861" customWidth="1" outlineLevel="1"/>
    <col min="21" max="21" width="11.83203125" style="860" customWidth="1" outlineLevel="1"/>
    <col min="22" max="22" width="11.5" style="85" customWidth="1" outlineLevel="1"/>
    <col min="23" max="23" width="2.1640625" style="91" customWidth="1"/>
    <col min="24" max="24" width="14" style="89" customWidth="1" outlineLevel="1"/>
    <col min="25" max="26" width="6" style="86" customWidth="1" outlineLevel="1"/>
    <col min="27" max="27" width="6" style="87" customWidth="1" outlineLevel="1"/>
    <col min="28" max="28" width="16.5" style="85" customWidth="1" outlineLevel="1"/>
    <col min="29" max="29" width="14.5" style="88" customWidth="1" outlineLevel="1"/>
    <col min="30" max="30" width="22" style="699" customWidth="1" outlineLevel="1"/>
    <col min="31" max="31" width="2.1640625" style="91" customWidth="1"/>
    <col min="32" max="34" width="14" style="85" customWidth="1" outlineLevel="1"/>
    <col min="35" max="35" width="2.1640625" style="91" customWidth="1"/>
    <col min="36" max="38" width="13.5" style="1028" customWidth="1" outlineLevel="1"/>
    <col min="39" max="39" width="13.5" style="1029" customWidth="1" outlineLevel="1"/>
    <col min="40" max="40" width="13.5" style="1030" customWidth="1" outlineLevel="1"/>
    <col min="41" max="41" width="15.83203125" style="1030" customWidth="1" outlineLevel="1"/>
    <col min="42" max="42" width="5.5" style="85" customWidth="1"/>
    <col min="43" max="50" width="11.5" style="85"/>
    <col min="51" max="51" width="34.5" style="85" customWidth="1"/>
    <col min="52" max="16384" width="11.5" style="85"/>
  </cols>
  <sheetData>
    <row r="1" spans="1:51" ht="14.5" customHeight="1" outlineLevel="1">
      <c r="A1" s="575"/>
      <c r="B1" s="1082" t="s">
        <v>1111</v>
      </c>
      <c r="C1" s="1082"/>
      <c r="D1" s="540"/>
      <c r="E1" s="540"/>
      <c r="F1" s="353"/>
      <c r="G1" s="353"/>
      <c r="H1" s="353"/>
      <c r="I1" s="353"/>
      <c r="J1" s="353"/>
      <c r="K1" s="353"/>
      <c r="L1" s="353"/>
      <c r="M1" s="353"/>
      <c r="N1" s="353"/>
      <c r="O1" s="353"/>
      <c r="P1" s="353"/>
      <c r="Q1" s="353"/>
      <c r="R1" s="847"/>
      <c r="S1" s="847"/>
      <c r="T1" s="848"/>
      <c r="U1" s="847"/>
      <c r="V1" s="108"/>
      <c r="W1" s="353"/>
      <c r="X1" s="150"/>
      <c r="Y1" s="151"/>
      <c r="Z1" s="152"/>
      <c r="AA1" s="109"/>
      <c r="AB1" s="421" t="s">
        <v>1112</v>
      </c>
      <c r="AC1" s="422">
        <f>+AC7</f>
        <v>60000000</v>
      </c>
      <c r="AD1" s="681"/>
      <c r="AE1" s="353"/>
      <c r="AF1" s="422">
        <f>+AF7</f>
        <v>60000000</v>
      </c>
      <c r="AG1" s="422">
        <f>+AG7</f>
        <v>0</v>
      </c>
      <c r="AH1" s="422">
        <f>SUM(AF1:AG1)</f>
        <v>60000000</v>
      </c>
      <c r="AI1" s="353"/>
      <c r="AJ1" s="965"/>
      <c r="AK1" s="965"/>
      <c r="AL1" s="966"/>
      <c r="AM1" s="967"/>
      <c r="AN1" s="968"/>
      <c r="AO1" s="968"/>
      <c r="AP1" s="108"/>
      <c r="AQ1" s="108"/>
      <c r="AR1" s="108"/>
      <c r="AS1" s="108"/>
      <c r="AT1" s="108"/>
      <c r="AU1" s="108"/>
      <c r="AV1" s="108"/>
      <c r="AW1" s="108"/>
      <c r="AX1" s="108"/>
      <c r="AY1" s="108"/>
    </row>
    <row r="2" spans="1:51" ht="14.25" customHeight="1" outlineLevel="1">
      <c r="B2" s="109"/>
      <c r="C2" s="109"/>
      <c r="D2" s="541"/>
      <c r="E2" s="541"/>
      <c r="F2" s="127"/>
      <c r="H2" s="156"/>
      <c r="I2" s="152"/>
      <c r="J2" s="157"/>
      <c r="K2" s="157"/>
      <c r="L2" s="157"/>
      <c r="M2" s="157"/>
      <c r="N2" s="157"/>
      <c r="O2" s="157"/>
      <c r="P2" s="157"/>
      <c r="R2" s="847"/>
      <c r="S2" s="847"/>
      <c r="T2" s="848"/>
      <c r="U2" s="847"/>
      <c r="V2" s="108"/>
      <c r="X2" s="127"/>
      <c r="Y2" s="151"/>
      <c r="Z2" s="152"/>
      <c r="AA2" s="109"/>
      <c r="AB2" s="153" t="s">
        <v>1114</v>
      </c>
      <c r="AC2" s="154">
        <v>60000000</v>
      </c>
      <c r="AD2" s="682"/>
      <c r="AF2" s="154">
        <v>60000000</v>
      </c>
      <c r="AG2" s="154">
        <v>0</v>
      </c>
      <c r="AH2" s="155">
        <f>SUM(AF2:AG2)</f>
        <v>60000000</v>
      </c>
      <c r="AJ2" s="965"/>
      <c r="AK2" s="965"/>
      <c r="AL2" s="966"/>
      <c r="AM2" s="967"/>
      <c r="AN2" s="968"/>
      <c r="AO2" s="968"/>
      <c r="AP2" s="108"/>
      <c r="AQ2" s="108"/>
      <c r="AR2" s="108"/>
      <c r="AS2" s="108"/>
      <c r="AT2" s="108"/>
      <c r="AU2" s="108"/>
      <c r="AV2" s="108"/>
      <c r="AW2" s="108"/>
      <c r="AX2" s="108"/>
      <c r="AY2" s="108"/>
    </row>
    <row r="3" spans="1:51" ht="14.5" customHeight="1" outlineLevel="1">
      <c r="B3" s="109"/>
      <c r="C3" s="109"/>
      <c r="D3" s="541"/>
      <c r="E3" s="541"/>
      <c r="F3" s="127"/>
      <c r="H3" s="156"/>
      <c r="I3" s="152"/>
      <c r="J3" s="157"/>
      <c r="K3" s="157"/>
      <c r="L3" s="157"/>
      <c r="M3" s="157"/>
      <c r="N3" s="157"/>
      <c r="O3" s="157"/>
      <c r="P3" s="157"/>
      <c r="R3" s="847"/>
      <c r="S3" s="847"/>
      <c r="T3" s="848"/>
      <c r="U3" s="847"/>
      <c r="V3" s="108"/>
      <c r="X3" s="127"/>
      <c r="Y3" s="152" t="s">
        <v>1116</v>
      </c>
      <c r="Z3" s="158">
        <v>1</v>
      </c>
      <c r="AA3" s="109"/>
      <c r="AB3" s="423" t="s">
        <v>586</v>
      </c>
      <c r="AC3" s="424">
        <f>+AC2-AC1</f>
        <v>0</v>
      </c>
      <c r="AD3" s="683"/>
      <c r="AF3" s="424">
        <f>+AF2-AF1</f>
        <v>0</v>
      </c>
      <c r="AG3" s="424">
        <f>+AG2-AG1</f>
        <v>0</v>
      </c>
      <c r="AH3" s="424">
        <f>SUM(AF3:AG3)</f>
        <v>0</v>
      </c>
      <c r="AJ3" s="966"/>
      <c r="AK3" s="966"/>
      <c r="AL3" s="969"/>
      <c r="AM3" s="967"/>
      <c r="AN3" s="970"/>
      <c r="AO3" s="970"/>
      <c r="AP3" s="108"/>
      <c r="AQ3" s="108"/>
      <c r="AR3" s="108"/>
      <c r="AS3" s="108"/>
      <c r="AT3" s="108"/>
      <c r="AU3" s="108"/>
      <c r="AV3" s="108"/>
      <c r="AW3" s="108"/>
      <c r="AX3" s="108"/>
      <c r="AY3" s="108"/>
    </row>
    <row r="4" spans="1:51" s="877" customFormat="1" ht="25.25" customHeight="1">
      <c r="A4" s="152"/>
      <c r="B4" s="4169" t="s">
        <v>1118</v>
      </c>
      <c r="C4" s="4169"/>
      <c r="D4" s="4169"/>
      <c r="E4" s="4169"/>
      <c r="F4" s="4169"/>
      <c r="G4" s="93"/>
      <c r="H4" s="4689" t="s">
        <v>1119</v>
      </c>
      <c r="I4" s="4689"/>
      <c r="J4" s="4689"/>
      <c r="K4" s="4689"/>
      <c r="L4" s="4689"/>
      <c r="M4" s="4689"/>
      <c r="N4" s="4689"/>
      <c r="O4" s="4689"/>
      <c r="P4" s="4689"/>
      <c r="Q4" s="93"/>
      <c r="R4" s="4690" t="s">
        <v>1120</v>
      </c>
      <c r="S4" s="4690"/>
      <c r="T4" s="4690"/>
      <c r="U4" s="4690"/>
      <c r="V4" s="4690"/>
      <c r="W4" s="93"/>
      <c r="X4" s="4685" t="s">
        <v>1121</v>
      </c>
      <c r="Y4" s="4685"/>
      <c r="Z4" s="4685"/>
      <c r="AA4" s="4685"/>
      <c r="AB4" s="4685"/>
      <c r="AC4" s="4685"/>
      <c r="AD4" s="4685"/>
      <c r="AE4" s="93"/>
      <c r="AF4" s="4686" t="s">
        <v>1122</v>
      </c>
      <c r="AG4" s="4686"/>
      <c r="AH4" s="4686"/>
      <c r="AI4" s="862"/>
      <c r="AJ4" s="4687" t="s">
        <v>3325</v>
      </c>
      <c r="AK4" s="4687"/>
      <c r="AL4" s="4687"/>
      <c r="AM4" s="4687"/>
      <c r="AN4" s="4687"/>
      <c r="AO4" s="4688"/>
    </row>
    <row r="5" spans="1:51" ht="23" customHeight="1">
      <c r="A5" s="4167" t="s">
        <v>1125</v>
      </c>
      <c r="B5" s="4167" t="s">
        <v>484</v>
      </c>
      <c r="C5" s="3957" t="s">
        <v>1129</v>
      </c>
      <c r="D5" s="4168" t="s">
        <v>609</v>
      </c>
      <c r="E5" s="3960" t="s">
        <v>1130</v>
      </c>
      <c r="F5" s="3957" t="s">
        <v>1131</v>
      </c>
      <c r="G5" s="94"/>
      <c r="H5" s="4691" t="s">
        <v>1089</v>
      </c>
      <c r="I5" s="4691" t="s">
        <v>186</v>
      </c>
      <c r="J5" s="3956" t="s">
        <v>1132</v>
      </c>
      <c r="K5" s="3956" t="s">
        <v>1076</v>
      </c>
      <c r="L5" s="3956" t="s">
        <v>1077</v>
      </c>
      <c r="M5" s="3956" t="s">
        <v>1078</v>
      </c>
      <c r="N5" s="3956" t="s">
        <v>1079</v>
      </c>
      <c r="O5" s="3956" t="s">
        <v>1080</v>
      </c>
      <c r="P5" s="3956" t="s">
        <v>193</v>
      </c>
      <c r="Q5" s="94"/>
      <c r="R5" s="3817" t="s">
        <v>1135</v>
      </c>
      <c r="S5" s="3817" t="s">
        <v>1136</v>
      </c>
      <c r="T5" s="3817" t="s">
        <v>1137</v>
      </c>
      <c r="U5" s="3799" t="s">
        <v>1138</v>
      </c>
      <c r="V5" s="3955" t="s">
        <v>1140</v>
      </c>
      <c r="W5" s="94"/>
      <c r="X5" s="3955" t="s">
        <v>1089</v>
      </c>
      <c r="Y5" s="3955" t="s">
        <v>1141</v>
      </c>
      <c r="Z5" s="3955" t="s">
        <v>1142</v>
      </c>
      <c r="AA5" s="3955" t="s">
        <v>1143</v>
      </c>
      <c r="AB5" s="3955" t="s">
        <v>1144</v>
      </c>
      <c r="AC5" s="3955" t="s">
        <v>1145</v>
      </c>
      <c r="AD5" s="3955" t="s">
        <v>1146</v>
      </c>
      <c r="AE5" s="94"/>
      <c r="AF5" s="3955" t="s">
        <v>1075</v>
      </c>
      <c r="AG5" s="3955" t="s">
        <v>1147</v>
      </c>
      <c r="AH5" s="3955" t="s">
        <v>487</v>
      </c>
      <c r="AI5" s="863"/>
      <c r="AJ5" s="3926" t="s">
        <v>1076</v>
      </c>
      <c r="AK5" s="3926" t="s">
        <v>1077</v>
      </c>
      <c r="AL5" s="3926" t="s">
        <v>1078</v>
      </c>
      <c r="AM5" s="3926" t="s">
        <v>1079</v>
      </c>
      <c r="AN5" s="3926" t="s">
        <v>1080</v>
      </c>
      <c r="AO5" s="3926" t="s">
        <v>487</v>
      </c>
      <c r="AP5" s="108"/>
      <c r="AQ5" s="108"/>
      <c r="AR5" s="108"/>
      <c r="AS5" s="108"/>
      <c r="AT5" s="108"/>
      <c r="AU5" s="108"/>
      <c r="AV5" s="108"/>
      <c r="AW5" s="108"/>
      <c r="AX5" s="108"/>
      <c r="AY5" s="108"/>
    </row>
    <row r="6" spans="1:51" ht="5" customHeight="1">
      <c r="A6" s="4167"/>
      <c r="B6" s="4167"/>
      <c r="C6" s="3958"/>
      <c r="D6" s="4168"/>
      <c r="E6" s="3958"/>
      <c r="F6" s="3959"/>
      <c r="G6" s="94"/>
      <c r="H6" s="4691"/>
      <c r="I6" s="4691"/>
      <c r="J6" s="3956"/>
      <c r="K6" s="3956"/>
      <c r="L6" s="3956"/>
      <c r="M6" s="3956"/>
      <c r="N6" s="3956"/>
      <c r="O6" s="3956"/>
      <c r="P6" s="3956"/>
      <c r="Q6" s="94"/>
      <c r="R6" s="3817"/>
      <c r="S6" s="3817"/>
      <c r="T6" s="3817"/>
      <c r="U6" s="3799"/>
      <c r="V6" s="3955"/>
      <c r="W6" s="94"/>
      <c r="X6" s="3955"/>
      <c r="Y6" s="3955"/>
      <c r="Z6" s="3955"/>
      <c r="AA6" s="3955"/>
      <c r="AB6" s="3955"/>
      <c r="AC6" s="3955"/>
      <c r="AD6" s="3955"/>
      <c r="AE6" s="94"/>
      <c r="AF6" s="3955"/>
      <c r="AG6" s="3955"/>
      <c r="AH6" s="3955"/>
      <c r="AI6" s="863"/>
      <c r="AJ6" s="3926"/>
      <c r="AK6" s="3926"/>
      <c r="AL6" s="3926"/>
      <c r="AM6" s="3926"/>
      <c r="AN6" s="3926"/>
      <c r="AO6" s="3926"/>
      <c r="AP6" s="108"/>
      <c r="AQ6" s="108"/>
      <c r="AR6" s="108"/>
      <c r="AS6" s="108"/>
      <c r="AT6" s="108"/>
      <c r="AU6" s="108"/>
      <c r="AV6" s="108"/>
      <c r="AW6" s="108"/>
      <c r="AX6" s="108"/>
      <c r="AY6" s="108"/>
    </row>
    <row r="7" spans="1:51" ht="30">
      <c r="A7" s="576"/>
      <c r="B7" s="65"/>
      <c r="C7" s="65"/>
      <c r="D7" s="542" t="s">
        <v>64</v>
      </c>
      <c r="E7" s="542"/>
      <c r="F7" s="163"/>
      <c r="G7" s="95"/>
      <c r="H7" s="161"/>
      <c r="I7" s="160"/>
      <c r="J7" s="162"/>
      <c r="K7" s="162"/>
      <c r="L7" s="162"/>
      <c r="M7" s="162"/>
      <c r="N7" s="162"/>
      <c r="O7" s="162"/>
      <c r="P7" s="162"/>
      <c r="Q7" s="95"/>
      <c r="R7" s="849"/>
      <c r="S7" s="849"/>
      <c r="T7" s="849"/>
      <c r="U7" s="849"/>
      <c r="V7" s="164"/>
      <c r="W7" s="95"/>
      <c r="X7" s="163"/>
      <c r="Y7" s="160"/>
      <c r="Z7" s="160"/>
      <c r="AA7" s="165"/>
      <c r="AB7" s="66">
        <f>+AB8+AB157+AB264+AB360</f>
        <v>0</v>
      </c>
      <c r="AC7" s="66">
        <f>+AC8+AC157+AC264+AC360+AC397+AC398</f>
        <v>60000000</v>
      </c>
      <c r="AD7" s="1106">
        <f>60000000-AC7</f>
        <v>0</v>
      </c>
      <c r="AE7" s="95"/>
      <c r="AF7" s="66">
        <f>+AF8+AF157+AF264+AF360+AF397+AF398</f>
        <v>60000000</v>
      </c>
      <c r="AG7" s="66">
        <f>+AG8+AG157+AG264+AG360+AG397+AG398</f>
        <v>0</v>
      </c>
      <c r="AH7" s="66">
        <f>+AH8+AH157+AH264+AH360+AH397+AH398</f>
        <v>60000000</v>
      </c>
      <c r="AI7" s="864"/>
      <c r="AJ7" s="971">
        <f>+AJ8+AJ157+AJ264+AJ360+AJ397+AJ398</f>
        <v>5199000</v>
      </c>
      <c r="AK7" s="971">
        <f>+AK8+AK157+AK264+AK360+AK397+AK398</f>
        <v>12870700</v>
      </c>
      <c r="AL7" s="971">
        <f>+AL8+AL157+AL264+AL360+AL397+AL398</f>
        <v>14850400</v>
      </c>
      <c r="AM7" s="972">
        <f>+AM8+AM157+AM264+AM360+AM397+AM398</f>
        <v>18682500</v>
      </c>
      <c r="AN7" s="971">
        <f>+AN8+AN157+AN264+AN360+AN397+AN398</f>
        <v>8397400</v>
      </c>
      <c r="AO7" s="971">
        <f>SUM(AJ7:AN7)</f>
        <v>60000000</v>
      </c>
      <c r="AP7" s="108"/>
      <c r="AQ7" s="1027"/>
      <c r="AR7" s="108"/>
      <c r="AS7" s="108"/>
      <c r="AT7" s="108"/>
      <c r="AU7" s="108"/>
      <c r="AV7" s="108"/>
      <c r="AW7" s="108"/>
      <c r="AX7" s="108"/>
      <c r="AY7" s="108"/>
    </row>
    <row r="8" spans="1:51" s="878" customFormat="1" ht="25.25" customHeight="1">
      <c r="A8" s="577"/>
      <c r="B8" s="67" t="s">
        <v>494</v>
      </c>
      <c r="C8" s="67"/>
      <c r="D8" s="543" t="s">
        <v>495</v>
      </c>
      <c r="E8" s="543" t="s">
        <v>4</v>
      </c>
      <c r="F8" s="68"/>
      <c r="G8" s="95"/>
      <c r="H8" s="167"/>
      <c r="I8" s="166"/>
      <c r="J8" s="168"/>
      <c r="K8" s="168"/>
      <c r="L8" s="168"/>
      <c r="M8" s="168"/>
      <c r="N8" s="168"/>
      <c r="O8" s="168"/>
      <c r="P8" s="168"/>
      <c r="Q8" s="95"/>
      <c r="R8" s="370"/>
      <c r="S8" s="370"/>
      <c r="T8" s="370"/>
      <c r="U8" s="370"/>
      <c r="V8" s="169"/>
      <c r="W8" s="95"/>
      <c r="X8" s="68"/>
      <c r="Y8" s="166"/>
      <c r="Z8" s="166"/>
      <c r="AA8" s="170"/>
      <c r="AB8" s="69"/>
      <c r="AC8" s="69">
        <f>AC9+AC44+AC118+AC136</f>
        <v>36867000</v>
      </c>
      <c r="AD8" s="69">
        <f>28000000-AC8</f>
        <v>-8867000</v>
      </c>
      <c r="AE8" s="95"/>
      <c r="AF8" s="69">
        <f>AF9+AF44+AF118+AF136</f>
        <v>36867000</v>
      </c>
      <c r="AG8" s="69">
        <f>AG9+AG44+AG118+AG136</f>
        <v>0</v>
      </c>
      <c r="AH8" s="69">
        <f>AH9+AH44+AH118+AH136</f>
        <v>36867000</v>
      </c>
      <c r="AI8" s="864"/>
      <c r="AJ8" s="974">
        <f>AJ9+AJ44+AJ118+AJ136</f>
        <v>2123000</v>
      </c>
      <c r="AK8" s="974">
        <f>AK9+AK44+AK118+AK136</f>
        <v>7215700</v>
      </c>
      <c r="AL8" s="974">
        <f>AL9+AL44+AL118+AL136</f>
        <v>9177400</v>
      </c>
      <c r="AM8" s="975">
        <f>AM9+AM44+AM118+AM136</f>
        <v>13541500</v>
      </c>
      <c r="AN8" s="973">
        <f>AN9+AN44+AN118+AN136</f>
        <v>4809400</v>
      </c>
      <c r="AO8" s="973">
        <f t="shared" ref="AO8:AO76" si="0">SUM(AJ8:AN8)</f>
        <v>36867000</v>
      </c>
      <c r="AP8" s="153"/>
      <c r="AQ8" s="1027"/>
      <c r="AR8" s="153"/>
      <c r="AS8" s="153"/>
      <c r="AT8" s="153"/>
      <c r="AU8" s="153"/>
      <c r="AV8" s="153"/>
      <c r="AW8" s="153"/>
      <c r="AX8" s="153"/>
      <c r="AY8" s="153"/>
    </row>
    <row r="9" spans="1:51" s="153" customFormat="1" ht="24" customHeight="1" outlineLevel="1">
      <c r="A9" s="578"/>
      <c r="B9" s="428" t="s">
        <v>496</v>
      </c>
      <c r="C9" s="428"/>
      <c r="D9" s="539" t="s">
        <v>11</v>
      </c>
      <c r="E9" s="539" t="s">
        <v>4</v>
      </c>
      <c r="F9" s="427"/>
      <c r="G9" s="96"/>
      <c r="H9" s="429"/>
      <c r="I9" s="425"/>
      <c r="J9" s="430"/>
      <c r="K9" s="430"/>
      <c r="L9" s="430"/>
      <c r="M9" s="430"/>
      <c r="N9" s="430"/>
      <c r="O9" s="430"/>
      <c r="P9" s="430"/>
      <c r="Q9" s="96"/>
      <c r="R9" s="850"/>
      <c r="S9" s="850"/>
      <c r="T9" s="850"/>
      <c r="U9" s="850"/>
      <c r="V9" s="431"/>
      <c r="W9" s="96"/>
      <c r="X9" s="426"/>
      <c r="Y9" s="425"/>
      <c r="Z9" s="425"/>
      <c r="AA9" s="432"/>
      <c r="AB9" s="433"/>
      <c r="AC9" s="433">
        <f>+AC10+AC16+AC29+AC40+AC32</f>
        <v>6997000</v>
      </c>
      <c r="AD9" s="685"/>
      <c r="AE9" s="96"/>
      <c r="AF9" s="433">
        <f>+AF10+AF16+AF29+AF40+AF32</f>
        <v>6997000</v>
      </c>
      <c r="AG9" s="433">
        <f>+AG10+AG16+AG29+AG40+AG32</f>
        <v>0</v>
      </c>
      <c r="AH9" s="433">
        <f>+AH10+AH16+AH29+AH40+AH32</f>
        <v>6997000</v>
      </c>
      <c r="AI9" s="865"/>
      <c r="AJ9" s="977">
        <f>+AJ10+AJ16+AJ29+AJ40+AJ32</f>
        <v>655000</v>
      </c>
      <c r="AK9" s="977">
        <f>+AK10+AK16+AK29+AK40+AK32</f>
        <v>1889700</v>
      </c>
      <c r="AL9" s="977">
        <f>+AL10+AL16+AL29+AL40+AL32</f>
        <v>1624400</v>
      </c>
      <c r="AM9" s="978">
        <f>+AM10+AM16+AM29+AM40+AM32</f>
        <v>2518500</v>
      </c>
      <c r="AN9" s="976">
        <f>+AN10+AN16+AN29+AN40+AN32</f>
        <v>309400</v>
      </c>
      <c r="AO9" s="976">
        <f t="shared" si="0"/>
        <v>6997000</v>
      </c>
      <c r="AQ9" s="1027"/>
    </row>
    <row r="10" spans="1:51" s="153" customFormat="1" ht="45" outlineLevel="2">
      <c r="A10" s="172"/>
      <c r="B10" s="171" t="s">
        <v>499</v>
      </c>
      <c r="C10" s="171"/>
      <c r="D10" s="538" t="s">
        <v>587</v>
      </c>
      <c r="E10" s="538" t="s">
        <v>4</v>
      </c>
      <c r="F10" s="106" t="s">
        <v>1177</v>
      </c>
      <c r="G10" s="96"/>
      <c r="H10" s="357" t="e">
        <f>+'1_MdR_Limpia'!#REF!</f>
        <v>#REF!</v>
      </c>
      <c r="I10" s="357" t="e">
        <f>+'1_MdR_Limpia'!#REF!</f>
        <v>#REF!</v>
      </c>
      <c r="J10" s="357" t="e">
        <f>+'1_MdR_Limpia'!#REF!</f>
        <v>#REF!</v>
      </c>
      <c r="K10" s="357" t="e">
        <f>+'1_MdR_Limpia'!#REF!</f>
        <v>#REF!</v>
      </c>
      <c r="L10" s="357" t="e">
        <f>+'1_MdR_Limpia'!#REF!</f>
        <v>#REF!</v>
      </c>
      <c r="M10" s="357" t="e">
        <f>+'1_MdR_Limpia'!#REF!</f>
        <v>#REF!</v>
      </c>
      <c r="N10" s="357" t="e">
        <f>+'1_MdR_Limpia'!#REF!</f>
        <v>#REF!</v>
      </c>
      <c r="O10" s="357" t="e">
        <f>+'1_MdR_Limpia'!#REF!</f>
        <v>#REF!</v>
      </c>
      <c r="P10" s="357" t="e">
        <f>+'1_MdR_Limpia'!#REF!</f>
        <v>#REF!</v>
      </c>
      <c r="Q10" s="96"/>
      <c r="R10" s="358"/>
      <c r="S10" s="358"/>
      <c r="T10" s="358"/>
      <c r="U10" s="358"/>
      <c r="V10" s="174"/>
      <c r="W10" s="96"/>
      <c r="X10" s="106"/>
      <c r="Y10" s="172"/>
      <c r="Z10" s="172"/>
      <c r="AA10" s="171"/>
      <c r="AB10" s="176"/>
      <c r="AC10" s="176">
        <f>SUM(AC11:AC15)</f>
        <v>860000</v>
      </c>
      <c r="AD10" s="686"/>
      <c r="AE10" s="96"/>
      <c r="AF10" s="176">
        <f>SUM(AF11:AF15)</f>
        <v>860000</v>
      </c>
      <c r="AG10" s="176">
        <f>SUM(AG11:AG15)</f>
        <v>0</v>
      </c>
      <c r="AH10" s="176">
        <f>SUM(AH11:AH15)</f>
        <v>860000</v>
      </c>
      <c r="AI10" s="865"/>
      <c r="AJ10" s="176">
        <f>SUM(AJ11:AJ15)</f>
        <v>555000</v>
      </c>
      <c r="AK10" s="176">
        <f>SUM(AK11:AK15)</f>
        <v>305000</v>
      </c>
      <c r="AL10" s="176">
        <f>SUM(AL11:AL15)</f>
        <v>0</v>
      </c>
      <c r="AM10" s="176">
        <f>SUM(AM11:AM15)</f>
        <v>0</v>
      </c>
      <c r="AN10" s="176">
        <f>SUM(AN11:AN15)</f>
        <v>0</v>
      </c>
      <c r="AO10" s="979">
        <f t="shared" si="0"/>
        <v>860000</v>
      </c>
      <c r="AQ10" s="1027"/>
    </row>
    <row r="11" spans="1:51" s="879" customFormat="1" ht="72" customHeight="1" outlineLevel="3" collapsed="1">
      <c r="A11" s="579" t="s">
        <v>2629</v>
      </c>
      <c r="B11" s="490" t="s">
        <v>497</v>
      </c>
      <c r="C11" s="490" t="s">
        <v>2629</v>
      </c>
      <c r="D11" s="537" t="s">
        <v>3605</v>
      </c>
      <c r="E11" s="537"/>
      <c r="F11" s="491"/>
      <c r="G11" s="492"/>
      <c r="H11" s="768"/>
      <c r="I11" s="768"/>
      <c r="J11" s="768"/>
      <c r="K11" s="768"/>
      <c r="L11" s="768"/>
      <c r="M11" s="768"/>
      <c r="N11" s="768"/>
      <c r="O11" s="768"/>
      <c r="P11" s="768"/>
      <c r="Q11" s="492"/>
      <c r="R11" s="494" t="s">
        <v>876</v>
      </c>
      <c r="S11" s="494"/>
      <c r="T11" s="494"/>
      <c r="U11" s="494"/>
      <c r="V11" s="496"/>
      <c r="W11" s="492"/>
      <c r="X11" s="498"/>
      <c r="Y11" s="499"/>
      <c r="Z11" s="500"/>
      <c r="AA11" s="501"/>
      <c r="AB11" s="502"/>
      <c r="AC11" s="502">
        <f>+AB11+Y11</f>
        <v>0</v>
      </c>
      <c r="AD11" s="678" t="s">
        <v>1402</v>
      </c>
      <c r="AE11" s="492"/>
      <c r="AF11" s="502">
        <f>+AC11</f>
        <v>0</v>
      </c>
      <c r="AG11" s="502">
        <v>0</v>
      </c>
      <c r="AH11" s="503">
        <f>+AF11+AG11</f>
        <v>0</v>
      </c>
      <c r="AI11" s="866"/>
      <c r="AJ11" s="983"/>
      <c r="AK11" s="983"/>
      <c r="AL11" s="983"/>
      <c r="AM11" s="984"/>
      <c r="AN11" s="985"/>
      <c r="AO11" s="985">
        <f t="shared" si="0"/>
        <v>0</v>
      </c>
      <c r="AQ11" s="1027"/>
    </row>
    <row r="12" spans="1:51" s="108" customFormat="1" ht="33" customHeight="1" outlineLevel="3">
      <c r="A12" s="580"/>
      <c r="B12" s="107" t="s">
        <v>624</v>
      </c>
      <c r="C12" s="107"/>
      <c r="D12" s="703" t="s">
        <v>617</v>
      </c>
      <c r="E12" s="703"/>
      <c r="F12" s="103"/>
      <c r="G12" s="97"/>
      <c r="H12" s="366"/>
      <c r="I12" s="366"/>
      <c r="J12" s="366"/>
      <c r="K12" s="366"/>
      <c r="L12" s="366"/>
      <c r="M12" s="366"/>
      <c r="N12" s="366"/>
      <c r="O12" s="366"/>
      <c r="P12" s="366"/>
      <c r="Q12" s="97"/>
      <c r="R12" s="364" t="str">
        <f>+'9.3_PA_Det'!$E$162</f>
        <v>3CV</v>
      </c>
      <c r="S12" s="364" t="s">
        <v>1075</v>
      </c>
      <c r="T12" s="364" t="s">
        <v>1430</v>
      </c>
      <c r="U12" s="364">
        <f>+'9.3_PA_Det'!$F$162</f>
        <v>56</v>
      </c>
      <c r="V12" s="181"/>
      <c r="W12" s="97"/>
      <c r="X12" s="711" t="s">
        <v>1189</v>
      </c>
      <c r="Y12" s="712">
        <v>1</v>
      </c>
      <c r="Z12" s="179">
        <v>24</v>
      </c>
      <c r="AA12" s="180"/>
      <c r="AB12" s="1032">
        <v>5000</v>
      </c>
      <c r="AC12" s="1032">
        <f>+Y12*Z12*AB12</f>
        <v>120000</v>
      </c>
      <c r="AD12" s="4675" t="s">
        <v>3328</v>
      </c>
      <c r="AE12" s="97"/>
      <c r="AF12" s="502">
        <f>+AC12</f>
        <v>120000</v>
      </c>
      <c r="AG12" s="1032">
        <v>0</v>
      </c>
      <c r="AH12" s="503">
        <f>+AF12+AG12</f>
        <v>120000</v>
      </c>
      <c r="AI12" s="867"/>
      <c r="AJ12" s="728">
        <f>+$AB$12*12</f>
        <v>60000</v>
      </c>
      <c r="AK12" s="728">
        <f>+$AB$12*12</f>
        <v>60000</v>
      </c>
      <c r="AL12" s="986"/>
      <c r="AM12" s="987"/>
      <c r="AN12" s="1038"/>
      <c r="AO12" s="1038">
        <f t="shared" si="0"/>
        <v>120000</v>
      </c>
      <c r="AQ12" s="1027"/>
    </row>
    <row r="13" spans="1:51" s="108" customFormat="1" ht="33" customHeight="1" outlineLevel="3">
      <c r="A13" s="580"/>
      <c r="B13" s="107" t="s">
        <v>626</v>
      </c>
      <c r="C13" s="107"/>
      <c r="D13" s="703" t="s">
        <v>619</v>
      </c>
      <c r="E13" s="703"/>
      <c r="F13" s="103"/>
      <c r="G13" s="97"/>
      <c r="H13" s="366"/>
      <c r="I13" s="366"/>
      <c r="J13" s="366"/>
      <c r="K13" s="366"/>
      <c r="L13" s="366"/>
      <c r="M13" s="366"/>
      <c r="N13" s="366"/>
      <c r="O13" s="366"/>
      <c r="P13" s="366"/>
      <c r="Q13" s="97"/>
      <c r="R13" s="364" t="str">
        <f>+'9.3_PA_Det'!$E$164</f>
        <v>3CV</v>
      </c>
      <c r="S13" s="364" t="s">
        <v>1075</v>
      </c>
      <c r="T13" s="364" t="s">
        <v>1430</v>
      </c>
      <c r="U13" s="364">
        <f>+'9.3_PA_Det'!$F$164</f>
        <v>57</v>
      </c>
      <c r="V13" s="181"/>
      <c r="W13" s="97"/>
      <c r="X13" s="711" t="s">
        <v>1189</v>
      </c>
      <c r="Y13" s="712">
        <v>1</v>
      </c>
      <c r="Z13" s="179">
        <v>24</v>
      </c>
      <c r="AA13" s="180"/>
      <c r="AB13" s="1032">
        <v>5000</v>
      </c>
      <c r="AC13" s="1032">
        <f>+Y13*Z13*AB13</f>
        <v>120000</v>
      </c>
      <c r="AD13" s="4675"/>
      <c r="AE13" s="97"/>
      <c r="AF13" s="502">
        <f>+AC13</f>
        <v>120000</v>
      </c>
      <c r="AG13" s="1032">
        <v>0</v>
      </c>
      <c r="AH13" s="503">
        <f>+AF13+AG13</f>
        <v>120000</v>
      </c>
      <c r="AI13" s="867"/>
      <c r="AJ13" s="728">
        <f>+$AB$13*12</f>
        <v>60000</v>
      </c>
      <c r="AK13" s="728">
        <f>+$AB$13*12</f>
        <v>60000</v>
      </c>
      <c r="AL13" s="986"/>
      <c r="AM13" s="987"/>
      <c r="AN13" s="1038"/>
      <c r="AO13" s="1038">
        <f>SUM(AJ13:AN13)</f>
        <v>120000</v>
      </c>
      <c r="AQ13" s="1027"/>
    </row>
    <row r="14" spans="1:51" s="108" customFormat="1" ht="31.25" customHeight="1" outlineLevel="3">
      <c r="A14" s="580"/>
      <c r="B14" s="107" t="s">
        <v>628</v>
      </c>
      <c r="C14" s="107"/>
      <c r="D14" s="703" t="s">
        <v>621</v>
      </c>
      <c r="E14" s="703"/>
      <c r="F14" s="103"/>
      <c r="G14" s="97"/>
      <c r="H14" s="366"/>
      <c r="I14" s="366"/>
      <c r="J14" s="366"/>
      <c r="K14" s="366"/>
      <c r="L14" s="366"/>
      <c r="M14" s="366"/>
      <c r="N14" s="366"/>
      <c r="O14" s="366"/>
      <c r="P14" s="366"/>
      <c r="Q14" s="97"/>
      <c r="R14" s="852" t="str">
        <f>+'9.3_PA_Det'!$E$166</f>
        <v>3CV</v>
      </c>
      <c r="S14" s="364" t="s">
        <v>1075</v>
      </c>
      <c r="T14" s="364" t="s">
        <v>1430</v>
      </c>
      <c r="U14" s="852">
        <f>+'9.3_PA_Det'!$F$166</f>
        <v>58</v>
      </c>
      <c r="V14" s="530"/>
      <c r="W14" s="97"/>
      <c r="X14" s="711" t="s">
        <v>1189</v>
      </c>
      <c r="Y14" s="763">
        <v>2</v>
      </c>
      <c r="Z14" s="531">
        <v>24</v>
      </c>
      <c r="AA14" s="532"/>
      <c r="AB14" s="1039">
        <v>2500</v>
      </c>
      <c r="AC14" s="1032">
        <f>+Y14*Z14*AB14</f>
        <v>120000</v>
      </c>
      <c r="AD14" s="4675"/>
      <c r="AE14" s="97"/>
      <c r="AF14" s="502">
        <f>+AC14</f>
        <v>120000</v>
      </c>
      <c r="AG14" s="1032">
        <v>0</v>
      </c>
      <c r="AH14" s="503">
        <f>+AF14+AG14</f>
        <v>120000</v>
      </c>
      <c r="AI14" s="867"/>
      <c r="AJ14" s="728">
        <f>+$AB$14*12*2</f>
        <v>60000</v>
      </c>
      <c r="AK14" s="728">
        <f>+$AB$14*12*2</f>
        <v>60000</v>
      </c>
      <c r="AL14" s="988"/>
      <c r="AM14" s="989"/>
      <c r="AN14" s="1040"/>
      <c r="AO14" s="1038">
        <f t="shared" si="0"/>
        <v>120000</v>
      </c>
      <c r="AQ14" s="1027"/>
    </row>
    <row r="15" spans="1:51" s="108" customFormat="1" ht="30" outlineLevel="3">
      <c r="A15" s="580"/>
      <c r="B15" s="107" t="s">
        <v>630</v>
      </c>
      <c r="C15" s="107"/>
      <c r="D15" s="533" t="s">
        <v>623</v>
      </c>
      <c r="E15" s="533"/>
      <c r="F15" s="103"/>
      <c r="G15" s="97"/>
      <c r="H15" s="366"/>
      <c r="I15" s="366"/>
      <c r="J15" s="366"/>
      <c r="K15" s="366"/>
      <c r="L15" s="366"/>
      <c r="M15" s="366"/>
      <c r="N15" s="366"/>
      <c r="O15" s="366"/>
      <c r="P15" s="366"/>
      <c r="Q15" s="97"/>
      <c r="R15" s="852" t="str">
        <f>'9.3_PA_Det'!$E$31</f>
        <v>Selección Basada en Calidad y Costo</v>
      </c>
      <c r="S15" s="364" t="s">
        <v>1075</v>
      </c>
      <c r="T15" s="852" t="s">
        <v>1198</v>
      </c>
      <c r="U15" s="852">
        <f>+'9.3_PA_Det'!$F$31</f>
        <v>8</v>
      </c>
      <c r="V15" s="759"/>
      <c r="W15" s="97"/>
      <c r="X15" s="529" t="s">
        <v>1179</v>
      </c>
      <c r="Y15" s="723">
        <v>1</v>
      </c>
      <c r="Z15" s="723"/>
      <c r="AA15" s="723"/>
      <c r="AB15" s="724">
        <v>500000</v>
      </c>
      <c r="AC15" s="724">
        <f>Y15*AB15</f>
        <v>500000</v>
      </c>
      <c r="AD15" s="530"/>
      <c r="AE15" s="97"/>
      <c r="AF15" s="724">
        <f>+AC15</f>
        <v>500000</v>
      </c>
      <c r="AG15" s="1039">
        <v>0</v>
      </c>
      <c r="AH15" s="724">
        <f>AF15+AG15</f>
        <v>500000</v>
      </c>
      <c r="AI15" s="867"/>
      <c r="AJ15" s="990">
        <f>+AH15*75%</f>
        <v>375000</v>
      </c>
      <c r="AK15" s="990">
        <f>+AF15*25%</f>
        <v>125000</v>
      </c>
      <c r="AL15" s="990"/>
      <c r="AM15" s="990"/>
      <c r="AN15" s="990"/>
      <c r="AO15" s="990">
        <f t="shared" si="0"/>
        <v>500000</v>
      </c>
      <c r="AQ15" s="1027"/>
    </row>
    <row r="16" spans="1:51" s="153" customFormat="1" ht="45" outlineLevel="2">
      <c r="A16" s="172"/>
      <c r="B16" s="171" t="s">
        <v>501</v>
      </c>
      <c r="C16" s="171"/>
      <c r="D16" s="538" t="s">
        <v>588</v>
      </c>
      <c r="E16" s="538" t="s">
        <v>4</v>
      </c>
      <c r="F16" s="106" t="s">
        <v>1176</v>
      </c>
      <c r="G16" s="96"/>
      <c r="H16" s="357" t="str">
        <f>+'1_MdR_Limpia'!C27</f>
        <v>Informe</v>
      </c>
      <c r="I16" s="357">
        <f>+'1_MdR_Limpia'!D27</f>
        <v>0</v>
      </c>
      <c r="J16" s="357">
        <f>+'1_MdR_Limpia'!E27</f>
        <v>2021</v>
      </c>
      <c r="K16" s="357" t="str">
        <f>+'1_MdR_Limpia'!G27</f>
        <v>-</v>
      </c>
      <c r="L16" s="357" t="str">
        <f>+'1_MdR_Limpia'!H27</f>
        <v>-</v>
      </c>
      <c r="M16" s="357">
        <f>+'1_MdR_Limpia'!I27</f>
        <v>1</v>
      </c>
      <c r="N16" s="357">
        <f>+'1_MdR_Limpia'!J27</f>
        <v>1</v>
      </c>
      <c r="O16" s="357">
        <f>+'1_MdR_Limpia'!K27</f>
        <v>1</v>
      </c>
      <c r="P16" s="357">
        <f>+'1_MdR_Limpia'!L27</f>
        <v>3</v>
      </c>
      <c r="Q16" s="96"/>
      <c r="R16" s="358"/>
      <c r="S16" s="358"/>
      <c r="T16" s="358"/>
      <c r="U16" s="358"/>
      <c r="V16" s="174"/>
      <c r="W16" s="96"/>
      <c r="X16" s="106"/>
      <c r="Y16" s="172"/>
      <c r="Z16" s="172"/>
      <c r="AA16" s="171"/>
      <c r="AB16" s="176"/>
      <c r="AC16" s="176">
        <f>+AC17+AC18+AC19+AC20+AC24</f>
        <v>2840000</v>
      </c>
      <c r="AD16" s="686"/>
      <c r="AE16" s="96"/>
      <c r="AF16" s="176">
        <f>+AF17+AF18+AF19+AF20+AF24</f>
        <v>2840000</v>
      </c>
      <c r="AG16" s="176">
        <f>+AG17+AG18+AG19+AG20+AG24</f>
        <v>0</v>
      </c>
      <c r="AH16" s="176">
        <f>+AH17+AH18+AH19+AH20+AH24</f>
        <v>2840000</v>
      </c>
      <c r="AI16" s="865"/>
      <c r="AJ16" s="980">
        <f>+AJ17+AJ18+AJ19+AJ20+AJ24</f>
        <v>0</v>
      </c>
      <c r="AK16" s="980">
        <f>+AK17+AK18+AK19+AK20+AK24</f>
        <v>950000</v>
      </c>
      <c r="AL16" s="980">
        <f>+AL17+AL18+AL19+AL20+AL24</f>
        <v>630000</v>
      </c>
      <c r="AM16" s="981">
        <f>+AM17+AM18+AM19+AM20+AM24</f>
        <v>1080000</v>
      </c>
      <c r="AN16" s="979">
        <f>+AN17+AN18+AN19+AN20+AN24</f>
        <v>180000</v>
      </c>
      <c r="AO16" s="979">
        <f t="shared" si="0"/>
        <v>2840000</v>
      </c>
      <c r="AQ16" s="1027"/>
    </row>
    <row r="17" spans="1:43" s="879" customFormat="1" ht="39.5" customHeight="1" outlineLevel="3">
      <c r="A17" s="579" t="s">
        <v>2629</v>
      </c>
      <c r="B17" s="490" t="s">
        <v>677</v>
      </c>
      <c r="C17" s="490"/>
      <c r="D17" s="537" t="s">
        <v>625</v>
      </c>
      <c r="E17" s="537"/>
      <c r="F17" s="491"/>
      <c r="G17" s="492"/>
      <c r="H17" s="493"/>
      <c r="I17" s="493"/>
      <c r="J17" s="493"/>
      <c r="K17" s="493"/>
      <c r="L17" s="493"/>
      <c r="M17" s="493"/>
      <c r="N17" s="493"/>
      <c r="O17" s="493"/>
      <c r="P17" s="493"/>
      <c r="Q17" s="492"/>
      <c r="R17" s="494" t="s">
        <v>876</v>
      </c>
      <c r="S17" s="494"/>
      <c r="T17" s="494"/>
      <c r="U17" s="494"/>
      <c r="V17" s="496"/>
      <c r="W17" s="492"/>
      <c r="X17" s="498"/>
      <c r="Y17" s="499"/>
      <c r="Z17" s="500"/>
      <c r="AA17" s="501"/>
      <c r="AB17" s="502"/>
      <c r="AC17" s="502">
        <f>+AB17+Y17</f>
        <v>0</v>
      </c>
      <c r="AD17" s="678" t="s">
        <v>3330</v>
      </c>
      <c r="AE17" s="492"/>
      <c r="AF17" s="502">
        <f>+AC17</f>
        <v>0</v>
      </c>
      <c r="AG17" s="502">
        <v>0</v>
      </c>
      <c r="AH17" s="503">
        <f>+AF17+AG17</f>
        <v>0</v>
      </c>
      <c r="AI17" s="866"/>
      <c r="AJ17" s="983"/>
      <c r="AK17" s="983"/>
      <c r="AL17" s="983"/>
      <c r="AM17" s="984"/>
      <c r="AN17" s="985"/>
      <c r="AO17" s="985">
        <f t="shared" si="0"/>
        <v>0</v>
      </c>
      <c r="AQ17" s="1027"/>
    </row>
    <row r="18" spans="1:43" s="879" customFormat="1" ht="39.5" customHeight="1" outlineLevel="3" collapsed="1">
      <c r="A18" s="579" t="s">
        <v>2629</v>
      </c>
      <c r="B18" s="490" t="s">
        <v>696</v>
      </c>
      <c r="C18" s="490"/>
      <c r="D18" s="537" t="s">
        <v>3606</v>
      </c>
      <c r="E18" s="537"/>
      <c r="F18" s="491"/>
      <c r="G18" s="492"/>
      <c r="H18" s="493"/>
      <c r="I18" s="493"/>
      <c r="J18" s="493"/>
      <c r="K18" s="493"/>
      <c r="L18" s="493"/>
      <c r="M18" s="493"/>
      <c r="N18" s="493"/>
      <c r="O18" s="493"/>
      <c r="P18" s="493"/>
      <c r="Q18" s="492"/>
      <c r="R18" s="494" t="s">
        <v>876</v>
      </c>
      <c r="S18" s="494"/>
      <c r="T18" s="494"/>
      <c r="U18" s="494"/>
      <c r="V18" s="496"/>
      <c r="W18" s="492"/>
      <c r="X18" s="498"/>
      <c r="Y18" s="499"/>
      <c r="Z18" s="500"/>
      <c r="AA18" s="501"/>
      <c r="AB18" s="502"/>
      <c r="AC18" s="502">
        <f>+AB18+Y18</f>
        <v>0</v>
      </c>
      <c r="AD18" s="678" t="s">
        <v>1402</v>
      </c>
      <c r="AE18" s="492"/>
      <c r="AF18" s="502">
        <f>+AC18</f>
        <v>0</v>
      </c>
      <c r="AG18" s="502">
        <v>0</v>
      </c>
      <c r="AH18" s="503">
        <f>+AF18+AG18</f>
        <v>0</v>
      </c>
      <c r="AI18" s="866"/>
      <c r="AJ18" s="983"/>
      <c r="AK18" s="983"/>
      <c r="AL18" s="983"/>
      <c r="AM18" s="984"/>
      <c r="AN18" s="985"/>
      <c r="AO18" s="985">
        <f t="shared" si="0"/>
        <v>0</v>
      </c>
      <c r="AQ18" s="1027"/>
    </row>
    <row r="19" spans="1:43" s="108" customFormat="1" ht="53" customHeight="1" outlineLevel="3" collapsed="1">
      <c r="A19" s="580"/>
      <c r="B19" s="107" t="s">
        <v>2270</v>
      </c>
      <c r="C19" s="107"/>
      <c r="D19" s="533" t="s">
        <v>629</v>
      </c>
      <c r="E19" s="533"/>
      <c r="F19" s="103"/>
      <c r="G19" s="97"/>
      <c r="H19" s="363"/>
      <c r="I19" s="363"/>
      <c r="J19" s="363"/>
      <c r="K19" s="363"/>
      <c r="L19" s="363"/>
      <c r="M19" s="363"/>
      <c r="N19" s="363"/>
      <c r="O19" s="363"/>
      <c r="P19" s="363"/>
      <c r="Q19" s="97"/>
      <c r="R19" s="852" t="str">
        <f>+'9.3_PA_Det'!E32</f>
        <v>Selección Basada en Calidad y Costo</v>
      </c>
      <c r="S19" s="364" t="s">
        <v>1075</v>
      </c>
      <c r="T19" s="852" t="s">
        <v>1198</v>
      </c>
      <c r="U19" s="852">
        <f>+'9.3_PA_Det'!F32</f>
        <v>9</v>
      </c>
      <c r="V19" s="181"/>
      <c r="W19" s="97"/>
      <c r="X19" s="711" t="s">
        <v>1179</v>
      </c>
      <c r="Y19" s="712" t="s">
        <v>494</v>
      </c>
      <c r="Z19" s="179"/>
      <c r="AA19" s="180"/>
      <c r="AB19" s="725">
        <v>500000</v>
      </c>
      <c r="AC19" s="724">
        <f>+AB19*Y19</f>
        <v>500000</v>
      </c>
      <c r="AD19" s="726"/>
      <c r="AE19" s="97"/>
      <c r="AF19" s="502">
        <f>+AB19</f>
        <v>500000</v>
      </c>
      <c r="AG19" s="502">
        <v>0</v>
      </c>
      <c r="AH19" s="503">
        <f>+AF19+AG19</f>
        <v>500000</v>
      </c>
      <c r="AI19" s="867"/>
      <c r="AJ19" s="986"/>
      <c r="AK19" s="986">
        <f>+AF19</f>
        <v>500000</v>
      </c>
      <c r="AL19" s="986"/>
      <c r="AM19" s="987"/>
      <c r="AN19" s="991"/>
      <c r="AO19" s="991">
        <f t="shared" si="0"/>
        <v>500000</v>
      </c>
      <c r="AQ19" s="1027"/>
    </row>
    <row r="20" spans="1:43" s="153" customFormat="1" ht="26.5" customHeight="1" outlineLevel="3">
      <c r="A20" s="581"/>
      <c r="B20" s="400" t="s">
        <v>2271</v>
      </c>
      <c r="C20" s="400"/>
      <c r="D20" s="536" t="s">
        <v>631</v>
      </c>
      <c r="E20" s="536"/>
      <c r="F20" s="399"/>
      <c r="G20" s="96"/>
      <c r="H20" s="401"/>
      <c r="I20" s="401"/>
      <c r="J20" s="401"/>
      <c r="K20" s="401"/>
      <c r="L20" s="401"/>
      <c r="M20" s="401"/>
      <c r="N20" s="401"/>
      <c r="O20" s="401"/>
      <c r="P20" s="401"/>
      <c r="Q20" s="96"/>
      <c r="R20" s="837"/>
      <c r="S20" s="851"/>
      <c r="T20" s="851"/>
      <c r="U20" s="851"/>
      <c r="V20" s="399"/>
      <c r="W20" s="96"/>
      <c r="X20" s="396"/>
      <c r="Y20" s="397"/>
      <c r="Z20" s="397"/>
      <c r="AA20" s="395"/>
      <c r="AB20" s="398"/>
      <c r="AC20" s="398">
        <f>AC21+AC22+AC23</f>
        <v>1800000</v>
      </c>
      <c r="AD20" s="680"/>
      <c r="AE20" s="96"/>
      <c r="AF20" s="398">
        <f>AF21+AF22+AF23</f>
        <v>1800000</v>
      </c>
      <c r="AG20" s="398">
        <f>AG21+AG22+AG23</f>
        <v>0</v>
      </c>
      <c r="AH20" s="398">
        <f>AH21+AH22+AH23</f>
        <v>1800000</v>
      </c>
      <c r="AI20" s="865"/>
      <c r="AJ20" s="992">
        <f>AJ21+AJ22+AJ23</f>
        <v>0</v>
      </c>
      <c r="AK20" s="992">
        <f>AK21+AK22+AK23</f>
        <v>450000</v>
      </c>
      <c r="AL20" s="992">
        <f>AL21+AL22+AL23</f>
        <v>450000</v>
      </c>
      <c r="AM20" s="993">
        <f>AM21+AM22+AM23</f>
        <v>900000</v>
      </c>
      <c r="AN20" s="994">
        <f>AN21+AN22+AN23</f>
        <v>0</v>
      </c>
      <c r="AO20" s="994">
        <f t="shared" si="0"/>
        <v>1800000</v>
      </c>
      <c r="AQ20" s="1027"/>
    </row>
    <row r="21" spans="1:43" s="108" customFormat="1" ht="14" customHeight="1" outlineLevel="4">
      <c r="A21" s="580"/>
      <c r="B21" s="107" t="s">
        <v>3607</v>
      </c>
      <c r="C21" s="107"/>
      <c r="D21" s="533" t="s">
        <v>633</v>
      </c>
      <c r="E21" s="533"/>
      <c r="F21" s="103"/>
      <c r="G21" s="97"/>
      <c r="H21" s="363"/>
      <c r="I21" s="363"/>
      <c r="J21" s="363"/>
      <c r="K21" s="363"/>
      <c r="L21" s="363"/>
      <c r="M21" s="363"/>
      <c r="N21" s="363"/>
      <c r="O21" s="363"/>
      <c r="P21" s="363"/>
      <c r="Q21" s="97"/>
      <c r="R21" s="3897" t="str">
        <f>+'9.3_PA_Det'!$E$33</f>
        <v>Selección Basada en Calidad y Costo</v>
      </c>
      <c r="S21" s="3897" t="s">
        <v>1075</v>
      </c>
      <c r="T21" s="3897" t="s">
        <v>1198</v>
      </c>
      <c r="U21" s="3897">
        <f>+'9.3_PA_Det'!$F$33</f>
        <v>10</v>
      </c>
      <c r="V21" s="3903"/>
      <c r="W21" s="97"/>
      <c r="X21" s="529" t="s">
        <v>1179</v>
      </c>
      <c r="Y21" s="723">
        <v>2</v>
      </c>
      <c r="Z21" s="723"/>
      <c r="AA21" s="723"/>
      <c r="AB21" s="724">
        <v>250000</v>
      </c>
      <c r="AC21" s="724">
        <f>Y21*AB21</f>
        <v>500000</v>
      </c>
      <c r="AD21" s="530"/>
      <c r="AE21" s="97"/>
      <c r="AF21" s="724">
        <f>+AC21</f>
        <v>500000</v>
      </c>
      <c r="AG21" s="1039">
        <v>0</v>
      </c>
      <c r="AH21" s="724">
        <f>AF21+AG21</f>
        <v>500000</v>
      </c>
      <c r="AI21" s="867"/>
      <c r="AJ21" s="990"/>
      <c r="AK21" s="990">
        <f>+$AF$21*25%</f>
        <v>125000</v>
      </c>
      <c r="AL21" s="990">
        <f>+$AF$21*25%</f>
        <v>125000</v>
      </c>
      <c r="AM21" s="990">
        <f>+$AF$21*50%</f>
        <v>250000</v>
      </c>
      <c r="AN21" s="990"/>
      <c r="AO21" s="990">
        <f t="shared" si="0"/>
        <v>500000</v>
      </c>
      <c r="AQ21" s="1027"/>
    </row>
    <row r="22" spans="1:43" s="108" customFormat="1" ht="14.5" customHeight="1" outlineLevel="4">
      <c r="A22" s="580"/>
      <c r="B22" s="107" t="s">
        <v>3608</v>
      </c>
      <c r="C22" s="107"/>
      <c r="D22" s="533" t="s">
        <v>636</v>
      </c>
      <c r="E22" s="533"/>
      <c r="F22" s="103"/>
      <c r="G22" s="97"/>
      <c r="H22" s="363"/>
      <c r="I22" s="363"/>
      <c r="J22" s="363"/>
      <c r="K22" s="363"/>
      <c r="L22" s="363"/>
      <c r="M22" s="363"/>
      <c r="N22" s="363"/>
      <c r="O22" s="363"/>
      <c r="P22" s="363"/>
      <c r="Q22" s="97"/>
      <c r="R22" s="3898"/>
      <c r="S22" s="3898"/>
      <c r="T22" s="3898"/>
      <c r="U22" s="3898"/>
      <c r="V22" s="3903"/>
      <c r="W22" s="97"/>
      <c r="X22" s="529" t="s">
        <v>1179</v>
      </c>
      <c r="Y22" s="723">
        <v>1</v>
      </c>
      <c r="Z22" s="723"/>
      <c r="AA22" s="723"/>
      <c r="AB22" s="724">
        <v>500000</v>
      </c>
      <c r="AC22" s="724">
        <f>Y22*AB22</f>
        <v>500000</v>
      </c>
      <c r="AD22" s="530" t="s">
        <v>3609</v>
      </c>
      <c r="AE22" s="97"/>
      <c r="AF22" s="724">
        <f>+AC22</f>
        <v>500000</v>
      </c>
      <c r="AG22" s="1039">
        <v>0</v>
      </c>
      <c r="AH22" s="724">
        <f>AF22+AG22</f>
        <v>500000</v>
      </c>
      <c r="AI22" s="867"/>
      <c r="AJ22" s="990"/>
      <c r="AK22" s="990">
        <f>+$AF$22*25%</f>
        <v>125000</v>
      </c>
      <c r="AL22" s="990">
        <f>+$AF$22*25%</f>
        <v>125000</v>
      </c>
      <c r="AM22" s="990">
        <f>+$AF$22*50%</f>
        <v>250000</v>
      </c>
      <c r="AN22" s="990"/>
      <c r="AO22" s="990">
        <f t="shared" si="0"/>
        <v>500000</v>
      </c>
      <c r="AQ22" s="1027"/>
    </row>
    <row r="23" spans="1:43" s="108" customFormat="1" ht="39.5" customHeight="1" outlineLevel="4">
      <c r="A23" s="580"/>
      <c r="B23" s="107" t="s">
        <v>3610</v>
      </c>
      <c r="C23" s="107"/>
      <c r="D23" s="533" t="s">
        <v>638</v>
      </c>
      <c r="E23" s="533"/>
      <c r="F23" s="103"/>
      <c r="G23" s="97"/>
      <c r="H23" s="363"/>
      <c r="I23" s="363"/>
      <c r="J23" s="363"/>
      <c r="K23" s="363"/>
      <c r="L23" s="363"/>
      <c r="M23" s="363"/>
      <c r="N23" s="363"/>
      <c r="O23" s="363"/>
      <c r="P23" s="363"/>
      <c r="Q23" s="97"/>
      <c r="R23" s="3899"/>
      <c r="S23" s="3899"/>
      <c r="T23" s="3899"/>
      <c r="U23" s="3899"/>
      <c r="V23" s="3903"/>
      <c r="W23" s="97"/>
      <c r="X23" s="529" t="s">
        <v>1179</v>
      </c>
      <c r="Y23" s="723">
        <v>1</v>
      </c>
      <c r="Z23" s="723"/>
      <c r="AA23" s="723"/>
      <c r="AB23" s="724">
        <v>800000</v>
      </c>
      <c r="AC23" s="724">
        <f>Y23*AB23</f>
        <v>800000</v>
      </c>
      <c r="AD23" s="530" t="s">
        <v>3611</v>
      </c>
      <c r="AE23" s="97"/>
      <c r="AF23" s="724">
        <f>+AC23</f>
        <v>800000</v>
      </c>
      <c r="AG23" s="1039">
        <v>0</v>
      </c>
      <c r="AH23" s="724">
        <f>AF23+AG23</f>
        <v>800000</v>
      </c>
      <c r="AI23" s="867"/>
      <c r="AJ23" s="990"/>
      <c r="AK23" s="990">
        <f>+$AF$23*25%</f>
        <v>200000</v>
      </c>
      <c r="AL23" s="990">
        <f>+$AF$23*25%</f>
        <v>200000</v>
      </c>
      <c r="AM23" s="990">
        <f>+$AF$23*50%</f>
        <v>400000</v>
      </c>
      <c r="AN23" s="990"/>
      <c r="AO23" s="990">
        <f t="shared" si="0"/>
        <v>800000</v>
      </c>
      <c r="AQ23" s="1027"/>
    </row>
    <row r="24" spans="1:43" s="153" customFormat="1" ht="24.5" customHeight="1" outlineLevel="3">
      <c r="A24" s="581"/>
      <c r="B24" s="400" t="s">
        <v>2272</v>
      </c>
      <c r="C24" s="400"/>
      <c r="D24" s="399" t="s">
        <v>649</v>
      </c>
      <c r="E24" s="399"/>
      <c r="F24" s="399"/>
      <c r="G24" s="96"/>
      <c r="H24" s="401"/>
      <c r="I24" s="401"/>
      <c r="J24" s="401"/>
      <c r="K24" s="401"/>
      <c r="L24" s="401"/>
      <c r="M24" s="401"/>
      <c r="N24" s="401"/>
      <c r="O24" s="401"/>
      <c r="P24" s="401"/>
      <c r="Q24" s="96"/>
      <c r="R24" s="837"/>
      <c r="S24" s="851"/>
      <c r="T24" s="851"/>
      <c r="U24" s="851"/>
      <c r="V24" s="399"/>
      <c r="W24" s="96"/>
      <c r="X24" s="396"/>
      <c r="Y24" s="397"/>
      <c r="Z24" s="397"/>
      <c r="AA24" s="395"/>
      <c r="AB24" s="398"/>
      <c r="AC24" s="398">
        <f>+AC25+AC26+AC27</f>
        <v>540000</v>
      </c>
      <c r="AD24" s="680"/>
      <c r="AE24" s="96"/>
      <c r="AF24" s="398">
        <f>+AF25+AF26+AF27</f>
        <v>540000</v>
      </c>
      <c r="AG24" s="398">
        <f>+AG25+AG26+AG27</f>
        <v>0</v>
      </c>
      <c r="AH24" s="398">
        <f>+AH25+AH26+AH27</f>
        <v>540000</v>
      </c>
      <c r="AI24" s="865"/>
      <c r="AJ24" s="992">
        <f>+AJ25+AJ27</f>
        <v>0</v>
      </c>
      <c r="AK24" s="992">
        <f>+AK25+AK27</f>
        <v>0</v>
      </c>
      <c r="AL24" s="992">
        <f>+AL25+AL27</f>
        <v>180000</v>
      </c>
      <c r="AM24" s="993">
        <f>+AM25+AM27</f>
        <v>180000</v>
      </c>
      <c r="AN24" s="994">
        <f>+AN25+AN27</f>
        <v>180000</v>
      </c>
      <c r="AO24" s="994">
        <f t="shared" si="0"/>
        <v>540000</v>
      </c>
      <c r="AQ24" s="1027"/>
    </row>
    <row r="25" spans="1:43" s="108" customFormat="1" ht="27.5" customHeight="1" outlineLevel="4">
      <c r="A25" s="580"/>
      <c r="B25" s="107" t="s">
        <v>3612</v>
      </c>
      <c r="C25" s="107"/>
      <c r="D25" s="703" t="s">
        <v>617</v>
      </c>
      <c r="E25" s="703"/>
      <c r="F25" s="103"/>
      <c r="G25" s="97"/>
      <c r="H25" s="363"/>
      <c r="I25" s="363"/>
      <c r="J25" s="363"/>
      <c r="K25" s="363"/>
      <c r="L25" s="363"/>
      <c r="M25" s="363"/>
      <c r="N25" s="363"/>
      <c r="O25" s="363"/>
      <c r="P25" s="363"/>
      <c r="Q25" s="97"/>
      <c r="R25" s="364" t="str">
        <f>+'9.3_PA_Det'!$E$162</f>
        <v>3CV</v>
      </c>
      <c r="S25" s="364" t="s">
        <v>1075</v>
      </c>
      <c r="T25" s="364" t="s">
        <v>1430</v>
      </c>
      <c r="U25" s="364">
        <f>+'9.3_PA_Det'!$F$162</f>
        <v>56</v>
      </c>
      <c r="V25" s="934"/>
      <c r="W25" s="97"/>
      <c r="X25" s="711" t="s">
        <v>1189</v>
      </c>
      <c r="Y25" s="712">
        <v>1</v>
      </c>
      <c r="Z25" s="179">
        <v>36</v>
      </c>
      <c r="AA25" s="180"/>
      <c r="AB25" s="1032">
        <v>5000</v>
      </c>
      <c r="AC25" s="1032">
        <f>+Y25*Z25*AB25</f>
        <v>180000</v>
      </c>
      <c r="AD25" s="4675" t="s">
        <v>3328</v>
      </c>
      <c r="AE25" s="97"/>
      <c r="AF25" s="1032">
        <f>+AC25</f>
        <v>180000</v>
      </c>
      <c r="AG25" s="1032">
        <v>0</v>
      </c>
      <c r="AH25" s="1041">
        <f>+AF25+AG25</f>
        <v>180000</v>
      </c>
      <c r="AI25" s="867"/>
      <c r="AJ25" s="986"/>
      <c r="AK25" s="986"/>
      <c r="AL25" s="986">
        <f t="shared" ref="AL25:AN26" si="1">+$AB$25*12*2</f>
        <v>120000</v>
      </c>
      <c r="AM25" s="986">
        <f t="shared" si="1"/>
        <v>120000</v>
      </c>
      <c r="AN25" s="986">
        <f t="shared" si="1"/>
        <v>120000</v>
      </c>
      <c r="AO25" s="1038">
        <f t="shared" si="0"/>
        <v>360000</v>
      </c>
      <c r="AQ25" s="1027"/>
    </row>
    <row r="26" spans="1:43" s="108" customFormat="1" ht="27.5" customHeight="1" outlineLevel="4">
      <c r="A26" s="580"/>
      <c r="B26" s="107" t="s">
        <v>3613</v>
      </c>
      <c r="C26" s="107"/>
      <c r="D26" s="703" t="s">
        <v>619</v>
      </c>
      <c r="E26" s="703"/>
      <c r="F26" s="103"/>
      <c r="G26" s="97"/>
      <c r="H26" s="363"/>
      <c r="I26" s="363"/>
      <c r="J26" s="363"/>
      <c r="K26" s="363"/>
      <c r="L26" s="363"/>
      <c r="M26" s="363"/>
      <c r="N26" s="363"/>
      <c r="O26" s="363"/>
      <c r="P26" s="363"/>
      <c r="Q26" s="97"/>
      <c r="R26" s="364" t="str">
        <f>+'9.3_PA_Det'!$E$164</f>
        <v>3CV</v>
      </c>
      <c r="S26" s="364" t="s">
        <v>1075</v>
      </c>
      <c r="T26" s="364" t="s">
        <v>1430</v>
      </c>
      <c r="U26" s="364">
        <f>+'9.3_PA_Det'!$F$164</f>
        <v>57</v>
      </c>
      <c r="V26" s="934"/>
      <c r="W26" s="97"/>
      <c r="X26" s="711" t="s">
        <v>1189</v>
      </c>
      <c r="Y26" s="712">
        <v>1</v>
      </c>
      <c r="Z26" s="179">
        <v>36</v>
      </c>
      <c r="AA26" s="180"/>
      <c r="AB26" s="1032">
        <v>5000</v>
      </c>
      <c r="AC26" s="1032">
        <f>+Y26*Z26*AB26</f>
        <v>180000</v>
      </c>
      <c r="AD26" s="4675"/>
      <c r="AE26" s="97"/>
      <c r="AF26" s="1032">
        <f>+AC26</f>
        <v>180000</v>
      </c>
      <c r="AG26" s="1032">
        <v>0</v>
      </c>
      <c r="AH26" s="1041">
        <f>+AF26+AG26</f>
        <v>180000</v>
      </c>
      <c r="AI26" s="867"/>
      <c r="AJ26" s="986"/>
      <c r="AK26" s="986"/>
      <c r="AL26" s="986">
        <f t="shared" si="1"/>
        <v>120000</v>
      </c>
      <c r="AM26" s="986">
        <f t="shared" si="1"/>
        <v>120000</v>
      </c>
      <c r="AN26" s="986">
        <f t="shared" si="1"/>
        <v>120000</v>
      </c>
      <c r="AO26" s="1038">
        <f>SUM(AJ26:AN26)</f>
        <v>360000</v>
      </c>
      <c r="AQ26" s="1027"/>
    </row>
    <row r="27" spans="1:43" s="108" customFormat="1" ht="27.5" customHeight="1" outlineLevel="4">
      <c r="A27" s="580"/>
      <c r="B27" s="107" t="s">
        <v>3614</v>
      </c>
      <c r="C27" s="107"/>
      <c r="D27" s="703" t="s">
        <v>3615</v>
      </c>
      <c r="E27" s="703"/>
      <c r="F27" s="103"/>
      <c r="G27" s="97"/>
      <c r="H27" s="363"/>
      <c r="I27" s="363"/>
      <c r="J27" s="363"/>
      <c r="K27" s="363"/>
      <c r="L27" s="363"/>
      <c r="M27" s="363"/>
      <c r="N27" s="363"/>
      <c r="O27" s="363"/>
      <c r="P27" s="363"/>
      <c r="Q27" s="97"/>
      <c r="R27" s="852" t="str">
        <f>+'9.3_PA_Det'!$E$166</f>
        <v>3CV</v>
      </c>
      <c r="S27" s="364" t="s">
        <v>1075</v>
      </c>
      <c r="T27" s="364" t="s">
        <v>1430</v>
      </c>
      <c r="U27" s="852">
        <f>+'9.3_PA_Det'!$F$166</f>
        <v>58</v>
      </c>
      <c r="V27" s="934"/>
      <c r="W27" s="97"/>
      <c r="X27" s="711" t="s">
        <v>1189</v>
      </c>
      <c r="Y27" s="763">
        <v>2</v>
      </c>
      <c r="Z27" s="531">
        <v>36</v>
      </c>
      <c r="AA27" s="532"/>
      <c r="AB27" s="1039">
        <v>2500</v>
      </c>
      <c r="AC27" s="1032">
        <f>+Y27*Z27*AB27</f>
        <v>180000</v>
      </c>
      <c r="AD27" s="4675"/>
      <c r="AE27" s="97"/>
      <c r="AF27" s="1032">
        <f>+AC27</f>
        <v>180000</v>
      </c>
      <c r="AG27" s="1032">
        <v>0</v>
      </c>
      <c r="AH27" s="1041">
        <f>+AF27+AG27</f>
        <v>180000</v>
      </c>
      <c r="AI27" s="867"/>
      <c r="AJ27" s="988"/>
      <c r="AK27" s="988"/>
      <c r="AL27" s="986">
        <f>+$AB$27*12*2</f>
        <v>60000</v>
      </c>
      <c r="AM27" s="986">
        <f>+$AB$27*12*2</f>
        <v>60000</v>
      </c>
      <c r="AN27" s="986">
        <f>+$AB$27*12*2</f>
        <v>60000</v>
      </c>
      <c r="AO27" s="1038">
        <f t="shared" si="0"/>
        <v>180000</v>
      </c>
      <c r="AQ27" s="1027"/>
    </row>
    <row r="28" spans="1:43" s="108" customFormat="1" ht="14" customHeight="1" outlineLevel="3">
      <c r="A28" s="580"/>
      <c r="B28" s="107"/>
      <c r="C28" s="107"/>
      <c r="D28" s="533"/>
      <c r="E28" s="533"/>
      <c r="F28" s="103"/>
      <c r="G28" s="97"/>
      <c r="H28" s="363"/>
      <c r="I28" s="363"/>
      <c r="J28" s="363"/>
      <c r="K28" s="363"/>
      <c r="L28" s="363"/>
      <c r="M28" s="363"/>
      <c r="N28" s="363"/>
      <c r="O28" s="363"/>
      <c r="P28" s="363"/>
      <c r="Q28" s="97"/>
      <c r="R28" s="852"/>
      <c r="S28" s="852"/>
      <c r="T28" s="364"/>
      <c r="U28" s="852"/>
      <c r="V28" s="934"/>
      <c r="W28" s="97"/>
      <c r="X28" s="711"/>
      <c r="Y28" s="763"/>
      <c r="Z28" s="531"/>
      <c r="AA28" s="532"/>
      <c r="AB28" s="1039"/>
      <c r="AC28" s="1032"/>
      <c r="AD28" s="758"/>
      <c r="AE28" s="97"/>
      <c r="AF28" s="1032"/>
      <c r="AG28" s="1032"/>
      <c r="AH28" s="1041"/>
      <c r="AI28" s="867"/>
      <c r="AJ28" s="988"/>
      <c r="AK28" s="988"/>
      <c r="AL28" s="988"/>
      <c r="AM28" s="989"/>
      <c r="AN28" s="1040"/>
      <c r="AO28" s="1038">
        <f t="shared" si="0"/>
        <v>0</v>
      </c>
      <c r="AQ28" s="1027"/>
    </row>
    <row r="29" spans="1:43" s="153" customFormat="1" ht="21.5" customHeight="1" outlineLevel="2">
      <c r="A29" s="172"/>
      <c r="B29" s="171" t="s">
        <v>502</v>
      </c>
      <c r="C29" s="171"/>
      <c r="D29" s="538" t="s">
        <v>589</v>
      </c>
      <c r="E29" s="538" t="s">
        <v>4</v>
      </c>
      <c r="F29" s="106" t="s">
        <v>1277</v>
      </c>
      <c r="G29" s="96"/>
      <c r="H29" s="357" t="str">
        <f>+'1_MdR_Limpia'!C29</f>
        <v>Portal mejorado</v>
      </c>
      <c r="I29" s="357">
        <f>+'1_MdR_Limpia'!D29</f>
        <v>0</v>
      </c>
      <c r="J29" s="357">
        <f>+'1_MdR_Limpia'!E29</f>
        <v>2021</v>
      </c>
      <c r="K29" s="357" t="str">
        <f>+'1_MdR_Limpia'!G29</f>
        <v>-</v>
      </c>
      <c r="L29" s="357">
        <f>+'1_MdR_Limpia'!H29</f>
        <v>0</v>
      </c>
      <c r="M29" s="357" t="str">
        <f>+'1_MdR_Limpia'!J29</f>
        <v>-</v>
      </c>
      <c r="N29" s="357" t="str">
        <f>+'1_MdR_Limpia'!K29</f>
        <v>-</v>
      </c>
      <c r="O29" s="357" t="str">
        <f>+'1_MdR_Limpia'!K29</f>
        <v>-</v>
      </c>
      <c r="P29" s="357">
        <f>+'1_MdR_Limpia'!L29</f>
        <v>1</v>
      </c>
      <c r="Q29" s="96"/>
      <c r="R29" s="358"/>
      <c r="S29" s="358"/>
      <c r="T29" s="358"/>
      <c r="U29" s="358"/>
      <c r="V29" s="174"/>
      <c r="W29" s="96"/>
      <c r="X29" s="106"/>
      <c r="Y29" s="172"/>
      <c r="Z29" s="172"/>
      <c r="AA29" s="171"/>
      <c r="AB29" s="176"/>
      <c r="AC29" s="176">
        <f>+AC30+AC31</f>
        <v>550000</v>
      </c>
      <c r="AD29" s="686"/>
      <c r="AE29" s="96"/>
      <c r="AF29" s="176">
        <f>+AF30+AF31</f>
        <v>550000</v>
      </c>
      <c r="AG29" s="176">
        <f>+AG30+AG31</f>
        <v>0</v>
      </c>
      <c r="AH29" s="176">
        <f>+AH30+AH31</f>
        <v>550000</v>
      </c>
      <c r="AI29" s="865"/>
      <c r="AJ29" s="980">
        <f>+AJ30+AJ31</f>
        <v>0</v>
      </c>
      <c r="AK29" s="980">
        <f>+AK30+AK31</f>
        <v>50000</v>
      </c>
      <c r="AL29" s="980">
        <f>+AL30+AL31</f>
        <v>125000</v>
      </c>
      <c r="AM29" s="981">
        <f>+AM30+AM31</f>
        <v>375000</v>
      </c>
      <c r="AN29" s="979">
        <f>+AN30+AN31</f>
        <v>0</v>
      </c>
      <c r="AO29" s="979">
        <f t="shared" si="0"/>
        <v>550000</v>
      </c>
      <c r="AQ29" s="1027"/>
    </row>
    <row r="30" spans="1:43" s="108" customFormat="1" ht="42.5" customHeight="1" outlineLevel="3">
      <c r="A30" s="580"/>
      <c r="B30" s="107" t="s">
        <v>705</v>
      </c>
      <c r="C30" s="107"/>
      <c r="D30" s="533" t="s">
        <v>3340</v>
      </c>
      <c r="E30" s="533"/>
      <c r="F30" s="103"/>
      <c r="G30" s="97"/>
      <c r="H30" s="363"/>
      <c r="I30" s="363"/>
      <c r="J30" s="363"/>
      <c r="K30" s="363"/>
      <c r="L30" s="363"/>
      <c r="M30" s="363"/>
      <c r="N30" s="363"/>
      <c r="O30" s="363"/>
      <c r="P30" s="363"/>
      <c r="Q30" s="97"/>
      <c r="R30" s="4697" t="str">
        <f>+'9.3_PA_Det'!$E$36</f>
        <v>Selección Basada en Calidad y Costo</v>
      </c>
      <c r="S30" s="3897" t="s">
        <v>1075</v>
      </c>
      <c r="T30" s="3897" t="s">
        <v>1198</v>
      </c>
      <c r="U30" s="3897">
        <f>+'9.3_PA_Det'!$F$36</f>
        <v>11</v>
      </c>
      <c r="V30" s="3918"/>
      <c r="W30" s="97"/>
      <c r="X30" s="711" t="s">
        <v>1179</v>
      </c>
      <c r="Y30" s="763">
        <v>1</v>
      </c>
      <c r="Z30" s="531"/>
      <c r="AA30" s="532"/>
      <c r="AB30" s="1039">
        <v>50000</v>
      </c>
      <c r="AC30" s="725">
        <f>+Y30*AB30</f>
        <v>50000</v>
      </c>
      <c r="AD30" s="687"/>
      <c r="AE30" s="97"/>
      <c r="AF30" s="1032">
        <f>+AC30</f>
        <v>50000</v>
      </c>
      <c r="AG30" s="1032">
        <v>0</v>
      </c>
      <c r="AH30" s="1041">
        <f>+AF30+AG30</f>
        <v>50000</v>
      </c>
      <c r="AI30" s="867"/>
      <c r="AJ30" s="988"/>
      <c r="AK30" s="988">
        <f>+AF30</f>
        <v>50000</v>
      </c>
      <c r="AL30" s="988"/>
      <c r="AM30" s="989"/>
      <c r="AN30" s="1040"/>
      <c r="AO30" s="991">
        <f t="shared" si="0"/>
        <v>50000</v>
      </c>
      <c r="AQ30" s="1027"/>
    </row>
    <row r="31" spans="1:43" s="108" customFormat="1" ht="57" customHeight="1" outlineLevel="3">
      <c r="A31" s="580"/>
      <c r="B31" s="107" t="s">
        <v>707</v>
      </c>
      <c r="C31" s="107"/>
      <c r="D31" s="533" t="s">
        <v>3341</v>
      </c>
      <c r="E31" s="533"/>
      <c r="F31" s="103"/>
      <c r="G31" s="97"/>
      <c r="H31" s="363"/>
      <c r="I31" s="363"/>
      <c r="J31" s="363"/>
      <c r="K31" s="363"/>
      <c r="L31" s="363"/>
      <c r="M31" s="363"/>
      <c r="N31" s="363"/>
      <c r="O31" s="363"/>
      <c r="P31" s="363"/>
      <c r="Q31" s="97"/>
      <c r="R31" s="4698"/>
      <c r="S31" s="3899"/>
      <c r="T31" s="3899"/>
      <c r="U31" s="3899"/>
      <c r="V31" s="3920"/>
      <c r="W31" s="97"/>
      <c r="X31" s="711" t="s">
        <v>1179</v>
      </c>
      <c r="Y31" s="763">
        <v>1</v>
      </c>
      <c r="Z31" s="531"/>
      <c r="AA31" s="532"/>
      <c r="AB31" s="1039">
        <v>500000</v>
      </c>
      <c r="AC31" s="725">
        <f>+Y31*AB31</f>
        <v>500000</v>
      </c>
      <c r="AD31" s="687"/>
      <c r="AE31" s="97"/>
      <c r="AF31" s="1032">
        <f>+AC31</f>
        <v>500000</v>
      </c>
      <c r="AG31" s="1032">
        <v>0</v>
      </c>
      <c r="AH31" s="1041">
        <f>+AF31+AG31</f>
        <v>500000</v>
      </c>
      <c r="AI31" s="867"/>
      <c r="AJ31" s="988"/>
      <c r="AK31" s="988"/>
      <c r="AL31" s="988">
        <f>+AF31*25%</f>
        <v>125000</v>
      </c>
      <c r="AM31" s="989">
        <f>+AF31*75%</f>
        <v>375000</v>
      </c>
      <c r="AN31" s="1040"/>
      <c r="AO31" s="991">
        <f t="shared" si="0"/>
        <v>500000</v>
      </c>
      <c r="AQ31" s="1027"/>
    </row>
    <row r="32" spans="1:43" s="153" customFormat="1" ht="21" customHeight="1" outlineLevel="2">
      <c r="A32" s="172"/>
      <c r="B32" s="171" t="s">
        <v>503</v>
      </c>
      <c r="C32" s="171"/>
      <c r="D32" s="538" t="s">
        <v>590</v>
      </c>
      <c r="E32" s="538" t="s">
        <v>4</v>
      </c>
      <c r="F32" s="106" t="s">
        <v>4</v>
      </c>
      <c r="G32" s="96"/>
      <c r="H32" s="357" t="str">
        <f>+'1_MdR_Limpia'!C31</f>
        <v>Tablero</v>
      </c>
      <c r="I32" s="357">
        <f>+'1_MdR_Limpia'!D31</f>
        <v>0</v>
      </c>
      <c r="J32" s="357">
        <f>+'1_MdR_Limpia'!E31</f>
        <v>2021</v>
      </c>
      <c r="K32" s="357" t="str">
        <f>+'1_MdR_Limpia'!G31</f>
        <v>-</v>
      </c>
      <c r="L32" s="357" t="str">
        <f>+'1_MdR_Limpia'!H31</f>
        <v>-</v>
      </c>
      <c r="M32" s="357" t="str">
        <f>+'1_MdR_Limpia'!I31</f>
        <v>-</v>
      </c>
      <c r="N32" s="357">
        <f>+'1_MdR_Limpia'!J31</f>
        <v>1</v>
      </c>
      <c r="O32" s="357" t="str">
        <f>+'1_MdR_Limpia'!K31</f>
        <v>-</v>
      </c>
      <c r="P32" s="357">
        <f>+'1_MdR_Limpia'!L31</f>
        <v>1</v>
      </c>
      <c r="Q32" s="96"/>
      <c r="R32" s="358"/>
      <c r="S32" s="358"/>
      <c r="T32" s="358"/>
      <c r="U32" s="358"/>
      <c r="V32" s="174"/>
      <c r="W32" s="96"/>
      <c r="X32" s="106"/>
      <c r="Y32" s="172"/>
      <c r="Z32" s="172"/>
      <c r="AA32" s="171"/>
      <c r="AB32" s="176"/>
      <c r="AC32" s="176">
        <f>+AC33</f>
        <v>2100000</v>
      </c>
      <c r="AD32" s="686"/>
      <c r="AE32" s="96"/>
      <c r="AF32" s="176">
        <f>+AF33</f>
        <v>2100000</v>
      </c>
      <c r="AG32" s="176">
        <f>+AG33</f>
        <v>0</v>
      </c>
      <c r="AH32" s="176">
        <f>+AH33</f>
        <v>2100000</v>
      </c>
      <c r="AI32" s="865"/>
      <c r="AJ32" s="176">
        <f>+AJ33</f>
        <v>100000</v>
      </c>
      <c r="AK32" s="176">
        <f>+AK33</f>
        <v>520000</v>
      </c>
      <c r="AL32" s="176">
        <f>+AL33</f>
        <v>740000</v>
      </c>
      <c r="AM32" s="176">
        <f>+AM33</f>
        <v>740000</v>
      </c>
      <c r="AN32" s="979">
        <f>+AN33+AN34+AN36+AN37</f>
        <v>0</v>
      </c>
      <c r="AO32" s="176">
        <f>+AO33</f>
        <v>2100000</v>
      </c>
      <c r="AQ32" s="1027"/>
    </row>
    <row r="33" spans="1:43" s="880" customFormat="1" ht="56" customHeight="1" outlineLevel="3">
      <c r="A33" s="533"/>
      <c r="B33" s="1080" t="s">
        <v>2365</v>
      </c>
      <c r="C33" s="1080"/>
      <c r="D33" s="703" t="s">
        <v>1286</v>
      </c>
      <c r="E33" s="703"/>
      <c r="F33" s="703"/>
      <c r="G33" s="703"/>
      <c r="H33" s="703"/>
      <c r="I33" s="703"/>
      <c r="J33" s="703"/>
      <c r="K33" s="703"/>
      <c r="L33" s="703"/>
      <c r="M33" s="703"/>
      <c r="N33" s="703"/>
      <c r="O33" s="703"/>
      <c r="P33" s="703"/>
      <c r="Q33" s="703"/>
      <c r="R33" s="4692" t="str">
        <f>+'9.3_PA_Det'!$E$38</f>
        <v>Selección Basada en Calidad y Costo</v>
      </c>
      <c r="S33" s="4692" t="s">
        <v>1075</v>
      </c>
      <c r="T33" s="4692" t="s">
        <v>1198</v>
      </c>
      <c r="U33" s="4692">
        <f>+'9.3_PA_Det'!$F$38</f>
        <v>12</v>
      </c>
      <c r="V33" s="4665"/>
      <c r="W33" s="703"/>
      <c r="X33" s="703"/>
      <c r="Y33" s="712"/>
      <c r="Z33" s="703"/>
      <c r="AA33" s="703"/>
      <c r="AB33" s="1048"/>
      <c r="AC33" s="1124">
        <f>SUM(AC34:AC39)</f>
        <v>2100000</v>
      </c>
      <c r="AD33" s="703"/>
      <c r="AE33" s="533"/>
      <c r="AF33" s="1105">
        <f>SUM(AF34:AF39)</f>
        <v>2100000</v>
      </c>
      <c r="AG33" s="1105">
        <f>SUM(AG34:AG39)</f>
        <v>0</v>
      </c>
      <c r="AH33" s="1105">
        <f>SUM(AH34:AH39)</f>
        <v>2100000</v>
      </c>
      <c r="AI33" s="868"/>
      <c r="AJ33" s="1105">
        <f>SUM(AJ34:AJ39)</f>
        <v>100000</v>
      </c>
      <c r="AK33" s="1105">
        <f>SUM(AK34:AK39)</f>
        <v>520000</v>
      </c>
      <c r="AL33" s="1105">
        <f>SUM(AL34:AL39)</f>
        <v>740000</v>
      </c>
      <c r="AM33" s="1105">
        <f>SUM(AM34:AM39)</f>
        <v>740000</v>
      </c>
      <c r="AN33" s="1105">
        <f>SUM(AN34:AN39)</f>
        <v>0</v>
      </c>
      <c r="AO33" s="1038">
        <f t="shared" si="0"/>
        <v>2100000</v>
      </c>
      <c r="AP33" s="1111"/>
      <c r="AQ33" s="1027"/>
    </row>
    <row r="34" spans="1:43" s="880" customFormat="1" ht="17" customHeight="1" outlineLevel="3">
      <c r="A34" s="533"/>
      <c r="B34" s="1080" t="s">
        <v>3616</v>
      </c>
      <c r="C34" s="1080"/>
      <c r="D34" s="1125" t="s">
        <v>699</v>
      </c>
      <c r="E34" s="1125"/>
      <c r="F34" s="703"/>
      <c r="G34" s="703"/>
      <c r="H34" s="703"/>
      <c r="I34" s="703"/>
      <c r="J34" s="703"/>
      <c r="K34" s="703"/>
      <c r="L34" s="703"/>
      <c r="M34" s="703"/>
      <c r="N34" s="703"/>
      <c r="O34" s="703"/>
      <c r="P34" s="703"/>
      <c r="Q34" s="703"/>
      <c r="R34" s="4693"/>
      <c r="S34" s="4693"/>
      <c r="T34" s="4693"/>
      <c r="U34" s="4693"/>
      <c r="V34" s="4666"/>
      <c r="W34" s="703"/>
      <c r="X34" s="703" t="s">
        <v>1179</v>
      </c>
      <c r="Y34" s="712" t="s">
        <v>494</v>
      </c>
      <c r="Z34" s="703"/>
      <c r="AA34" s="703"/>
      <c r="AB34" s="1048">
        <v>100000</v>
      </c>
      <c r="AC34" s="1048">
        <f t="shared" ref="AC34:AC39" si="2">Y34*AB34</f>
        <v>100000</v>
      </c>
      <c r="AD34" s="703"/>
      <c r="AE34" s="533"/>
      <c r="AF34" s="728">
        <f t="shared" ref="AF34:AF39" si="3">+AC34</f>
        <v>100000</v>
      </c>
      <c r="AG34" s="728">
        <v>0</v>
      </c>
      <c r="AH34" s="728">
        <f t="shared" ref="AH34:AH39" si="4">+AF34+AG34</f>
        <v>100000</v>
      </c>
      <c r="AI34" s="868"/>
      <c r="AJ34" s="986">
        <f>+$AF$34*50%</f>
        <v>50000</v>
      </c>
      <c r="AK34" s="986">
        <f>+$AF$34*50%</f>
        <v>50000</v>
      </c>
      <c r="AL34" s="728"/>
      <c r="AM34" s="728"/>
      <c r="AN34" s="1038"/>
      <c r="AO34" s="1038">
        <f t="shared" si="0"/>
        <v>100000</v>
      </c>
      <c r="AP34" s="1111"/>
      <c r="AQ34" s="1027"/>
    </row>
    <row r="35" spans="1:43" s="880" customFormat="1" ht="17" customHeight="1" outlineLevel="3">
      <c r="A35" s="533"/>
      <c r="B35" s="1080" t="s">
        <v>3617</v>
      </c>
      <c r="C35" s="1080"/>
      <c r="D35" s="1125" t="s">
        <v>701</v>
      </c>
      <c r="E35" s="1125"/>
      <c r="F35" s="703"/>
      <c r="G35" s="703"/>
      <c r="H35" s="703"/>
      <c r="I35" s="703"/>
      <c r="J35" s="703"/>
      <c r="K35" s="703"/>
      <c r="L35" s="703"/>
      <c r="M35" s="703"/>
      <c r="N35" s="703"/>
      <c r="O35" s="703"/>
      <c r="P35" s="703"/>
      <c r="Q35" s="703"/>
      <c r="R35" s="4693"/>
      <c r="S35" s="4693"/>
      <c r="T35" s="4693"/>
      <c r="U35" s="4693"/>
      <c r="V35" s="4666"/>
      <c r="W35" s="703"/>
      <c r="X35" s="703" t="s">
        <v>1179</v>
      </c>
      <c r="Y35" s="712">
        <v>1</v>
      </c>
      <c r="Z35" s="703"/>
      <c r="AA35" s="703"/>
      <c r="AB35" s="1048">
        <v>400000</v>
      </c>
      <c r="AC35" s="1048">
        <f t="shared" si="2"/>
        <v>400000</v>
      </c>
      <c r="AD35" s="703"/>
      <c r="AE35" s="533"/>
      <c r="AF35" s="728">
        <f t="shared" si="3"/>
        <v>400000</v>
      </c>
      <c r="AG35" s="728"/>
      <c r="AH35" s="728">
        <f t="shared" si="4"/>
        <v>400000</v>
      </c>
      <c r="AI35" s="868"/>
      <c r="AJ35" s="986"/>
      <c r="AK35" s="986"/>
      <c r="AL35" s="728">
        <f>+AF35*50%</f>
        <v>200000</v>
      </c>
      <c r="AM35" s="728">
        <f>+AF35*50%</f>
        <v>200000</v>
      </c>
      <c r="AN35" s="1038"/>
      <c r="AO35" s="1038">
        <f t="shared" si="0"/>
        <v>400000</v>
      </c>
      <c r="AP35" s="1111"/>
      <c r="AQ35" s="1027"/>
    </row>
    <row r="36" spans="1:43" s="880" customFormat="1" ht="27.5" customHeight="1" outlineLevel="3">
      <c r="A36" s="533"/>
      <c r="B36" s="1080" t="s">
        <v>3618</v>
      </c>
      <c r="C36" s="1080"/>
      <c r="D36" s="1125" t="s">
        <v>703</v>
      </c>
      <c r="E36" s="1125"/>
      <c r="F36" s="703"/>
      <c r="G36" s="703"/>
      <c r="H36" s="703"/>
      <c r="I36" s="703"/>
      <c r="J36" s="703"/>
      <c r="K36" s="703"/>
      <c r="L36" s="703"/>
      <c r="M36" s="703"/>
      <c r="N36" s="703"/>
      <c r="O36" s="703"/>
      <c r="P36" s="703"/>
      <c r="Q36" s="703"/>
      <c r="R36" s="4694"/>
      <c r="S36" s="4694"/>
      <c r="T36" s="4694"/>
      <c r="U36" s="4694"/>
      <c r="V36" s="4667"/>
      <c r="W36" s="703"/>
      <c r="X36" s="703" t="s">
        <v>1179</v>
      </c>
      <c r="Y36" s="712" t="s">
        <v>494</v>
      </c>
      <c r="Z36" s="703"/>
      <c r="AA36" s="703"/>
      <c r="AB36" s="1048">
        <v>700000</v>
      </c>
      <c r="AC36" s="1048">
        <f t="shared" si="2"/>
        <v>700000</v>
      </c>
      <c r="AD36" s="703"/>
      <c r="AE36" s="533"/>
      <c r="AF36" s="728">
        <f t="shared" si="3"/>
        <v>700000</v>
      </c>
      <c r="AG36" s="728">
        <v>0</v>
      </c>
      <c r="AH36" s="728">
        <f t="shared" si="4"/>
        <v>700000</v>
      </c>
      <c r="AI36" s="868"/>
      <c r="AJ36" s="986"/>
      <c r="AK36" s="986">
        <f>+$AF$36*10%</f>
        <v>70000</v>
      </c>
      <c r="AL36" s="728">
        <f>+$AF$36*20%</f>
        <v>140000</v>
      </c>
      <c r="AM36" s="986">
        <f>+$AF$36*70%</f>
        <v>489999.99999999994</v>
      </c>
      <c r="AN36" s="1038"/>
      <c r="AO36" s="1038">
        <f t="shared" si="0"/>
        <v>700000</v>
      </c>
      <c r="AP36" s="1111"/>
      <c r="AQ36" s="1027"/>
    </row>
    <row r="37" spans="1:43" s="880" customFormat="1" ht="30" outlineLevel="3">
      <c r="A37" s="533"/>
      <c r="B37" s="1080" t="s">
        <v>3619</v>
      </c>
      <c r="C37" s="1080"/>
      <c r="D37" s="1125" t="s">
        <v>3620</v>
      </c>
      <c r="E37" s="1125"/>
      <c r="F37" s="703"/>
      <c r="G37" s="703"/>
      <c r="H37" s="703"/>
      <c r="I37" s="703"/>
      <c r="J37" s="703"/>
      <c r="K37" s="703"/>
      <c r="L37" s="703"/>
      <c r="M37" s="703"/>
      <c r="N37" s="703"/>
      <c r="O37" s="703"/>
      <c r="P37" s="703"/>
      <c r="Q37" s="703"/>
      <c r="R37" s="367" t="str">
        <f>+'9.3_PA_Det'!$E$22</f>
        <v>Licitación Pública Nacional</v>
      </c>
      <c r="S37" s="367" t="s">
        <v>1075</v>
      </c>
      <c r="T37" s="367" t="s">
        <v>2989</v>
      </c>
      <c r="U37" s="367">
        <f>+'9.3_PA_Det'!$G$22</f>
        <v>4</v>
      </c>
      <c r="V37" s="703"/>
      <c r="W37" s="703"/>
      <c r="X37" s="703" t="s">
        <v>1179</v>
      </c>
      <c r="Y37" s="712" t="s">
        <v>494</v>
      </c>
      <c r="Z37" s="703"/>
      <c r="AA37" s="703"/>
      <c r="AB37" s="1048">
        <v>200000</v>
      </c>
      <c r="AC37" s="1048">
        <f t="shared" si="2"/>
        <v>200000</v>
      </c>
      <c r="AD37" s="703"/>
      <c r="AE37" s="533"/>
      <c r="AF37" s="728">
        <f t="shared" si="3"/>
        <v>200000</v>
      </c>
      <c r="AG37" s="728">
        <v>0</v>
      </c>
      <c r="AH37" s="728">
        <f t="shared" si="4"/>
        <v>200000</v>
      </c>
      <c r="AI37" s="868"/>
      <c r="AJ37" s="728">
        <f>+$AF$37*25%</f>
        <v>50000</v>
      </c>
      <c r="AK37" s="728">
        <f>+$AF$37*25%</f>
        <v>50000</v>
      </c>
      <c r="AL37" s="728">
        <f>+$AF$37*25%</f>
        <v>50000</v>
      </c>
      <c r="AM37" s="728">
        <f>+$AF$37*25%</f>
        <v>50000</v>
      </c>
      <c r="AN37" s="728"/>
      <c r="AO37" s="1038">
        <f t="shared" si="0"/>
        <v>200000</v>
      </c>
      <c r="AP37" s="1111"/>
      <c r="AQ37" s="1027"/>
    </row>
    <row r="38" spans="1:43" s="880" customFormat="1" ht="18.5" customHeight="1" outlineLevel="3">
      <c r="A38" s="533"/>
      <c r="B38" s="1080" t="s">
        <v>3621</v>
      </c>
      <c r="C38" s="1080"/>
      <c r="D38" s="1125" t="s">
        <v>693</v>
      </c>
      <c r="E38" s="1125"/>
      <c r="F38" s="703"/>
      <c r="G38" s="703"/>
      <c r="H38" s="703"/>
      <c r="I38" s="703"/>
      <c r="J38" s="703"/>
      <c r="K38" s="703"/>
      <c r="L38" s="703"/>
      <c r="M38" s="703"/>
      <c r="N38" s="703"/>
      <c r="O38" s="703"/>
      <c r="P38" s="703"/>
      <c r="Q38" s="703"/>
      <c r="R38" s="367" t="s">
        <v>723</v>
      </c>
      <c r="S38" s="367"/>
      <c r="T38" s="367"/>
      <c r="U38" s="367"/>
      <c r="V38" s="703"/>
      <c r="W38" s="703"/>
      <c r="X38" s="703" t="s">
        <v>1179</v>
      </c>
      <c r="Y38" s="712">
        <v>1</v>
      </c>
      <c r="Z38" s="703"/>
      <c r="AA38" s="703"/>
      <c r="AB38" s="1048">
        <v>350000</v>
      </c>
      <c r="AC38" s="1048">
        <f t="shared" si="2"/>
        <v>350000</v>
      </c>
      <c r="AD38" s="703"/>
      <c r="AE38" s="533"/>
      <c r="AF38" s="728">
        <f t="shared" si="3"/>
        <v>350000</v>
      </c>
      <c r="AG38" s="728">
        <v>0</v>
      </c>
      <c r="AH38" s="728">
        <f t="shared" si="4"/>
        <v>350000</v>
      </c>
      <c r="AI38" s="868"/>
      <c r="AK38" s="728">
        <f>+AF38</f>
        <v>350000</v>
      </c>
      <c r="AL38" s="728"/>
      <c r="AM38" s="728"/>
      <c r="AN38" s="728"/>
      <c r="AO38" s="1038">
        <f t="shared" si="0"/>
        <v>350000</v>
      </c>
      <c r="AP38" s="1111"/>
      <c r="AQ38" s="1027"/>
    </row>
    <row r="39" spans="1:43" s="880" customFormat="1" ht="18.5" customHeight="1" outlineLevel="3">
      <c r="A39" s="533"/>
      <c r="B39" s="1080" t="s">
        <v>3622</v>
      </c>
      <c r="C39" s="1080"/>
      <c r="D39" s="1125" t="s">
        <v>695</v>
      </c>
      <c r="E39" s="1125"/>
      <c r="F39" s="703"/>
      <c r="G39" s="703"/>
      <c r="H39" s="703"/>
      <c r="I39" s="703"/>
      <c r="J39" s="703"/>
      <c r="K39" s="703"/>
      <c r="L39" s="703"/>
      <c r="M39" s="703"/>
      <c r="N39" s="703"/>
      <c r="O39" s="703"/>
      <c r="P39" s="703"/>
      <c r="Q39" s="703"/>
      <c r="R39" s="367" t="s">
        <v>723</v>
      </c>
      <c r="S39" s="367"/>
      <c r="T39" s="367"/>
      <c r="U39" s="367"/>
      <c r="V39" s="703"/>
      <c r="W39" s="703"/>
      <c r="X39" s="703" t="s">
        <v>1179</v>
      </c>
      <c r="Y39" s="712">
        <v>1</v>
      </c>
      <c r="Z39" s="703"/>
      <c r="AA39" s="703"/>
      <c r="AB39" s="1048">
        <v>350000</v>
      </c>
      <c r="AC39" s="1048">
        <f t="shared" si="2"/>
        <v>350000</v>
      </c>
      <c r="AD39" s="703"/>
      <c r="AE39" s="533"/>
      <c r="AF39" s="728">
        <f t="shared" si="3"/>
        <v>350000</v>
      </c>
      <c r="AG39" s="728">
        <v>0</v>
      </c>
      <c r="AH39" s="728">
        <f t="shared" si="4"/>
        <v>350000</v>
      </c>
      <c r="AI39" s="868"/>
      <c r="AJ39" s="728"/>
      <c r="AK39" s="728"/>
      <c r="AL39" s="728">
        <f>+AF39</f>
        <v>350000</v>
      </c>
      <c r="AM39" s="728"/>
      <c r="AN39" s="728"/>
      <c r="AO39" s="1038">
        <f t="shared" si="0"/>
        <v>350000</v>
      </c>
      <c r="AP39" s="1111"/>
      <c r="AQ39" s="1027"/>
    </row>
    <row r="40" spans="1:43" s="153" customFormat="1" ht="29.5" customHeight="1" outlineLevel="2">
      <c r="A40" s="172"/>
      <c r="B40" s="171" t="s">
        <v>504</v>
      </c>
      <c r="C40" s="171"/>
      <c r="D40" s="538" t="s">
        <v>591</v>
      </c>
      <c r="E40" s="538" t="s">
        <v>4</v>
      </c>
      <c r="F40" s="106" t="s">
        <v>1295</v>
      </c>
      <c r="G40" s="96"/>
      <c r="H40" s="357" t="str">
        <f>+'1_MdR_Limpia'!C34</f>
        <v>Número</v>
      </c>
      <c r="I40" s="357">
        <f>+'1_MdR_Limpia'!D34</f>
        <v>0</v>
      </c>
      <c r="J40" s="357">
        <f>+'1_MdR_Limpia'!E34</f>
        <v>2021</v>
      </c>
      <c r="K40" s="357" t="str">
        <f>+'1_MdR_Limpia'!G34</f>
        <v>-</v>
      </c>
      <c r="L40" s="357" t="str">
        <f>+'1_MdR_Limpia'!H34</f>
        <v>-</v>
      </c>
      <c r="M40" s="357" t="str">
        <f>+'1_MdR_Limpia'!I34</f>
        <v>-</v>
      </c>
      <c r="N40" s="357" t="str">
        <f>+'1_MdR_Limpia'!J34</f>
        <v>-</v>
      </c>
      <c r="O40" s="357">
        <f>+'1_MdR_Limpia'!K34</f>
        <v>1</v>
      </c>
      <c r="P40" s="357">
        <f>+'1_MdR_Limpia'!L34</f>
        <v>1</v>
      </c>
      <c r="Q40" s="96"/>
      <c r="R40" s="358"/>
      <c r="S40" s="358"/>
      <c r="T40" s="358"/>
      <c r="U40" s="358"/>
      <c r="V40" s="174"/>
      <c r="W40" s="96"/>
      <c r="X40" s="106"/>
      <c r="Y40" s="172"/>
      <c r="Z40" s="172"/>
      <c r="AA40" s="171"/>
      <c r="AB40" s="176"/>
      <c r="AC40" s="1123">
        <f>+AC41+AC42</f>
        <v>647000</v>
      </c>
      <c r="AD40" s="686"/>
      <c r="AE40" s="96"/>
      <c r="AF40" s="176">
        <f>+AF41+AF42</f>
        <v>647000</v>
      </c>
      <c r="AG40" s="176">
        <f>+AG41+AG42</f>
        <v>0</v>
      </c>
      <c r="AH40" s="176">
        <f>+AH41+AH42</f>
        <v>647000</v>
      </c>
      <c r="AI40" s="865"/>
      <c r="AJ40" s="1112">
        <f>+AJ41+AJ42</f>
        <v>0</v>
      </c>
      <c r="AK40" s="980">
        <f>+AK41+AK42</f>
        <v>64700</v>
      </c>
      <c r="AL40" s="980">
        <f>+AL41+AL42</f>
        <v>129400</v>
      </c>
      <c r="AM40" s="981">
        <f>+AM41+AM42</f>
        <v>323500</v>
      </c>
      <c r="AN40" s="979">
        <f>+AN41+AN42</f>
        <v>129400</v>
      </c>
      <c r="AO40" s="979">
        <f t="shared" si="0"/>
        <v>647000</v>
      </c>
      <c r="AQ40" s="1027"/>
    </row>
    <row r="41" spans="1:43" s="879" customFormat="1" ht="84" customHeight="1" outlineLevel="3">
      <c r="A41" s="579" t="s">
        <v>2629</v>
      </c>
      <c r="B41" s="490" t="s">
        <v>2366</v>
      </c>
      <c r="C41" s="490"/>
      <c r="D41" s="537" t="s">
        <v>706</v>
      </c>
      <c r="E41" s="537"/>
      <c r="F41" s="491"/>
      <c r="G41" s="492"/>
      <c r="H41" s="493"/>
      <c r="I41" s="494"/>
      <c r="J41" s="495"/>
      <c r="K41" s="495"/>
      <c r="L41" s="495"/>
      <c r="M41" s="495"/>
      <c r="N41" s="495"/>
      <c r="O41" s="495"/>
      <c r="P41" s="495"/>
      <c r="Q41" s="492"/>
      <c r="R41" s="494" t="s">
        <v>876</v>
      </c>
      <c r="S41" s="494"/>
      <c r="T41" s="494"/>
      <c r="U41" s="494"/>
      <c r="V41" s="496"/>
      <c r="W41" s="492"/>
      <c r="X41" s="498"/>
      <c r="Y41" s="499"/>
      <c r="Z41" s="500"/>
      <c r="AA41" s="501"/>
      <c r="AB41" s="502"/>
      <c r="AC41" s="502">
        <f>Y41*AB41</f>
        <v>0</v>
      </c>
      <c r="AD41" s="775" t="s">
        <v>3346</v>
      </c>
      <c r="AE41" s="492"/>
      <c r="AF41" s="502">
        <f>+AC41</f>
        <v>0</v>
      </c>
      <c r="AG41" s="502"/>
      <c r="AH41" s="503">
        <f>AF41+AG41</f>
        <v>0</v>
      </c>
      <c r="AI41" s="866"/>
      <c r="AJ41" s="983"/>
      <c r="AK41" s="983"/>
      <c r="AL41" s="983"/>
      <c r="AM41" s="984"/>
      <c r="AN41" s="985"/>
      <c r="AO41" s="985">
        <f t="shared" si="0"/>
        <v>0</v>
      </c>
      <c r="AQ41" s="1027"/>
    </row>
    <row r="42" spans="1:43" s="108" customFormat="1" ht="27.5" customHeight="1" outlineLevel="3">
      <c r="A42" s="580"/>
      <c r="B42" s="107" t="s">
        <v>3623</v>
      </c>
      <c r="C42" s="107"/>
      <c r="D42" s="533" t="s">
        <v>708</v>
      </c>
      <c r="E42" s="533"/>
      <c r="F42" s="103"/>
      <c r="G42" s="97"/>
      <c r="H42" s="363"/>
      <c r="I42" s="364"/>
      <c r="J42" s="365"/>
      <c r="K42" s="365"/>
      <c r="L42" s="365"/>
      <c r="M42" s="365"/>
      <c r="N42" s="365"/>
      <c r="O42" s="365"/>
      <c r="P42" s="365"/>
      <c r="Q42" s="97"/>
      <c r="R42" s="364" t="str">
        <f>'9.3_PA_Det'!$E$41</f>
        <v>Selección Basada en Calidad y Costo</v>
      </c>
      <c r="S42" s="364" t="s">
        <v>1075</v>
      </c>
      <c r="T42" s="364" t="s">
        <v>1198</v>
      </c>
      <c r="U42" s="364">
        <f>+'9.3_PA_Det'!$F$41</f>
        <v>13</v>
      </c>
      <c r="V42" s="181"/>
      <c r="W42" s="97"/>
      <c r="X42" s="711" t="s">
        <v>1179</v>
      </c>
      <c r="Y42" s="712">
        <v>1</v>
      </c>
      <c r="Z42" s="179"/>
      <c r="AA42" s="180"/>
      <c r="AB42" s="1048">
        <f>250000+397000</f>
        <v>647000</v>
      </c>
      <c r="AC42" s="1048">
        <f>Y42*AB42</f>
        <v>647000</v>
      </c>
      <c r="AD42" s="1042"/>
      <c r="AE42" s="97"/>
      <c r="AF42" s="1032">
        <f>+AC42</f>
        <v>647000</v>
      </c>
      <c r="AG42" s="1032"/>
      <c r="AH42" s="1041">
        <f>AF42+AG42</f>
        <v>647000</v>
      </c>
      <c r="AI42" s="867"/>
      <c r="AJ42" s="986"/>
      <c r="AK42" s="986">
        <f>+$AF$42*10%</f>
        <v>64700</v>
      </c>
      <c r="AL42" s="986">
        <f>+$AF$42*20%</f>
        <v>129400</v>
      </c>
      <c r="AM42" s="986">
        <f>+$AF$42*50%</f>
        <v>323500</v>
      </c>
      <c r="AN42" s="986">
        <f>+$AF$42*20%</f>
        <v>129400</v>
      </c>
      <c r="AO42" s="1038">
        <f t="shared" si="0"/>
        <v>647000</v>
      </c>
      <c r="AQ42" s="1027"/>
    </row>
    <row r="43" spans="1:43" s="153" customFormat="1" ht="14" customHeight="1" outlineLevel="2">
      <c r="A43" s="582"/>
      <c r="B43" s="434"/>
      <c r="C43" s="434"/>
      <c r="D43" s="544"/>
      <c r="E43" s="544"/>
      <c r="F43" s="177"/>
      <c r="G43" s="96"/>
      <c r="H43" s="435"/>
      <c r="I43" s="704"/>
      <c r="J43" s="766"/>
      <c r="K43" s="766"/>
      <c r="L43" s="766"/>
      <c r="M43" s="766"/>
      <c r="N43" s="766"/>
      <c r="O43" s="766"/>
      <c r="P43" s="766"/>
      <c r="Q43" s="96"/>
      <c r="R43" s="853"/>
      <c r="S43" s="853"/>
      <c r="T43" s="853"/>
      <c r="U43" s="853"/>
      <c r="V43" s="436"/>
      <c r="W43" s="96"/>
      <c r="X43" s="173"/>
      <c r="Y43" s="704"/>
      <c r="Z43" s="704"/>
      <c r="AA43" s="354"/>
      <c r="AB43" s="439"/>
      <c r="AC43" s="439"/>
      <c r="AD43" s="688"/>
      <c r="AE43" s="96"/>
      <c r="AF43" s="439">
        <f>+AC43</f>
        <v>0</v>
      </c>
      <c r="AG43" s="439"/>
      <c r="AH43" s="439"/>
      <c r="AI43" s="865"/>
      <c r="AJ43" s="996"/>
      <c r="AK43" s="996"/>
      <c r="AL43" s="996"/>
      <c r="AM43" s="997"/>
      <c r="AN43" s="995"/>
      <c r="AO43" s="995">
        <f t="shared" si="0"/>
        <v>0</v>
      </c>
      <c r="AQ43" s="1027"/>
    </row>
    <row r="44" spans="1:43" s="153" customFormat="1" ht="24" customHeight="1" outlineLevel="1">
      <c r="A44" s="578"/>
      <c r="B44" s="428" t="s">
        <v>505</v>
      </c>
      <c r="C44" s="428"/>
      <c r="D44" s="539" t="s">
        <v>19</v>
      </c>
      <c r="E44" s="539" t="s">
        <v>4</v>
      </c>
      <c r="F44" s="427"/>
      <c r="G44" s="96"/>
      <c r="H44" s="429"/>
      <c r="I44" s="425"/>
      <c r="J44" s="430"/>
      <c r="K44" s="430"/>
      <c r="L44" s="430"/>
      <c r="M44" s="430"/>
      <c r="N44" s="430"/>
      <c r="O44" s="430"/>
      <c r="P44" s="430"/>
      <c r="Q44" s="96"/>
      <c r="R44" s="850"/>
      <c r="S44" s="850"/>
      <c r="T44" s="850"/>
      <c r="U44" s="850"/>
      <c r="V44" s="431"/>
      <c r="W44" s="96"/>
      <c r="X44" s="426"/>
      <c r="Y44" s="425"/>
      <c r="Z44" s="425"/>
      <c r="AA44" s="432"/>
      <c r="AB44" s="433"/>
      <c r="AC44" s="433">
        <f>AC45+AC98+AC101+AC109+AC92</f>
        <v>15750000</v>
      </c>
      <c r="AD44" s="685"/>
      <c r="AE44" s="96"/>
      <c r="AF44" s="433">
        <f>AF45+AF98+AF101+AF109+AF92</f>
        <v>15750000</v>
      </c>
      <c r="AG44" s="433">
        <f>AG45+AG98+AG101+AG109+AG92</f>
        <v>0</v>
      </c>
      <c r="AH44" s="433">
        <f>AH45+AH98+AH101+AH109+AH92</f>
        <v>15750000</v>
      </c>
      <c r="AI44" s="865"/>
      <c r="AJ44" s="977">
        <f>AJ45+AJ98+AJ101+AJ109+AJ92</f>
        <v>648000</v>
      </c>
      <c r="AK44" s="977">
        <f>AK45+AK98+AK101+AK109+AK92</f>
        <v>2722000</v>
      </c>
      <c r="AL44" s="977">
        <f>AL45+AL98+AL101+AL109+AL92</f>
        <v>3025000</v>
      </c>
      <c r="AM44" s="978">
        <f>AM45+AM98+AM101+AM109+AM92</f>
        <v>6255000</v>
      </c>
      <c r="AN44" s="976">
        <f>AN45+AN98+AN101+AN109+AN92</f>
        <v>3100000</v>
      </c>
      <c r="AO44" s="976">
        <f t="shared" si="0"/>
        <v>15750000</v>
      </c>
      <c r="AQ44" s="1027"/>
    </row>
    <row r="45" spans="1:43" s="153" customFormat="1" ht="36.5" customHeight="1" outlineLevel="2">
      <c r="A45" s="172"/>
      <c r="B45" s="171" t="s">
        <v>506</v>
      </c>
      <c r="C45" s="171"/>
      <c r="D45" s="538" t="s">
        <v>20</v>
      </c>
      <c r="E45" s="538" t="s">
        <v>4</v>
      </c>
      <c r="F45" s="106" t="s">
        <v>3348</v>
      </c>
      <c r="G45" s="96"/>
      <c r="H45" s="357" t="str">
        <f>+'1_MdR_Limpia'!C39</f>
        <v>Número</v>
      </c>
      <c r="I45" s="357">
        <f>+'1_MdR_Limpia'!D39</f>
        <v>0</v>
      </c>
      <c r="J45" s="357">
        <f>+'1_MdR_Limpia'!E39</f>
        <v>2021</v>
      </c>
      <c r="K45" s="357" t="str">
        <f>+'1_MdR_Limpia'!F39</f>
        <v>-</v>
      </c>
      <c r="L45" s="357" t="str">
        <f>+'1_MdR_Limpia'!G39</f>
        <v>-</v>
      </c>
      <c r="M45" s="357" t="str">
        <f>+'1_MdR_Limpia'!H39</f>
        <v>-</v>
      </c>
      <c r="N45" s="357">
        <f>+'1_MdR_Limpia'!J39</f>
        <v>1</v>
      </c>
      <c r="O45" s="357">
        <f>+'1_MdR_Limpia'!L39</f>
        <v>1</v>
      </c>
      <c r="P45" s="357">
        <f>+'1_MdR_Limpia'!L39</f>
        <v>1</v>
      </c>
      <c r="Q45" s="96"/>
      <c r="R45" s="854"/>
      <c r="S45" s="358"/>
      <c r="T45" s="358"/>
      <c r="U45" s="358"/>
      <c r="V45" s="175"/>
      <c r="W45" s="96"/>
      <c r="X45" s="394"/>
      <c r="Y45" s="172"/>
      <c r="Z45" s="172"/>
      <c r="AA45" s="171"/>
      <c r="AB45" s="176"/>
      <c r="AC45" s="176">
        <f>+AC47+AC59+AC62+AC70+AC77+AC85</f>
        <v>10525000</v>
      </c>
      <c r="AD45" s="689"/>
      <c r="AE45" s="96"/>
      <c r="AF45" s="176">
        <f>+AF47+AF59+AF62+AF70+AF77+AF85</f>
        <v>10525000</v>
      </c>
      <c r="AG45" s="176">
        <f>+AG47+AG59+AG62+AG70+AG77+AG85</f>
        <v>0</v>
      </c>
      <c r="AH45" s="176">
        <f>+AF45+AG45</f>
        <v>10525000</v>
      </c>
      <c r="AI45" s="865"/>
      <c r="AJ45" s="980">
        <f>+AJ47+AJ59+AJ62+AJ70+AJ77+AJ85</f>
        <v>65000</v>
      </c>
      <c r="AK45" s="980">
        <f>+AK47+AK59+AK62+AK70+AK77+AK85</f>
        <v>600000</v>
      </c>
      <c r="AL45" s="980">
        <f>+AL47+AL59+AL62+AL70+AL77+AL85</f>
        <v>1585000</v>
      </c>
      <c r="AM45" s="981">
        <f>+AM47+AM59+AM62+AM70+AM77+AM85</f>
        <v>5475000</v>
      </c>
      <c r="AN45" s="979">
        <f>+AN47+AN59+AN62+AN70+AN77+AN85</f>
        <v>2800000</v>
      </c>
      <c r="AO45" s="979">
        <f t="shared" si="0"/>
        <v>10525000</v>
      </c>
      <c r="AQ45" s="1027"/>
    </row>
    <row r="46" spans="1:43" s="558" customFormat="1" ht="41.5" customHeight="1" outlineLevel="3" collapsed="1">
      <c r="A46" s="579" t="s">
        <v>2629</v>
      </c>
      <c r="B46" s="490" t="s">
        <v>711</v>
      </c>
      <c r="C46" s="490"/>
      <c r="D46" s="676" t="s">
        <v>3624</v>
      </c>
      <c r="E46" s="676"/>
      <c r="F46" s="491"/>
      <c r="G46" s="492"/>
      <c r="H46" s="677"/>
      <c r="I46" s="553"/>
      <c r="J46" s="553"/>
      <c r="K46" s="553"/>
      <c r="L46" s="553"/>
      <c r="M46" s="553"/>
      <c r="N46" s="553"/>
      <c r="O46" s="553"/>
      <c r="P46" s="553"/>
      <c r="Q46" s="492"/>
      <c r="R46" s="855" t="s">
        <v>876</v>
      </c>
      <c r="S46" s="855" t="s">
        <v>3074</v>
      </c>
      <c r="T46" s="855" t="s">
        <v>3074</v>
      </c>
      <c r="U46" s="855" t="s">
        <v>3074</v>
      </c>
      <c r="V46" s="554" t="s">
        <v>3074</v>
      </c>
      <c r="W46" s="492"/>
      <c r="X46" s="497"/>
      <c r="Y46" s="499"/>
      <c r="Z46" s="500"/>
      <c r="AA46" s="501"/>
      <c r="AB46" s="502"/>
      <c r="AC46" s="700" t="s">
        <v>3625</v>
      </c>
      <c r="AD46" s="690"/>
      <c r="AE46" s="492"/>
      <c r="AF46" s="502"/>
      <c r="AG46" s="502"/>
      <c r="AH46" s="503"/>
      <c r="AI46" s="866"/>
      <c r="AJ46" s="983"/>
      <c r="AK46" s="983"/>
      <c r="AL46" s="983"/>
      <c r="AM46" s="984"/>
      <c r="AN46" s="985"/>
      <c r="AO46" s="998">
        <f t="shared" si="0"/>
        <v>0</v>
      </c>
      <c r="AP46" s="879"/>
      <c r="AQ46" s="1027"/>
    </row>
    <row r="47" spans="1:43" s="153" customFormat="1" ht="17.5" customHeight="1" outlineLevel="3">
      <c r="A47" s="581"/>
      <c r="B47" s="400" t="s">
        <v>719</v>
      </c>
      <c r="C47" s="400"/>
      <c r="D47" s="536" t="s">
        <v>712</v>
      </c>
      <c r="E47" s="536"/>
      <c r="F47" s="399"/>
      <c r="G47" s="96"/>
      <c r="H47" s="401"/>
      <c r="I47" s="621"/>
      <c r="J47" s="622"/>
      <c r="K47" s="622"/>
      <c r="L47" s="622"/>
      <c r="M47" s="622"/>
      <c r="N47" s="622"/>
      <c r="O47" s="622"/>
      <c r="P47" s="622"/>
      <c r="Q47" s="96"/>
      <c r="R47" s="837"/>
      <c r="S47" s="851"/>
      <c r="T47" s="851"/>
      <c r="U47" s="851"/>
      <c r="V47" s="399"/>
      <c r="W47" s="96"/>
      <c r="X47" s="396"/>
      <c r="Y47" s="397"/>
      <c r="Z47" s="397"/>
      <c r="AA47" s="395"/>
      <c r="AB47" s="398"/>
      <c r="AC47" s="398">
        <f>+AC48</f>
        <v>500000</v>
      </c>
      <c r="AD47" s="691"/>
      <c r="AE47" s="96"/>
      <c r="AF47" s="398">
        <f>+AF48</f>
        <v>500000</v>
      </c>
      <c r="AG47" s="398">
        <f>+AG48</f>
        <v>0</v>
      </c>
      <c r="AH47" s="398">
        <f t="shared" ref="AH47:AH114" si="5">+AF47+AG47</f>
        <v>500000</v>
      </c>
      <c r="AI47" s="865"/>
      <c r="AJ47" s="992">
        <f>+AJ48</f>
        <v>25000</v>
      </c>
      <c r="AK47" s="992">
        <f>+AK48</f>
        <v>475000</v>
      </c>
      <c r="AL47" s="992">
        <f>+AL48</f>
        <v>0</v>
      </c>
      <c r="AM47" s="993">
        <f>+AM48</f>
        <v>0</v>
      </c>
      <c r="AN47" s="994">
        <f>+AN48</f>
        <v>0</v>
      </c>
      <c r="AO47" s="994">
        <f t="shared" si="0"/>
        <v>500000</v>
      </c>
      <c r="AQ47" s="1027"/>
    </row>
    <row r="48" spans="1:43" s="881" customFormat="1" ht="25.25" customHeight="1" outlineLevel="4">
      <c r="A48" s="580"/>
      <c r="B48" s="107" t="s">
        <v>721</v>
      </c>
      <c r="C48" s="107"/>
      <c r="D48" s="935" t="s">
        <v>3626</v>
      </c>
      <c r="E48" s="935"/>
      <c r="F48" s="103" t="s">
        <v>1297</v>
      </c>
      <c r="G48" s="3972"/>
      <c r="H48" s="3974" t="s">
        <v>1298</v>
      </c>
      <c r="I48" s="3972"/>
      <c r="J48" s="3972"/>
      <c r="K48" s="3972"/>
      <c r="L48" s="3972"/>
      <c r="M48" s="3972"/>
      <c r="N48" s="3972"/>
      <c r="O48" s="3972"/>
      <c r="P48" s="3972"/>
      <c r="Q48" s="3972"/>
      <c r="R48" s="4597" t="s">
        <v>723</v>
      </c>
      <c r="S48" s="4597"/>
      <c r="T48" s="4597"/>
      <c r="U48" s="4597"/>
      <c r="V48" s="3972"/>
      <c r="W48" s="3972"/>
      <c r="X48" s="3974" t="s">
        <v>1179</v>
      </c>
      <c r="Y48" s="4180">
        <v>1</v>
      </c>
      <c r="Z48" s="4180"/>
      <c r="AA48" s="4180"/>
      <c r="AB48" s="4180">
        <v>500000</v>
      </c>
      <c r="AC48" s="4180">
        <f>+AB48*Y48</f>
        <v>500000</v>
      </c>
      <c r="AD48" s="3974"/>
      <c r="AE48" s="3974"/>
      <c r="AF48" s="4180">
        <f>+AC48</f>
        <v>500000</v>
      </c>
      <c r="AG48" s="4180"/>
      <c r="AH48" s="4180">
        <f t="shared" si="5"/>
        <v>500000</v>
      </c>
      <c r="AI48" s="4699"/>
      <c r="AJ48" s="3874">
        <f>+AF48*5%</f>
        <v>25000</v>
      </c>
      <c r="AK48" s="3874">
        <f>+AF48*95%</f>
        <v>475000</v>
      </c>
      <c r="AL48" s="3874"/>
      <c r="AM48" s="3874"/>
      <c r="AN48" s="3874"/>
      <c r="AO48" s="3874">
        <f t="shared" si="0"/>
        <v>500000</v>
      </c>
      <c r="AP48" s="108"/>
      <c r="AQ48" s="1027"/>
    </row>
    <row r="49" spans="1:51" s="882" customFormat="1" ht="33" customHeight="1" outlineLevel="4">
      <c r="A49" s="580"/>
      <c r="B49" s="107" t="s">
        <v>724</v>
      </c>
      <c r="C49" s="107"/>
      <c r="D49" s="935" t="s">
        <v>3627</v>
      </c>
      <c r="E49" s="935"/>
      <c r="F49" s="103" t="s">
        <v>1300</v>
      </c>
      <c r="G49" s="3973"/>
      <c r="H49" s="3975"/>
      <c r="I49" s="3973"/>
      <c r="J49" s="3973"/>
      <c r="K49" s="3973"/>
      <c r="L49" s="3973"/>
      <c r="M49" s="3973"/>
      <c r="N49" s="3973"/>
      <c r="O49" s="3973"/>
      <c r="P49" s="3973"/>
      <c r="Q49" s="3973"/>
      <c r="R49" s="4709"/>
      <c r="S49" s="4709"/>
      <c r="T49" s="4709"/>
      <c r="U49" s="4709"/>
      <c r="V49" s="3973"/>
      <c r="W49" s="3973"/>
      <c r="X49" s="3975"/>
      <c r="Y49" s="4181"/>
      <c r="Z49" s="4181"/>
      <c r="AA49" s="4181"/>
      <c r="AB49" s="4181"/>
      <c r="AC49" s="4181"/>
      <c r="AD49" s="3975"/>
      <c r="AE49" s="3975"/>
      <c r="AF49" s="4181"/>
      <c r="AG49" s="4181"/>
      <c r="AH49" s="4181"/>
      <c r="AI49" s="4700"/>
      <c r="AJ49" s="3875"/>
      <c r="AK49" s="3875"/>
      <c r="AL49" s="3875"/>
      <c r="AM49" s="3875"/>
      <c r="AN49" s="3875"/>
      <c r="AO49" s="3875">
        <f t="shared" si="0"/>
        <v>0</v>
      </c>
      <c r="AP49" s="108"/>
      <c r="AQ49" s="1027"/>
      <c r="AR49" s="881"/>
      <c r="AS49" s="881"/>
      <c r="AT49" s="881"/>
      <c r="AU49" s="881"/>
      <c r="AV49" s="881"/>
      <c r="AW49" s="881"/>
      <c r="AX49" s="881"/>
      <c r="AY49" s="881"/>
    </row>
    <row r="50" spans="1:51" s="882" customFormat="1" ht="27" customHeight="1" outlineLevel="4">
      <c r="A50" s="580"/>
      <c r="B50" s="107" t="s">
        <v>3628</v>
      </c>
      <c r="C50" s="107"/>
      <c r="D50" s="935" t="s">
        <v>3629</v>
      </c>
      <c r="E50" s="935"/>
      <c r="F50" s="103" t="s">
        <v>1300</v>
      </c>
      <c r="G50" s="3973"/>
      <c r="H50" s="3975"/>
      <c r="I50" s="3973"/>
      <c r="J50" s="3973"/>
      <c r="K50" s="3973"/>
      <c r="L50" s="3973"/>
      <c r="M50" s="3973"/>
      <c r="N50" s="3973"/>
      <c r="O50" s="3973"/>
      <c r="P50" s="3973"/>
      <c r="Q50" s="3973"/>
      <c r="R50" s="4709"/>
      <c r="S50" s="4709"/>
      <c r="T50" s="4709"/>
      <c r="U50" s="4709"/>
      <c r="V50" s="3973"/>
      <c r="W50" s="3973"/>
      <c r="X50" s="3975"/>
      <c r="Y50" s="4181"/>
      <c r="Z50" s="4181"/>
      <c r="AA50" s="4181"/>
      <c r="AB50" s="4181"/>
      <c r="AC50" s="4181"/>
      <c r="AD50" s="3975"/>
      <c r="AE50" s="3975"/>
      <c r="AF50" s="4181"/>
      <c r="AG50" s="4181"/>
      <c r="AH50" s="4181"/>
      <c r="AI50" s="4700"/>
      <c r="AJ50" s="3875"/>
      <c r="AK50" s="3875"/>
      <c r="AL50" s="3875"/>
      <c r="AM50" s="3875"/>
      <c r="AN50" s="3875"/>
      <c r="AO50" s="3875">
        <f t="shared" si="0"/>
        <v>0</v>
      </c>
      <c r="AP50" s="108"/>
      <c r="AQ50" s="1027"/>
      <c r="AR50" s="881"/>
      <c r="AS50" s="881"/>
      <c r="AT50" s="881"/>
      <c r="AU50" s="881"/>
      <c r="AV50" s="881"/>
      <c r="AW50" s="881"/>
      <c r="AX50" s="881"/>
      <c r="AY50" s="881"/>
    </row>
    <row r="51" spans="1:51" s="881" customFormat="1" ht="27.5" customHeight="1" outlineLevel="4">
      <c r="A51" s="580"/>
      <c r="B51" s="107" t="s">
        <v>3630</v>
      </c>
      <c r="C51" s="107"/>
      <c r="D51" s="935" t="s">
        <v>3631</v>
      </c>
      <c r="E51" s="935"/>
      <c r="F51" s="103" t="s">
        <v>1297</v>
      </c>
      <c r="G51" s="3973"/>
      <c r="H51" s="3975"/>
      <c r="I51" s="3973"/>
      <c r="J51" s="3973"/>
      <c r="K51" s="3973"/>
      <c r="L51" s="3973"/>
      <c r="M51" s="3973"/>
      <c r="N51" s="3973"/>
      <c r="O51" s="3973"/>
      <c r="P51" s="3973"/>
      <c r="Q51" s="3973"/>
      <c r="R51" s="4709"/>
      <c r="S51" s="4709"/>
      <c r="T51" s="4709"/>
      <c r="U51" s="4709"/>
      <c r="V51" s="3973"/>
      <c r="W51" s="3973"/>
      <c r="X51" s="3975"/>
      <c r="Y51" s="4181"/>
      <c r="Z51" s="4181"/>
      <c r="AA51" s="4181"/>
      <c r="AB51" s="4181"/>
      <c r="AC51" s="4181"/>
      <c r="AD51" s="3975"/>
      <c r="AE51" s="3975"/>
      <c r="AF51" s="4181"/>
      <c r="AG51" s="4181"/>
      <c r="AH51" s="4181"/>
      <c r="AI51" s="4700"/>
      <c r="AJ51" s="3875"/>
      <c r="AK51" s="3875"/>
      <c r="AL51" s="3875"/>
      <c r="AM51" s="3875"/>
      <c r="AN51" s="3875"/>
      <c r="AO51" s="3875">
        <f t="shared" si="0"/>
        <v>0</v>
      </c>
      <c r="AP51" s="108"/>
      <c r="AQ51" s="1027"/>
    </row>
    <row r="52" spans="1:51" s="881" customFormat="1" ht="40.25" customHeight="1" outlineLevel="4">
      <c r="A52" s="580"/>
      <c r="B52" s="107" t="s">
        <v>3632</v>
      </c>
      <c r="C52" s="107"/>
      <c r="D52" s="935" t="s">
        <v>3633</v>
      </c>
      <c r="E52" s="935"/>
      <c r="F52" s="103"/>
      <c r="G52" s="3973"/>
      <c r="H52" s="3975"/>
      <c r="I52" s="3973"/>
      <c r="J52" s="3973"/>
      <c r="K52" s="3973"/>
      <c r="L52" s="3973"/>
      <c r="M52" s="3973"/>
      <c r="N52" s="3973"/>
      <c r="O52" s="3973"/>
      <c r="P52" s="3973"/>
      <c r="Q52" s="3973"/>
      <c r="R52" s="4709"/>
      <c r="S52" s="4709"/>
      <c r="T52" s="4709"/>
      <c r="U52" s="4709"/>
      <c r="V52" s="3973"/>
      <c r="W52" s="3973"/>
      <c r="X52" s="3975"/>
      <c r="Y52" s="4181"/>
      <c r="Z52" s="4181"/>
      <c r="AA52" s="4181"/>
      <c r="AB52" s="4181"/>
      <c r="AC52" s="4181"/>
      <c r="AD52" s="3975"/>
      <c r="AE52" s="3975"/>
      <c r="AF52" s="4181"/>
      <c r="AG52" s="4181"/>
      <c r="AH52" s="4181"/>
      <c r="AI52" s="4700"/>
      <c r="AJ52" s="3875"/>
      <c r="AK52" s="3875"/>
      <c r="AL52" s="3875"/>
      <c r="AM52" s="3875"/>
      <c r="AN52" s="3875"/>
      <c r="AO52" s="3875">
        <f t="shared" si="0"/>
        <v>0</v>
      </c>
      <c r="AP52" s="108"/>
      <c r="AQ52" s="1027"/>
    </row>
    <row r="53" spans="1:51" s="882" customFormat="1" ht="28.25" customHeight="1" outlineLevel="4">
      <c r="A53" s="580"/>
      <c r="B53" s="107" t="s">
        <v>3634</v>
      </c>
      <c r="C53" s="107"/>
      <c r="D53" s="935" t="s">
        <v>3635</v>
      </c>
      <c r="E53" s="935"/>
      <c r="F53" s="103" t="s">
        <v>1300</v>
      </c>
      <c r="G53" s="3973"/>
      <c r="H53" s="3975"/>
      <c r="I53" s="3973"/>
      <c r="J53" s="3973"/>
      <c r="K53" s="3973"/>
      <c r="L53" s="3973"/>
      <c r="M53" s="3973"/>
      <c r="N53" s="3973"/>
      <c r="O53" s="3973"/>
      <c r="P53" s="3973"/>
      <c r="Q53" s="3973"/>
      <c r="R53" s="4709"/>
      <c r="S53" s="4709"/>
      <c r="T53" s="4709"/>
      <c r="U53" s="4709"/>
      <c r="V53" s="3973"/>
      <c r="W53" s="3973"/>
      <c r="X53" s="3975"/>
      <c r="Y53" s="4181"/>
      <c r="Z53" s="4181"/>
      <c r="AA53" s="4181"/>
      <c r="AB53" s="4181"/>
      <c r="AC53" s="4181"/>
      <c r="AD53" s="3975"/>
      <c r="AE53" s="3975"/>
      <c r="AF53" s="4181"/>
      <c r="AG53" s="4181"/>
      <c r="AH53" s="4181"/>
      <c r="AI53" s="4700"/>
      <c r="AJ53" s="3875"/>
      <c r="AK53" s="3875"/>
      <c r="AL53" s="3875"/>
      <c r="AM53" s="3875"/>
      <c r="AN53" s="3875"/>
      <c r="AO53" s="3875">
        <f t="shared" si="0"/>
        <v>0</v>
      </c>
      <c r="AP53" s="108"/>
      <c r="AQ53" s="1027"/>
      <c r="AR53" s="881"/>
      <c r="AS53" s="881"/>
      <c r="AT53" s="881"/>
      <c r="AU53" s="881"/>
      <c r="AV53" s="881"/>
      <c r="AW53" s="881"/>
      <c r="AX53" s="881"/>
      <c r="AY53" s="881"/>
    </row>
    <row r="54" spans="1:51" s="882" customFormat="1" ht="14" customHeight="1" outlineLevel="4">
      <c r="A54" s="580"/>
      <c r="B54" s="107" t="s">
        <v>3636</v>
      </c>
      <c r="C54" s="107"/>
      <c r="D54" s="935" t="s">
        <v>3637</v>
      </c>
      <c r="E54" s="935"/>
      <c r="F54" s="103" t="s">
        <v>1300</v>
      </c>
      <c r="G54" s="3973"/>
      <c r="H54" s="3975"/>
      <c r="I54" s="3973"/>
      <c r="J54" s="3973"/>
      <c r="K54" s="3973"/>
      <c r="L54" s="3973"/>
      <c r="M54" s="3973"/>
      <c r="N54" s="3973"/>
      <c r="O54" s="3973"/>
      <c r="P54" s="3973"/>
      <c r="Q54" s="3973"/>
      <c r="R54" s="4709"/>
      <c r="S54" s="4709"/>
      <c r="T54" s="4709"/>
      <c r="U54" s="4709"/>
      <c r="V54" s="3973"/>
      <c r="W54" s="3973"/>
      <c r="X54" s="3975"/>
      <c r="Y54" s="4181"/>
      <c r="Z54" s="4181"/>
      <c r="AA54" s="4181"/>
      <c r="AB54" s="4181"/>
      <c r="AC54" s="4181"/>
      <c r="AD54" s="3975"/>
      <c r="AE54" s="3975"/>
      <c r="AF54" s="4181"/>
      <c r="AG54" s="4181"/>
      <c r="AH54" s="4181"/>
      <c r="AI54" s="4700"/>
      <c r="AJ54" s="3875"/>
      <c r="AK54" s="3875"/>
      <c r="AL54" s="3875"/>
      <c r="AM54" s="3875"/>
      <c r="AN54" s="3875"/>
      <c r="AO54" s="3875">
        <f t="shared" si="0"/>
        <v>0</v>
      </c>
      <c r="AP54" s="108"/>
      <c r="AQ54" s="1027"/>
      <c r="AR54" s="881"/>
      <c r="AS54" s="881"/>
      <c r="AT54" s="881"/>
      <c r="AU54" s="881"/>
      <c r="AV54" s="881"/>
      <c r="AW54" s="881"/>
      <c r="AX54" s="881"/>
      <c r="AY54" s="881"/>
    </row>
    <row r="55" spans="1:51" s="881" customFormat="1" ht="41.5" customHeight="1" outlineLevel="4">
      <c r="A55" s="580"/>
      <c r="B55" s="107" t="s">
        <v>3638</v>
      </c>
      <c r="C55" s="107"/>
      <c r="D55" s="935" t="s">
        <v>3639</v>
      </c>
      <c r="E55" s="935"/>
      <c r="F55" s="103" t="s">
        <v>1297</v>
      </c>
      <c r="G55" s="3973"/>
      <c r="H55" s="3975"/>
      <c r="I55" s="3973"/>
      <c r="J55" s="3973"/>
      <c r="K55" s="3973"/>
      <c r="L55" s="3973"/>
      <c r="M55" s="3973"/>
      <c r="N55" s="3973"/>
      <c r="O55" s="3973"/>
      <c r="P55" s="3973"/>
      <c r="Q55" s="3973"/>
      <c r="R55" s="4709"/>
      <c r="S55" s="4709"/>
      <c r="T55" s="4709"/>
      <c r="U55" s="4709"/>
      <c r="V55" s="3973"/>
      <c r="W55" s="3973"/>
      <c r="X55" s="3975"/>
      <c r="Y55" s="4181"/>
      <c r="Z55" s="4181"/>
      <c r="AA55" s="4181"/>
      <c r="AB55" s="4181"/>
      <c r="AC55" s="4181"/>
      <c r="AD55" s="3975"/>
      <c r="AE55" s="3975"/>
      <c r="AF55" s="4181"/>
      <c r="AG55" s="4181"/>
      <c r="AH55" s="4181"/>
      <c r="AI55" s="4700"/>
      <c r="AJ55" s="3875"/>
      <c r="AK55" s="3875"/>
      <c r="AL55" s="3875"/>
      <c r="AM55" s="3875"/>
      <c r="AN55" s="3875"/>
      <c r="AO55" s="3875">
        <f t="shared" si="0"/>
        <v>0</v>
      </c>
      <c r="AP55" s="108"/>
      <c r="AQ55" s="1027"/>
    </row>
    <row r="56" spans="1:51" s="882" customFormat="1" ht="24.5" customHeight="1" outlineLevel="4">
      <c r="A56" s="580"/>
      <c r="B56" s="107" t="s">
        <v>3640</v>
      </c>
      <c r="C56" s="107"/>
      <c r="D56" s="935" t="s">
        <v>3641</v>
      </c>
      <c r="E56" s="935"/>
      <c r="F56" s="103" t="s">
        <v>1300</v>
      </c>
      <c r="G56" s="3973"/>
      <c r="H56" s="3975"/>
      <c r="I56" s="3973"/>
      <c r="J56" s="3973"/>
      <c r="K56" s="3973"/>
      <c r="L56" s="3973"/>
      <c r="M56" s="3973"/>
      <c r="N56" s="3973"/>
      <c r="O56" s="3973"/>
      <c r="P56" s="3973"/>
      <c r="Q56" s="3973"/>
      <c r="R56" s="4709"/>
      <c r="S56" s="4709"/>
      <c r="T56" s="4709"/>
      <c r="U56" s="4709"/>
      <c r="V56" s="3973"/>
      <c r="W56" s="3973"/>
      <c r="X56" s="3975"/>
      <c r="Y56" s="4181"/>
      <c r="Z56" s="4181"/>
      <c r="AA56" s="4181"/>
      <c r="AB56" s="4181"/>
      <c r="AC56" s="4181"/>
      <c r="AD56" s="3975"/>
      <c r="AE56" s="3975"/>
      <c r="AF56" s="4181"/>
      <c r="AG56" s="4181"/>
      <c r="AH56" s="4181"/>
      <c r="AI56" s="4700"/>
      <c r="AJ56" s="3875"/>
      <c r="AK56" s="3875"/>
      <c r="AL56" s="3875"/>
      <c r="AM56" s="3875"/>
      <c r="AN56" s="3875"/>
      <c r="AO56" s="3875">
        <f t="shared" si="0"/>
        <v>0</v>
      </c>
      <c r="AP56" s="108"/>
      <c r="AQ56" s="1027"/>
      <c r="AR56" s="881"/>
      <c r="AS56" s="881"/>
      <c r="AT56" s="881"/>
      <c r="AU56" s="881"/>
      <c r="AV56" s="881"/>
      <c r="AW56" s="881"/>
      <c r="AX56" s="881"/>
      <c r="AY56" s="881"/>
    </row>
    <row r="57" spans="1:51" s="882" customFormat="1" ht="27.5" customHeight="1" outlineLevel="4">
      <c r="A57" s="580"/>
      <c r="B57" s="107" t="s">
        <v>3642</v>
      </c>
      <c r="C57" s="107"/>
      <c r="D57" s="935" t="s">
        <v>3643</v>
      </c>
      <c r="E57" s="935"/>
      <c r="F57" s="103"/>
      <c r="G57" s="3973"/>
      <c r="H57" s="3975"/>
      <c r="I57" s="3973"/>
      <c r="J57" s="3973"/>
      <c r="K57" s="3973"/>
      <c r="L57" s="3973"/>
      <c r="M57" s="3973"/>
      <c r="N57" s="3973"/>
      <c r="O57" s="3973"/>
      <c r="P57" s="3973"/>
      <c r="Q57" s="3973"/>
      <c r="R57" s="4709"/>
      <c r="S57" s="4709"/>
      <c r="T57" s="4709"/>
      <c r="U57" s="4709"/>
      <c r="V57" s="3973"/>
      <c r="W57" s="3973"/>
      <c r="X57" s="3975"/>
      <c r="Y57" s="4181"/>
      <c r="Z57" s="4181"/>
      <c r="AA57" s="4181"/>
      <c r="AB57" s="4181"/>
      <c r="AC57" s="4181"/>
      <c r="AD57" s="3975"/>
      <c r="AE57" s="3975"/>
      <c r="AF57" s="4181"/>
      <c r="AG57" s="4181"/>
      <c r="AH57" s="4181"/>
      <c r="AI57" s="4700"/>
      <c r="AJ57" s="3875"/>
      <c r="AK57" s="3875"/>
      <c r="AL57" s="3875"/>
      <c r="AM57" s="3875"/>
      <c r="AN57" s="3875"/>
      <c r="AO57" s="3875">
        <f t="shared" si="0"/>
        <v>0</v>
      </c>
      <c r="AP57" s="108"/>
      <c r="AQ57" s="1027"/>
      <c r="AR57" s="881"/>
      <c r="AS57" s="881"/>
      <c r="AT57" s="881"/>
      <c r="AU57" s="881"/>
      <c r="AV57" s="881"/>
      <c r="AW57" s="881"/>
      <c r="AX57" s="881"/>
      <c r="AY57" s="881"/>
    </row>
    <row r="58" spans="1:51" s="882" customFormat="1" ht="27.5" customHeight="1" outlineLevel="4">
      <c r="A58" s="580"/>
      <c r="B58" s="107" t="s">
        <v>3644</v>
      </c>
      <c r="C58" s="107"/>
      <c r="D58" s="935" t="s">
        <v>3645</v>
      </c>
      <c r="E58" s="935"/>
      <c r="F58" s="103"/>
      <c r="G58" s="4695"/>
      <c r="H58" s="4696"/>
      <c r="I58" s="4695"/>
      <c r="J58" s="4695"/>
      <c r="K58" s="4695"/>
      <c r="L58" s="4695"/>
      <c r="M58" s="4695"/>
      <c r="N58" s="4695"/>
      <c r="O58" s="4695"/>
      <c r="P58" s="4695"/>
      <c r="Q58" s="4695"/>
      <c r="R58" s="4598"/>
      <c r="S58" s="4598"/>
      <c r="T58" s="4598"/>
      <c r="U58" s="4598"/>
      <c r="V58" s="4695"/>
      <c r="W58" s="4695"/>
      <c r="X58" s="4696"/>
      <c r="Y58" s="4182"/>
      <c r="Z58" s="4182"/>
      <c r="AA58" s="4182"/>
      <c r="AB58" s="4182"/>
      <c r="AC58" s="4182"/>
      <c r="AD58" s="4696"/>
      <c r="AE58" s="4696"/>
      <c r="AF58" s="4182"/>
      <c r="AG58" s="4182"/>
      <c r="AH58" s="4182"/>
      <c r="AI58" s="4701"/>
      <c r="AJ58" s="3876"/>
      <c r="AK58" s="3876"/>
      <c r="AL58" s="3876"/>
      <c r="AM58" s="3876"/>
      <c r="AN58" s="3876"/>
      <c r="AO58" s="3876">
        <f t="shared" si="0"/>
        <v>0</v>
      </c>
      <c r="AP58" s="108"/>
      <c r="AQ58" s="1027"/>
      <c r="AR58" s="881"/>
      <c r="AS58" s="881"/>
      <c r="AT58" s="881"/>
      <c r="AU58" s="881"/>
      <c r="AV58" s="881"/>
      <c r="AW58" s="881"/>
      <c r="AX58" s="881"/>
      <c r="AY58" s="881"/>
    </row>
    <row r="59" spans="1:51" s="153" customFormat="1" ht="14" customHeight="1" outlineLevel="3">
      <c r="A59" s="581"/>
      <c r="B59" s="400" t="s">
        <v>727</v>
      </c>
      <c r="C59" s="400"/>
      <c r="D59" s="536" t="s">
        <v>720</v>
      </c>
      <c r="E59" s="536"/>
      <c r="F59" s="399" t="s">
        <v>1297</v>
      </c>
      <c r="G59" s="96"/>
      <c r="H59" s="401"/>
      <c r="I59" s="621"/>
      <c r="J59" s="622"/>
      <c r="K59" s="622"/>
      <c r="L59" s="622"/>
      <c r="M59" s="622"/>
      <c r="N59" s="622"/>
      <c r="O59" s="622"/>
      <c r="P59" s="622"/>
      <c r="Q59" s="96"/>
      <c r="R59" s="837"/>
      <c r="S59" s="851"/>
      <c r="T59" s="851"/>
      <c r="U59" s="851"/>
      <c r="V59" s="399"/>
      <c r="W59" s="96"/>
      <c r="X59" s="396"/>
      <c r="Y59" s="397"/>
      <c r="Z59" s="397"/>
      <c r="AA59" s="395"/>
      <c r="AB59" s="398"/>
      <c r="AC59" s="398">
        <f>SUM(AC60:AC61)</f>
        <v>425000</v>
      </c>
      <c r="AD59" s="691"/>
      <c r="AE59" s="96"/>
      <c r="AF59" s="398">
        <f>SUM(AF60:AF61)</f>
        <v>425000</v>
      </c>
      <c r="AG59" s="398">
        <f>SUM(AG60:AG61)</f>
        <v>0</v>
      </c>
      <c r="AH59" s="398">
        <f t="shared" si="5"/>
        <v>425000</v>
      </c>
      <c r="AI59" s="865"/>
      <c r="AJ59" s="992">
        <f>SUM(AJ60:AJ61)</f>
        <v>40000</v>
      </c>
      <c r="AK59" s="992">
        <f>SUM(AK60:AK61)</f>
        <v>125000</v>
      </c>
      <c r="AL59" s="992">
        <f>SUM(AL60:AL61)</f>
        <v>100000</v>
      </c>
      <c r="AM59" s="993">
        <f>SUM(AM60:AM61)</f>
        <v>100000</v>
      </c>
      <c r="AN59" s="994">
        <f>SUM(AN60:AN61)</f>
        <v>60000</v>
      </c>
      <c r="AO59" s="994">
        <f t="shared" si="0"/>
        <v>425000</v>
      </c>
      <c r="AQ59" s="1027"/>
    </row>
    <row r="60" spans="1:51" s="881" customFormat="1" ht="27.5" customHeight="1" outlineLevel="4">
      <c r="A60" s="580"/>
      <c r="B60" s="107" t="s">
        <v>729</v>
      </c>
      <c r="C60" s="107"/>
      <c r="D60" s="935" t="s">
        <v>722</v>
      </c>
      <c r="E60" s="935"/>
      <c r="F60" s="103" t="s">
        <v>1300</v>
      </c>
      <c r="G60" s="97"/>
      <c r="H60" s="611" t="s">
        <v>247</v>
      </c>
      <c r="I60" s="361"/>
      <c r="J60" s="361"/>
      <c r="K60" s="361"/>
      <c r="L60" s="361"/>
      <c r="M60" s="361"/>
      <c r="N60" s="361"/>
      <c r="O60" s="361"/>
      <c r="P60" s="361"/>
      <c r="Q60" s="97"/>
      <c r="R60" s="362" t="s">
        <v>723</v>
      </c>
      <c r="S60" s="362"/>
      <c r="T60" s="856"/>
      <c r="U60" s="362"/>
      <c r="V60" s="178"/>
      <c r="W60" s="97"/>
      <c r="X60" s="711" t="s">
        <v>1179</v>
      </c>
      <c r="Y60" s="712">
        <v>1</v>
      </c>
      <c r="Z60" s="179"/>
      <c r="AA60" s="180"/>
      <c r="AB60" s="618">
        <v>25000</v>
      </c>
      <c r="AC60" s="1032">
        <f>+AB60*Y60</f>
        <v>25000</v>
      </c>
      <c r="AD60" s="1043"/>
      <c r="AE60" s="97"/>
      <c r="AF60" s="1032">
        <f>+AC60</f>
        <v>25000</v>
      </c>
      <c r="AG60" s="1032"/>
      <c r="AH60" s="1041">
        <f t="shared" si="5"/>
        <v>25000</v>
      </c>
      <c r="AI60" s="867"/>
      <c r="AJ60" s="986"/>
      <c r="AK60" s="986">
        <f>+AF60</f>
        <v>25000</v>
      </c>
      <c r="AL60" s="986"/>
      <c r="AM60" s="987"/>
      <c r="AN60" s="728"/>
      <c r="AO60" s="1038">
        <f t="shared" si="0"/>
        <v>25000</v>
      </c>
      <c r="AP60" s="108"/>
      <c r="AQ60" s="1027"/>
    </row>
    <row r="61" spans="1:51" s="881" customFormat="1" ht="41.5" customHeight="1" outlineLevel="4">
      <c r="A61" s="580"/>
      <c r="B61" s="107" t="s">
        <v>731</v>
      </c>
      <c r="C61" s="107"/>
      <c r="D61" s="935" t="s">
        <v>725</v>
      </c>
      <c r="E61" s="935"/>
      <c r="F61" s="103" t="s">
        <v>1300</v>
      </c>
      <c r="G61" s="97"/>
      <c r="H61" s="611" t="s">
        <v>1305</v>
      </c>
      <c r="I61" s="361"/>
      <c r="J61" s="361"/>
      <c r="K61" s="361"/>
      <c r="L61" s="361"/>
      <c r="M61" s="361"/>
      <c r="N61" s="361"/>
      <c r="O61" s="361"/>
      <c r="P61" s="361"/>
      <c r="Q61" s="97"/>
      <c r="R61" s="362" t="s">
        <v>723</v>
      </c>
      <c r="S61" s="362"/>
      <c r="T61" s="856"/>
      <c r="U61" s="362"/>
      <c r="V61" s="178"/>
      <c r="W61" s="97"/>
      <c r="X61" s="711" t="s">
        <v>1179</v>
      </c>
      <c r="Y61" s="712">
        <v>1</v>
      </c>
      <c r="Z61" s="179"/>
      <c r="AA61" s="180"/>
      <c r="AB61" s="618">
        <v>400000</v>
      </c>
      <c r="AC61" s="1032">
        <f>+AB61*Y61</f>
        <v>400000</v>
      </c>
      <c r="AD61" s="1043"/>
      <c r="AE61" s="97"/>
      <c r="AF61" s="1032">
        <f>+AC61</f>
        <v>400000</v>
      </c>
      <c r="AG61" s="1032"/>
      <c r="AH61" s="1041">
        <f t="shared" si="5"/>
        <v>400000</v>
      </c>
      <c r="AI61" s="867"/>
      <c r="AJ61" s="986">
        <f>+AF61*10%</f>
        <v>40000</v>
      </c>
      <c r="AK61" s="986">
        <f>+$AF$61*25%</f>
        <v>100000</v>
      </c>
      <c r="AL61" s="986">
        <f>+$AF$61*25%</f>
        <v>100000</v>
      </c>
      <c r="AM61" s="986">
        <f>+$AF$61*25%</f>
        <v>100000</v>
      </c>
      <c r="AN61" s="986">
        <f>+$AF$61*15%</f>
        <v>60000</v>
      </c>
      <c r="AO61" s="1038">
        <f t="shared" si="0"/>
        <v>400000</v>
      </c>
      <c r="AP61" s="108"/>
      <c r="AQ61" s="1027"/>
    </row>
    <row r="62" spans="1:51" s="153" customFormat="1" ht="30.75" customHeight="1" outlineLevel="3">
      <c r="A62" s="581"/>
      <c r="B62" s="400" t="s">
        <v>737</v>
      </c>
      <c r="C62" s="400"/>
      <c r="D62" s="536" t="s">
        <v>728</v>
      </c>
      <c r="E62" s="536"/>
      <c r="F62" s="399" t="s">
        <v>1297</v>
      </c>
      <c r="G62" s="96"/>
      <c r="H62" s="401"/>
      <c r="I62" s="621"/>
      <c r="J62" s="622"/>
      <c r="K62" s="622"/>
      <c r="L62" s="622"/>
      <c r="M62" s="622"/>
      <c r="N62" s="622"/>
      <c r="O62" s="622"/>
      <c r="P62" s="622"/>
      <c r="Q62" s="96"/>
      <c r="R62" s="837"/>
      <c r="S62" s="851"/>
      <c r="T62" s="851"/>
      <c r="U62" s="851"/>
      <c r="V62" s="399"/>
      <c r="W62" s="96"/>
      <c r="X62" s="396"/>
      <c r="Y62" s="397"/>
      <c r="Z62" s="397"/>
      <c r="AA62" s="395"/>
      <c r="AB62" s="398"/>
      <c r="AC62" s="398">
        <f>SUM(AC63:AC69)</f>
        <v>5100000</v>
      </c>
      <c r="AD62" s="691"/>
      <c r="AE62" s="96"/>
      <c r="AF62" s="398">
        <f>SUM(AF63:AF69)</f>
        <v>5100000</v>
      </c>
      <c r="AG62" s="398">
        <f>SUM(AG63:AG69)</f>
        <v>0</v>
      </c>
      <c r="AH62" s="398">
        <f t="shared" si="5"/>
        <v>5100000</v>
      </c>
      <c r="AI62" s="865"/>
      <c r="AJ62" s="992">
        <f>SUM(AJ63:AJ69)</f>
        <v>0</v>
      </c>
      <c r="AK62" s="992">
        <f>SUM(AK63:AK69)</f>
        <v>0</v>
      </c>
      <c r="AL62" s="992">
        <f>SUM(AL63:AL69)</f>
        <v>1200000</v>
      </c>
      <c r="AM62" s="993">
        <f>SUM(AM63:AM69)</f>
        <v>3200000</v>
      </c>
      <c r="AN62" s="994">
        <f>SUM(AN63:AN69)</f>
        <v>700000</v>
      </c>
      <c r="AO62" s="994">
        <f t="shared" si="0"/>
        <v>5100000</v>
      </c>
      <c r="AQ62" s="1027"/>
    </row>
    <row r="63" spans="1:51" s="881" customFormat="1" ht="41.5" customHeight="1" outlineLevel="4">
      <c r="A63" s="580"/>
      <c r="B63" s="107" t="s">
        <v>739</v>
      </c>
      <c r="C63" s="107"/>
      <c r="D63" s="935" t="s">
        <v>3646</v>
      </c>
      <c r="E63" s="935"/>
      <c r="F63" s="103" t="s">
        <v>1300</v>
      </c>
      <c r="G63" s="97"/>
      <c r="H63" s="611" t="s">
        <v>1298</v>
      </c>
      <c r="I63" s="361"/>
      <c r="J63" s="361"/>
      <c r="K63" s="361"/>
      <c r="L63" s="361"/>
      <c r="M63" s="361"/>
      <c r="N63" s="361"/>
      <c r="O63" s="361"/>
      <c r="P63" s="361"/>
      <c r="Q63" s="97"/>
      <c r="R63" s="362" t="s">
        <v>723</v>
      </c>
      <c r="S63" s="362"/>
      <c r="T63" s="856" t="s">
        <v>1315</v>
      </c>
      <c r="U63" s="362"/>
      <c r="V63" s="178"/>
      <c r="W63" s="97"/>
      <c r="X63" s="711" t="s">
        <v>1179</v>
      </c>
      <c r="Y63" s="712">
        <v>1</v>
      </c>
      <c r="Z63" s="179"/>
      <c r="AA63" s="180"/>
      <c r="AB63" s="618">
        <v>100000</v>
      </c>
      <c r="AC63" s="1032">
        <f t="shared" ref="AC63:AC90" si="6">+AB63*Y63</f>
        <v>100000</v>
      </c>
      <c r="AD63" s="1043"/>
      <c r="AE63" s="97"/>
      <c r="AF63" s="1032">
        <f t="shared" ref="AF63:AF69" si="7">+AC63</f>
        <v>100000</v>
      </c>
      <c r="AG63" s="1032"/>
      <c r="AH63" s="1041">
        <f t="shared" si="5"/>
        <v>100000</v>
      </c>
      <c r="AI63" s="867"/>
      <c r="AJ63" s="986"/>
      <c r="AK63" s="986"/>
      <c r="AL63" s="986">
        <f>+AF63</f>
        <v>100000</v>
      </c>
      <c r="AM63" s="987"/>
      <c r="AN63" s="728"/>
      <c r="AO63" s="1038">
        <f t="shared" si="0"/>
        <v>100000</v>
      </c>
      <c r="AP63" s="108"/>
      <c r="AQ63" s="1027"/>
    </row>
    <row r="64" spans="1:51" s="881" customFormat="1" ht="41.5" customHeight="1" outlineLevel="4">
      <c r="A64" s="580"/>
      <c r="B64" s="107" t="s">
        <v>741</v>
      </c>
      <c r="C64" s="107"/>
      <c r="D64" s="935" t="s">
        <v>3647</v>
      </c>
      <c r="E64" s="935"/>
      <c r="F64" s="103"/>
      <c r="G64" s="97"/>
      <c r="H64" s="611" t="s">
        <v>247</v>
      </c>
      <c r="I64" s="361"/>
      <c r="J64" s="361"/>
      <c r="K64" s="361"/>
      <c r="L64" s="361"/>
      <c r="M64" s="361"/>
      <c r="N64" s="361"/>
      <c r="O64" s="361"/>
      <c r="P64" s="361"/>
      <c r="Q64" s="97"/>
      <c r="R64" s="362" t="s">
        <v>723</v>
      </c>
      <c r="S64" s="362"/>
      <c r="T64" s="856" t="s">
        <v>1307</v>
      </c>
      <c r="U64" s="362"/>
      <c r="V64" s="178"/>
      <c r="W64" s="97"/>
      <c r="X64" s="711" t="s">
        <v>1179</v>
      </c>
      <c r="Y64" s="712">
        <v>1</v>
      </c>
      <c r="Z64" s="179"/>
      <c r="AA64" s="180"/>
      <c r="AB64" s="618">
        <v>100000</v>
      </c>
      <c r="AC64" s="1032">
        <f t="shared" si="6"/>
        <v>100000</v>
      </c>
      <c r="AD64" s="1043"/>
      <c r="AE64" s="97"/>
      <c r="AF64" s="1032">
        <f t="shared" si="7"/>
        <v>100000</v>
      </c>
      <c r="AG64" s="1032"/>
      <c r="AH64" s="1041">
        <f t="shared" si="5"/>
        <v>100000</v>
      </c>
      <c r="AI64" s="867"/>
      <c r="AJ64" s="986"/>
      <c r="AK64" s="986"/>
      <c r="AL64" s="986">
        <f t="shared" ref="AL64:AL69" si="8">+AF64*50%</f>
        <v>50000</v>
      </c>
      <c r="AM64" s="987">
        <f t="shared" ref="AM64:AM69" si="9">+AF64*50%</f>
        <v>50000</v>
      </c>
      <c r="AN64" s="728"/>
      <c r="AO64" s="1038">
        <f t="shared" si="0"/>
        <v>100000</v>
      </c>
      <c r="AP64" s="108"/>
      <c r="AQ64" s="1027"/>
    </row>
    <row r="65" spans="1:51" s="881" customFormat="1" ht="41.5" customHeight="1" outlineLevel="4">
      <c r="A65" s="580"/>
      <c r="B65" s="107" t="s">
        <v>743</v>
      </c>
      <c r="C65" s="107"/>
      <c r="D65" s="935" t="s">
        <v>732</v>
      </c>
      <c r="E65" s="935"/>
      <c r="F65" s="103"/>
      <c r="G65" s="97"/>
      <c r="H65" s="620" t="s">
        <v>247</v>
      </c>
      <c r="I65" s="361"/>
      <c r="J65" s="361"/>
      <c r="K65" s="361"/>
      <c r="L65" s="361"/>
      <c r="M65" s="361"/>
      <c r="N65" s="361"/>
      <c r="O65" s="361"/>
      <c r="P65" s="361"/>
      <c r="Q65" s="97"/>
      <c r="R65" s="362" t="s">
        <v>723</v>
      </c>
      <c r="S65" s="362"/>
      <c r="T65" s="856" t="s">
        <v>1307</v>
      </c>
      <c r="U65" s="362"/>
      <c r="V65" s="178"/>
      <c r="W65" s="97"/>
      <c r="X65" s="711" t="s">
        <v>1179</v>
      </c>
      <c r="Y65" s="712">
        <v>1</v>
      </c>
      <c r="Z65" s="179"/>
      <c r="AA65" s="180"/>
      <c r="AB65" s="619">
        <v>200000</v>
      </c>
      <c r="AC65" s="1032">
        <f t="shared" si="6"/>
        <v>200000</v>
      </c>
      <c r="AD65" s="1043"/>
      <c r="AE65" s="97"/>
      <c r="AF65" s="1032">
        <f t="shared" si="7"/>
        <v>200000</v>
      </c>
      <c r="AG65" s="1032"/>
      <c r="AH65" s="1041">
        <f t="shared" si="5"/>
        <v>200000</v>
      </c>
      <c r="AI65" s="867"/>
      <c r="AJ65" s="986"/>
      <c r="AK65" s="986"/>
      <c r="AL65" s="986">
        <f t="shared" si="8"/>
        <v>100000</v>
      </c>
      <c r="AM65" s="987">
        <f t="shared" si="9"/>
        <v>100000</v>
      </c>
      <c r="AN65" s="1000"/>
      <c r="AO65" s="1038">
        <f t="shared" si="0"/>
        <v>200000</v>
      </c>
      <c r="AP65" s="108"/>
      <c r="AQ65" s="1027"/>
    </row>
    <row r="66" spans="1:51" s="881" customFormat="1" ht="41.5" customHeight="1" outlineLevel="4">
      <c r="A66" s="580"/>
      <c r="B66" s="107" t="s">
        <v>745</v>
      </c>
      <c r="C66" s="107"/>
      <c r="D66" s="935" t="s">
        <v>3648</v>
      </c>
      <c r="E66" s="935"/>
      <c r="F66" s="103"/>
      <c r="G66" s="97"/>
      <c r="H66" s="611" t="s">
        <v>247</v>
      </c>
      <c r="I66" s="361"/>
      <c r="J66" s="361"/>
      <c r="K66" s="361"/>
      <c r="L66" s="361"/>
      <c r="M66" s="361"/>
      <c r="N66" s="361"/>
      <c r="O66" s="361"/>
      <c r="P66" s="361"/>
      <c r="Q66" s="97"/>
      <c r="R66" s="362" t="s">
        <v>723</v>
      </c>
      <c r="S66" s="362"/>
      <c r="T66" s="856" t="s">
        <v>1307</v>
      </c>
      <c r="U66" s="362"/>
      <c r="V66" s="178"/>
      <c r="W66" s="97"/>
      <c r="X66" s="711" t="s">
        <v>1179</v>
      </c>
      <c r="Y66" s="712">
        <v>1</v>
      </c>
      <c r="Z66" s="179"/>
      <c r="AA66" s="180"/>
      <c r="AB66" s="618">
        <v>100000</v>
      </c>
      <c r="AC66" s="1032">
        <f t="shared" si="6"/>
        <v>100000</v>
      </c>
      <c r="AD66" s="1043"/>
      <c r="AE66" s="97"/>
      <c r="AF66" s="1032">
        <f t="shared" si="7"/>
        <v>100000</v>
      </c>
      <c r="AG66" s="1032"/>
      <c r="AH66" s="1041">
        <f t="shared" si="5"/>
        <v>100000</v>
      </c>
      <c r="AI66" s="867"/>
      <c r="AJ66" s="986"/>
      <c r="AK66" s="986"/>
      <c r="AL66" s="986">
        <f t="shared" si="8"/>
        <v>50000</v>
      </c>
      <c r="AM66" s="987">
        <f t="shared" si="9"/>
        <v>50000</v>
      </c>
      <c r="AN66" s="728"/>
      <c r="AO66" s="1038">
        <f t="shared" si="0"/>
        <v>100000</v>
      </c>
      <c r="AP66" s="108"/>
      <c r="AQ66" s="1027"/>
    </row>
    <row r="67" spans="1:51" s="881" customFormat="1" ht="41.5" customHeight="1" outlineLevel="4">
      <c r="A67" s="580"/>
      <c r="B67" s="107" t="s">
        <v>3649</v>
      </c>
      <c r="C67" s="107"/>
      <c r="D67" s="935" t="s">
        <v>3650</v>
      </c>
      <c r="E67" s="935"/>
      <c r="F67" s="103" t="s">
        <v>1300</v>
      </c>
      <c r="G67" s="97"/>
      <c r="H67" s="620" t="s">
        <v>247</v>
      </c>
      <c r="I67" s="361"/>
      <c r="J67" s="361"/>
      <c r="K67" s="361"/>
      <c r="L67" s="361"/>
      <c r="M67" s="361"/>
      <c r="N67" s="361"/>
      <c r="O67" s="361"/>
      <c r="P67" s="361"/>
      <c r="Q67" s="97"/>
      <c r="R67" s="362" t="s">
        <v>723</v>
      </c>
      <c r="S67" s="362"/>
      <c r="T67" s="856" t="s">
        <v>1310</v>
      </c>
      <c r="U67" s="362"/>
      <c r="V67" s="178"/>
      <c r="W67" s="97"/>
      <c r="X67" s="711" t="s">
        <v>1179</v>
      </c>
      <c r="Y67" s="712">
        <v>1</v>
      </c>
      <c r="Z67" s="179"/>
      <c r="AA67" s="180"/>
      <c r="AB67" s="619">
        <v>3500000</v>
      </c>
      <c r="AC67" s="1032">
        <f t="shared" si="6"/>
        <v>3500000</v>
      </c>
      <c r="AD67" s="1043"/>
      <c r="AE67" s="97"/>
      <c r="AF67" s="1032">
        <f t="shared" si="7"/>
        <v>3500000</v>
      </c>
      <c r="AG67" s="1032"/>
      <c r="AH67" s="1041">
        <f t="shared" si="5"/>
        <v>3500000</v>
      </c>
      <c r="AI67" s="867"/>
      <c r="AJ67" s="986"/>
      <c r="AK67" s="986"/>
      <c r="AL67" s="986">
        <f>+AF67*10%</f>
        <v>350000</v>
      </c>
      <c r="AM67" s="987">
        <f>+AF67*70%</f>
        <v>2450000</v>
      </c>
      <c r="AN67" s="1000">
        <f>+AF67*20%</f>
        <v>700000</v>
      </c>
      <c r="AO67" s="1038">
        <f t="shared" si="0"/>
        <v>3500000</v>
      </c>
      <c r="AP67" s="108"/>
      <c r="AQ67" s="1027"/>
    </row>
    <row r="68" spans="1:51" s="881" customFormat="1" ht="29" customHeight="1" outlineLevel="4">
      <c r="A68" s="580"/>
      <c r="B68" s="107" t="s">
        <v>3651</v>
      </c>
      <c r="C68" s="107"/>
      <c r="D68" s="935" t="s">
        <v>3652</v>
      </c>
      <c r="E68" s="935"/>
      <c r="F68" s="103"/>
      <c r="G68" s="97"/>
      <c r="H68" s="620"/>
      <c r="I68" s="361"/>
      <c r="J68" s="361"/>
      <c r="K68" s="361"/>
      <c r="L68" s="361"/>
      <c r="M68" s="361"/>
      <c r="N68" s="361"/>
      <c r="O68" s="361"/>
      <c r="P68" s="361"/>
      <c r="Q68" s="97"/>
      <c r="R68" s="362" t="s">
        <v>723</v>
      </c>
      <c r="S68" s="362"/>
      <c r="T68" s="856" t="s">
        <v>1310</v>
      </c>
      <c r="U68" s="362"/>
      <c r="V68" s="178"/>
      <c r="W68" s="97"/>
      <c r="X68" s="711" t="s">
        <v>1179</v>
      </c>
      <c r="Y68" s="712">
        <v>1</v>
      </c>
      <c r="Z68" s="179"/>
      <c r="AA68" s="180"/>
      <c r="AB68" s="619">
        <v>100000</v>
      </c>
      <c r="AC68" s="1032">
        <f t="shared" si="6"/>
        <v>100000</v>
      </c>
      <c r="AD68" s="1043"/>
      <c r="AE68" s="97"/>
      <c r="AF68" s="1032">
        <f t="shared" si="7"/>
        <v>100000</v>
      </c>
      <c r="AG68" s="1032"/>
      <c r="AH68" s="1041">
        <f t="shared" si="5"/>
        <v>100000</v>
      </c>
      <c r="AI68" s="867"/>
      <c r="AJ68" s="986"/>
      <c r="AK68" s="986"/>
      <c r="AL68" s="986">
        <f t="shared" si="8"/>
        <v>50000</v>
      </c>
      <c r="AM68" s="987">
        <f t="shared" si="9"/>
        <v>50000</v>
      </c>
      <c r="AN68" s="1000"/>
      <c r="AO68" s="1038">
        <f t="shared" si="0"/>
        <v>100000</v>
      </c>
      <c r="AP68" s="108"/>
      <c r="AQ68" s="1027"/>
    </row>
    <row r="69" spans="1:51" s="882" customFormat="1" ht="41.5" customHeight="1" outlineLevel="4">
      <c r="A69" s="580"/>
      <c r="B69" s="107" t="s">
        <v>3653</v>
      </c>
      <c r="C69" s="107"/>
      <c r="D69" s="935" t="s">
        <v>3654</v>
      </c>
      <c r="E69" s="935"/>
      <c r="F69" s="103"/>
      <c r="G69" s="97"/>
      <c r="H69" s="620" t="s">
        <v>247</v>
      </c>
      <c r="I69" s="361"/>
      <c r="J69" s="361"/>
      <c r="K69" s="361"/>
      <c r="L69" s="361"/>
      <c r="M69" s="361"/>
      <c r="N69" s="361"/>
      <c r="O69" s="361"/>
      <c r="P69" s="361"/>
      <c r="Q69" s="97"/>
      <c r="R69" s="362" t="s">
        <v>723</v>
      </c>
      <c r="S69" s="362"/>
      <c r="T69" s="856" t="s">
        <v>1310</v>
      </c>
      <c r="U69" s="362"/>
      <c r="V69" s="178"/>
      <c r="W69" s="97"/>
      <c r="X69" s="711" t="s">
        <v>1179</v>
      </c>
      <c r="Y69" s="712">
        <v>1</v>
      </c>
      <c r="Z69" s="179"/>
      <c r="AA69" s="180"/>
      <c r="AB69" s="619">
        <v>1000000</v>
      </c>
      <c r="AC69" s="1032">
        <f t="shared" si="6"/>
        <v>1000000</v>
      </c>
      <c r="AD69" s="1043"/>
      <c r="AE69" s="97"/>
      <c r="AF69" s="1032">
        <f t="shared" si="7"/>
        <v>1000000</v>
      </c>
      <c r="AG69" s="1032"/>
      <c r="AH69" s="1041">
        <f t="shared" si="5"/>
        <v>1000000</v>
      </c>
      <c r="AI69" s="867"/>
      <c r="AJ69" s="986"/>
      <c r="AK69" s="986"/>
      <c r="AL69" s="986">
        <f t="shared" si="8"/>
        <v>500000</v>
      </c>
      <c r="AM69" s="987">
        <f t="shared" si="9"/>
        <v>500000</v>
      </c>
      <c r="AN69" s="1000"/>
      <c r="AO69" s="1038">
        <f t="shared" si="0"/>
        <v>1000000</v>
      </c>
      <c r="AP69" s="108"/>
      <c r="AQ69" s="1027"/>
      <c r="AR69" s="881"/>
      <c r="AS69" s="881"/>
      <c r="AT69" s="881"/>
      <c r="AU69" s="881"/>
      <c r="AV69" s="881"/>
      <c r="AW69" s="881"/>
      <c r="AX69" s="881"/>
      <c r="AY69" s="881"/>
    </row>
    <row r="70" spans="1:51" s="153" customFormat="1" ht="21.5" customHeight="1" outlineLevel="3">
      <c r="A70" s="581"/>
      <c r="B70" s="400" t="s">
        <v>747</v>
      </c>
      <c r="C70" s="400"/>
      <c r="D70" s="536" t="s">
        <v>3655</v>
      </c>
      <c r="E70" s="536"/>
      <c r="F70" s="399" t="s">
        <v>1297</v>
      </c>
      <c r="G70" s="96"/>
      <c r="H70" s="401"/>
      <c r="I70" s="621"/>
      <c r="J70" s="622"/>
      <c r="K70" s="622"/>
      <c r="L70" s="622"/>
      <c r="M70" s="622"/>
      <c r="N70" s="622"/>
      <c r="O70" s="622"/>
      <c r="P70" s="622"/>
      <c r="Q70" s="96"/>
      <c r="R70" s="837"/>
      <c r="S70" s="851"/>
      <c r="T70" s="851"/>
      <c r="U70" s="851"/>
      <c r="V70" s="399"/>
      <c r="W70" s="96"/>
      <c r="X70" s="396"/>
      <c r="Y70" s="397"/>
      <c r="Z70" s="397"/>
      <c r="AA70" s="395"/>
      <c r="AB70" s="398"/>
      <c r="AC70" s="398">
        <f>SUM(AC71:AC76)</f>
        <v>2000000</v>
      </c>
      <c r="AD70" s="691"/>
      <c r="AE70" s="96"/>
      <c r="AF70" s="398">
        <f>SUM(AF71:AF76)</f>
        <v>2000000</v>
      </c>
      <c r="AG70" s="398">
        <f>SUM(AG71:AG76)</f>
        <v>0</v>
      </c>
      <c r="AH70" s="398">
        <f t="shared" si="5"/>
        <v>2000000</v>
      </c>
      <c r="AI70" s="865"/>
      <c r="AJ70" s="992">
        <f>SUM(AJ71:AJ76)</f>
        <v>0</v>
      </c>
      <c r="AK70" s="992">
        <f>SUM(AK71:AK76)</f>
        <v>0</v>
      </c>
      <c r="AL70" s="992">
        <f>SUM(AL71:AL76)</f>
        <v>0</v>
      </c>
      <c r="AM70" s="993">
        <f>SUM(AM71:AM76)</f>
        <v>1000000</v>
      </c>
      <c r="AN70" s="994">
        <f>SUM(AN71:AN76)</f>
        <v>1000000</v>
      </c>
      <c r="AO70" s="994">
        <f t="shared" si="0"/>
        <v>2000000</v>
      </c>
      <c r="AQ70" s="1027"/>
    </row>
    <row r="71" spans="1:51" s="882" customFormat="1" ht="27.5" customHeight="1" outlineLevel="4">
      <c r="A71" s="580"/>
      <c r="B71" s="107" t="s">
        <v>749</v>
      </c>
      <c r="C71" s="107"/>
      <c r="D71" s="611" t="s">
        <v>3656</v>
      </c>
      <c r="E71" s="611"/>
      <c r="F71" s="103" t="s">
        <v>1300</v>
      </c>
      <c r="G71" s="97"/>
      <c r="H71" s="611" t="s">
        <v>247</v>
      </c>
      <c r="I71" s="361"/>
      <c r="J71" s="361"/>
      <c r="K71" s="361"/>
      <c r="L71" s="361"/>
      <c r="M71" s="361"/>
      <c r="N71" s="361"/>
      <c r="O71" s="361"/>
      <c r="P71" s="361"/>
      <c r="Q71" s="97"/>
      <c r="R71" s="362" t="s">
        <v>723</v>
      </c>
      <c r="S71" s="362"/>
      <c r="T71" s="362" t="s">
        <v>1307</v>
      </c>
      <c r="U71" s="362"/>
      <c r="V71" s="178"/>
      <c r="W71" s="97"/>
      <c r="X71" s="711" t="s">
        <v>1179</v>
      </c>
      <c r="Y71" s="712">
        <v>1</v>
      </c>
      <c r="Z71" s="179"/>
      <c r="AA71" s="180"/>
      <c r="AB71" s="618">
        <v>1000000</v>
      </c>
      <c r="AC71" s="1032">
        <f t="shared" si="6"/>
        <v>1000000</v>
      </c>
      <c r="AD71" s="1043"/>
      <c r="AE71" s="97"/>
      <c r="AF71" s="1032">
        <f>+AC71</f>
        <v>1000000</v>
      </c>
      <c r="AG71" s="1032"/>
      <c r="AH71" s="1041">
        <f t="shared" si="5"/>
        <v>1000000</v>
      </c>
      <c r="AI71" s="867"/>
      <c r="AJ71" s="986"/>
      <c r="AK71" s="986"/>
      <c r="AL71" s="986"/>
      <c r="AM71" s="987">
        <f t="shared" ref="AM71:AM76" si="10">+AF71*50%</f>
        <v>500000</v>
      </c>
      <c r="AN71" s="986">
        <f t="shared" ref="AN71:AN76" si="11">+AH71*50%</f>
        <v>500000</v>
      </c>
      <c r="AO71" s="1038">
        <f t="shared" si="0"/>
        <v>1000000</v>
      </c>
      <c r="AP71" s="108"/>
      <c r="AQ71" s="1027"/>
      <c r="AR71" s="881"/>
      <c r="AS71" s="881"/>
      <c r="AT71" s="881"/>
      <c r="AU71" s="881"/>
      <c r="AV71" s="881"/>
      <c r="AW71" s="881"/>
      <c r="AX71" s="881"/>
      <c r="AY71" s="881"/>
    </row>
    <row r="72" spans="1:51" s="882" customFormat="1" ht="27.5" customHeight="1" outlineLevel="4">
      <c r="A72" s="580"/>
      <c r="B72" s="107" t="s">
        <v>751</v>
      </c>
      <c r="C72" s="107"/>
      <c r="D72" s="611" t="s">
        <v>3657</v>
      </c>
      <c r="E72" s="611"/>
      <c r="F72" s="103" t="s">
        <v>1300</v>
      </c>
      <c r="G72" s="97"/>
      <c r="H72" s="611" t="s">
        <v>247</v>
      </c>
      <c r="I72" s="361"/>
      <c r="J72" s="361"/>
      <c r="K72" s="361"/>
      <c r="L72" s="361"/>
      <c r="M72" s="361"/>
      <c r="N72" s="361"/>
      <c r="O72" s="361"/>
      <c r="P72" s="361"/>
      <c r="Q72" s="97"/>
      <c r="R72" s="362" t="s">
        <v>723</v>
      </c>
      <c r="S72" s="362"/>
      <c r="T72" s="362" t="s">
        <v>1307</v>
      </c>
      <c r="U72" s="362"/>
      <c r="V72" s="178"/>
      <c r="W72" s="97"/>
      <c r="X72" s="711" t="s">
        <v>1179</v>
      </c>
      <c r="Y72" s="712">
        <v>1</v>
      </c>
      <c r="Z72" s="179"/>
      <c r="AA72" s="180"/>
      <c r="AB72" s="618">
        <v>200000</v>
      </c>
      <c r="AC72" s="1032">
        <f t="shared" si="6"/>
        <v>200000</v>
      </c>
      <c r="AD72" s="1043"/>
      <c r="AE72" s="97"/>
      <c r="AF72" s="1032">
        <f t="shared" ref="AF72:AF83" si="12">+AC72</f>
        <v>200000</v>
      </c>
      <c r="AG72" s="1032"/>
      <c r="AH72" s="1041">
        <f t="shared" si="5"/>
        <v>200000</v>
      </c>
      <c r="AI72" s="867"/>
      <c r="AJ72" s="986"/>
      <c r="AK72" s="986"/>
      <c r="AL72" s="986"/>
      <c r="AM72" s="987">
        <f t="shared" si="10"/>
        <v>100000</v>
      </c>
      <c r="AN72" s="986">
        <f t="shared" si="11"/>
        <v>100000</v>
      </c>
      <c r="AO72" s="1038">
        <f t="shared" si="0"/>
        <v>200000</v>
      </c>
      <c r="AP72" s="108"/>
      <c r="AQ72" s="1027"/>
      <c r="AR72" s="881"/>
      <c r="AS72" s="881"/>
      <c r="AT72" s="881"/>
      <c r="AU72" s="881"/>
      <c r="AV72" s="881"/>
      <c r="AW72" s="881"/>
      <c r="AX72" s="881"/>
      <c r="AY72" s="881"/>
    </row>
    <row r="73" spans="1:51" s="882" customFormat="1" ht="27.5" customHeight="1" outlineLevel="4">
      <c r="A73" s="580"/>
      <c r="B73" s="107" t="s">
        <v>3658</v>
      </c>
      <c r="C73" s="107"/>
      <c r="D73" s="611" t="s">
        <v>3659</v>
      </c>
      <c r="E73" s="611"/>
      <c r="F73" s="103"/>
      <c r="G73" s="97"/>
      <c r="H73" s="611" t="s">
        <v>247</v>
      </c>
      <c r="I73" s="361"/>
      <c r="J73" s="361"/>
      <c r="K73" s="361"/>
      <c r="L73" s="361"/>
      <c r="M73" s="361"/>
      <c r="N73" s="361"/>
      <c r="O73" s="361"/>
      <c r="P73" s="361"/>
      <c r="Q73" s="97"/>
      <c r="R73" s="362" t="s">
        <v>723</v>
      </c>
      <c r="S73" s="362"/>
      <c r="T73" s="362" t="s">
        <v>1307</v>
      </c>
      <c r="U73" s="362"/>
      <c r="V73" s="178"/>
      <c r="W73" s="97"/>
      <c r="X73" s="711" t="s">
        <v>1179</v>
      </c>
      <c r="Y73" s="712">
        <v>1</v>
      </c>
      <c r="Z73" s="179"/>
      <c r="AA73" s="180"/>
      <c r="AB73" s="618">
        <v>200000</v>
      </c>
      <c r="AC73" s="1032">
        <f t="shared" si="6"/>
        <v>200000</v>
      </c>
      <c r="AD73" s="1043"/>
      <c r="AE73" s="97"/>
      <c r="AF73" s="1032">
        <f t="shared" si="12"/>
        <v>200000</v>
      </c>
      <c r="AG73" s="1032"/>
      <c r="AH73" s="1041">
        <f t="shared" si="5"/>
        <v>200000</v>
      </c>
      <c r="AI73" s="867"/>
      <c r="AJ73" s="986"/>
      <c r="AK73" s="986"/>
      <c r="AL73" s="986"/>
      <c r="AM73" s="987">
        <f t="shared" si="10"/>
        <v>100000</v>
      </c>
      <c r="AN73" s="986">
        <f t="shared" si="11"/>
        <v>100000</v>
      </c>
      <c r="AO73" s="1038">
        <f t="shared" si="0"/>
        <v>200000</v>
      </c>
      <c r="AP73" s="108"/>
      <c r="AQ73" s="1027"/>
      <c r="AR73" s="881"/>
      <c r="AS73" s="881"/>
      <c r="AT73" s="881"/>
      <c r="AU73" s="881"/>
      <c r="AV73" s="881"/>
      <c r="AW73" s="881"/>
      <c r="AX73" s="881"/>
      <c r="AY73" s="881"/>
    </row>
    <row r="74" spans="1:51" s="882" customFormat="1" ht="27.5" customHeight="1" outlineLevel="4">
      <c r="A74" s="580"/>
      <c r="B74" s="107" t="s">
        <v>3660</v>
      </c>
      <c r="C74" s="107"/>
      <c r="D74" s="611" t="s">
        <v>3661</v>
      </c>
      <c r="E74" s="611"/>
      <c r="F74" s="103"/>
      <c r="G74" s="97"/>
      <c r="H74" s="611" t="s">
        <v>1298</v>
      </c>
      <c r="I74" s="361"/>
      <c r="J74" s="361"/>
      <c r="K74" s="361"/>
      <c r="L74" s="361"/>
      <c r="M74" s="361"/>
      <c r="N74" s="361"/>
      <c r="O74" s="361"/>
      <c r="P74" s="361"/>
      <c r="Q74" s="97"/>
      <c r="R74" s="362" t="s">
        <v>723</v>
      </c>
      <c r="S74" s="362"/>
      <c r="T74" s="362" t="s">
        <v>1315</v>
      </c>
      <c r="U74" s="362"/>
      <c r="V74" s="178"/>
      <c r="W74" s="97"/>
      <c r="X74" s="711" t="s">
        <v>1179</v>
      </c>
      <c r="Y74" s="712">
        <v>1</v>
      </c>
      <c r="Z74" s="179"/>
      <c r="AA74" s="180"/>
      <c r="AB74" s="618">
        <v>200000</v>
      </c>
      <c r="AC74" s="1032">
        <f t="shared" si="6"/>
        <v>200000</v>
      </c>
      <c r="AD74" s="1043"/>
      <c r="AE74" s="97"/>
      <c r="AF74" s="1032">
        <f t="shared" si="12"/>
        <v>200000</v>
      </c>
      <c r="AG74" s="1032"/>
      <c r="AH74" s="1041">
        <f t="shared" si="5"/>
        <v>200000</v>
      </c>
      <c r="AI74" s="867"/>
      <c r="AJ74" s="986"/>
      <c r="AK74" s="986"/>
      <c r="AL74" s="986"/>
      <c r="AM74" s="987">
        <f t="shared" si="10"/>
        <v>100000</v>
      </c>
      <c r="AN74" s="986">
        <f t="shared" si="11"/>
        <v>100000</v>
      </c>
      <c r="AO74" s="1038">
        <f t="shared" si="0"/>
        <v>200000</v>
      </c>
      <c r="AP74" s="108"/>
      <c r="AQ74" s="1027"/>
      <c r="AR74" s="881"/>
      <c r="AS74" s="881"/>
      <c r="AT74" s="881"/>
      <c r="AU74" s="881"/>
      <c r="AV74" s="881"/>
      <c r="AW74" s="881"/>
      <c r="AX74" s="881"/>
      <c r="AY74" s="881"/>
    </row>
    <row r="75" spans="1:51" s="882" customFormat="1" ht="27.5" customHeight="1" outlineLevel="4">
      <c r="A75" s="580"/>
      <c r="B75" s="107" t="s">
        <v>3662</v>
      </c>
      <c r="C75" s="107"/>
      <c r="D75" s="611" t="s">
        <v>744</v>
      </c>
      <c r="E75" s="611"/>
      <c r="F75" s="103"/>
      <c r="G75" s="97"/>
      <c r="H75" s="611" t="s">
        <v>1298</v>
      </c>
      <c r="I75" s="361"/>
      <c r="J75" s="361"/>
      <c r="K75" s="361"/>
      <c r="L75" s="361"/>
      <c r="M75" s="361"/>
      <c r="N75" s="361"/>
      <c r="O75" s="361"/>
      <c r="P75" s="361"/>
      <c r="Q75" s="97"/>
      <c r="R75" s="362" t="s">
        <v>723</v>
      </c>
      <c r="S75" s="362"/>
      <c r="T75" s="362" t="s">
        <v>1315</v>
      </c>
      <c r="U75" s="362"/>
      <c r="V75" s="178"/>
      <c r="W75" s="97"/>
      <c r="X75" s="711" t="s">
        <v>1179</v>
      </c>
      <c r="Y75" s="712">
        <v>1</v>
      </c>
      <c r="Z75" s="179"/>
      <c r="AA75" s="180"/>
      <c r="AB75" s="618">
        <v>100000</v>
      </c>
      <c r="AC75" s="1032">
        <f t="shared" si="6"/>
        <v>100000</v>
      </c>
      <c r="AD75" s="1043"/>
      <c r="AE75" s="97"/>
      <c r="AF75" s="1032">
        <f t="shared" si="12"/>
        <v>100000</v>
      </c>
      <c r="AG75" s="1032"/>
      <c r="AH75" s="1041">
        <f t="shared" si="5"/>
        <v>100000</v>
      </c>
      <c r="AI75" s="867"/>
      <c r="AJ75" s="986"/>
      <c r="AK75" s="986"/>
      <c r="AL75" s="986"/>
      <c r="AM75" s="987">
        <f t="shared" si="10"/>
        <v>50000</v>
      </c>
      <c r="AN75" s="986">
        <f t="shared" si="11"/>
        <v>50000</v>
      </c>
      <c r="AO75" s="1038">
        <f t="shared" si="0"/>
        <v>100000</v>
      </c>
      <c r="AP75" s="108"/>
      <c r="AQ75" s="1027"/>
      <c r="AR75" s="881"/>
      <c r="AS75" s="881"/>
      <c r="AT75" s="881"/>
      <c r="AU75" s="881"/>
      <c r="AV75" s="881"/>
      <c r="AW75" s="881"/>
      <c r="AX75" s="881"/>
      <c r="AY75" s="881"/>
    </row>
    <row r="76" spans="1:51" s="882" customFormat="1" ht="27.5" customHeight="1" outlineLevel="4">
      <c r="A76" s="580"/>
      <c r="B76" s="107" t="s">
        <v>3663</v>
      </c>
      <c r="C76" s="107"/>
      <c r="D76" s="611" t="s">
        <v>3664</v>
      </c>
      <c r="E76" s="611"/>
      <c r="F76" s="103"/>
      <c r="G76" s="97"/>
      <c r="H76" s="611" t="s">
        <v>1319</v>
      </c>
      <c r="I76" s="361"/>
      <c r="J76" s="361"/>
      <c r="K76" s="361"/>
      <c r="L76" s="361"/>
      <c r="M76" s="361"/>
      <c r="N76" s="361"/>
      <c r="O76" s="361"/>
      <c r="P76" s="361"/>
      <c r="Q76" s="97"/>
      <c r="R76" s="362" t="s">
        <v>723</v>
      </c>
      <c r="S76" s="362"/>
      <c r="T76" s="362" t="s">
        <v>1315</v>
      </c>
      <c r="U76" s="362"/>
      <c r="V76" s="178"/>
      <c r="W76" s="97"/>
      <c r="X76" s="711" t="s">
        <v>1179</v>
      </c>
      <c r="Y76" s="712">
        <v>1</v>
      </c>
      <c r="Z76" s="179"/>
      <c r="AA76" s="180"/>
      <c r="AB76" s="618">
        <v>300000</v>
      </c>
      <c r="AC76" s="1032">
        <f t="shared" si="6"/>
        <v>300000</v>
      </c>
      <c r="AD76" s="1043"/>
      <c r="AE76" s="97"/>
      <c r="AF76" s="1032">
        <f t="shared" si="12"/>
        <v>300000</v>
      </c>
      <c r="AG76" s="1032"/>
      <c r="AH76" s="1041">
        <f t="shared" si="5"/>
        <v>300000</v>
      </c>
      <c r="AI76" s="867"/>
      <c r="AJ76" s="986"/>
      <c r="AK76" s="986"/>
      <c r="AL76" s="986"/>
      <c r="AM76" s="987">
        <f t="shared" si="10"/>
        <v>150000</v>
      </c>
      <c r="AN76" s="986">
        <f t="shared" si="11"/>
        <v>150000</v>
      </c>
      <c r="AO76" s="1038">
        <f t="shared" si="0"/>
        <v>300000</v>
      </c>
      <c r="AP76" s="108"/>
      <c r="AQ76" s="1027"/>
      <c r="AR76" s="881"/>
      <c r="AS76" s="881"/>
      <c r="AT76" s="881"/>
      <c r="AU76" s="881"/>
      <c r="AV76" s="881"/>
      <c r="AW76" s="881"/>
      <c r="AX76" s="881"/>
      <c r="AY76" s="881"/>
    </row>
    <row r="77" spans="1:51" s="153" customFormat="1" ht="14" customHeight="1" outlineLevel="3">
      <c r="A77" s="581"/>
      <c r="B77" s="400" t="s">
        <v>753</v>
      </c>
      <c r="C77" s="400"/>
      <c r="D77" s="536" t="s">
        <v>748</v>
      </c>
      <c r="E77" s="536"/>
      <c r="F77" s="399" t="s">
        <v>1297</v>
      </c>
      <c r="G77" s="96"/>
      <c r="H77" s="401"/>
      <c r="I77" s="621"/>
      <c r="J77" s="622"/>
      <c r="K77" s="622"/>
      <c r="L77" s="622"/>
      <c r="M77" s="622"/>
      <c r="N77" s="622"/>
      <c r="O77" s="622"/>
      <c r="P77" s="622"/>
      <c r="Q77" s="96"/>
      <c r="R77" s="837"/>
      <c r="S77" s="851"/>
      <c r="T77" s="851"/>
      <c r="U77" s="851"/>
      <c r="V77" s="399"/>
      <c r="W77" s="96"/>
      <c r="X77" s="396"/>
      <c r="Y77" s="397"/>
      <c r="Z77" s="397"/>
      <c r="AA77" s="395"/>
      <c r="AB77" s="398"/>
      <c r="AC77" s="398">
        <f>SUM(AC78:AC84)</f>
        <v>2000000</v>
      </c>
      <c r="AD77" s="691"/>
      <c r="AE77" s="96"/>
      <c r="AF77" s="398">
        <f>SUM(AF78:AF84)</f>
        <v>2000000</v>
      </c>
      <c r="AG77" s="398">
        <f>SUM(AG78:AG84)</f>
        <v>0</v>
      </c>
      <c r="AH77" s="398">
        <f>SUM(AH78:AH84)</f>
        <v>2000000</v>
      </c>
      <c r="AI77" s="865"/>
      <c r="AJ77" s="992">
        <f>SUM(AJ78:AJ84)</f>
        <v>0</v>
      </c>
      <c r="AK77" s="992">
        <f>SUM(AK78:AK84)</f>
        <v>0</v>
      </c>
      <c r="AL77" s="992">
        <f>SUM(AL78:AL84)</f>
        <v>150000</v>
      </c>
      <c r="AM77" s="993">
        <f>SUM(AM78:AM84)</f>
        <v>950000</v>
      </c>
      <c r="AN77" s="994">
        <f>SUM(AN78:AN84)</f>
        <v>900000</v>
      </c>
      <c r="AO77" s="994">
        <f t="shared" ref="AO77:AO140" si="13">SUM(AJ77:AN77)</f>
        <v>2000000</v>
      </c>
      <c r="AQ77" s="1027"/>
    </row>
    <row r="78" spans="1:51" s="882" customFormat="1" ht="41.5" customHeight="1" outlineLevel="4">
      <c r="A78" s="580"/>
      <c r="B78" s="107" t="s">
        <v>755</v>
      </c>
      <c r="C78" s="107"/>
      <c r="D78" s="935" t="s">
        <v>750</v>
      </c>
      <c r="E78" s="935"/>
      <c r="F78" s="103" t="s">
        <v>1300</v>
      </c>
      <c r="G78" s="97"/>
      <c r="H78" s="611" t="s">
        <v>1319</v>
      </c>
      <c r="I78" s="361"/>
      <c r="J78" s="361"/>
      <c r="K78" s="361"/>
      <c r="L78" s="361"/>
      <c r="M78" s="361"/>
      <c r="N78" s="361"/>
      <c r="O78" s="361"/>
      <c r="P78" s="361"/>
      <c r="Q78" s="97"/>
      <c r="R78" s="362" t="s">
        <v>723</v>
      </c>
      <c r="S78" s="362"/>
      <c r="T78" s="856" t="s">
        <v>1315</v>
      </c>
      <c r="U78" s="362"/>
      <c r="V78" s="178"/>
      <c r="W78" s="97"/>
      <c r="X78" s="711" t="s">
        <v>1179</v>
      </c>
      <c r="Y78" s="712">
        <v>1</v>
      </c>
      <c r="Z78" s="179"/>
      <c r="AA78" s="180"/>
      <c r="AB78" s="618">
        <v>100000</v>
      </c>
      <c r="AC78" s="1032">
        <f t="shared" si="6"/>
        <v>100000</v>
      </c>
      <c r="AD78" s="1043"/>
      <c r="AE78" s="97"/>
      <c r="AF78" s="1032">
        <f t="shared" si="12"/>
        <v>100000</v>
      </c>
      <c r="AG78" s="1032"/>
      <c r="AH78" s="1041">
        <f t="shared" si="5"/>
        <v>100000</v>
      </c>
      <c r="AI78" s="867"/>
      <c r="AJ78" s="986"/>
      <c r="AK78" s="986"/>
      <c r="AL78" s="986">
        <f>+AF78</f>
        <v>100000</v>
      </c>
      <c r="AM78" s="987"/>
      <c r="AN78" s="987">
        <f t="shared" ref="AM78:AN84" si="14">+AG78*50%</f>
        <v>0</v>
      </c>
      <c r="AO78" s="1038">
        <f t="shared" si="13"/>
        <v>100000</v>
      </c>
      <c r="AP78" s="108"/>
      <c r="AQ78" s="1027"/>
      <c r="AR78" s="881"/>
      <c r="AS78" s="881"/>
      <c r="AT78" s="881"/>
      <c r="AU78" s="881"/>
      <c r="AV78" s="881"/>
      <c r="AW78" s="881"/>
      <c r="AX78" s="881"/>
      <c r="AY78" s="881"/>
    </row>
    <row r="79" spans="1:51" s="882" customFormat="1" ht="41.5" customHeight="1" outlineLevel="4">
      <c r="A79" s="580"/>
      <c r="B79" s="107" t="s">
        <v>757</v>
      </c>
      <c r="C79" s="107"/>
      <c r="D79" s="935" t="s">
        <v>752</v>
      </c>
      <c r="E79" s="935"/>
      <c r="F79" s="103" t="s">
        <v>1300</v>
      </c>
      <c r="G79" s="97"/>
      <c r="H79" s="611" t="s">
        <v>247</v>
      </c>
      <c r="I79" s="361"/>
      <c r="J79" s="361"/>
      <c r="K79" s="361"/>
      <c r="L79" s="361"/>
      <c r="M79" s="361"/>
      <c r="N79" s="361"/>
      <c r="O79" s="361"/>
      <c r="P79" s="361"/>
      <c r="Q79" s="97"/>
      <c r="R79" s="362" t="s">
        <v>723</v>
      </c>
      <c r="S79" s="362"/>
      <c r="T79" s="856" t="s">
        <v>1307</v>
      </c>
      <c r="U79" s="362"/>
      <c r="V79" s="178"/>
      <c r="W79" s="97"/>
      <c r="X79" s="711" t="s">
        <v>1179</v>
      </c>
      <c r="Y79" s="712">
        <v>1</v>
      </c>
      <c r="Z79" s="179"/>
      <c r="AA79" s="180"/>
      <c r="AB79" s="618">
        <v>250000</v>
      </c>
      <c r="AC79" s="1032">
        <f t="shared" si="6"/>
        <v>250000</v>
      </c>
      <c r="AD79" s="1043"/>
      <c r="AE79" s="97"/>
      <c r="AF79" s="1032">
        <f t="shared" si="12"/>
        <v>250000</v>
      </c>
      <c r="AG79" s="1032"/>
      <c r="AH79" s="1041">
        <f t="shared" si="5"/>
        <v>250000</v>
      </c>
      <c r="AI79" s="867"/>
      <c r="AJ79" s="986"/>
      <c r="AK79" s="986"/>
      <c r="AL79" s="986"/>
      <c r="AM79" s="987">
        <f t="shared" si="14"/>
        <v>125000</v>
      </c>
      <c r="AN79" s="986">
        <f>+AH79*50%</f>
        <v>125000</v>
      </c>
      <c r="AO79" s="1038">
        <f t="shared" si="13"/>
        <v>250000</v>
      </c>
      <c r="AP79" s="108"/>
      <c r="AQ79" s="1027"/>
      <c r="AR79" s="881"/>
      <c r="AS79" s="881"/>
      <c r="AT79" s="881"/>
      <c r="AU79" s="881"/>
      <c r="AV79" s="881"/>
      <c r="AW79" s="881"/>
      <c r="AX79" s="881"/>
      <c r="AY79" s="881"/>
    </row>
    <row r="80" spans="1:51" s="882" customFormat="1" ht="41.5" customHeight="1" outlineLevel="4">
      <c r="A80" s="580"/>
      <c r="B80" s="107" t="s">
        <v>3665</v>
      </c>
      <c r="C80" s="107"/>
      <c r="D80" s="935" t="s">
        <v>3666</v>
      </c>
      <c r="E80" s="935"/>
      <c r="F80" s="103"/>
      <c r="G80" s="97"/>
      <c r="H80" s="611" t="s">
        <v>247</v>
      </c>
      <c r="I80" s="361"/>
      <c r="J80" s="361"/>
      <c r="K80" s="361"/>
      <c r="L80" s="361"/>
      <c r="M80" s="361"/>
      <c r="N80" s="361"/>
      <c r="O80" s="361"/>
      <c r="P80" s="361"/>
      <c r="Q80" s="97"/>
      <c r="R80" s="362" t="s">
        <v>723</v>
      </c>
      <c r="S80" s="362"/>
      <c r="T80" s="856" t="s">
        <v>1307</v>
      </c>
      <c r="U80" s="362"/>
      <c r="V80" s="178"/>
      <c r="W80" s="97"/>
      <c r="X80" s="711" t="s">
        <v>1179</v>
      </c>
      <c r="Y80" s="712">
        <v>1</v>
      </c>
      <c r="Z80" s="179"/>
      <c r="AA80" s="180"/>
      <c r="AB80" s="618">
        <v>200000</v>
      </c>
      <c r="AC80" s="1032">
        <f t="shared" si="6"/>
        <v>200000</v>
      </c>
      <c r="AD80" s="1043"/>
      <c r="AE80" s="97"/>
      <c r="AF80" s="1032">
        <f t="shared" si="12"/>
        <v>200000</v>
      </c>
      <c r="AG80" s="1032"/>
      <c r="AH80" s="1041">
        <f t="shared" si="5"/>
        <v>200000</v>
      </c>
      <c r="AI80" s="867"/>
      <c r="AJ80" s="986"/>
      <c r="AK80" s="986"/>
      <c r="AL80" s="986"/>
      <c r="AM80" s="987">
        <f t="shared" si="14"/>
        <v>100000</v>
      </c>
      <c r="AN80" s="986">
        <f>+AH80*50%</f>
        <v>100000</v>
      </c>
      <c r="AO80" s="1038">
        <f t="shared" si="13"/>
        <v>200000</v>
      </c>
      <c r="AP80" s="108"/>
      <c r="AQ80" s="1027"/>
      <c r="AR80" s="881"/>
      <c r="AS80" s="881"/>
      <c r="AT80" s="881"/>
      <c r="AU80" s="881"/>
      <c r="AV80" s="881"/>
      <c r="AW80" s="881"/>
      <c r="AX80" s="881"/>
      <c r="AY80" s="881"/>
    </row>
    <row r="81" spans="1:51" s="882" customFormat="1" ht="27.5" customHeight="1" outlineLevel="4">
      <c r="A81" s="580"/>
      <c r="B81" s="107" t="s">
        <v>3667</v>
      </c>
      <c r="C81" s="107"/>
      <c r="D81" s="935" t="s">
        <v>3668</v>
      </c>
      <c r="E81" s="935"/>
      <c r="F81" s="103"/>
      <c r="G81" s="97"/>
      <c r="H81" s="611" t="s">
        <v>247</v>
      </c>
      <c r="I81" s="361"/>
      <c r="J81" s="361"/>
      <c r="K81" s="361"/>
      <c r="L81" s="361"/>
      <c r="M81" s="361"/>
      <c r="N81" s="361"/>
      <c r="O81" s="361"/>
      <c r="P81" s="361"/>
      <c r="Q81" s="97"/>
      <c r="R81" s="362" t="s">
        <v>723</v>
      </c>
      <c r="S81" s="362"/>
      <c r="T81" s="856" t="s">
        <v>1307</v>
      </c>
      <c r="U81" s="362"/>
      <c r="V81" s="178"/>
      <c r="W81" s="97"/>
      <c r="X81" s="711" t="s">
        <v>1179</v>
      </c>
      <c r="Y81" s="712">
        <v>1</v>
      </c>
      <c r="Z81" s="179"/>
      <c r="AA81" s="180"/>
      <c r="AB81" s="618">
        <v>100000</v>
      </c>
      <c r="AC81" s="1032">
        <f t="shared" si="6"/>
        <v>100000</v>
      </c>
      <c r="AD81" s="1043"/>
      <c r="AE81" s="97"/>
      <c r="AF81" s="1032">
        <f t="shared" si="12"/>
        <v>100000</v>
      </c>
      <c r="AG81" s="1032"/>
      <c r="AH81" s="1041">
        <f t="shared" si="5"/>
        <v>100000</v>
      </c>
      <c r="AI81" s="867"/>
      <c r="AJ81" s="986"/>
      <c r="AK81" s="986"/>
      <c r="AL81" s="986">
        <f>+AF81*50%</f>
        <v>50000</v>
      </c>
      <c r="AM81" s="987">
        <f t="shared" si="14"/>
        <v>50000</v>
      </c>
      <c r="AN81" s="987">
        <f t="shared" si="14"/>
        <v>0</v>
      </c>
      <c r="AO81" s="1038">
        <f t="shared" si="13"/>
        <v>100000</v>
      </c>
      <c r="AP81" s="108"/>
      <c r="AQ81" s="1027"/>
      <c r="AR81" s="881"/>
      <c r="AS81" s="881"/>
      <c r="AT81" s="881"/>
      <c r="AU81" s="881"/>
      <c r="AV81" s="881"/>
      <c r="AW81" s="881"/>
      <c r="AX81" s="881"/>
      <c r="AY81" s="881"/>
    </row>
    <row r="82" spans="1:51" s="882" customFormat="1" ht="27.5" customHeight="1" outlineLevel="4">
      <c r="A82" s="580"/>
      <c r="B82" s="107" t="s">
        <v>3669</v>
      </c>
      <c r="C82" s="107"/>
      <c r="D82" s="935" t="s">
        <v>3670</v>
      </c>
      <c r="E82" s="935"/>
      <c r="F82" s="103"/>
      <c r="G82" s="97"/>
      <c r="H82" s="611" t="s">
        <v>1305</v>
      </c>
      <c r="I82" s="361"/>
      <c r="J82" s="361"/>
      <c r="K82" s="361"/>
      <c r="L82" s="361"/>
      <c r="M82" s="361"/>
      <c r="N82" s="361"/>
      <c r="O82" s="361"/>
      <c r="P82" s="361"/>
      <c r="Q82" s="97"/>
      <c r="R82" s="362" t="s">
        <v>723</v>
      </c>
      <c r="S82" s="362"/>
      <c r="T82" s="856" t="s">
        <v>1310</v>
      </c>
      <c r="U82" s="362"/>
      <c r="V82" s="178"/>
      <c r="W82" s="97"/>
      <c r="X82" s="711" t="s">
        <v>1179</v>
      </c>
      <c r="Y82" s="712">
        <v>1</v>
      </c>
      <c r="Z82" s="179"/>
      <c r="AA82" s="180"/>
      <c r="AB82" s="618">
        <v>350000</v>
      </c>
      <c r="AC82" s="1032">
        <f t="shared" si="6"/>
        <v>350000</v>
      </c>
      <c r="AD82" s="1043"/>
      <c r="AE82" s="97"/>
      <c r="AF82" s="1032">
        <f t="shared" si="12"/>
        <v>350000</v>
      </c>
      <c r="AG82" s="1032"/>
      <c r="AH82" s="1041">
        <f t="shared" si="5"/>
        <v>350000</v>
      </c>
      <c r="AI82" s="867"/>
      <c r="AJ82" s="986"/>
      <c r="AK82" s="986"/>
      <c r="AL82" s="986"/>
      <c r="AM82" s="987">
        <f t="shared" si="14"/>
        <v>175000</v>
      </c>
      <c r="AN82" s="986">
        <f>+AH82*50%</f>
        <v>175000</v>
      </c>
      <c r="AO82" s="1038">
        <f t="shared" si="13"/>
        <v>350000</v>
      </c>
      <c r="AP82" s="108"/>
      <c r="AQ82" s="1027"/>
      <c r="AR82" s="881"/>
      <c r="AS82" s="881"/>
      <c r="AT82" s="881"/>
      <c r="AU82" s="881"/>
      <c r="AV82" s="881"/>
      <c r="AW82" s="881"/>
      <c r="AX82" s="881"/>
      <c r="AY82" s="881"/>
    </row>
    <row r="83" spans="1:51" s="882" customFormat="1" ht="27.5" customHeight="1" outlineLevel="4">
      <c r="A83" s="580"/>
      <c r="B83" s="107" t="s">
        <v>3671</v>
      </c>
      <c r="C83" s="107"/>
      <c r="D83" s="1126" t="s">
        <v>3672</v>
      </c>
      <c r="E83" s="1126"/>
      <c r="F83" s="103"/>
      <c r="G83" s="97"/>
      <c r="H83" s="611" t="s">
        <v>1305</v>
      </c>
      <c r="I83" s="367"/>
      <c r="J83" s="367"/>
      <c r="K83" s="367"/>
      <c r="L83" s="367"/>
      <c r="M83" s="367"/>
      <c r="N83" s="367"/>
      <c r="O83" s="367"/>
      <c r="P83" s="367"/>
      <c r="Q83" s="97"/>
      <c r="R83" s="364" t="s">
        <v>723</v>
      </c>
      <c r="S83" s="364"/>
      <c r="T83" s="856" t="s">
        <v>1310</v>
      </c>
      <c r="U83" s="362"/>
      <c r="V83" s="178"/>
      <c r="W83" s="97"/>
      <c r="X83" s="711" t="s">
        <v>1179</v>
      </c>
      <c r="Y83" s="712">
        <v>1</v>
      </c>
      <c r="Z83" s="179"/>
      <c r="AA83" s="180"/>
      <c r="AB83" s="618">
        <v>500000</v>
      </c>
      <c r="AC83" s="1032">
        <f t="shared" si="6"/>
        <v>500000</v>
      </c>
      <c r="AD83" s="1043"/>
      <c r="AE83" s="97"/>
      <c r="AF83" s="1032">
        <f t="shared" si="12"/>
        <v>500000</v>
      </c>
      <c r="AG83" s="1032"/>
      <c r="AH83" s="1041">
        <f t="shared" si="5"/>
        <v>500000</v>
      </c>
      <c r="AI83" s="867"/>
      <c r="AJ83" s="986"/>
      <c r="AK83" s="986"/>
      <c r="AL83" s="986"/>
      <c r="AM83" s="987">
        <f t="shared" si="14"/>
        <v>250000</v>
      </c>
      <c r="AN83" s="986">
        <f>+AH83*50%</f>
        <v>250000</v>
      </c>
      <c r="AO83" s="1038">
        <f t="shared" si="13"/>
        <v>500000</v>
      </c>
      <c r="AP83" s="108"/>
      <c r="AQ83" s="1027"/>
      <c r="AR83" s="881"/>
      <c r="AS83" s="881"/>
      <c r="AT83" s="881"/>
      <c r="AU83" s="881"/>
      <c r="AV83" s="881"/>
      <c r="AW83" s="881"/>
      <c r="AX83" s="881"/>
      <c r="AY83" s="881"/>
    </row>
    <row r="84" spans="1:51" s="882" customFormat="1" ht="27.5" customHeight="1" outlineLevel="4">
      <c r="A84" s="580"/>
      <c r="B84" s="107" t="s">
        <v>3673</v>
      </c>
      <c r="C84" s="107"/>
      <c r="D84" s="1126" t="s">
        <v>3674</v>
      </c>
      <c r="E84" s="1126"/>
      <c r="F84" s="103"/>
      <c r="G84" s="97"/>
      <c r="H84" s="611"/>
      <c r="I84" s="367"/>
      <c r="J84" s="367"/>
      <c r="K84" s="367"/>
      <c r="L84" s="367"/>
      <c r="M84" s="367"/>
      <c r="N84" s="367"/>
      <c r="O84" s="367"/>
      <c r="P84" s="367"/>
      <c r="Q84" s="97"/>
      <c r="R84" s="364" t="s">
        <v>723</v>
      </c>
      <c r="S84" s="364"/>
      <c r="T84" s="856" t="s">
        <v>1310</v>
      </c>
      <c r="U84" s="362"/>
      <c r="V84" s="178" t="s">
        <v>3675</v>
      </c>
      <c r="W84" s="97"/>
      <c r="X84" s="711" t="s">
        <v>1179</v>
      </c>
      <c r="Y84" s="712">
        <v>1</v>
      </c>
      <c r="Z84" s="179"/>
      <c r="AA84" s="180"/>
      <c r="AB84" s="618">
        <v>500000</v>
      </c>
      <c r="AC84" s="1032">
        <v>500000</v>
      </c>
      <c r="AD84" s="1043"/>
      <c r="AE84" s="97"/>
      <c r="AF84" s="1032">
        <v>500000</v>
      </c>
      <c r="AG84" s="1032"/>
      <c r="AH84" s="1041">
        <v>500000</v>
      </c>
      <c r="AI84" s="867"/>
      <c r="AJ84" s="986"/>
      <c r="AK84" s="986"/>
      <c r="AL84" s="986"/>
      <c r="AM84" s="987">
        <f t="shared" si="14"/>
        <v>250000</v>
      </c>
      <c r="AN84" s="987">
        <f>+AF84*50%</f>
        <v>250000</v>
      </c>
      <c r="AO84" s="1038">
        <f t="shared" si="13"/>
        <v>500000</v>
      </c>
      <c r="AP84" s="108"/>
      <c r="AQ84" s="1027"/>
      <c r="AR84" s="881"/>
      <c r="AS84" s="881"/>
      <c r="AT84" s="881"/>
      <c r="AU84" s="881"/>
      <c r="AV84" s="881"/>
      <c r="AW84" s="881"/>
      <c r="AX84" s="881"/>
      <c r="AY84" s="881"/>
    </row>
    <row r="85" spans="1:51" s="153" customFormat="1" ht="23.5" customHeight="1" outlineLevel="3">
      <c r="A85" s="581"/>
      <c r="B85" s="400" t="s">
        <v>759</v>
      </c>
      <c r="C85" s="400"/>
      <c r="D85" s="536" t="s">
        <v>754</v>
      </c>
      <c r="E85" s="536"/>
      <c r="F85" s="399" t="s">
        <v>1297</v>
      </c>
      <c r="G85" s="96"/>
      <c r="H85" s="401"/>
      <c r="I85" s="621"/>
      <c r="J85" s="622"/>
      <c r="K85" s="622"/>
      <c r="L85" s="622"/>
      <c r="M85" s="622"/>
      <c r="N85" s="622"/>
      <c r="O85" s="622"/>
      <c r="P85" s="622"/>
      <c r="Q85" s="96"/>
      <c r="R85" s="837"/>
      <c r="S85" s="851"/>
      <c r="T85" s="851"/>
      <c r="U85" s="851"/>
      <c r="V85" s="399"/>
      <c r="W85" s="96"/>
      <c r="X85" s="396"/>
      <c r="Y85" s="397"/>
      <c r="Z85" s="397"/>
      <c r="AA85" s="395"/>
      <c r="AB85" s="398"/>
      <c r="AC85" s="398">
        <f>SUM(AC86:AC90)</f>
        <v>500000</v>
      </c>
      <c r="AD85" s="691"/>
      <c r="AE85" s="96"/>
      <c r="AF85" s="398">
        <f>SUM(AF86:AF90)</f>
        <v>500000</v>
      </c>
      <c r="AG85" s="398">
        <f>SUM(AG86:AG90)</f>
        <v>0</v>
      </c>
      <c r="AH85" s="398">
        <f t="shared" si="5"/>
        <v>500000</v>
      </c>
      <c r="AI85" s="865"/>
      <c r="AJ85" s="992">
        <f>SUM(AJ86:AJ90)</f>
        <v>0</v>
      </c>
      <c r="AK85" s="992">
        <f>SUM(AK86:AK90)</f>
        <v>0</v>
      </c>
      <c r="AL85" s="992">
        <f>SUM(AL86:AL90)</f>
        <v>135000</v>
      </c>
      <c r="AM85" s="993">
        <f>SUM(AM86:AM90)</f>
        <v>225000</v>
      </c>
      <c r="AN85" s="994">
        <f>SUM(AN86:AN90)</f>
        <v>140000</v>
      </c>
      <c r="AO85" s="994">
        <f t="shared" si="13"/>
        <v>500000</v>
      </c>
      <c r="AQ85" s="1027"/>
    </row>
    <row r="86" spans="1:51" s="882" customFormat="1" ht="27.5" customHeight="1" outlineLevel="4">
      <c r="A86" s="580"/>
      <c r="B86" s="107" t="s">
        <v>764</v>
      </c>
      <c r="C86" s="107"/>
      <c r="D86" s="935" t="s">
        <v>3676</v>
      </c>
      <c r="E86" s="935"/>
      <c r="F86" s="103" t="s">
        <v>1300</v>
      </c>
      <c r="G86" s="97"/>
      <c r="H86" s="611" t="s">
        <v>1319</v>
      </c>
      <c r="I86" s="361"/>
      <c r="J86" s="361"/>
      <c r="K86" s="361"/>
      <c r="L86" s="361"/>
      <c r="M86" s="361"/>
      <c r="N86" s="361"/>
      <c r="O86" s="361"/>
      <c r="P86" s="361"/>
      <c r="Q86" s="97"/>
      <c r="R86" s="362" t="s">
        <v>723</v>
      </c>
      <c r="S86" s="362"/>
      <c r="T86" s="856" t="s">
        <v>1315</v>
      </c>
      <c r="U86" s="362"/>
      <c r="V86" s="178"/>
      <c r="W86" s="97"/>
      <c r="X86" s="711" t="s">
        <v>1179</v>
      </c>
      <c r="Y86" s="712">
        <v>1</v>
      </c>
      <c r="Z86" s="179"/>
      <c r="AA86" s="180"/>
      <c r="AB86" s="618">
        <v>100000</v>
      </c>
      <c r="AC86" s="1032">
        <f t="shared" si="6"/>
        <v>100000</v>
      </c>
      <c r="AD86" s="1043"/>
      <c r="AE86" s="97"/>
      <c r="AF86" s="1032">
        <f>+AC86</f>
        <v>100000</v>
      </c>
      <c r="AG86" s="1032"/>
      <c r="AH86" s="1041">
        <f t="shared" si="5"/>
        <v>100000</v>
      </c>
      <c r="AI86" s="867"/>
      <c r="AJ86" s="986"/>
      <c r="AK86" s="986"/>
      <c r="AL86" s="986">
        <f>+AF86</f>
        <v>100000</v>
      </c>
      <c r="AM86" s="987"/>
      <c r="AN86" s="986"/>
      <c r="AO86" s="1038">
        <f t="shared" si="13"/>
        <v>100000</v>
      </c>
      <c r="AP86" s="108"/>
      <c r="AQ86" s="1027"/>
      <c r="AR86" s="881"/>
      <c r="AS86" s="881"/>
      <c r="AT86" s="881"/>
      <c r="AU86" s="881"/>
      <c r="AV86" s="881"/>
      <c r="AW86" s="881"/>
      <c r="AX86" s="881"/>
      <c r="AY86" s="881"/>
    </row>
    <row r="87" spans="1:51" s="882" customFormat="1" ht="27.5" customHeight="1" outlineLevel="4">
      <c r="A87" s="580"/>
      <c r="B87" s="107" t="s">
        <v>772</v>
      </c>
      <c r="C87" s="107"/>
      <c r="D87" s="935" t="s">
        <v>3677</v>
      </c>
      <c r="E87" s="935"/>
      <c r="F87" s="103" t="s">
        <v>1300</v>
      </c>
      <c r="G87" s="97"/>
      <c r="H87" s="611" t="s">
        <v>1323</v>
      </c>
      <c r="I87" s="361"/>
      <c r="J87" s="361"/>
      <c r="K87" s="361"/>
      <c r="L87" s="361"/>
      <c r="M87" s="361"/>
      <c r="N87" s="361"/>
      <c r="O87" s="361"/>
      <c r="P87" s="361"/>
      <c r="Q87" s="97"/>
      <c r="R87" s="362" t="s">
        <v>723</v>
      </c>
      <c r="S87" s="362"/>
      <c r="T87" s="856" t="s">
        <v>1307</v>
      </c>
      <c r="U87" s="362"/>
      <c r="V87" s="178"/>
      <c r="W87" s="97"/>
      <c r="X87" s="711" t="s">
        <v>1179</v>
      </c>
      <c r="Y87" s="712">
        <v>1</v>
      </c>
      <c r="Z87" s="179"/>
      <c r="AA87" s="180"/>
      <c r="AB87" s="618">
        <v>50000</v>
      </c>
      <c r="AC87" s="1032">
        <f t="shared" si="6"/>
        <v>50000</v>
      </c>
      <c r="AD87" s="1043"/>
      <c r="AE87" s="97"/>
      <c r="AF87" s="1032">
        <f>+AC87</f>
        <v>50000</v>
      </c>
      <c r="AG87" s="1032"/>
      <c r="AH87" s="1041">
        <f t="shared" si="5"/>
        <v>50000</v>
      </c>
      <c r="AI87" s="867"/>
      <c r="AJ87" s="986"/>
      <c r="AK87" s="986"/>
      <c r="AL87" s="986">
        <f>+AF87*10%</f>
        <v>5000</v>
      </c>
      <c r="AM87" s="987">
        <f>+AF87*70%</f>
        <v>35000</v>
      </c>
      <c r="AN87" s="986">
        <f>+AH87*20%</f>
        <v>10000</v>
      </c>
      <c r="AO87" s="1038">
        <f t="shared" si="13"/>
        <v>50000</v>
      </c>
      <c r="AP87" s="108"/>
      <c r="AQ87" s="1027"/>
      <c r="AR87" s="881"/>
      <c r="AS87" s="881"/>
      <c r="AT87" s="881"/>
      <c r="AU87" s="881"/>
      <c r="AV87" s="881"/>
      <c r="AW87" s="881"/>
      <c r="AX87" s="881"/>
      <c r="AY87" s="881"/>
    </row>
    <row r="88" spans="1:51" s="882" customFormat="1" ht="27.5" customHeight="1" outlineLevel="4">
      <c r="A88" s="580"/>
      <c r="B88" s="107" t="s">
        <v>782</v>
      </c>
      <c r="C88" s="107"/>
      <c r="D88" s="935" t="s">
        <v>3678</v>
      </c>
      <c r="E88" s="935"/>
      <c r="F88" s="103"/>
      <c r="G88" s="97"/>
      <c r="H88" s="611" t="s">
        <v>247</v>
      </c>
      <c r="I88" s="361"/>
      <c r="J88" s="361"/>
      <c r="K88" s="361"/>
      <c r="L88" s="361"/>
      <c r="M88" s="361"/>
      <c r="N88" s="361"/>
      <c r="O88" s="361"/>
      <c r="P88" s="361"/>
      <c r="Q88" s="97"/>
      <c r="R88" s="362" t="s">
        <v>723</v>
      </c>
      <c r="S88" s="362"/>
      <c r="T88" s="856" t="s">
        <v>1307</v>
      </c>
      <c r="U88" s="362"/>
      <c r="V88" s="178"/>
      <c r="W88" s="97"/>
      <c r="X88" s="711" t="s">
        <v>1179</v>
      </c>
      <c r="Y88" s="712">
        <v>1</v>
      </c>
      <c r="Z88" s="179"/>
      <c r="AA88" s="180"/>
      <c r="AB88" s="618">
        <v>50000</v>
      </c>
      <c r="AC88" s="1032">
        <f t="shared" si="6"/>
        <v>50000</v>
      </c>
      <c r="AD88" s="1043"/>
      <c r="AE88" s="97"/>
      <c r="AF88" s="1032">
        <f>+AC88</f>
        <v>50000</v>
      </c>
      <c r="AG88" s="1032"/>
      <c r="AH88" s="1041">
        <f t="shared" si="5"/>
        <v>50000</v>
      </c>
      <c r="AI88" s="867"/>
      <c r="AJ88" s="986"/>
      <c r="AK88" s="986"/>
      <c r="AL88" s="986"/>
      <c r="AM88" s="987">
        <f>+AF88</f>
        <v>50000</v>
      </c>
      <c r="AN88" s="986"/>
      <c r="AO88" s="1038">
        <f t="shared" si="13"/>
        <v>50000</v>
      </c>
      <c r="AP88" s="108"/>
      <c r="AQ88" s="1027"/>
      <c r="AR88" s="881"/>
      <c r="AS88" s="881"/>
      <c r="AT88" s="881"/>
      <c r="AU88" s="881"/>
      <c r="AV88" s="881"/>
      <c r="AW88" s="881"/>
      <c r="AX88" s="881"/>
      <c r="AY88" s="881"/>
    </row>
    <row r="89" spans="1:51" s="882" customFormat="1" ht="27.5" customHeight="1" outlineLevel="4">
      <c r="A89" s="580"/>
      <c r="B89" s="107" t="s">
        <v>1328</v>
      </c>
      <c r="C89" s="107"/>
      <c r="D89" s="935" t="s">
        <v>3679</v>
      </c>
      <c r="E89" s="935"/>
      <c r="F89" s="103"/>
      <c r="G89" s="97"/>
      <c r="H89" s="611" t="s">
        <v>1305</v>
      </c>
      <c r="I89" s="361"/>
      <c r="J89" s="361"/>
      <c r="K89" s="361"/>
      <c r="L89" s="361"/>
      <c r="M89" s="361"/>
      <c r="N89" s="361"/>
      <c r="O89" s="361"/>
      <c r="P89" s="361"/>
      <c r="Q89" s="97"/>
      <c r="R89" s="362" t="s">
        <v>723</v>
      </c>
      <c r="S89" s="362"/>
      <c r="T89" s="856" t="s">
        <v>1310</v>
      </c>
      <c r="U89" s="362"/>
      <c r="V89" s="178"/>
      <c r="W89" s="97"/>
      <c r="X89" s="711" t="s">
        <v>1179</v>
      </c>
      <c r="Y89" s="712">
        <v>1</v>
      </c>
      <c r="Z89" s="179"/>
      <c r="AA89" s="180"/>
      <c r="AB89" s="618">
        <v>100000</v>
      </c>
      <c r="AC89" s="1032">
        <f t="shared" si="6"/>
        <v>100000</v>
      </c>
      <c r="AD89" s="1043"/>
      <c r="AE89" s="97"/>
      <c r="AF89" s="1032">
        <f>+AC89</f>
        <v>100000</v>
      </c>
      <c r="AG89" s="1032"/>
      <c r="AH89" s="1041">
        <f t="shared" si="5"/>
        <v>100000</v>
      </c>
      <c r="AI89" s="867"/>
      <c r="AJ89" s="986"/>
      <c r="AK89" s="986"/>
      <c r="AL89" s="986">
        <f>+AF89*30%</f>
        <v>30000</v>
      </c>
      <c r="AM89" s="987">
        <f>+AF89*40%</f>
        <v>40000</v>
      </c>
      <c r="AN89" s="986">
        <f>+AH89*30%</f>
        <v>30000</v>
      </c>
      <c r="AO89" s="1038">
        <f t="shared" si="13"/>
        <v>100000</v>
      </c>
      <c r="AP89" s="108"/>
      <c r="AQ89" s="1027"/>
      <c r="AR89" s="881"/>
      <c r="AS89" s="881"/>
      <c r="AT89" s="881"/>
      <c r="AU89" s="881"/>
      <c r="AV89" s="881"/>
      <c r="AW89" s="881"/>
      <c r="AX89" s="881"/>
      <c r="AY89" s="881"/>
    </row>
    <row r="90" spans="1:51" s="882" customFormat="1" ht="27.5" customHeight="1" outlineLevel="4">
      <c r="A90" s="580"/>
      <c r="B90" s="107" t="s">
        <v>1329</v>
      </c>
      <c r="C90" s="107"/>
      <c r="D90" s="935" t="s">
        <v>3680</v>
      </c>
      <c r="E90" s="935"/>
      <c r="F90" s="103"/>
      <c r="G90" s="97"/>
      <c r="H90" s="611" t="s">
        <v>1305</v>
      </c>
      <c r="I90" s="361"/>
      <c r="J90" s="361"/>
      <c r="K90" s="361"/>
      <c r="L90" s="361"/>
      <c r="M90" s="361"/>
      <c r="N90" s="361"/>
      <c r="O90" s="361"/>
      <c r="P90" s="361"/>
      <c r="Q90" s="97"/>
      <c r="R90" s="362" t="s">
        <v>723</v>
      </c>
      <c r="S90" s="362"/>
      <c r="T90" s="856" t="s">
        <v>1310</v>
      </c>
      <c r="U90" s="362"/>
      <c r="V90" s="178"/>
      <c r="W90" s="97"/>
      <c r="X90" s="711" t="s">
        <v>1179</v>
      </c>
      <c r="Y90" s="712">
        <v>1</v>
      </c>
      <c r="Z90" s="179"/>
      <c r="AA90" s="180"/>
      <c r="AB90" s="618">
        <v>200000</v>
      </c>
      <c r="AC90" s="1032">
        <f t="shared" si="6"/>
        <v>200000</v>
      </c>
      <c r="AD90" s="1043"/>
      <c r="AE90" s="97"/>
      <c r="AF90" s="1032">
        <f>+AC90</f>
        <v>200000</v>
      </c>
      <c r="AG90" s="1032"/>
      <c r="AH90" s="1041">
        <f t="shared" si="5"/>
        <v>200000</v>
      </c>
      <c r="AI90" s="867"/>
      <c r="AJ90" s="986"/>
      <c r="AK90" s="986"/>
      <c r="AL90" s="986"/>
      <c r="AM90" s="987">
        <f>+AF90*50%</f>
        <v>100000</v>
      </c>
      <c r="AN90" s="986">
        <f>+AH90*50%</f>
        <v>100000</v>
      </c>
      <c r="AO90" s="1038">
        <f t="shared" si="13"/>
        <v>200000</v>
      </c>
      <c r="AP90" s="108"/>
      <c r="AQ90" s="1027"/>
      <c r="AR90" s="881"/>
      <c r="AS90" s="881"/>
      <c r="AT90" s="881"/>
      <c r="AU90" s="881"/>
      <c r="AV90" s="881"/>
      <c r="AW90" s="881"/>
      <c r="AX90" s="881"/>
      <c r="AY90" s="881"/>
    </row>
    <row r="91" spans="1:51" s="882" customFormat="1" ht="14" customHeight="1" outlineLevel="3">
      <c r="A91" s="580"/>
      <c r="B91" s="107"/>
      <c r="C91" s="107"/>
      <c r="D91" s="935"/>
      <c r="E91" s="935"/>
      <c r="F91" s="103"/>
      <c r="G91" s="97"/>
      <c r="H91" s="360"/>
      <c r="I91" s="361"/>
      <c r="J91" s="361"/>
      <c r="K91" s="361"/>
      <c r="L91" s="361"/>
      <c r="M91" s="361"/>
      <c r="N91" s="361"/>
      <c r="O91" s="361"/>
      <c r="P91" s="361"/>
      <c r="Q91" s="97"/>
      <c r="R91" s="362"/>
      <c r="S91" s="362"/>
      <c r="T91" s="362"/>
      <c r="U91" s="362"/>
      <c r="V91" s="178"/>
      <c r="W91" s="97"/>
      <c r="X91" s="182"/>
      <c r="Y91" s="712"/>
      <c r="Z91" s="179"/>
      <c r="AA91" s="180"/>
      <c r="AB91" s="1032"/>
      <c r="AC91" s="1032"/>
      <c r="AD91" s="1043"/>
      <c r="AE91" s="97"/>
      <c r="AF91" s="1032"/>
      <c r="AG91" s="1032"/>
      <c r="AH91" s="1041">
        <f t="shared" si="5"/>
        <v>0</v>
      </c>
      <c r="AI91" s="867"/>
      <c r="AJ91" s="986"/>
      <c r="AK91" s="986"/>
      <c r="AL91" s="986"/>
      <c r="AM91" s="987"/>
      <c r="AN91" s="1038"/>
      <c r="AO91" s="1038">
        <f t="shared" si="13"/>
        <v>0</v>
      </c>
      <c r="AP91" s="108"/>
      <c r="AQ91" s="1027"/>
      <c r="AR91" s="881"/>
      <c r="AS91" s="881"/>
      <c r="AT91" s="881"/>
      <c r="AU91" s="881"/>
      <c r="AV91" s="881"/>
      <c r="AW91" s="881"/>
      <c r="AX91" s="881"/>
      <c r="AY91" s="881"/>
    </row>
    <row r="92" spans="1:51" s="153" customFormat="1" ht="45" customHeight="1" outlineLevel="2">
      <c r="A92" s="172"/>
      <c r="B92" s="171" t="s">
        <v>507</v>
      </c>
      <c r="C92" s="171"/>
      <c r="D92" s="538" t="s">
        <v>21</v>
      </c>
      <c r="E92" s="538" t="s">
        <v>4</v>
      </c>
      <c r="F92" s="106" t="s">
        <v>3352</v>
      </c>
      <c r="G92" s="96"/>
      <c r="H92" s="357" t="str">
        <f>+'1_MdR_Limpia'!C43</f>
        <v>Número</v>
      </c>
      <c r="I92" s="357">
        <f>+'1_MdR_Limpia'!D43</f>
        <v>0</v>
      </c>
      <c r="J92" s="357">
        <f>+'1_MdR_Limpia'!E43</f>
        <v>2021</v>
      </c>
      <c r="K92" s="357" t="str">
        <f>+'1_MdR_Limpia'!F43</f>
        <v>-</v>
      </c>
      <c r="L92" s="357" t="str">
        <f>+'1_MdR_Limpia'!G43</f>
        <v>-</v>
      </c>
      <c r="M92" s="357">
        <f>+'1_MdR_Limpia'!I43</f>
        <v>1</v>
      </c>
      <c r="N92" s="357" t="str">
        <f>+'1_MdR_Limpia'!J43</f>
        <v>-</v>
      </c>
      <c r="O92" s="357" t="str">
        <f>+'1_MdR_Limpia'!J43</f>
        <v>-</v>
      </c>
      <c r="P92" s="357">
        <f>+'1_MdR_Limpia'!L43</f>
        <v>1</v>
      </c>
      <c r="Q92" s="96"/>
      <c r="R92" s="358"/>
      <c r="S92" s="358"/>
      <c r="T92" s="358"/>
      <c r="U92" s="358"/>
      <c r="V92" s="174"/>
      <c r="W92" s="96"/>
      <c r="X92" s="106"/>
      <c r="Y92" s="172"/>
      <c r="Z92" s="172"/>
      <c r="AA92" s="171"/>
      <c r="AB92" s="176"/>
      <c r="AC92" s="176">
        <f>AC93+AC94</f>
        <v>1680000</v>
      </c>
      <c r="AD92" s="686"/>
      <c r="AE92" s="96"/>
      <c r="AF92" s="176">
        <f>AF93+AF94</f>
        <v>1680000</v>
      </c>
      <c r="AG92" s="176">
        <f>+AD92</f>
        <v>0</v>
      </c>
      <c r="AH92" s="176">
        <f>AH93+AH94</f>
        <v>1680000</v>
      </c>
      <c r="AI92" s="865"/>
      <c r="AJ92" s="980">
        <f>AJ93+AJ94</f>
        <v>0</v>
      </c>
      <c r="AK92" s="980">
        <f>AK93+AK94</f>
        <v>660000</v>
      </c>
      <c r="AL92" s="980">
        <f>AL93+AL94</f>
        <v>540000</v>
      </c>
      <c r="AM92" s="981">
        <f>AM93+AM94</f>
        <v>480000</v>
      </c>
      <c r="AN92" s="979">
        <f>AN93+AN94</f>
        <v>0</v>
      </c>
      <c r="AO92" s="979">
        <f t="shared" si="13"/>
        <v>1680000</v>
      </c>
      <c r="AQ92" s="1027"/>
    </row>
    <row r="93" spans="1:51" s="108" customFormat="1" ht="41.5" customHeight="1" outlineLevel="3">
      <c r="A93" s="580"/>
      <c r="B93" s="107" t="s">
        <v>809</v>
      </c>
      <c r="C93" s="107"/>
      <c r="D93" s="533" t="s">
        <v>3353</v>
      </c>
      <c r="E93" s="533"/>
      <c r="F93" s="103"/>
      <c r="G93" s="97"/>
      <c r="H93" s="363"/>
      <c r="I93" s="364"/>
      <c r="J93" s="365"/>
      <c r="K93" s="365"/>
      <c r="L93" s="365"/>
      <c r="M93" s="365"/>
      <c r="N93" s="365"/>
      <c r="O93" s="365"/>
      <c r="P93" s="365"/>
      <c r="Q93" s="97"/>
      <c r="R93" s="364" t="s">
        <v>3113</v>
      </c>
      <c r="S93" s="364" t="s">
        <v>1075</v>
      </c>
      <c r="T93" s="364" t="s">
        <v>1198</v>
      </c>
      <c r="U93" s="364">
        <f>'9.3_PA_Det'!$F$42</f>
        <v>14</v>
      </c>
      <c r="V93" s="181"/>
      <c r="W93" s="97"/>
      <c r="X93" s="711" t="s">
        <v>1179</v>
      </c>
      <c r="Y93" s="712">
        <v>1</v>
      </c>
      <c r="Z93" s="179"/>
      <c r="AA93" s="180"/>
      <c r="AB93" s="1048">
        <v>1200000</v>
      </c>
      <c r="AC93" s="1032">
        <f>Y93*AB93</f>
        <v>1200000</v>
      </c>
      <c r="AD93" s="1042"/>
      <c r="AE93" s="97"/>
      <c r="AF93" s="1032">
        <f>+AC93</f>
        <v>1200000</v>
      </c>
      <c r="AG93" s="1032">
        <v>0</v>
      </c>
      <c r="AH93" s="1041">
        <f>+AF93+AG93</f>
        <v>1200000</v>
      </c>
      <c r="AI93" s="867"/>
      <c r="AJ93" s="986"/>
      <c r="AK93" s="986">
        <f>+$AF$93*40%</f>
        <v>480000</v>
      </c>
      <c r="AL93" s="986">
        <f>+$AF$93*30%</f>
        <v>360000</v>
      </c>
      <c r="AM93" s="986">
        <f>+$AF$93*30%</f>
        <v>360000</v>
      </c>
      <c r="AN93" s="1044"/>
      <c r="AO93" s="1038">
        <f t="shared" si="13"/>
        <v>1200000</v>
      </c>
      <c r="AQ93" s="1027"/>
    </row>
    <row r="94" spans="1:51" s="153" customFormat="1" ht="19.25" customHeight="1" outlineLevel="3">
      <c r="A94" s="581"/>
      <c r="B94" s="400" t="s">
        <v>813</v>
      </c>
      <c r="C94" s="400"/>
      <c r="D94" s="536" t="s">
        <v>3681</v>
      </c>
      <c r="E94" s="536"/>
      <c r="F94" s="399"/>
      <c r="G94" s="96"/>
      <c r="H94" s="401"/>
      <c r="I94" s="401"/>
      <c r="J94" s="402"/>
      <c r="K94" s="402"/>
      <c r="L94" s="402"/>
      <c r="M94" s="402"/>
      <c r="N94" s="402"/>
      <c r="O94" s="402"/>
      <c r="P94" s="402"/>
      <c r="Q94" s="96"/>
      <c r="R94" s="837"/>
      <c r="S94" s="851"/>
      <c r="T94" s="851"/>
      <c r="U94" s="851"/>
      <c r="V94" s="399"/>
      <c r="W94" s="96"/>
      <c r="X94" s="396"/>
      <c r="Y94" s="397"/>
      <c r="Z94" s="397"/>
      <c r="AA94" s="395"/>
      <c r="AB94" s="398"/>
      <c r="AC94" s="398">
        <f>SUM(AC95:AC97)</f>
        <v>480000</v>
      </c>
      <c r="AD94" s="680"/>
      <c r="AE94" s="96"/>
      <c r="AF94" s="398">
        <f>+AC94</f>
        <v>480000</v>
      </c>
      <c r="AG94" s="398">
        <f>SUM(AG95:AG97)</f>
        <v>0</v>
      </c>
      <c r="AH94" s="398">
        <f>SUM(AH95:AH97)</f>
        <v>480000</v>
      </c>
      <c r="AI94" s="865"/>
      <c r="AJ94" s="992">
        <f>SUM(AJ95:AJ97)</f>
        <v>0</v>
      </c>
      <c r="AK94" s="992">
        <f>SUM(AK95:AK97)</f>
        <v>180000</v>
      </c>
      <c r="AL94" s="992">
        <f>SUM(AL95:AL97)</f>
        <v>180000</v>
      </c>
      <c r="AM94" s="993">
        <f>SUM(AM95:AM97)</f>
        <v>120000</v>
      </c>
      <c r="AN94" s="994">
        <f>SUM(AN95:AN97)</f>
        <v>0</v>
      </c>
      <c r="AO94" s="994">
        <f t="shared" si="13"/>
        <v>480000</v>
      </c>
      <c r="AQ94" s="1027"/>
    </row>
    <row r="95" spans="1:51" s="108" customFormat="1" ht="27.5" customHeight="1" outlineLevel="4">
      <c r="A95" s="580"/>
      <c r="B95" s="107" t="s">
        <v>815</v>
      </c>
      <c r="C95" s="107"/>
      <c r="D95" s="533" t="s">
        <v>3682</v>
      </c>
      <c r="E95" s="533"/>
      <c r="F95" s="103"/>
      <c r="G95" s="97"/>
      <c r="H95" s="363"/>
      <c r="I95" s="364"/>
      <c r="J95" s="365"/>
      <c r="K95" s="365"/>
      <c r="L95" s="365"/>
      <c r="M95" s="365"/>
      <c r="N95" s="365"/>
      <c r="O95" s="365"/>
      <c r="P95" s="365"/>
      <c r="Q95" s="97"/>
      <c r="R95" s="364" t="s">
        <v>763</v>
      </c>
      <c r="S95" s="364" t="s">
        <v>1075</v>
      </c>
      <c r="T95" s="364" t="s">
        <v>1289</v>
      </c>
      <c r="U95" s="364">
        <f>'9.3_PA_Det'!F168</f>
        <v>59</v>
      </c>
      <c r="V95" s="181"/>
      <c r="W95" s="97"/>
      <c r="X95" s="711" t="s">
        <v>1189</v>
      </c>
      <c r="Y95" s="712">
        <v>1</v>
      </c>
      <c r="Z95" s="179">
        <v>36</v>
      </c>
      <c r="AA95" s="180"/>
      <c r="AB95" s="1032">
        <v>5000</v>
      </c>
      <c r="AC95" s="1032">
        <f>Y95*Z95*AB95</f>
        <v>180000</v>
      </c>
      <c r="AD95" s="1042"/>
      <c r="AE95" s="97"/>
      <c r="AF95" s="1032">
        <f>+AC95</f>
        <v>180000</v>
      </c>
      <c r="AG95" s="1032">
        <v>0</v>
      </c>
      <c r="AH95" s="1041">
        <f>AF95+AG95</f>
        <v>180000</v>
      </c>
      <c r="AI95" s="867"/>
      <c r="AJ95" s="986"/>
      <c r="AK95" s="986">
        <f>+$AB$95*12</f>
        <v>60000</v>
      </c>
      <c r="AL95" s="986">
        <f>+$AB$95*12</f>
        <v>60000</v>
      </c>
      <c r="AM95" s="986">
        <f>+$AB$95*12</f>
        <v>60000</v>
      </c>
      <c r="AN95" s="1038"/>
      <c r="AO95" s="1038">
        <f t="shared" si="13"/>
        <v>180000</v>
      </c>
      <c r="AQ95" s="1027"/>
    </row>
    <row r="96" spans="1:51" s="108" customFormat="1" ht="27.5" customHeight="1" outlineLevel="4">
      <c r="A96" s="580"/>
      <c r="B96" s="107" t="s">
        <v>817</v>
      </c>
      <c r="C96" s="107"/>
      <c r="D96" s="533" t="s">
        <v>865</v>
      </c>
      <c r="E96" s="533"/>
      <c r="F96" s="103"/>
      <c r="G96" s="97"/>
      <c r="H96" s="363"/>
      <c r="I96" s="364"/>
      <c r="J96" s="365"/>
      <c r="K96" s="365"/>
      <c r="L96" s="365"/>
      <c r="M96" s="365"/>
      <c r="N96" s="365"/>
      <c r="O96" s="365"/>
      <c r="P96" s="365"/>
      <c r="Q96" s="97"/>
      <c r="R96" s="364" t="s">
        <v>763</v>
      </c>
      <c r="S96" s="364" t="s">
        <v>1075</v>
      </c>
      <c r="T96" s="364" t="s">
        <v>1289</v>
      </c>
      <c r="U96" s="364">
        <f>'9.3_PA_Det'!F169</f>
        <v>60</v>
      </c>
      <c r="V96" s="181"/>
      <c r="W96" s="97"/>
      <c r="X96" s="711" t="s">
        <v>1189</v>
      </c>
      <c r="Y96" s="712">
        <v>1</v>
      </c>
      <c r="Z96" s="179">
        <v>36</v>
      </c>
      <c r="AA96" s="180"/>
      <c r="AB96" s="1032">
        <v>5000</v>
      </c>
      <c r="AC96" s="1032">
        <f>Y96*Z96*AB96</f>
        <v>180000</v>
      </c>
      <c r="AD96" s="1042"/>
      <c r="AE96" s="97"/>
      <c r="AF96" s="1032">
        <f>+AC96</f>
        <v>180000</v>
      </c>
      <c r="AG96" s="1032">
        <v>0</v>
      </c>
      <c r="AH96" s="1041">
        <f>AF96+AG96</f>
        <v>180000</v>
      </c>
      <c r="AI96" s="867"/>
      <c r="AJ96" s="986"/>
      <c r="AK96" s="986">
        <f>+$AB$96*12</f>
        <v>60000</v>
      </c>
      <c r="AL96" s="986">
        <f>+$AB$96*12</f>
        <v>60000</v>
      </c>
      <c r="AM96" s="986">
        <f>+$AB$96*12</f>
        <v>60000</v>
      </c>
      <c r="AN96" s="1038"/>
      <c r="AO96" s="1038">
        <f t="shared" si="13"/>
        <v>180000</v>
      </c>
      <c r="AQ96" s="1027"/>
    </row>
    <row r="97" spans="1:51" s="108" customFormat="1" ht="42" customHeight="1" outlineLevel="4">
      <c r="A97" s="580"/>
      <c r="B97" s="107" t="s">
        <v>819</v>
      </c>
      <c r="C97" s="107"/>
      <c r="D97" s="533" t="s">
        <v>3683</v>
      </c>
      <c r="E97" s="533"/>
      <c r="F97" s="103"/>
      <c r="G97" s="97"/>
      <c r="H97" s="363"/>
      <c r="I97" s="364"/>
      <c r="J97" s="365"/>
      <c r="K97" s="365"/>
      <c r="L97" s="365"/>
      <c r="M97" s="365"/>
      <c r="N97" s="365"/>
      <c r="O97" s="365"/>
      <c r="P97" s="365"/>
      <c r="Q97" s="97"/>
      <c r="R97" s="364" t="s">
        <v>763</v>
      </c>
      <c r="S97" s="364" t="s">
        <v>1075</v>
      </c>
      <c r="T97" s="364" t="s">
        <v>1289</v>
      </c>
      <c r="U97" s="364">
        <f>'9.3_PA_Det'!F170</f>
        <v>61</v>
      </c>
      <c r="V97" s="181"/>
      <c r="W97" s="97"/>
      <c r="X97" s="711" t="s">
        <v>1189</v>
      </c>
      <c r="Y97" s="712">
        <v>2</v>
      </c>
      <c r="Z97" s="179">
        <v>24</v>
      </c>
      <c r="AA97" s="180"/>
      <c r="AB97" s="1032">
        <v>2500</v>
      </c>
      <c r="AC97" s="1032">
        <f>Y97*Z97*AB97</f>
        <v>120000</v>
      </c>
      <c r="AD97" s="1042"/>
      <c r="AE97" s="97"/>
      <c r="AF97" s="1032">
        <f>+AC97</f>
        <v>120000</v>
      </c>
      <c r="AG97" s="1032">
        <v>0</v>
      </c>
      <c r="AH97" s="1041">
        <f>AF97+AG97</f>
        <v>120000</v>
      </c>
      <c r="AI97" s="867"/>
      <c r="AJ97" s="986"/>
      <c r="AK97" s="986">
        <f>+$AB$97*12*2</f>
        <v>60000</v>
      </c>
      <c r="AL97" s="986">
        <f>+$AB$97*12*2</f>
        <v>60000</v>
      </c>
      <c r="AM97" s="987"/>
      <c r="AN97" s="1038"/>
      <c r="AO97" s="1038">
        <f t="shared" si="13"/>
        <v>120000</v>
      </c>
      <c r="AQ97" s="1027"/>
    </row>
    <row r="98" spans="1:51" s="878" customFormat="1" ht="26" customHeight="1" outlineLevel="2">
      <c r="A98" s="172"/>
      <c r="B98" s="171" t="s">
        <v>508</v>
      </c>
      <c r="C98" s="171"/>
      <c r="D98" s="538" t="s">
        <v>592</v>
      </c>
      <c r="E98" s="538" t="s">
        <v>4</v>
      </c>
      <c r="F98" s="106" t="s">
        <v>3359</v>
      </c>
      <c r="G98" s="96"/>
      <c r="H98" s="357" t="str">
        <f>+'1_MdR_Limpia'!C48</f>
        <v>Número</v>
      </c>
      <c r="I98" s="357">
        <f>+'1_MdR_Limpia'!D48</f>
        <v>0</v>
      </c>
      <c r="J98" s="357">
        <f>+'1_MdR_Limpia'!E48</f>
        <v>2021</v>
      </c>
      <c r="K98" s="357" t="str">
        <f>+'1_MdR_Limpia'!F48</f>
        <v>-</v>
      </c>
      <c r="L98" s="357" t="str">
        <f>+'1_MdR_Limpia'!G48</f>
        <v>-</v>
      </c>
      <c r="M98" s="357" t="str">
        <f>+'1_MdR_Limpia'!J48</f>
        <v>-</v>
      </c>
      <c r="N98" s="357" t="str">
        <f>+'1_MdR_Limpia'!I48</f>
        <v>-</v>
      </c>
      <c r="O98" s="357" t="str">
        <f>+'1_MdR_Limpia'!J48</f>
        <v>-</v>
      </c>
      <c r="P98" s="357">
        <f>+'1_MdR_Limpia'!L48</f>
        <v>1</v>
      </c>
      <c r="Q98" s="96"/>
      <c r="R98" s="854"/>
      <c r="S98" s="358"/>
      <c r="T98" s="358"/>
      <c r="U98" s="358"/>
      <c r="V98" s="175"/>
      <c r="W98" s="96"/>
      <c r="X98" s="106"/>
      <c r="Y98" s="172"/>
      <c r="Z98" s="172"/>
      <c r="AA98" s="171"/>
      <c r="AB98" s="176"/>
      <c r="AC98" s="176">
        <f>SUM(AC99:AC100)</f>
        <v>2500000</v>
      </c>
      <c r="AD98" s="692"/>
      <c r="AE98" s="96"/>
      <c r="AF98" s="176">
        <f>SUM(AF99:AF100)</f>
        <v>2500000</v>
      </c>
      <c r="AG98" s="176">
        <f>SUM(AG99:AG100)</f>
        <v>0</v>
      </c>
      <c r="AH98" s="176">
        <f t="shared" si="5"/>
        <v>2500000</v>
      </c>
      <c r="AI98" s="865"/>
      <c r="AJ98" s="980">
        <f>SUM(AJ99:AJ100)</f>
        <v>300000</v>
      </c>
      <c r="AK98" s="980">
        <f>SUM(AK99:AK100)</f>
        <v>700000</v>
      </c>
      <c r="AL98" s="980">
        <f>SUM(AL99:AL100)</f>
        <v>900000</v>
      </c>
      <c r="AM98" s="981">
        <f>SUM(AM99:AM100)</f>
        <v>300000</v>
      </c>
      <c r="AN98" s="979">
        <f>SUM(AN99:AN100)</f>
        <v>300000</v>
      </c>
      <c r="AO98" s="979">
        <f t="shared" si="13"/>
        <v>2500000</v>
      </c>
      <c r="AP98" s="153"/>
      <c r="AQ98" s="1027"/>
      <c r="AR98" s="153"/>
      <c r="AS98" s="153"/>
      <c r="AT98" s="153"/>
      <c r="AU98" s="153"/>
      <c r="AV98" s="153"/>
      <c r="AW98" s="153"/>
      <c r="AX98" s="153"/>
      <c r="AY98" s="153"/>
    </row>
    <row r="99" spans="1:51" s="882" customFormat="1" ht="40.5" customHeight="1" outlineLevel="3">
      <c r="A99" s="580"/>
      <c r="B99" s="107" t="s">
        <v>834</v>
      </c>
      <c r="C99" s="107"/>
      <c r="D99" s="906" t="s">
        <v>3684</v>
      </c>
      <c r="E99" s="906"/>
      <c r="F99" s="126"/>
      <c r="G99" s="97"/>
      <c r="H99" s="906" t="s">
        <v>247</v>
      </c>
      <c r="I99" s="362"/>
      <c r="J99" s="361"/>
      <c r="K99" s="361"/>
      <c r="L99" s="361"/>
      <c r="M99" s="361"/>
      <c r="N99" s="361"/>
      <c r="O99" s="361"/>
      <c r="P99" s="361"/>
      <c r="Q99" s="907"/>
      <c r="R99" s="4702" t="str">
        <f>+'9.3_PA_Det'!$E$43</f>
        <v>Selección Basada en Calidad y Costo</v>
      </c>
      <c r="S99" s="4704" t="s">
        <v>1075</v>
      </c>
      <c r="T99" s="4706" t="s">
        <v>1198</v>
      </c>
      <c r="U99" s="4704">
        <f>+'9.3_PA_Det'!$F$43</f>
        <v>15</v>
      </c>
      <c r="V99" s="920" t="s">
        <v>3685</v>
      </c>
      <c r="W99" s="907"/>
      <c r="X99" s="194" t="s">
        <v>1179</v>
      </c>
      <c r="Y99" s="376">
        <v>1</v>
      </c>
      <c r="Z99" s="185"/>
      <c r="AA99" s="186"/>
      <c r="AB99" s="908">
        <v>1000000</v>
      </c>
      <c r="AC99" s="1032">
        <f>+Y99*AB99</f>
        <v>1000000</v>
      </c>
      <c r="AD99" s="1043"/>
      <c r="AE99" s="97"/>
      <c r="AF99" s="1032">
        <f>+AC99</f>
        <v>1000000</v>
      </c>
      <c r="AG99" s="1032"/>
      <c r="AH99" s="1041">
        <f t="shared" si="5"/>
        <v>1000000</v>
      </c>
      <c r="AI99" s="867"/>
      <c r="AJ99" s="1003"/>
      <c r="AK99" s="1003">
        <f>+AF99*40%</f>
        <v>400000</v>
      </c>
      <c r="AL99" s="1003">
        <f>+AF99*60%</f>
        <v>600000</v>
      </c>
      <c r="AM99" s="1004"/>
      <c r="AN99" s="1002"/>
      <c r="AO99" s="1038">
        <f t="shared" si="13"/>
        <v>1000000</v>
      </c>
      <c r="AP99" s="108"/>
      <c r="AQ99" s="1027"/>
      <c r="AR99" s="881"/>
      <c r="AS99" s="881"/>
      <c r="AT99" s="881"/>
      <c r="AU99" s="881"/>
      <c r="AV99" s="881"/>
      <c r="AW99" s="881"/>
      <c r="AX99" s="881"/>
      <c r="AY99" s="881"/>
    </row>
    <row r="100" spans="1:51" s="882" customFormat="1" ht="96.5" customHeight="1" outlineLevel="3">
      <c r="A100" s="580"/>
      <c r="B100" s="107" t="s">
        <v>839</v>
      </c>
      <c r="C100" s="107"/>
      <c r="D100" s="906" t="s">
        <v>3686</v>
      </c>
      <c r="E100" s="906"/>
      <c r="F100" s="126"/>
      <c r="G100" s="97"/>
      <c r="H100" s="906" t="s">
        <v>247</v>
      </c>
      <c r="I100" s="362"/>
      <c r="J100" s="361"/>
      <c r="K100" s="361"/>
      <c r="L100" s="361"/>
      <c r="M100" s="361"/>
      <c r="N100" s="361"/>
      <c r="O100" s="361"/>
      <c r="P100" s="361"/>
      <c r="Q100" s="907"/>
      <c r="R100" s="4703"/>
      <c r="S100" s="4705"/>
      <c r="T100" s="4707"/>
      <c r="U100" s="4705"/>
      <c r="V100" s="920" t="s">
        <v>3685</v>
      </c>
      <c r="W100" s="907"/>
      <c r="X100" s="194" t="s">
        <v>1179</v>
      </c>
      <c r="Y100" s="376">
        <v>1</v>
      </c>
      <c r="Z100" s="185"/>
      <c r="AA100" s="186"/>
      <c r="AB100" s="908">
        <v>1500000</v>
      </c>
      <c r="AC100" s="1032">
        <f>+Y100*AB100</f>
        <v>1500000</v>
      </c>
      <c r="AD100" s="1043"/>
      <c r="AE100" s="97"/>
      <c r="AF100" s="1032">
        <f>+AC100</f>
        <v>1500000</v>
      </c>
      <c r="AG100" s="1032"/>
      <c r="AH100" s="1041">
        <f t="shared" si="5"/>
        <v>1500000</v>
      </c>
      <c r="AI100" s="867"/>
      <c r="AJ100" s="1003">
        <f>+AF100*20%</f>
        <v>300000</v>
      </c>
      <c r="AK100" s="1003">
        <f>+AF100*20%</f>
        <v>300000</v>
      </c>
      <c r="AL100" s="1003">
        <f>+AF100*20%</f>
        <v>300000</v>
      </c>
      <c r="AM100" s="1003">
        <f>+AF100*20%</f>
        <v>300000</v>
      </c>
      <c r="AN100" s="1003">
        <f>+AF100*20%</f>
        <v>300000</v>
      </c>
      <c r="AO100" s="1038">
        <f t="shared" si="13"/>
        <v>1500000</v>
      </c>
      <c r="AP100" s="108"/>
      <c r="AQ100" s="1027"/>
      <c r="AR100" s="881"/>
      <c r="AS100" s="881"/>
      <c r="AT100" s="881"/>
      <c r="AU100" s="881"/>
      <c r="AV100" s="881"/>
      <c r="AW100" s="881"/>
      <c r="AX100" s="881"/>
      <c r="AY100" s="881"/>
    </row>
    <row r="101" spans="1:51" s="878" customFormat="1" ht="27" customHeight="1" outlineLevel="2">
      <c r="A101" s="172"/>
      <c r="B101" s="171" t="s">
        <v>509</v>
      </c>
      <c r="C101" s="171"/>
      <c r="D101" s="538" t="s">
        <v>593</v>
      </c>
      <c r="E101" s="538" t="s">
        <v>4</v>
      </c>
      <c r="F101" s="106" t="s">
        <v>3366</v>
      </c>
      <c r="G101" s="96"/>
      <c r="H101" s="357" t="str">
        <f>+'1_MdR_Limpia'!C49</f>
        <v>Número</v>
      </c>
      <c r="I101" s="357">
        <f>+'1_MdR_Limpia'!D49</f>
        <v>0</v>
      </c>
      <c r="J101" s="357">
        <f>+'1_MdR_Limpia'!E49</f>
        <v>2021</v>
      </c>
      <c r="K101" s="357" t="str">
        <f>+'1_MdR_Limpia'!F49</f>
        <v>-</v>
      </c>
      <c r="L101" s="357" t="str">
        <f>+'1_MdR_Limpia'!G49</f>
        <v>-</v>
      </c>
      <c r="M101" s="357" t="str">
        <f>+'1_MdR_Limpia'!H49</f>
        <v>-</v>
      </c>
      <c r="N101" s="357">
        <f>+'1_MdR_Limpia'!I49</f>
        <v>1</v>
      </c>
      <c r="O101" s="357" t="str">
        <f>+'1_MdR_Limpia'!J49</f>
        <v>-</v>
      </c>
      <c r="P101" s="357">
        <f>+'1_MdR_Limpia'!L49</f>
        <v>1</v>
      </c>
      <c r="Q101" s="96"/>
      <c r="R101" s="909"/>
      <c r="S101" s="909"/>
      <c r="T101" s="909"/>
      <c r="U101" s="909"/>
      <c r="V101" s="917"/>
      <c r="W101" s="96"/>
      <c r="X101" s="106"/>
      <c r="Y101" s="172"/>
      <c r="Z101" s="172"/>
      <c r="AA101" s="171"/>
      <c r="AB101" s="176"/>
      <c r="AC101" s="176">
        <f>SUM(AC102:AC108)</f>
        <v>530000</v>
      </c>
      <c r="AD101" s="692"/>
      <c r="AE101" s="96"/>
      <c r="AF101" s="176">
        <f>SUM(AF104:AF108)</f>
        <v>530000</v>
      </c>
      <c r="AG101" s="176">
        <f>SUM(AG104:AG108)</f>
        <v>0</v>
      </c>
      <c r="AH101" s="176">
        <f t="shared" si="5"/>
        <v>530000</v>
      </c>
      <c r="AI101" s="865"/>
      <c r="AJ101" s="980">
        <f>SUM(AJ102:AJ108)</f>
        <v>198000</v>
      </c>
      <c r="AK101" s="980">
        <f>SUM(AK102:AK108)</f>
        <v>332000</v>
      </c>
      <c r="AL101" s="980">
        <f>SUM(AL102:AL108)</f>
        <v>0</v>
      </c>
      <c r="AM101" s="981">
        <f>SUM(AM102:AM108)</f>
        <v>0</v>
      </c>
      <c r="AN101" s="979">
        <f>SUM(AN102:AN108)</f>
        <v>0</v>
      </c>
      <c r="AO101" s="979">
        <f t="shared" si="13"/>
        <v>530000</v>
      </c>
      <c r="AP101" s="153"/>
      <c r="AQ101" s="1027"/>
      <c r="AR101" s="153"/>
      <c r="AS101" s="153"/>
      <c r="AT101" s="153"/>
      <c r="AU101" s="153"/>
      <c r="AV101" s="153"/>
      <c r="AW101" s="153"/>
      <c r="AX101" s="153"/>
      <c r="AY101" s="108"/>
    </row>
    <row r="102" spans="1:51" s="558" customFormat="1" ht="27" customHeight="1" outlineLevel="3">
      <c r="A102" s="579" t="s">
        <v>2972</v>
      </c>
      <c r="B102" s="490"/>
      <c r="C102" s="490"/>
      <c r="D102" s="910" t="s">
        <v>3687</v>
      </c>
      <c r="E102" s="910"/>
      <c r="F102" s="491"/>
      <c r="G102" s="492"/>
      <c r="H102" s="910"/>
      <c r="I102" s="553"/>
      <c r="J102" s="553"/>
      <c r="K102" s="553"/>
      <c r="L102" s="553"/>
      <c r="M102" s="553"/>
      <c r="N102" s="553"/>
      <c r="O102" s="553"/>
      <c r="P102" s="553"/>
      <c r="Q102" s="866"/>
      <c r="R102" s="918"/>
      <c r="S102" s="918"/>
      <c r="T102" s="918"/>
      <c r="U102" s="918"/>
      <c r="V102" s="918"/>
      <c r="W102" s="916"/>
      <c r="X102" s="498"/>
      <c r="Y102" s="499"/>
      <c r="Z102" s="500"/>
      <c r="AA102" s="501"/>
      <c r="AB102" s="911"/>
      <c r="AC102" s="502">
        <f t="shared" ref="AC102:AC108" si="15">Y102*AB102</f>
        <v>0</v>
      </c>
      <c r="AD102" s="912" t="s">
        <v>3688</v>
      </c>
      <c r="AE102" s="492"/>
      <c r="AF102" s="502"/>
      <c r="AG102" s="502"/>
      <c r="AH102" s="503"/>
      <c r="AI102" s="866"/>
      <c r="AJ102" s="983"/>
      <c r="AK102" s="983"/>
      <c r="AL102" s="983"/>
      <c r="AM102" s="984"/>
      <c r="AN102" s="982"/>
      <c r="AO102" s="985">
        <f t="shared" si="13"/>
        <v>0</v>
      </c>
      <c r="AP102" s="879"/>
      <c r="AQ102" s="1027"/>
    </row>
    <row r="103" spans="1:51" s="558" customFormat="1" ht="27" customHeight="1" outlineLevel="3">
      <c r="A103" s="579" t="s">
        <v>2972</v>
      </c>
      <c r="B103" s="490"/>
      <c r="C103" s="490"/>
      <c r="D103" s="910" t="s">
        <v>3689</v>
      </c>
      <c r="E103" s="910"/>
      <c r="F103" s="491"/>
      <c r="G103" s="492"/>
      <c r="H103" s="910"/>
      <c r="I103" s="553"/>
      <c r="J103" s="553"/>
      <c r="K103" s="553"/>
      <c r="L103" s="553"/>
      <c r="M103" s="553"/>
      <c r="N103" s="553"/>
      <c r="O103" s="553"/>
      <c r="P103" s="553"/>
      <c r="Q103" s="866"/>
      <c r="R103" s="918"/>
      <c r="S103" s="918"/>
      <c r="T103" s="918"/>
      <c r="U103" s="918"/>
      <c r="V103" s="918"/>
      <c r="W103" s="916"/>
      <c r="X103" s="498"/>
      <c r="Y103" s="499"/>
      <c r="Z103" s="500"/>
      <c r="AA103" s="501"/>
      <c r="AB103" s="911"/>
      <c r="AC103" s="502">
        <f t="shared" si="15"/>
        <v>0</v>
      </c>
      <c r="AD103" s="912" t="s">
        <v>3690</v>
      </c>
      <c r="AE103" s="492"/>
      <c r="AF103" s="502"/>
      <c r="AG103" s="502"/>
      <c r="AH103" s="503"/>
      <c r="AI103" s="866"/>
      <c r="AJ103" s="983"/>
      <c r="AK103" s="983"/>
      <c r="AL103" s="983"/>
      <c r="AM103" s="984"/>
      <c r="AN103" s="982"/>
      <c r="AO103" s="985">
        <f t="shared" si="13"/>
        <v>0</v>
      </c>
      <c r="AP103" s="879"/>
      <c r="AQ103" s="1027"/>
    </row>
    <row r="104" spans="1:51" ht="81.5" customHeight="1" outlineLevel="3">
      <c r="A104" s="580"/>
      <c r="B104" s="107" t="s">
        <v>2377</v>
      </c>
      <c r="C104" s="107"/>
      <c r="D104" s="611" t="s">
        <v>3691</v>
      </c>
      <c r="E104" s="611"/>
      <c r="F104" s="103"/>
      <c r="G104" s="97"/>
      <c r="H104" s="611" t="s">
        <v>216</v>
      </c>
      <c r="I104" s="367"/>
      <c r="J104" s="367"/>
      <c r="K104" s="367"/>
      <c r="L104" s="367"/>
      <c r="M104" s="367"/>
      <c r="N104" s="367"/>
      <c r="O104" s="367"/>
      <c r="P104" s="367"/>
      <c r="Q104" s="97"/>
      <c r="R104" s="3898" t="str">
        <f>+'9.3_PA_Det'!$E$45</f>
        <v>Selección Basada en Calidad y Costo</v>
      </c>
      <c r="S104" s="3898" t="s">
        <v>1075</v>
      </c>
      <c r="T104" s="4708" t="s">
        <v>3557</v>
      </c>
      <c r="U104" s="3898">
        <f>+'9.3_PA_Det'!$F$45</f>
        <v>16</v>
      </c>
      <c r="V104" s="1127" t="s">
        <v>3692</v>
      </c>
      <c r="W104" s="97"/>
      <c r="X104" s="711" t="s">
        <v>1179</v>
      </c>
      <c r="Y104" s="712">
        <v>1</v>
      </c>
      <c r="Z104" s="179"/>
      <c r="AA104" s="180"/>
      <c r="AB104" s="1128">
        <v>100000</v>
      </c>
      <c r="AC104" s="1048">
        <f t="shared" si="15"/>
        <v>100000</v>
      </c>
      <c r="AD104" s="1059"/>
      <c r="AE104" s="97"/>
      <c r="AF104" s="1048">
        <f>+AC104</f>
        <v>100000</v>
      </c>
      <c r="AG104" s="1048"/>
      <c r="AH104" s="1053">
        <f t="shared" si="5"/>
        <v>100000</v>
      </c>
      <c r="AI104" s="867"/>
      <c r="AJ104" s="1015">
        <f>+AF104</f>
        <v>100000</v>
      </c>
      <c r="AK104" s="1015"/>
      <c r="AL104" s="1015"/>
      <c r="AM104" s="1031"/>
      <c r="AN104" s="1006"/>
      <c r="AO104" s="1044">
        <f t="shared" si="13"/>
        <v>100000</v>
      </c>
      <c r="AP104" s="108"/>
      <c r="AQ104" s="1027"/>
      <c r="AR104" s="108"/>
      <c r="AS104" s="108"/>
      <c r="AT104" s="108"/>
      <c r="AU104" s="108"/>
      <c r="AV104" s="108"/>
      <c r="AW104" s="108"/>
      <c r="AX104" s="108"/>
      <c r="AY104" s="108"/>
    </row>
    <row r="105" spans="1:51" ht="42" customHeight="1" outlineLevel="3">
      <c r="A105" s="580"/>
      <c r="B105" s="107" t="s">
        <v>2275</v>
      </c>
      <c r="C105" s="107"/>
      <c r="D105" s="611" t="s">
        <v>3693</v>
      </c>
      <c r="E105" s="611"/>
      <c r="F105" s="103"/>
      <c r="G105" s="97"/>
      <c r="H105" s="611" t="s">
        <v>1611</v>
      </c>
      <c r="I105" s="367"/>
      <c r="J105" s="367"/>
      <c r="K105" s="367"/>
      <c r="L105" s="367"/>
      <c r="M105" s="367"/>
      <c r="N105" s="367"/>
      <c r="O105" s="367"/>
      <c r="P105" s="367"/>
      <c r="Q105" s="97"/>
      <c r="R105" s="3898"/>
      <c r="S105" s="3898"/>
      <c r="T105" s="4708"/>
      <c r="U105" s="3898"/>
      <c r="V105" s="181"/>
      <c r="W105" s="97"/>
      <c r="X105" s="711" t="s">
        <v>1179</v>
      </c>
      <c r="Y105" s="712">
        <v>1</v>
      </c>
      <c r="Z105" s="179"/>
      <c r="AA105" s="180"/>
      <c r="AB105" s="1128">
        <v>50000</v>
      </c>
      <c r="AC105" s="1048">
        <f t="shared" si="15"/>
        <v>50000</v>
      </c>
      <c r="AD105" s="1059"/>
      <c r="AE105" s="97"/>
      <c r="AF105" s="1048">
        <f>+AC105</f>
        <v>50000</v>
      </c>
      <c r="AG105" s="1048"/>
      <c r="AH105" s="1053">
        <f t="shared" si="5"/>
        <v>50000</v>
      </c>
      <c r="AI105" s="867"/>
      <c r="AJ105" s="1015">
        <f>+AF105</f>
        <v>50000</v>
      </c>
      <c r="AK105" s="1015"/>
      <c r="AL105" s="1015"/>
      <c r="AM105" s="1031"/>
      <c r="AN105" s="1006"/>
      <c r="AO105" s="1044">
        <f t="shared" si="13"/>
        <v>50000</v>
      </c>
      <c r="AP105" s="108"/>
      <c r="AQ105" s="1027"/>
      <c r="AR105" s="108"/>
      <c r="AS105" s="108"/>
      <c r="AT105" s="108"/>
      <c r="AU105" s="108"/>
      <c r="AV105" s="108"/>
      <c r="AW105" s="108"/>
      <c r="AX105" s="108"/>
      <c r="AY105" s="108"/>
    </row>
    <row r="106" spans="1:51" ht="36" customHeight="1" outlineLevel="3">
      <c r="A106" s="580"/>
      <c r="B106" s="107" t="s">
        <v>2276</v>
      </c>
      <c r="C106" s="107"/>
      <c r="D106" s="611" t="s">
        <v>3694</v>
      </c>
      <c r="E106" s="611"/>
      <c r="F106" s="103"/>
      <c r="G106" s="97"/>
      <c r="H106" s="611" t="s">
        <v>1360</v>
      </c>
      <c r="I106" s="367"/>
      <c r="J106" s="367"/>
      <c r="K106" s="367"/>
      <c r="L106" s="367"/>
      <c r="M106" s="367"/>
      <c r="N106" s="367"/>
      <c r="O106" s="367"/>
      <c r="P106" s="367"/>
      <c r="Q106" s="97"/>
      <c r="R106" s="3898"/>
      <c r="S106" s="3898"/>
      <c r="T106" s="4708"/>
      <c r="U106" s="3898"/>
      <c r="V106" s="181"/>
      <c r="W106" s="97"/>
      <c r="X106" s="711" t="s">
        <v>1179</v>
      </c>
      <c r="Y106" s="712">
        <v>1</v>
      </c>
      <c r="Z106" s="179"/>
      <c r="AA106" s="180"/>
      <c r="AB106" s="1128">
        <v>240000</v>
      </c>
      <c r="AC106" s="1048">
        <f t="shared" si="15"/>
        <v>240000</v>
      </c>
      <c r="AD106" s="1059"/>
      <c r="AE106" s="97"/>
      <c r="AF106" s="1048">
        <f>+AC106</f>
        <v>240000</v>
      </c>
      <c r="AG106" s="1048"/>
      <c r="AH106" s="1053">
        <f t="shared" si="5"/>
        <v>240000</v>
      </c>
      <c r="AI106" s="867"/>
      <c r="AJ106" s="1015">
        <f>+AF106*20%</f>
        <v>48000</v>
      </c>
      <c r="AK106" s="1015">
        <f>+AF106*80%</f>
        <v>192000</v>
      </c>
      <c r="AL106" s="1015"/>
      <c r="AM106" s="1031"/>
      <c r="AN106" s="1006"/>
      <c r="AO106" s="1044">
        <f t="shared" si="13"/>
        <v>240000</v>
      </c>
      <c r="AP106" s="108"/>
      <c r="AQ106" s="1027"/>
      <c r="AR106" s="108"/>
      <c r="AS106" s="108"/>
      <c r="AT106" s="108"/>
      <c r="AU106" s="108"/>
      <c r="AV106" s="108"/>
      <c r="AW106" s="108"/>
      <c r="AX106" s="108"/>
      <c r="AY106" s="108"/>
    </row>
    <row r="107" spans="1:51" ht="27" customHeight="1" outlineLevel="3">
      <c r="A107" s="580"/>
      <c r="B107" s="107" t="s">
        <v>2277</v>
      </c>
      <c r="C107" s="107"/>
      <c r="D107" s="611" t="s">
        <v>3695</v>
      </c>
      <c r="E107" s="611"/>
      <c r="F107" s="103"/>
      <c r="G107" s="97"/>
      <c r="H107" s="611" t="s">
        <v>1360</v>
      </c>
      <c r="I107" s="367"/>
      <c r="J107" s="367"/>
      <c r="K107" s="367"/>
      <c r="L107" s="367"/>
      <c r="M107" s="367"/>
      <c r="N107" s="367"/>
      <c r="O107" s="367"/>
      <c r="P107" s="367"/>
      <c r="Q107" s="97"/>
      <c r="R107" s="3898"/>
      <c r="S107" s="3898"/>
      <c r="T107" s="4708"/>
      <c r="U107" s="3898"/>
      <c r="V107" s="181"/>
      <c r="W107" s="97"/>
      <c r="X107" s="711" t="s">
        <v>1179</v>
      </c>
      <c r="Y107" s="712">
        <v>1</v>
      </c>
      <c r="Z107" s="179"/>
      <c r="AA107" s="180"/>
      <c r="AB107" s="1128">
        <v>70000</v>
      </c>
      <c r="AC107" s="1048">
        <f t="shared" si="15"/>
        <v>70000</v>
      </c>
      <c r="AD107" s="1059"/>
      <c r="AE107" s="97"/>
      <c r="AF107" s="1048">
        <f>+AC107</f>
        <v>70000</v>
      </c>
      <c r="AG107" s="1048"/>
      <c r="AH107" s="1053">
        <f t="shared" si="5"/>
        <v>70000</v>
      </c>
      <c r="AI107" s="867"/>
      <c r="AJ107" s="1015"/>
      <c r="AK107" s="1015">
        <f>+AF107</f>
        <v>70000</v>
      </c>
      <c r="AL107" s="1015"/>
      <c r="AM107" s="1031"/>
      <c r="AN107" s="1006"/>
      <c r="AO107" s="1044">
        <f t="shared" si="13"/>
        <v>70000</v>
      </c>
      <c r="AP107" s="108"/>
      <c r="AQ107" s="1027"/>
      <c r="AR107" s="108"/>
      <c r="AS107" s="108"/>
      <c r="AT107" s="108"/>
      <c r="AU107" s="108"/>
      <c r="AV107" s="108"/>
      <c r="AW107" s="108"/>
      <c r="AX107" s="108"/>
      <c r="AY107" s="108"/>
    </row>
    <row r="108" spans="1:51" ht="27" customHeight="1" outlineLevel="3">
      <c r="A108" s="580"/>
      <c r="B108" s="107" t="s">
        <v>2278</v>
      </c>
      <c r="C108" s="107"/>
      <c r="D108" s="611" t="s">
        <v>3696</v>
      </c>
      <c r="E108" s="611"/>
      <c r="F108" s="103"/>
      <c r="G108" s="97"/>
      <c r="H108" s="611" t="s">
        <v>1611</v>
      </c>
      <c r="I108" s="367"/>
      <c r="J108" s="367"/>
      <c r="K108" s="367"/>
      <c r="L108" s="367"/>
      <c r="M108" s="367"/>
      <c r="N108" s="367"/>
      <c r="O108" s="367"/>
      <c r="P108" s="367"/>
      <c r="Q108" s="97"/>
      <c r="R108" s="3899"/>
      <c r="S108" s="3899"/>
      <c r="T108" s="4708"/>
      <c r="U108" s="3899"/>
      <c r="V108" s="181"/>
      <c r="W108" s="97"/>
      <c r="X108" s="711" t="s">
        <v>1179</v>
      </c>
      <c r="Y108" s="712">
        <v>1</v>
      </c>
      <c r="Z108" s="179"/>
      <c r="AA108" s="180"/>
      <c r="AB108" s="1128">
        <v>70000</v>
      </c>
      <c r="AC108" s="1048">
        <f t="shared" si="15"/>
        <v>70000</v>
      </c>
      <c r="AD108" s="1059"/>
      <c r="AE108" s="97"/>
      <c r="AF108" s="1048">
        <f>+AC108</f>
        <v>70000</v>
      </c>
      <c r="AG108" s="1048"/>
      <c r="AH108" s="1053">
        <f t="shared" si="5"/>
        <v>70000</v>
      </c>
      <c r="AI108" s="867"/>
      <c r="AJ108" s="1015"/>
      <c r="AK108" s="1015">
        <f>+AF108</f>
        <v>70000</v>
      </c>
      <c r="AL108" s="1015"/>
      <c r="AM108" s="1031"/>
      <c r="AN108" s="1006"/>
      <c r="AO108" s="1044">
        <f t="shared" si="13"/>
        <v>70000</v>
      </c>
      <c r="AP108" s="108"/>
      <c r="AQ108" s="1027"/>
      <c r="AR108" s="108"/>
      <c r="AS108" s="108"/>
      <c r="AT108" s="108"/>
      <c r="AU108" s="108"/>
      <c r="AV108" s="108"/>
      <c r="AW108" s="108"/>
      <c r="AX108" s="108"/>
      <c r="AY108" s="108"/>
    </row>
    <row r="109" spans="1:51" s="153" customFormat="1" ht="41.5" customHeight="1" outlineLevel="2">
      <c r="A109" s="172"/>
      <c r="B109" s="171" t="s">
        <v>510</v>
      </c>
      <c r="C109" s="171"/>
      <c r="D109" s="538" t="s">
        <v>594</v>
      </c>
      <c r="E109" s="538" t="s">
        <v>4</v>
      </c>
      <c r="F109" s="106" t="s">
        <v>3377</v>
      </c>
      <c r="G109" s="96"/>
      <c r="H109" s="357" t="str">
        <f>+'1_MdR_Limpia'!C54</f>
        <v>Número</v>
      </c>
      <c r="I109" s="357">
        <f>+'1_MdR_Limpia'!D54</f>
        <v>0</v>
      </c>
      <c r="J109" s="357">
        <f>+'1_MdR_Limpia'!E54</f>
        <v>2021</v>
      </c>
      <c r="K109" s="357" t="str">
        <f>+'1_MdR_Limpia'!F54</f>
        <v>-</v>
      </c>
      <c r="L109" s="357" t="str">
        <f>+'1_MdR_Limpia'!G54</f>
        <v>-</v>
      </c>
      <c r="M109" s="357">
        <f>+'1_MdR_Limpia'!H54</f>
        <v>1</v>
      </c>
      <c r="N109" s="357" t="str">
        <f>+'1_MdR_Limpia'!I54</f>
        <v>-</v>
      </c>
      <c r="O109" s="357" t="str">
        <f>+'1_MdR_Limpia'!J54</f>
        <v>-</v>
      </c>
      <c r="P109" s="357">
        <f>+'1_MdR_Limpia'!L54</f>
        <v>1</v>
      </c>
      <c r="Q109" s="96"/>
      <c r="R109" s="358"/>
      <c r="S109" s="358"/>
      <c r="T109" s="358"/>
      <c r="U109" s="358"/>
      <c r="V109" s="174"/>
      <c r="W109" s="96"/>
      <c r="X109" s="106"/>
      <c r="Y109" s="172"/>
      <c r="Z109" s="172"/>
      <c r="AA109" s="171"/>
      <c r="AB109" s="176"/>
      <c r="AC109" s="176">
        <f>+AC110+AC111+AC112+AC116</f>
        <v>515000</v>
      </c>
      <c r="AD109" s="692"/>
      <c r="AE109" s="96"/>
      <c r="AF109" s="176">
        <f>+AF110+AF111+AF112+AF116</f>
        <v>515000</v>
      </c>
      <c r="AG109" s="176">
        <f>+AG110+AG111+AG112+AG116</f>
        <v>0</v>
      </c>
      <c r="AH109" s="176">
        <f>+AH110+AH111+AH112+AH116</f>
        <v>515000</v>
      </c>
      <c r="AI109" s="865"/>
      <c r="AJ109" s="980">
        <f>+AJ110+AJ111+AJ112+AJ116</f>
        <v>85000</v>
      </c>
      <c r="AK109" s="980">
        <f>+AK110+AK111+AK112+AK116</f>
        <v>430000</v>
      </c>
      <c r="AL109" s="980">
        <f>+AL110+AL111+AL112+AL116</f>
        <v>0</v>
      </c>
      <c r="AM109" s="981">
        <f>+AM110+AM111+AM112+AM116</f>
        <v>0</v>
      </c>
      <c r="AN109" s="979">
        <f>+AN110+AN111+AN112+AN116</f>
        <v>0</v>
      </c>
      <c r="AO109" s="979">
        <f t="shared" si="13"/>
        <v>515000</v>
      </c>
      <c r="AQ109" s="1027"/>
      <c r="AY109" s="108"/>
    </row>
    <row r="110" spans="1:51" s="881" customFormat="1" ht="54.5" customHeight="1" outlineLevel="3">
      <c r="A110" s="580"/>
      <c r="B110" s="107" t="s">
        <v>2387</v>
      </c>
      <c r="C110" s="107"/>
      <c r="D110" s="611" t="s">
        <v>3697</v>
      </c>
      <c r="E110" s="611"/>
      <c r="F110" s="103"/>
      <c r="G110" s="97"/>
      <c r="H110" s="611" t="s">
        <v>1357</v>
      </c>
      <c r="I110" s="361"/>
      <c r="J110" s="361"/>
      <c r="K110" s="361"/>
      <c r="L110" s="361"/>
      <c r="M110" s="361"/>
      <c r="N110" s="361"/>
      <c r="O110" s="361"/>
      <c r="P110" s="361"/>
      <c r="Q110" s="97"/>
      <c r="R110" s="4597" t="str">
        <f>+'9.3_PA_Det'!$E$50</f>
        <v>Selección Basada en Calificación de Consultores</v>
      </c>
      <c r="S110" s="4597" t="s">
        <v>1075</v>
      </c>
      <c r="T110" s="4597" t="s">
        <v>3557</v>
      </c>
      <c r="U110" s="4597">
        <f>+'9.3_PA_Det'!$F$50</f>
        <v>17</v>
      </c>
      <c r="V110" s="3972"/>
      <c r="W110" s="97"/>
      <c r="X110" s="711" t="s">
        <v>1179</v>
      </c>
      <c r="Y110" s="712">
        <v>1</v>
      </c>
      <c r="Z110" s="179"/>
      <c r="AA110" s="180"/>
      <c r="AB110" s="618">
        <v>50000</v>
      </c>
      <c r="AC110" s="1032">
        <f>Y110*AB110</f>
        <v>50000</v>
      </c>
      <c r="AD110" s="1043"/>
      <c r="AE110" s="97"/>
      <c r="AF110" s="1032">
        <f>+AC110</f>
        <v>50000</v>
      </c>
      <c r="AG110" s="1032"/>
      <c r="AH110" s="1041">
        <f t="shared" si="5"/>
        <v>50000</v>
      </c>
      <c r="AI110" s="867"/>
      <c r="AJ110" s="986">
        <f>+AF110</f>
        <v>50000</v>
      </c>
      <c r="AK110" s="986"/>
      <c r="AL110" s="986"/>
      <c r="AM110" s="987"/>
      <c r="AN110" s="728"/>
      <c r="AO110" s="1038">
        <f t="shared" si="13"/>
        <v>50000</v>
      </c>
      <c r="AP110" s="108"/>
      <c r="AQ110" s="1027"/>
    </row>
    <row r="111" spans="1:51" s="881" customFormat="1" ht="55.25" customHeight="1" outlineLevel="3">
      <c r="A111" s="580"/>
      <c r="B111" s="107" t="s">
        <v>3378</v>
      </c>
      <c r="C111" s="107"/>
      <c r="D111" s="611" t="s">
        <v>3698</v>
      </c>
      <c r="E111" s="611"/>
      <c r="F111" s="103"/>
      <c r="G111" s="97"/>
      <c r="H111" s="611" t="s">
        <v>1360</v>
      </c>
      <c r="I111" s="361"/>
      <c r="J111" s="361"/>
      <c r="K111" s="361"/>
      <c r="L111" s="361"/>
      <c r="M111" s="361"/>
      <c r="N111" s="361"/>
      <c r="O111" s="361"/>
      <c r="P111" s="361"/>
      <c r="Q111" s="97"/>
      <c r="R111" s="4598"/>
      <c r="S111" s="4598"/>
      <c r="T111" s="4598"/>
      <c r="U111" s="4598"/>
      <c r="V111" s="4695"/>
      <c r="W111" s="97"/>
      <c r="X111" s="711" t="s">
        <v>1179</v>
      </c>
      <c r="Y111" s="712">
        <v>1</v>
      </c>
      <c r="Z111" s="179"/>
      <c r="AA111" s="180"/>
      <c r="AB111" s="618">
        <v>35000</v>
      </c>
      <c r="AC111" s="1032">
        <f>Y111*AB111</f>
        <v>35000</v>
      </c>
      <c r="AD111" s="1043"/>
      <c r="AE111" s="97"/>
      <c r="AF111" s="1032">
        <f>+AC111</f>
        <v>35000</v>
      </c>
      <c r="AG111" s="1032"/>
      <c r="AH111" s="1041">
        <f t="shared" si="5"/>
        <v>35000</v>
      </c>
      <c r="AI111" s="867"/>
      <c r="AJ111" s="986">
        <f>+AF111</f>
        <v>35000</v>
      </c>
      <c r="AK111" s="986"/>
      <c r="AL111" s="986"/>
      <c r="AM111" s="987"/>
      <c r="AN111" s="728"/>
      <c r="AO111" s="1038">
        <f t="shared" si="13"/>
        <v>35000</v>
      </c>
      <c r="AP111" s="108"/>
      <c r="AQ111" s="1027"/>
    </row>
    <row r="112" spans="1:51" s="878" customFormat="1" ht="30" outlineLevel="3">
      <c r="A112" s="581"/>
      <c r="B112" s="400" t="s">
        <v>2279</v>
      </c>
      <c r="C112" s="400"/>
      <c r="D112" s="536" t="s">
        <v>3699</v>
      </c>
      <c r="E112" s="536"/>
      <c r="F112" s="399"/>
      <c r="G112" s="96"/>
      <c r="H112" s="401"/>
      <c r="I112" s="401"/>
      <c r="J112" s="402"/>
      <c r="K112" s="402"/>
      <c r="L112" s="402"/>
      <c r="M112" s="402"/>
      <c r="N112" s="402"/>
      <c r="O112" s="402"/>
      <c r="P112" s="402"/>
      <c r="Q112" s="96"/>
      <c r="R112" s="837"/>
      <c r="S112" s="851"/>
      <c r="T112" s="851"/>
      <c r="U112" s="851"/>
      <c r="V112" s="399"/>
      <c r="W112" s="96"/>
      <c r="X112" s="396"/>
      <c r="Y112" s="397"/>
      <c r="Z112" s="397"/>
      <c r="AA112" s="395"/>
      <c r="AB112" s="398"/>
      <c r="AC112" s="398">
        <f>+AC113+AC114+AC115</f>
        <v>350000</v>
      </c>
      <c r="AD112" s="932"/>
      <c r="AE112" s="96"/>
      <c r="AF112" s="398">
        <f>+AF113+AF114+AF115</f>
        <v>350000</v>
      </c>
      <c r="AG112" s="398">
        <f>+AG113+AG114+AG115</f>
        <v>0</v>
      </c>
      <c r="AH112" s="398">
        <f>+AH113+AH114+AH115</f>
        <v>350000</v>
      </c>
      <c r="AI112" s="865"/>
      <c r="AJ112" s="992">
        <f>+AJ113+AJ114+AJ115</f>
        <v>0</v>
      </c>
      <c r="AK112" s="992">
        <f>+AK113+AK114+AK115</f>
        <v>350000</v>
      </c>
      <c r="AL112" s="992">
        <f>+AL113+AL114+AL115</f>
        <v>0</v>
      </c>
      <c r="AM112" s="993">
        <f>+AM113+AM114+AM115</f>
        <v>0</v>
      </c>
      <c r="AN112" s="994">
        <f>+AN113+AN114+AN115</f>
        <v>0</v>
      </c>
      <c r="AO112" s="994">
        <f t="shared" si="13"/>
        <v>350000</v>
      </c>
      <c r="AP112" s="153"/>
      <c r="AQ112" s="1027"/>
      <c r="AR112" s="153"/>
      <c r="AS112" s="153"/>
      <c r="AT112" s="153"/>
      <c r="AU112" s="153"/>
      <c r="AV112" s="153"/>
      <c r="AW112" s="153"/>
      <c r="AX112" s="153"/>
      <c r="AY112" s="153"/>
    </row>
    <row r="113" spans="1:51" s="881" customFormat="1" ht="44" customHeight="1" outlineLevel="4">
      <c r="A113" s="580"/>
      <c r="B113" s="107" t="s">
        <v>2391</v>
      </c>
      <c r="C113" s="107"/>
      <c r="D113" s="611" t="s">
        <v>3700</v>
      </c>
      <c r="E113" s="611"/>
      <c r="F113" s="103"/>
      <c r="G113" s="97"/>
      <c r="H113" s="611"/>
      <c r="I113" s="361"/>
      <c r="J113" s="361"/>
      <c r="K113" s="361"/>
      <c r="L113" s="361"/>
      <c r="M113" s="361"/>
      <c r="N113" s="361"/>
      <c r="O113" s="361"/>
      <c r="P113" s="361"/>
      <c r="Q113" s="97"/>
      <c r="R113" s="362" t="str">
        <f>+'9.3_PA_Det'!$E$52</f>
        <v>Selección Basada en Calificación de Consultores</v>
      </c>
      <c r="S113" s="362" t="s">
        <v>1075</v>
      </c>
      <c r="T113" s="856" t="s">
        <v>1198</v>
      </c>
      <c r="U113" s="362">
        <f>+'9.3_PA_Det'!$F$52</f>
        <v>18</v>
      </c>
      <c r="V113" s="178"/>
      <c r="W113" s="97"/>
      <c r="X113" s="711" t="s">
        <v>1179</v>
      </c>
      <c r="Y113" s="712">
        <v>1</v>
      </c>
      <c r="Z113" s="179"/>
      <c r="AA113" s="180"/>
      <c r="AB113" s="618">
        <v>100000</v>
      </c>
      <c r="AC113" s="1032">
        <f>Y113*AB113</f>
        <v>100000</v>
      </c>
      <c r="AD113" s="722" t="s">
        <v>3701</v>
      </c>
      <c r="AE113" s="97"/>
      <c r="AF113" s="1032">
        <f>+AC113</f>
        <v>100000</v>
      </c>
      <c r="AG113" s="1032"/>
      <c r="AH113" s="1041">
        <f t="shared" si="5"/>
        <v>100000</v>
      </c>
      <c r="AI113" s="867"/>
      <c r="AJ113" s="986"/>
      <c r="AK113" s="986">
        <f>+AF113</f>
        <v>100000</v>
      </c>
      <c r="AL113" s="986"/>
      <c r="AM113" s="987"/>
      <c r="AN113" s="728"/>
      <c r="AO113" s="1038">
        <f t="shared" si="13"/>
        <v>100000</v>
      </c>
      <c r="AP113" s="108"/>
      <c r="AQ113" s="1027"/>
    </row>
    <row r="114" spans="1:51" s="881" customFormat="1" ht="53.5" customHeight="1" outlineLevel="4">
      <c r="A114" s="580"/>
      <c r="B114" s="107" t="s">
        <v>3702</v>
      </c>
      <c r="C114" s="107"/>
      <c r="D114" s="611" t="s">
        <v>3703</v>
      </c>
      <c r="E114" s="611"/>
      <c r="F114" s="103"/>
      <c r="G114" s="97"/>
      <c r="H114" s="611" t="s">
        <v>1611</v>
      </c>
      <c r="I114" s="361"/>
      <c r="J114" s="361"/>
      <c r="K114" s="361"/>
      <c r="L114" s="361"/>
      <c r="M114" s="361"/>
      <c r="N114" s="361"/>
      <c r="O114" s="361"/>
      <c r="P114" s="361"/>
      <c r="Q114" s="97"/>
      <c r="R114" s="362" t="str">
        <f>+'9.3_PA_Det'!$E$53</f>
        <v>Selección Basada en Calidad y Costo</v>
      </c>
      <c r="S114" s="362" t="s">
        <v>1075</v>
      </c>
      <c r="T114" s="856" t="s">
        <v>1198</v>
      </c>
      <c r="U114" s="362">
        <f>+'9.3_PA_Det'!$F$53</f>
        <v>19</v>
      </c>
      <c r="V114" s="178"/>
      <c r="W114" s="97"/>
      <c r="X114" s="711" t="s">
        <v>1179</v>
      </c>
      <c r="Y114" s="712">
        <v>1</v>
      </c>
      <c r="Z114" s="179"/>
      <c r="AA114" s="180"/>
      <c r="AB114" s="618">
        <v>200000</v>
      </c>
      <c r="AC114" s="1032">
        <f>Y114*AB114</f>
        <v>200000</v>
      </c>
      <c r="AD114" s="722" t="s">
        <v>3704</v>
      </c>
      <c r="AE114" s="97"/>
      <c r="AF114" s="1032">
        <f>+AC114</f>
        <v>200000</v>
      </c>
      <c r="AG114" s="1032"/>
      <c r="AH114" s="1041">
        <f t="shared" si="5"/>
        <v>200000</v>
      </c>
      <c r="AI114" s="867"/>
      <c r="AJ114" s="986"/>
      <c r="AK114" s="986">
        <f>+AF114</f>
        <v>200000</v>
      </c>
      <c r="AL114" s="986"/>
      <c r="AM114" s="987"/>
      <c r="AN114" s="728"/>
      <c r="AO114" s="1038">
        <f t="shared" si="13"/>
        <v>200000</v>
      </c>
      <c r="AP114" s="108"/>
      <c r="AQ114" s="1027"/>
    </row>
    <row r="115" spans="1:51" s="881" customFormat="1" ht="51" customHeight="1" outlineLevel="4">
      <c r="A115" s="580"/>
      <c r="B115" s="107" t="s">
        <v>3705</v>
      </c>
      <c r="C115" s="107"/>
      <c r="D115" s="611" t="s">
        <v>3706</v>
      </c>
      <c r="E115" s="611"/>
      <c r="F115" s="103"/>
      <c r="G115" s="97"/>
      <c r="H115" s="611"/>
      <c r="I115" s="361"/>
      <c r="J115" s="361"/>
      <c r="K115" s="361"/>
      <c r="L115" s="361"/>
      <c r="M115" s="361"/>
      <c r="N115" s="361"/>
      <c r="O115" s="361"/>
      <c r="P115" s="361"/>
      <c r="Q115" s="97"/>
      <c r="R115" s="362" t="str">
        <f>+'9.3_PA_Det'!$E$171</f>
        <v>3CV</v>
      </c>
      <c r="S115" s="362" t="s">
        <v>1075</v>
      </c>
      <c r="T115" s="856" t="s">
        <v>1413</v>
      </c>
      <c r="U115" s="362">
        <f>+'9.3_PA_Det'!F171</f>
        <v>62</v>
      </c>
      <c r="V115" s="178"/>
      <c r="W115" s="97"/>
      <c r="X115" s="711" t="s">
        <v>1179</v>
      </c>
      <c r="Y115" s="712">
        <v>1</v>
      </c>
      <c r="Z115" s="179"/>
      <c r="AA115" s="180"/>
      <c r="AB115" s="618">
        <v>50000</v>
      </c>
      <c r="AC115" s="1032">
        <f>Y115*AB115</f>
        <v>50000</v>
      </c>
      <c r="AD115" s="722"/>
      <c r="AE115" s="97"/>
      <c r="AF115" s="1032">
        <f>+AC115</f>
        <v>50000</v>
      </c>
      <c r="AG115" s="1032"/>
      <c r="AH115" s="1041">
        <f>+AF115+AG115</f>
        <v>50000</v>
      </c>
      <c r="AI115" s="867"/>
      <c r="AJ115" s="986"/>
      <c r="AK115" s="986">
        <f>+AF115</f>
        <v>50000</v>
      </c>
      <c r="AL115" s="986"/>
      <c r="AM115" s="987"/>
      <c r="AN115" s="728"/>
      <c r="AO115" s="1038">
        <f t="shared" si="13"/>
        <v>50000</v>
      </c>
      <c r="AP115" s="108"/>
      <c r="AQ115" s="1027"/>
    </row>
    <row r="116" spans="1:51" s="108" customFormat="1" ht="55.25" customHeight="1" outlineLevel="3">
      <c r="A116" s="580"/>
      <c r="B116" s="107" t="s">
        <v>3707</v>
      </c>
      <c r="C116" s="107"/>
      <c r="D116" s="703" t="s">
        <v>3708</v>
      </c>
      <c r="E116" s="703"/>
      <c r="F116" s="103"/>
      <c r="G116" s="97"/>
      <c r="H116" s="363"/>
      <c r="I116" s="364"/>
      <c r="J116" s="367"/>
      <c r="K116" s="367"/>
      <c r="L116" s="367"/>
      <c r="M116" s="367"/>
      <c r="N116" s="367"/>
      <c r="O116" s="367"/>
      <c r="P116" s="367"/>
      <c r="Q116" s="97"/>
      <c r="R116" s="364" t="str">
        <f>+'9.3_PA_Det'!E54</f>
        <v>Selección Basada en Calificación de Consultores</v>
      </c>
      <c r="S116" s="364" t="s">
        <v>1075</v>
      </c>
      <c r="T116" s="364" t="s">
        <v>3709</v>
      </c>
      <c r="U116" s="364">
        <f>+'9.3_PA_Det'!$F$54</f>
        <v>20</v>
      </c>
      <c r="V116" s="181"/>
      <c r="W116" s="97"/>
      <c r="X116" s="711" t="s">
        <v>1179</v>
      </c>
      <c r="Y116" s="712">
        <v>1</v>
      </c>
      <c r="Z116" s="179"/>
      <c r="AA116" s="180"/>
      <c r="AB116" s="1048">
        <v>80000</v>
      </c>
      <c r="AC116" s="1048">
        <f>Y116*AB116</f>
        <v>80000</v>
      </c>
      <c r="AD116" s="1059"/>
      <c r="AE116" s="97"/>
      <c r="AF116" s="1048">
        <f>+AC116</f>
        <v>80000</v>
      </c>
      <c r="AG116" s="1048"/>
      <c r="AH116" s="1048">
        <f>+AF116+AG116</f>
        <v>80000</v>
      </c>
      <c r="AI116" s="867"/>
      <c r="AJ116" s="1015"/>
      <c r="AK116" s="1015">
        <f>+AF116</f>
        <v>80000</v>
      </c>
      <c r="AL116" s="1015"/>
      <c r="AM116" s="1031"/>
      <c r="AN116" s="1044"/>
      <c r="AO116" s="1044">
        <f t="shared" si="13"/>
        <v>80000</v>
      </c>
      <c r="AQ116" s="1027"/>
    </row>
    <row r="117" spans="1:51" s="108" customFormat="1" ht="14" customHeight="1" outlineLevel="2">
      <c r="A117" s="580"/>
      <c r="B117" s="107"/>
      <c r="C117" s="107"/>
      <c r="D117" s="533"/>
      <c r="E117" s="533"/>
      <c r="F117" s="103"/>
      <c r="G117" s="97"/>
      <c r="H117" s="363"/>
      <c r="I117" s="364"/>
      <c r="J117" s="365"/>
      <c r="K117" s="365"/>
      <c r="L117" s="365"/>
      <c r="M117" s="365"/>
      <c r="N117" s="365"/>
      <c r="O117" s="365"/>
      <c r="P117" s="365"/>
      <c r="Q117" s="97"/>
      <c r="R117" s="364"/>
      <c r="S117" s="364"/>
      <c r="T117" s="364"/>
      <c r="U117" s="364"/>
      <c r="V117" s="181"/>
      <c r="W117" s="97"/>
      <c r="X117" s="711"/>
      <c r="Y117" s="712"/>
      <c r="Z117" s="179"/>
      <c r="AA117" s="180"/>
      <c r="AB117" s="1032"/>
      <c r="AC117" s="1032"/>
      <c r="AD117" s="1042"/>
      <c r="AE117" s="97"/>
      <c r="AF117" s="1032"/>
      <c r="AG117" s="1032"/>
      <c r="AH117" s="1041"/>
      <c r="AI117" s="867"/>
      <c r="AJ117" s="986"/>
      <c r="AK117" s="986"/>
      <c r="AL117" s="986"/>
      <c r="AM117" s="987"/>
      <c r="AN117" s="1038"/>
      <c r="AO117" s="1038">
        <f t="shared" si="13"/>
        <v>0</v>
      </c>
      <c r="AQ117" s="1027"/>
    </row>
    <row r="118" spans="1:51" s="153" customFormat="1" ht="30" customHeight="1" outlineLevel="1">
      <c r="A118" s="578"/>
      <c r="B118" s="428" t="s">
        <v>511</v>
      </c>
      <c r="C118" s="428"/>
      <c r="D118" s="545" t="s">
        <v>29</v>
      </c>
      <c r="E118" s="545" t="s">
        <v>4</v>
      </c>
      <c r="F118" s="427"/>
      <c r="G118" s="96"/>
      <c r="H118" s="429"/>
      <c r="I118" s="425"/>
      <c r="J118" s="430"/>
      <c r="K118" s="430"/>
      <c r="L118" s="430"/>
      <c r="M118" s="430"/>
      <c r="N118" s="430"/>
      <c r="O118" s="430"/>
      <c r="P118" s="430"/>
      <c r="Q118" s="96"/>
      <c r="R118" s="850"/>
      <c r="S118" s="850"/>
      <c r="T118" s="850"/>
      <c r="U118" s="850"/>
      <c r="V118" s="431"/>
      <c r="W118" s="96"/>
      <c r="X118" s="426"/>
      <c r="Y118" s="425"/>
      <c r="Z118" s="425"/>
      <c r="AA118" s="432"/>
      <c r="AB118" s="433"/>
      <c r="AC118" s="433">
        <f>+AC119+AC126</f>
        <v>8000000</v>
      </c>
      <c r="AD118" s="685"/>
      <c r="AE118" s="96"/>
      <c r="AF118" s="433">
        <f>+AF119+AF126</f>
        <v>8000000</v>
      </c>
      <c r="AG118" s="433">
        <f>+AG119+AG126</f>
        <v>0</v>
      </c>
      <c r="AH118" s="433">
        <f>+AH119+AH126</f>
        <v>8000000</v>
      </c>
      <c r="AI118" s="865"/>
      <c r="AJ118" s="977">
        <f>+AJ119+AJ126</f>
        <v>500000</v>
      </c>
      <c r="AK118" s="977">
        <f>+AK119+AK126</f>
        <v>1414000</v>
      </c>
      <c r="AL118" s="977">
        <f>+AL119+AL126</f>
        <v>1958000</v>
      </c>
      <c r="AM118" s="978">
        <f>+AM119+AM126</f>
        <v>3128000</v>
      </c>
      <c r="AN118" s="976">
        <f>+AN119+AN126</f>
        <v>1000000</v>
      </c>
      <c r="AO118" s="976">
        <f t="shared" si="13"/>
        <v>8000000</v>
      </c>
      <c r="AQ118" s="1027"/>
    </row>
    <row r="119" spans="1:51" s="878" customFormat="1" ht="27.5" customHeight="1" outlineLevel="2">
      <c r="A119" s="172"/>
      <c r="B119" s="171" t="s">
        <v>512</v>
      </c>
      <c r="C119" s="171"/>
      <c r="D119" s="538" t="s">
        <v>595</v>
      </c>
      <c r="E119" s="538" t="s">
        <v>4</v>
      </c>
      <c r="F119" s="106" t="s">
        <v>1399</v>
      </c>
      <c r="G119" s="96"/>
      <c r="H119" s="357" t="str">
        <f>+'1_MdR_Limpia'!C59</f>
        <v>Número</v>
      </c>
      <c r="I119" s="357">
        <f>+'1_MdR_Limpia'!D59</f>
        <v>0</v>
      </c>
      <c r="J119" s="357">
        <f>+'1_MdR_Limpia'!E59</f>
        <v>2021</v>
      </c>
      <c r="K119" s="357" t="str">
        <f>+'1_MdR_Limpia'!F59</f>
        <v>-</v>
      </c>
      <c r="L119" s="357" t="str">
        <f>+'1_MdR_Limpia'!G59</f>
        <v>-</v>
      </c>
      <c r="M119" s="357" t="str">
        <f>+'1_MdR_Limpia'!H59</f>
        <v>-</v>
      </c>
      <c r="N119" s="357" t="str">
        <f>+'1_MdR_Limpia'!J59</f>
        <v>-</v>
      </c>
      <c r="O119" s="357">
        <f>+'1_MdR_Limpia'!L59</f>
        <v>1</v>
      </c>
      <c r="P119" s="357">
        <f>+'1_MdR_Limpia'!L59</f>
        <v>1</v>
      </c>
      <c r="Q119" s="96"/>
      <c r="R119" s="358"/>
      <c r="S119" s="358"/>
      <c r="T119" s="358"/>
      <c r="U119" s="358"/>
      <c r="V119" s="174"/>
      <c r="W119" s="96"/>
      <c r="X119" s="106"/>
      <c r="Y119" s="172"/>
      <c r="Z119" s="172"/>
      <c r="AA119" s="171"/>
      <c r="AB119" s="176"/>
      <c r="AC119" s="176">
        <f>SUM(AC120:AC125)</f>
        <v>5000000</v>
      </c>
      <c r="AD119" s="686"/>
      <c r="AE119" s="96"/>
      <c r="AF119" s="176">
        <f>SUM(AF120:AF125)</f>
        <v>5000000</v>
      </c>
      <c r="AG119" s="176">
        <f>SUM(AG120:AG125)</f>
        <v>0</v>
      </c>
      <c r="AH119" s="176">
        <f>SUM(AH120:AH125)</f>
        <v>5000000</v>
      </c>
      <c r="AI119" s="865"/>
      <c r="AJ119" s="980">
        <f>SUM(AJ120:AJ125)</f>
        <v>500000</v>
      </c>
      <c r="AK119" s="980">
        <f>SUM(AK120:AK125)</f>
        <v>1000000</v>
      </c>
      <c r="AL119" s="980">
        <f>SUM(AL120:AL125)</f>
        <v>1250000</v>
      </c>
      <c r="AM119" s="981">
        <f>SUM(AM120:AM125)</f>
        <v>1250000</v>
      </c>
      <c r="AN119" s="979">
        <f>SUM(AN120:AN125)</f>
        <v>1000000</v>
      </c>
      <c r="AO119" s="979">
        <f t="shared" si="13"/>
        <v>5000000</v>
      </c>
      <c r="AP119" s="153"/>
      <c r="AQ119" s="1027"/>
      <c r="AR119" s="153"/>
      <c r="AS119" s="153"/>
      <c r="AT119" s="153"/>
      <c r="AU119" s="153"/>
      <c r="AV119" s="153"/>
      <c r="AW119" s="153"/>
      <c r="AX119" s="153"/>
      <c r="AY119" s="153"/>
    </row>
    <row r="120" spans="1:51" s="879" customFormat="1" ht="53" customHeight="1" outlineLevel="3">
      <c r="A120" s="579" t="s">
        <v>2629</v>
      </c>
      <c r="B120" s="490" t="s">
        <v>843</v>
      </c>
      <c r="C120" s="490"/>
      <c r="D120" s="537" t="s">
        <v>3710</v>
      </c>
      <c r="E120" s="537"/>
      <c r="F120" s="491"/>
      <c r="G120" s="492"/>
      <c r="H120" s="493"/>
      <c r="I120" s="494"/>
      <c r="J120" s="495"/>
      <c r="K120" s="495"/>
      <c r="L120" s="495"/>
      <c r="M120" s="495"/>
      <c r="N120" s="495"/>
      <c r="O120" s="495"/>
      <c r="P120" s="495"/>
      <c r="Q120" s="492"/>
      <c r="R120" s="494" t="s">
        <v>876</v>
      </c>
      <c r="S120" s="494"/>
      <c r="T120" s="494"/>
      <c r="U120" s="494"/>
      <c r="V120" s="496"/>
      <c r="W120" s="492"/>
      <c r="X120" s="498"/>
      <c r="Y120" s="499"/>
      <c r="Z120" s="500"/>
      <c r="AA120" s="501"/>
      <c r="AB120" s="502"/>
      <c r="AC120" s="502">
        <f>+AB120+Y120</f>
        <v>0</v>
      </c>
      <c r="AD120" s="678" t="s">
        <v>1402</v>
      </c>
      <c r="AE120" s="492"/>
      <c r="AF120" s="502">
        <f>+AC120</f>
        <v>0</v>
      </c>
      <c r="AG120" s="502">
        <v>0</v>
      </c>
      <c r="AH120" s="503">
        <f t="shared" ref="AH120:AH126" si="16">+AF120+AG120</f>
        <v>0</v>
      </c>
      <c r="AI120" s="866"/>
      <c r="AJ120" s="983"/>
      <c r="AK120" s="983"/>
      <c r="AL120" s="983"/>
      <c r="AM120" s="984"/>
      <c r="AN120" s="985"/>
      <c r="AO120" s="985">
        <f t="shared" si="13"/>
        <v>0</v>
      </c>
      <c r="AQ120" s="1027"/>
    </row>
    <row r="121" spans="1:51" s="108" customFormat="1" ht="30" outlineLevel="3">
      <c r="A121" s="580"/>
      <c r="B121" s="107" t="s">
        <v>1368</v>
      </c>
      <c r="C121" s="107"/>
      <c r="D121" s="533" t="s">
        <v>3396</v>
      </c>
      <c r="E121" s="533"/>
      <c r="F121" s="103"/>
      <c r="G121" s="97"/>
      <c r="H121" s="363"/>
      <c r="I121" s="364"/>
      <c r="J121" s="365"/>
      <c r="K121" s="365"/>
      <c r="L121" s="365"/>
      <c r="M121" s="365"/>
      <c r="N121" s="365"/>
      <c r="O121" s="365"/>
      <c r="P121" s="365"/>
      <c r="Q121" s="97"/>
      <c r="R121" s="3897" t="s">
        <v>723</v>
      </c>
      <c r="S121" s="3897"/>
      <c r="T121" s="3897"/>
      <c r="U121" s="3897"/>
      <c r="V121" s="3990"/>
      <c r="W121" s="97"/>
      <c r="X121" s="4180" t="s">
        <v>1179</v>
      </c>
      <c r="Y121" s="4712">
        <v>1</v>
      </c>
      <c r="Z121" s="4712"/>
      <c r="AA121" s="4712"/>
      <c r="AB121" s="4174">
        <v>5000000</v>
      </c>
      <c r="AC121" s="4174">
        <f>+AB121*Y121</f>
        <v>5000000</v>
      </c>
      <c r="AD121" s="4656"/>
      <c r="AE121" s="97"/>
      <c r="AF121" s="3787">
        <f>+AC121</f>
        <v>5000000</v>
      </c>
      <c r="AG121" s="3872">
        <v>0</v>
      </c>
      <c r="AH121" s="3787">
        <f t="shared" si="16"/>
        <v>5000000</v>
      </c>
      <c r="AI121" s="865"/>
      <c r="AJ121" s="4641">
        <f>+$AF$121*10%</f>
        <v>500000</v>
      </c>
      <c r="AK121" s="4641">
        <f>+$AF$121*20%</f>
        <v>1000000</v>
      </c>
      <c r="AL121" s="4641">
        <f>+$AF$121*25%</f>
        <v>1250000</v>
      </c>
      <c r="AM121" s="4641">
        <f>+$AF$121*25%</f>
        <v>1250000</v>
      </c>
      <c r="AN121" s="4641">
        <f>+$AF$121*20%</f>
        <v>1000000</v>
      </c>
      <c r="AO121" s="4645">
        <f t="shared" si="13"/>
        <v>5000000</v>
      </c>
      <c r="AQ121" s="1027"/>
    </row>
    <row r="122" spans="1:51" s="108" customFormat="1" ht="60" outlineLevel="3">
      <c r="A122" s="580"/>
      <c r="B122" s="107" t="s">
        <v>854</v>
      </c>
      <c r="C122" s="107"/>
      <c r="D122" s="533" t="s">
        <v>3400</v>
      </c>
      <c r="E122" s="533"/>
      <c r="F122" s="103"/>
      <c r="G122" s="97"/>
      <c r="H122" s="363"/>
      <c r="I122" s="364"/>
      <c r="J122" s="365"/>
      <c r="K122" s="365"/>
      <c r="L122" s="365"/>
      <c r="M122" s="365"/>
      <c r="N122" s="365"/>
      <c r="O122" s="365"/>
      <c r="P122" s="365"/>
      <c r="Q122" s="97"/>
      <c r="R122" s="3898"/>
      <c r="S122" s="3898"/>
      <c r="T122" s="3898"/>
      <c r="U122" s="3898"/>
      <c r="V122" s="3991"/>
      <c r="W122" s="97"/>
      <c r="X122" s="4181"/>
      <c r="Y122" s="4713"/>
      <c r="Z122" s="4713"/>
      <c r="AA122" s="4713"/>
      <c r="AB122" s="4175"/>
      <c r="AC122" s="4175"/>
      <c r="AD122" s="4657"/>
      <c r="AE122" s="97"/>
      <c r="AF122" s="3788"/>
      <c r="AG122" s="4653"/>
      <c r="AH122" s="3788"/>
      <c r="AI122" s="865"/>
      <c r="AJ122" s="4642"/>
      <c r="AK122" s="4642"/>
      <c r="AL122" s="4642"/>
      <c r="AM122" s="4642"/>
      <c r="AN122" s="4642"/>
      <c r="AO122" s="4646">
        <f t="shared" si="13"/>
        <v>0</v>
      </c>
      <c r="AQ122" s="1027"/>
    </row>
    <row r="123" spans="1:51" s="108" customFormat="1" ht="17.5" customHeight="1" outlineLevel="3">
      <c r="A123" s="580"/>
      <c r="B123" s="107" t="s">
        <v>872</v>
      </c>
      <c r="C123" s="107"/>
      <c r="D123" s="533" t="s">
        <v>3402</v>
      </c>
      <c r="E123" s="533"/>
      <c r="F123" s="103"/>
      <c r="G123" s="97"/>
      <c r="H123" s="363"/>
      <c r="I123" s="364"/>
      <c r="J123" s="365"/>
      <c r="K123" s="365"/>
      <c r="L123" s="365"/>
      <c r="M123" s="365"/>
      <c r="N123" s="365"/>
      <c r="O123" s="365"/>
      <c r="P123" s="365"/>
      <c r="Q123" s="97"/>
      <c r="R123" s="3898"/>
      <c r="S123" s="3898"/>
      <c r="T123" s="3898"/>
      <c r="U123" s="3898"/>
      <c r="V123" s="3991"/>
      <c r="W123" s="97"/>
      <c r="X123" s="4181"/>
      <c r="Y123" s="4713"/>
      <c r="Z123" s="4713"/>
      <c r="AA123" s="4713"/>
      <c r="AB123" s="4175"/>
      <c r="AC123" s="4175"/>
      <c r="AD123" s="4657"/>
      <c r="AE123" s="97"/>
      <c r="AF123" s="3788"/>
      <c r="AG123" s="4653"/>
      <c r="AH123" s="3788"/>
      <c r="AI123" s="865"/>
      <c r="AJ123" s="4642"/>
      <c r="AK123" s="4642"/>
      <c r="AL123" s="4642"/>
      <c r="AM123" s="4642"/>
      <c r="AN123" s="4642"/>
      <c r="AO123" s="4646">
        <f t="shared" si="13"/>
        <v>0</v>
      </c>
      <c r="AQ123" s="1027"/>
    </row>
    <row r="124" spans="1:51" s="108" customFormat="1" ht="45" outlineLevel="3">
      <c r="A124" s="580"/>
      <c r="B124" s="107" t="s">
        <v>885</v>
      </c>
      <c r="C124" s="107"/>
      <c r="D124" s="533" t="s">
        <v>3404</v>
      </c>
      <c r="E124" s="533"/>
      <c r="F124" s="103"/>
      <c r="G124" s="97"/>
      <c r="H124" s="363"/>
      <c r="I124" s="364"/>
      <c r="J124" s="365"/>
      <c r="K124" s="365"/>
      <c r="L124" s="365"/>
      <c r="M124" s="365"/>
      <c r="N124" s="365"/>
      <c r="O124" s="365"/>
      <c r="P124" s="365"/>
      <c r="Q124" s="97"/>
      <c r="R124" s="3898"/>
      <c r="S124" s="3898"/>
      <c r="T124" s="3898"/>
      <c r="U124" s="3898"/>
      <c r="V124" s="3991"/>
      <c r="W124" s="97"/>
      <c r="X124" s="4181"/>
      <c r="Y124" s="4713"/>
      <c r="Z124" s="4713"/>
      <c r="AA124" s="4713"/>
      <c r="AB124" s="4175"/>
      <c r="AC124" s="4175"/>
      <c r="AD124" s="4657"/>
      <c r="AE124" s="97"/>
      <c r="AF124" s="3788"/>
      <c r="AG124" s="4653"/>
      <c r="AH124" s="3788"/>
      <c r="AI124" s="865"/>
      <c r="AJ124" s="4642"/>
      <c r="AK124" s="4642"/>
      <c r="AL124" s="4642"/>
      <c r="AM124" s="4642"/>
      <c r="AN124" s="4642"/>
      <c r="AO124" s="4646">
        <f t="shared" si="13"/>
        <v>0</v>
      </c>
      <c r="AQ124" s="1027"/>
    </row>
    <row r="125" spans="1:51" s="108" customFormat="1" ht="30" outlineLevel="3">
      <c r="A125" s="580"/>
      <c r="B125" s="107" t="s">
        <v>3711</v>
      </c>
      <c r="C125" s="107"/>
      <c r="D125" s="533" t="s">
        <v>3408</v>
      </c>
      <c r="E125" s="533"/>
      <c r="F125" s="103"/>
      <c r="G125" s="97"/>
      <c r="H125" s="363"/>
      <c r="I125" s="364"/>
      <c r="J125" s="365"/>
      <c r="K125" s="365"/>
      <c r="L125" s="365"/>
      <c r="M125" s="365"/>
      <c r="N125" s="365"/>
      <c r="O125" s="365"/>
      <c r="P125" s="365"/>
      <c r="Q125" s="97"/>
      <c r="R125" s="3899"/>
      <c r="S125" s="3899"/>
      <c r="T125" s="3899"/>
      <c r="U125" s="3899"/>
      <c r="V125" s="4603"/>
      <c r="W125" s="97"/>
      <c r="X125" s="4182"/>
      <c r="Y125" s="4714"/>
      <c r="Z125" s="4714"/>
      <c r="AA125" s="4714"/>
      <c r="AB125" s="4176"/>
      <c r="AC125" s="4176"/>
      <c r="AD125" s="4658"/>
      <c r="AE125" s="97"/>
      <c r="AF125" s="3789"/>
      <c r="AG125" s="3873"/>
      <c r="AH125" s="3789"/>
      <c r="AI125" s="865"/>
      <c r="AJ125" s="4644"/>
      <c r="AK125" s="4644"/>
      <c r="AL125" s="4644"/>
      <c r="AM125" s="4644"/>
      <c r="AN125" s="4644"/>
      <c r="AO125" s="4647">
        <f t="shared" si="13"/>
        <v>0</v>
      </c>
      <c r="AQ125" s="1027"/>
    </row>
    <row r="126" spans="1:51" s="153" customFormat="1" ht="43.5" customHeight="1" outlineLevel="2">
      <c r="A126" s="172"/>
      <c r="B126" s="171" t="s">
        <v>513</v>
      </c>
      <c r="C126" s="171"/>
      <c r="D126" s="538" t="s">
        <v>596</v>
      </c>
      <c r="E126" s="538" t="s">
        <v>4</v>
      </c>
      <c r="F126" s="106" t="s">
        <v>1363</v>
      </c>
      <c r="G126" s="96"/>
      <c r="H126" s="357" t="str">
        <f>+'1_MdR_Limpia'!C58</f>
        <v>Número</v>
      </c>
      <c r="I126" s="357">
        <f>+'1_MdR_Limpia'!D58</f>
        <v>0</v>
      </c>
      <c r="J126" s="357">
        <f>+'1_MdR_Limpia'!E58</f>
        <v>2021</v>
      </c>
      <c r="K126" s="357" t="str">
        <f>+'1_MdR_Limpia'!F58</f>
        <v>-</v>
      </c>
      <c r="L126" s="357" t="str">
        <f>+'1_MdR_Limpia'!G58</f>
        <v>-</v>
      </c>
      <c r="M126" s="357" t="str">
        <f>+'1_MdR_Limpia'!H58</f>
        <v>-</v>
      </c>
      <c r="N126" s="357">
        <f>+'1_MdR_Limpia'!I58</f>
        <v>1</v>
      </c>
      <c r="O126" s="357" t="str">
        <f>+'1_MdR_Limpia'!J58</f>
        <v>-</v>
      </c>
      <c r="P126" s="357">
        <f>+'1_MdR_Limpia'!L58</f>
        <v>1</v>
      </c>
      <c r="Q126" s="96"/>
      <c r="R126" s="358"/>
      <c r="S126" s="358"/>
      <c r="T126" s="358"/>
      <c r="U126" s="358"/>
      <c r="V126" s="174"/>
      <c r="W126" s="96"/>
      <c r="X126" s="106"/>
      <c r="Y126" s="172"/>
      <c r="Z126" s="172"/>
      <c r="AA126" s="171"/>
      <c r="AB126" s="176"/>
      <c r="AC126" s="176">
        <f>+AC127+AC128</f>
        <v>3000000</v>
      </c>
      <c r="AD126" s="686"/>
      <c r="AE126" s="96"/>
      <c r="AF126" s="176">
        <f>+AF127+AF128</f>
        <v>3000000</v>
      </c>
      <c r="AG126" s="176">
        <f>+AD126</f>
        <v>0</v>
      </c>
      <c r="AH126" s="176">
        <f t="shared" si="16"/>
        <v>3000000</v>
      </c>
      <c r="AI126" s="865"/>
      <c r="AJ126" s="980">
        <f>+AJ127+AJ128</f>
        <v>0</v>
      </c>
      <c r="AK126" s="980">
        <f>+AK127+AK128</f>
        <v>414000</v>
      </c>
      <c r="AL126" s="980">
        <f>+AL127+AL128</f>
        <v>708000</v>
      </c>
      <c r="AM126" s="981">
        <f>+AM127+AM128</f>
        <v>1878000</v>
      </c>
      <c r="AN126" s="979">
        <f>+AN127+AN128</f>
        <v>0</v>
      </c>
      <c r="AO126" s="979">
        <f t="shared" si="13"/>
        <v>3000000</v>
      </c>
      <c r="AQ126" s="1027"/>
    </row>
    <row r="127" spans="1:51" s="108" customFormat="1" ht="41.5" customHeight="1" outlineLevel="4">
      <c r="A127" s="580"/>
      <c r="B127" s="107" t="s">
        <v>2401</v>
      </c>
      <c r="C127" s="107"/>
      <c r="D127" s="533" t="s">
        <v>3353</v>
      </c>
      <c r="E127" s="533"/>
      <c r="F127" s="103"/>
      <c r="G127" s="97"/>
      <c r="H127" s="363"/>
      <c r="I127" s="364"/>
      <c r="J127" s="365"/>
      <c r="K127" s="365"/>
      <c r="L127" s="365"/>
      <c r="M127" s="365"/>
      <c r="N127" s="365"/>
      <c r="O127" s="365"/>
      <c r="P127" s="365"/>
      <c r="Q127" s="97"/>
      <c r="R127" s="364" t="str">
        <f>+'9.3_PA_Det'!E55</f>
        <v>Selección Basada en Calidad y Costo</v>
      </c>
      <c r="S127" s="364" t="s">
        <v>1075</v>
      </c>
      <c r="T127" s="364" t="s">
        <v>1198</v>
      </c>
      <c r="U127" s="364">
        <f>+'9.3_PA_Det'!$F$55</f>
        <v>21</v>
      </c>
      <c r="V127" s="181"/>
      <c r="W127" s="97"/>
      <c r="X127" s="711" t="s">
        <v>1179</v>
      </c>
      <c r="Y127" s="712">
        <v>1</v>
      </c>
      <c r="Z127" s="179"/>
      <c r="AA127" s="180"/>
      <c r="AB127" s="1032">
        <v>2340000</v>
      </c>
      <c r="AC127" s="1032">
        <f>Y127*AB127</f>
        <v>2340000</v>
      </c>
      <c r="AD127" s="1042"/>
      <c r="AE127" s="97"/>
      <c r="AF127" s="1032">
        <f t="shared" ref="AF127:AF132" si="17">+AC127</f>
        <v>2340000</v>
      </c>
      <c r="AG127" s="1032"/>
      <c r="AH127" s="1041">
        <f>AF127+AG127</f>
        <v>2340000</v>
      </c>
      <c r="AI127" s="867"/>
      <c r="AJ127" s="986"/>
      <c r="AK127" s="986">
        <f>+$AF$127*10%</f>
        <v>234000</v>
      </c>
      <c r="AL127" s="986">
        <f>+$AF$127*20%</f>
        <v>468000</v>
      </c>
      <c r="AM127" s="986">
        <f>+$AF$127*70%</f>
        <v>1638000</v>
      </c>
      <c r="AN127" s="1038"/>
      <c r="AO127" s="1038">
        <f t="shared" si="13"/>
        <v>2340000</v>
      </c>
      <c r="AQ127" s="1027"/>
    </row>
    <row r="128" spans="1:51" s="153" customFormat="1" ht="14.5" customHeight="1" outlineLevel="3">
      <c r="A128" s="581"/>
      <c r="B128" s="400" t="s">
        <v>2402</v>
      </c>
      <c r="C128" s="400"/>
      <c r="D128" s="536" t="s">
        <v>855</v>
      </c>
      <c r="E128" s="536"/>
      <c r="F128" s="399"/>
      <c r="G128" s="96"/>
      <c r="H128" s="401"/>
      <c r="I128" s="401"/>
      <c r="J128" s="402"/>
      <c r="K128" s="402"/>
      <c r="L128" s="402"/>
      <c r="M128" s="402"/>
      <c r="N128" s="402"/>
      <c r="O128" s="402"/>
      <c r="P128" s="402"/>
      <c r="Q128" s="96"/>
      <c r="R128" s="837"/>
      <c r="S128" s="851"/>
      <c r="T128" s="851"/>
      <c r="U128" s="851"/>
      <c r="V128" s="399"/>
      <c r="W128" s="96"/>
      <c r="X128" s="396"/>
      <c r="Y128" s="397"/>
      <c r="Z128" s="397"/>
      <c r="AA128" s="395"/>
      <c r="AB128" s="398"/>
      <c r="AC128" s="398">
        <f>SUM(AC129:AC132)</f>
        <v>660000</v>
      </c>
      <c r="AD128" s="680"/>
      <c r="AE128" s="96"/>
      <c r="AF128" s="398">
        <f t="shared" si="17"/>
        <v>660000</v>
      </c>
      <c r="AG128" s="398">
        <f>SUM(AG129:AG132)</f>
        <v>0</v>
      </c>
      <c r="AH128" s="398">
        <f>SUM(AH129:AH132)</f>
        <v>660000</v>
      </c>
      <c r="AI128" s="865"/>
      <c r="AJ128" s="992">
        <f>SUM(AJ129:AJ132)</f>
        <v>0</v>
      </c>
      <c r="AK128" s="992">
        <f>SUM(AK129:AK132)</f>
        <v>180000</v>
      </c>
      <c r="AL128" s="992">
        <f>SUM(AL129:AL132)</f>
        <v>240000</v>
      </c>
      <c r="AM128" s="993">
        <f>SUM(AM129:AM132)</f>
        <v>240000</v>
      </c>
      <c r="AN128" s="994">
        <f>SUM(AN129:AN132)</f>
        <v>0</v>
      </c>
      <c r="AO128" s="994">
        <f t="shared" si="13"/>
        <v>660000</v>
      </c>
      <c r="AQ128" s="1027"/>
    </row>
    <row r="129" spans="1:51" s="108" customFormat="1" ht="27.5" customHeight="1" outlineLevel="4">
      <c r="A129" s="580"/>
      <c r="B129" s="107" t="s">
        <v>2403</v>
      </c>
      <c r="C129" s="107"/>
      <c r="D129" s="533" t="s">
        <v>858</v>
      </c>
      <c r="E129" s="533"/>
      <c r="F129" s="103"/>
      <c r="G129" s="97"/>
      <c r="H129" s="363"/>
      <c r="I129" s="364"/>
      <c r="J129" s="365"/>
      <c r="K129" s="365"/>
      <c r="L129" s="365"/>
      <c r="M129" s="365"/>
      <c r="N129" s="365"/>
      <c r="O129" s="365"/>
      <c r="P129" s="365"/>
      <c r="Q129" s="97"/>
      <c r="R129" s="364" t="str">
        <f>+'9.3_PA_Det'!E172</f>
        <v>3CV</v>
      </c>
      <c r="S129" s="364" t="s">
        <v>1075</v>
      </c>
      <c r="T129" s="364" t="s">
        <v>1430</v>
      </c>
      <c r="U129" s="364">
        <f>+'9.3_PA_Det'!$F$172</f>
        <v>63</v>
      </c>
      <c r="V129" s="181"/>
      <c r="W129" s="97"/>
      <c r="X129" s="711" t="s">
        <v>1189</v>
      </c>
      <c r="Y129" s="712">
        <v>1</v>
      </c>
      <c r="Z129" s="179">
        <v>36</v>
      </c>
      <c r="AA129" s="180"/>
      <c r="AB129" s="1032">
        <v>5000</v>
      </c>
      <c r="AC129" s="1032">
        <f>Y129*Z129*AB129</f>
        <v>180000</v>
      </c>
      <c r="AD129" s="1042"/>
      <c r="AE129" s="97"/>
      <c r="AF129" s="1032">
        <f t="shared" si="17"/>
        <v>180000</v>
      </c>
      <c r="AG129" s="1032">
        <v>0</v>
      </c>
      <c r="AH129" s="1041">
        <f>AF129+AG129</f>
        <v>180000</v>
      </c>
      <c r="AI129" s="867"/>
      <c r="AJ129" s="986"/>
      <c r="AK129" s="986">
        <f>+$AB$129*12</f>
        <v>60000</v>
      </c>
      <c r="AL129" s="986">
        <f>+$AB$129*12</f>
        <v>60000</v>
      </c>
      <c r="AM129" s="986">
        <f>+$AB$129*12</f>
        <v>60000</v>
      </c>
      <c r="AN129" s="1038"/>
      <c r="AO129" s="1038">
        <f t="shared" si="13"/>
        <v>180000</v>
      </c>
      <c r="AQ129" s="1027"/>
    </row>
    <row r="130" spans="1:51" s="108" customFormat="1" ht="27.5" customHeight="1" outlineLevel="4">
      <c r="A130" s="580"/>
      <c r="B130" s="107" t="s">
        <v>3712</v>
      </c>
      <c r="C130" s="107"/>
      <c r="D130" s="533" t="s">
        <v>861</v>
      </c>
      <c r="E130" s="533"/>
      <c r="F130" s="103"/>
      <c r="G130" s="97"/>
      <c r="H130" s="363"/>
      <c r="I130" s="364"/>
      <c r="J130" s="365"/>
      <c r="K130" s="365"/>
      <c r="L130" s="365"/>
      <c r="M130" s="365"/>
      <c r="N130" s="365"/>
      <c r="O130" s="365"/>
      <c r="P130" s="365"/>
      <c r="Q130" s="97"/>
      <c r="R130" s="364" t="str">
        <f>+'9.3_PA_Det'!E173</f>
        <v>3CV</v>
      </c>
      <c r="S130" s="364" t="s">
        <v>1075</v>
      </c>
      <c r="T130" s="364" t="s">
        <v>1430</v>
      </c>
      <c r="U130" s="364">
        <f>+'9.3_PA_Det'!$F$173</f>
        <v>64</v>
      </c>
      <c r="V130" s="181"/>
      <c r="W130" s="97"/>
      <c r="X130" s="711" t="s">
        <v>1189</v>
      </c>
      <c r="Y130" s="712">
        <v>1</v>
      </c>
      <c r="Z130" s="179">
        <v>36</v>
      </c>
      <c r="AA130" s="180"/>
      <c r="AB130" s="1032">
        <v>5000</v>
      </c>
      <c r="AC130" s="1032">
        <f>Y130*Z130*AB130</f>
        <v>180000</v>
      </c>
      <c r="AD130" s="1042"/>
      <c r="AE130" s="97"/>
      <c r="AF130" s="1032">
        <f t="shared" si="17"/>
        <v>180000</v>
      </c>
      <c r="AG130" s="1032">
        <v>0</v>
      </c>
      <c r="AH130" s="1041">
        <f>AF130+AG130</f>
        <v>180000</v>
      </c>
      <c r="AI130" s="867"/>
      <c r="AJ130" s="986"/>
      <c r="AK130" s="986">
        <f>+$AB$130*12</f>
        <v>60000</v>
      </c>
      <c r="AL130" s="986">
        <f>+$AB$130*12</f>
        <v>60000</v>
      </c>
      <c r="AM130" s="986">
        <f>+$AB$130*12</f>
        <v>60000</v>
      </c>
      <c r="AN130" s="1038"/>
      <c r="AO130" s="1038">
        <f t="shared" si="13"/>
        <v>180000</v>
      </c>
      <c r="AQ130" s="1027"/>
    </row>
    <row r="131" spans="1:51" s="108" customFormat="1" ht="27.5" customHeight="1" outlineLevel="4">
      <c r="A131" s="580"/>
      <c r="B131" s="107" t="s">
        <v>3713</v>
      </c>
      <c r="C131" s="107"/>
      <c r="D131" s="533" t="s">
        <v>865</v>
      </c>
      <c r="E131" s="533"/>
      <c r="F131" s="103"/>
      <c r="G131" s="97"/>
      <c r="H131" s="363"/>
      <c r="I131" s="364"/>
      <c r="J131" s="365"/>
      <c r="K131" s="365"/>
      <c r="L131" s="365"/>
      <c r="M131" s="365"/>
      <c r="N131" s="365"/>
      <c r="O131" s="365"/>
      <c r="P131" s="365"/>
      <c r="Q131" s="97"/>
      <c r="R131" s="364" t="str">
        <f>+'9.3_PA_Det'!E174</f>
        <v>3CV</v>
      </c>
      <c r="S131" s="364" t="s">
        <v>1075</v>
      </c>
      <c r="T131" s="364" t="s">
        <v>1430</v>
      </c>
      <c r="U131" s="364">
        <f>+'9.3_PA_Det'!$F$174</f>
        <v>65</v>
      </c>
      <c r="V131" s="181"/>
      <c r="W131" s="97"/>
      <c r="X131" s="711" t="s">
        <v>1189</v>
      </c>
      <c r="Y131" s="712">
        <v>1</v>
      </c>
      <c r="Z131" s="179">
        <v>36</v>
      </c>
      <c r="AA131" s="180"/>
      <c r="AB131" s="1032">
        <v>5000</v>
      </c>
      <c r="AC131" s="1032">
        <f>Y131*Z131*AB131</f>
        <v>180000</v>
      </c>
      <c r="AD131" s="1042"/>
      <c r="AE131" s="97"/>
      <c r="AF131" s="1032">
        <f t="shared" si="17"/>
        <v>180000</v>
      </c>
      <c r="AG131" s="1032">
        <v>0</v>
      </c>
      <c r="AH131" s="1041">
        <f>AF131+AG131</f>
        <v>180000</v>
      </c>
      <c r="AI131" s="867"/>
      <c r="AJ131" s="986"/>
      <c r="AK131" s="986">
        <f>+$AB$131*12</f>
        <v>60000</v>
      </c>
      <c r="AL131" s="986">
        <f>+$AB$131*12</f>
        <v>60000</v>
      </c>
      <c r="AM131" s="986">
        <f>+$AB$131*12</f>
        <v>60000</v>
      </c>
      <c r="AN131" s="1038"/>
      <c r="AO131" s="1038">
        <f t="shared" si="13"/>
        <v>180000</v>
      </c>
      <c r="AQ131" s="1027"/>
    </row>
    <row r="132" spans="1:51" s="108" customFormat="1" ht="36" customHeight="1" outlineLevel="4">
      <c r="A132" s="580"/>
      <c r="B132" s="107" t="s">
        <v>3714</v>
      </c>
      <c r="C132" s="107"/>
      <c r="D132" s="533" t="s">
        <v>867</v>
      </c>
      <c r="E132" s="533"/>
      <c r="F132" s="103"/>
      <c r="G132" s="97"/>
      <c r="H132" s="363"/>
      <c r="I132" s="364"/>
      <c r="J132" s="365"/>
      <c r="K132" s="365"/>
      <c r="L132" s="365"/>
      <c r="M132" s="365"/>
      <c r="N132" s="365"/>
      <c r="O132" s="365"/>
      <c r="P132" s="365"/>
      <c r="Q132" s="97"/>
      <c r="R132" s="364" t="str">
        <f>+'9.3_PA_Det'!E175</f>
        <v>3CV</v>
      </c>
      <c r="S132" s="364" t="s">
        <v>1075</v>
      </c>
      <c r="T132" s="364" t="s">
        <v>1430</v>
      </c>
      <c r="U132" s="364">
        <f>+'9.3_PA_Det'!$F$175</f>
        <v>66</v>
      </c>
      <c r="V132" s="181"/>
      <c r="W132" s="97"/>
      <c r="X132" s="711" t="s">
        <v>1189</v>
      </c>
      <c r="Y132" s="712">
        <v>2</v>
      </c>
      <c r="Z132" s="179">
        <v>24</v>
      </c>
      <c r="AA132" s="180"/>
      <c r="AB132" s="1032">
        <v>2500</v>
      </c>
      <c r="AC132" s="1032">
        <f>Y132*Z132*AB132</f>
        <v>120000</v>
      </c>
      <c r="AD132" s="1042"/>
      <c r="AE132" s="97"/>
      <c r="AF132" s="1032">
        <f t="shared" si="17"/>
        <v>120000</v>
      </c>
      <c r="AG132" s="1032">
        <v>0</v>
      </c>
      <c r="AH132" s="1041">
        <f>AF132+AG132</f>
        <v>120000</v>
      </c>
      <c r="AI132" s="867"/>
      <c r="AJ132" s="986"/>
      <c r="AK132" s="986"/>
      <c r="AL132" s="986">
        <f>+$AB$132*12*2</f>
        <v>60000</v>
      </c>
      <c r="AM132" s="986">
        <f>+$AB$132*12*2</f>
        <v>60000</v>
      </c>
      <c r="AN132" s="1038"/>
      <c r="AO132" s="1038">
        <f t="shared" si="13"/>
        <v>120000</v>
      </c>
      <c r="AQ132" s="1027"/>
    </row>
    <row r="133" spans="1:51" s="108" customFormat="1" ht="14" customHeight="1" outlineLevel="4">
      <c r="A133" s="580"/>
      <c r="B133" s="107"/>
      <c r="C133" s="107"/>
      <c r="D133" s="533"/>
      <c r="E133" s="533"/>
      <c r="F133" s="103"/>
      <c r="G133" s="97"/>
      <c r="H133" s="363"/>
      <c r="I133" s="364"/>
      <c r="J133" s="365"/>
      <c r="K133" s="365"/>
      <c r="L133" s="365"/>
      <c r="M133" s="365"/>
      <c r="N133" s="365"/>
      <c r="O133" s="365"/>
      <c r="P133" s="365"/>
      <c r="Q133" s="97"/>
      <c r="R133" s="364"/>
      <c r="S133" s="364"/>
      <c r="T133" s="364"/>
      <c r="U133" s="364"/>
      <c r="V133" s="181"/>
      <c r="W133" s="97"/>
      <c r="X133" s="711"/>
      <c r="Y133" s="712"/>
      <c r="Z133" s="179"/>
      <c r="AA133" s="180"/>
      <c r="AB133" s="1032"/>
      <c r="AC133" s="1032"/>
      <c r="AD133" s="1042"/>
      <c r="AE133" s="97"/>
      <c r="AF133" s="1032"/>
      <c r="AG133" s="1032"/>
      <c r="AH133" s="1041"/>
      <c r="AI133" s="867"/>
      <c r="AJ133" s="986"/>
      <c r="AK133" s="986"/>
      <c r="AL133" s="986"/>
      <c r="AM133" s="987"/>
      <c r="AN133" s="1038"/>
      <c r="AO133" s="1038">
        <f t="shared" si="13"/>
        <v>0</v>
      </c>
      <c r="AQ133" s="1027"/>
    </row>
    <row r="134" spans="1:51" s="108" customFormat="1" ht="14" customHeight="1" outlineLevel="3">
      <c r="A134" s="580"/>
      <c r="B134" s="107"/>
      <c r="C134" s="107"/>
      <c r="D134" s="533"/>
      <c r="E134" s="533"/>
      <c r="F134" s="103"/>
      <c r="G134" s="97"/>
      <c r="H134" s="363"/>
      <c r="I134" s="364"/>
      <c r="J134" s="365"/>
      <c r="K134" s="365"/>
      <c r="L134" s="365"/>
      <c r="M134" s="365"/>
      <c r="N134" s="365"/>
      <c r="O134" s="365"/>
      <c r="P134" s="365"/>
      <c r="Q134" s="97"/>
      <c r="R134" s="364"/>
      <c r="S134" s="364"/>
      <c r="T134" s="364"/>
      <c r="U134" s="364"/>
      <c r="V134" s="181"/>
      <c r="W134" s="97"/>
      <c r="X134" s="711"/>
      <c r="Y134" s="712"/>
      <c r="Z134" s="179"/>
      <c r="AA134" s="180"/>
      <c r="AB134" s="1032"/>
      <c r="AC134" s="1032"/>
      <c r="AD134" s="1042"/>
      <c r="AE134" s="97"/>
      <c r="AF134" s="1032"/>
      <c r="AG134" s="1032"/>
      <c r="AH134" s="1041"/>
      <c r="AI134" s="867"/>
      <c r="AJ134" s="986"/>
      <c r="AK134" s="986"/>
      <c r="AL134" s="986"/>
      <c r="AM134" s="987"/>
      <c r="AN134" s="1038"/>
      <c r="AO134" s="1038">
        <f t="shared" si="13"/>
        <v>0</v>
      </c>
      <c r="AQ134" s="1027"/>
    </row>
    <row r="135" spans="1:51" s="108" customFormat="1" ht="14" customHeight="1" outlineLevel="2">
      <c r="A135" s="580"/>
      <c r="B135" s="107"/>
      <c r="C135" s="107"/>
      <c r="D135" s="533"/>
      <c r="E135" s="533"/>
      <c r="F135" s="103"/>
      <c r="G135" s="97"/>
      <c r="H135" s="363"/>
      <c r="I135" s="364"/>
      <c r="J135" s="365"/>
      <c r="K135" s="365"/>
      <c r="L135" s="365"/>
      <c r="M135" s="365"/>
      <c r="N135" s="365"/>
      <c r="O135" s="365"/>
      <c r="P135" s="365"/>
      <c r="Q135" s="97"/>
      <c r="R135" s="364"/>
      <c r="S135" s="364"/>
      <c r="T135" s="364"/>
      <c r="U135" s="364"/>
      <c r="V135" s="181"/>
      <c r="W135" s="97"/>
      <c r="X135" s="711"/>
      <c r="Y135" s="712"/>
      <c r="Z135" s="179"/>
      <c r="AA135" s="180"/>
      <c r="AB135" s="1032"/>
      <c r="AC135" s="1032"/>
      <c r="AD135" s="1042"/>
      <c r="AE135" s="97"/>
      <c r="AF135" s="1032"/>
      <c r="AG135" s="1032"/>
      <c r="AH135" s="1041"/>
      <c r="AI135" s="867"/>
      <c r="AJ135" s="986"/>
      <c r="AK135" s="986"/>
      <c r="AL135" s="986"/>
      <c r="AM135" s="987"/>
      <c r="AN135" s="1038"/>
      <c r="AO135" s="1038">
        <f t="shared" si="13"/>
        <v>0</v>
      </c>
      <c r="AQ135" s="1027"/>
    </row>
    <row r="136" spans="1:51" s="153" customFormat="1" ht="30" customHeight="1" outlineLevel="1">
      <c r="A136" s="578"/>
      <c r="B136" s="428" t="s">
        <v>515</v>
      </c>
      <c r="C136" s="428"/>
      <c r="D136" s="545" t="s">
        <v>34</v>
      </c>
      <c r="E136" s="545" t="s">
        <v>4</v>
      </c>
      <c r="F136" s="427"/>
      <c r="G136" s="96"/>
      <c r="H136" s="429"/>
      <c r="I136" s="425"/>
      <c r="J136" s="430"/>
      <c r="K136" s="430"/>
      <c r="L136" s="430"/>
      <c r="M136" s="430"/>
      <c r="N136" s="430"/>
      <c r="O136" s="430"/>
      <c r="P136" s="430"/>
      <c r="Q136" s="96"/>
      <c r="R136" s="850"/>
      <c r="S136" s="850"/>
      <c r="T136" s="850"/>
      <c r="U136" s="850"/>
      <c r="V136" s="431"/>
      <c r="W136" s="96"/>
      <c r="X136" s="426"/>
      <c r="Y136" s="425"/>
      <c r="Z136" s="425"/>
      <c r="AA136" s="432"/>
      <c r="AB136" s="433"/>
      <c r="AC136" s="433">
        <f>+AC137+AC150</f>
        <v>6120000</v>
      </c>
      <c r="AD136" s="685"/>
      <c r="AE136" s="96"/>
      <c r="AF136" s="433">
        <f>+AF137+AF150</f>
        <v>6120000</v>
      </c>
      <c r="AG136" s="433">
        <f>+AG137+AG150</f>
        <v>0</v>
      </c>
      <c r="AH136" s="433">
        <f>+AH137+AH150</f>
        <v>6120000</v>
      </c>
      <c r="AI136" s="865"/>
      <c r="AJ136" s="977">
        <f>+AJ137+AJ150</f>
        <v>320000</v>
      </c>
      <c r="AK136" s="977">
        <f>+AK137+AK150</f>
        <v>1190000</v>
      </c>
      <c r="AL136" s="977">
        <f>+AL137+AL150</f>
        <v>2570000</v>
      </c>
      <c r="AM136" s="978">
        <f>+AM137+AM150</f>
        <v>1640000</v>
      </c>
      <c r="AN136" s="976">
        <f>+AN137+AN150</f>
        <v>400000</v>
      </c>
      <c r="AO136" s="976">
        <f t="shared" si="13"/>
        <v>6120000</v>
      </c>
      <c r="AQ136" s="1027"/>
    </row>
    <row r="137" spans="1:51" s="878" customFormat="1" ht="30" outlineLevel="2">
      <c r="A137" s="172"/>
      <c r="B137" s="171" t="s">
        <v>516</v>
      </c>
      <c r="C137" s="171"/>
      <c r="D137" s="538" t="s">
        <v>597</v>
      </c>
      <c r="E137" s="538" t="s">
        <v>4</v>
      </c>
      <c r="F137" s="1176"/>
      <c r="G137" s="96"/>
      <c r="H137" s="357" t="str">
        <f>+'1_MdR_Limpia'!C62</f>
        <v>Sistema</v>
      </c>
      <c r="I137" s="357">
        <f>+'1_MdR_Limpia'!D62</f>
        <v>0</v>
      </c>
      <c r="J137" s="357">
        <f>+'1_MdR_Limpia'!E62</f>
        <v>2021</v>
      </c>
      <c r="K137" s="357" t="str">
        <f>+'1_MdR_Limpia'!F62</f>
        <v>-</v>
      </c>
      <c r="L137" s="357" t="str">
        <f>+'1_MdR_Limpia'!G62</f>
        <v>-</v>
      </c>
      <c r="M137" s="357" t="str">
        <f>+'1_MdR_Limpia'!H62</f>
        <v>-</v>
      </c>
      <c r="N137" s="357" t="str">
        <f>+'1_MdR_Limpia'!I62</f>
        <v>-</v>
      </c>
      <c r="O137" s="357">
        <f>+'1_MdR_Limpia'!J62</f>
        <v>1</v>
      </c>
      <c r="P137" s="357">
        <f>+'1_MdR_Limpia'!L62</f>
        <v>1</v>
      </c>
      <c r="Q137" s="96"/>
      <c r="R137" s="358"/>
      <c r="S137" s="358"/>
      <c r="T137" s="358"/>
      <c r="U137" s="358"/>
      <c r="V137" s="174"/>
      <c r="W137" s="96"/>
      <c r="X137" s="106"/>
      <c r="Y137" s="172"/>
      <c r="Z137" s="172"/>
      <c r="AA137" s="171"/>
      <c r="AB137" s="176"/>
      <c r="AC137" s="176">
        <f>+AC138+AC141+AC145</f>
        <v>5120000</v>
      </c>
      <c r="AD137" s="686"/>
      <c r="AE137" s="96"/>
      <c r="AF137" s="176">
        <f>+AF138+AF141+AF145</f>
        <v>5120000</v>
      </c>
      <c r="AG137" s="176">
        <f>+AG138+AG141+AG145</f>
        <v>0</v>
      </c>
      <c r="AH137" s="176">
        <f>+AH138+AH141+AH145</f>
        <v>5120000</v>
      </c>
      <c r="AI137" s="865"/>
      <c r="AJ137" s="980">
        <f>+AJ138+AJ141+AJ145</f>
        <v>220000</v>
      </c>
      <c r="AK137" s="980">
        <f>+AK138+AK141+AK145</f>
        <v>1100000</v>
      </c>
      <c r="AL137" s="980">
        <f>+AL138+AL141+AL145</f>
        <v>2300000</v>
      </c>
      <c r="AM137" s="981">
        <f>+AM138+AM141+AM145</f>
        <v>1100000</v>
      </c>
      <c r="AN137" s="979">
        <f>+AN138+AN141+AN145</f>
        <v>400000</v>
      </c>
      <c r="AO137" s="979">
        <f t="shared" si="13"/>
        <v>5120000</v>
      </c>
      <c r="AP137" s="153"/>
      <c r="AQ137" s="1027"/>
      <c r="AR137" s="153"/>
      <c r="AS137" s="153"/>
      <c r="AT137" s="153"/>
      <c r="AU137" s="153"/>
      <c r="AV137" s="153"/>
      <c r="AW137" s="153"/>
      <c r="AX137" s="153"/>
      <c r="AY137" s="153"/>
    </row>
    <row r="138" spans="1:51" s="878" customFormat="1" ht="26.5" customHeight="1" outlineLevel="3">
      <c r="A138" s="581"/>
      <c r="B138" s="400" t="s">
        <v>890</v>
      </c>
      <c r="C138" s="400"/>
      <c r="D138" s="536" t="s">
        <v>891</v>
      </c>
      <c r="E138" s="536"/>
      <c r="F138" s="399"/>
      <c r="G138" s="96"/>
      <c r="H138" s="401"/>
      <c r="I138" s="401"/>
      <c r="J138" s="402"/>
      <c r="K138" s="402"/>
      <c r="L138" s="402"/>
      <c r="M138" s="402"/>
      <c r="N138" s="402"/>
      <c r="O138" s="402"/>
      <c r="P138" s="402"/>
      <c r="Q138" s="96"/>
      <c r="R138" s="837"/>
      <c r="S138" s="851"/>
      <c r="T138" s="851"/>
      <c r="U138" s="851"/>
      <c r="V138" s="399"/>
      <c r="W138" s="96"/>
      <c r="X138" s="396"/>
      <c r="Y138" s="397"/>
      <c r="Z138" s="397"/>
      <c r="AA138" s="395"/>
      <c r="AB138" s="398"/>
      <c r="AC138" s="398">
        <f>SUM(AC139:AC140)</f>
        <v>0</v>
      </c>
      <c r="AD138" s="933" t="s">
        <v>1408</v>
      </c>
      <c r="AE138" s="96"/>
      <c r="AF138" s="398">
        <f t="shared" ref="AF138:AF146" si="18">+AC138</f>
        <v>0</v>
      </c>
      <c r="AG138" s="398">
        <f>SUM(AG139:AG140)</f>
        <v>0</v>
      </c>
      <c r="AH138" s="398">
        <f>SUM(AH139:AH140)</f>
        <v>0</v>
      </c>
      <c r="AI138" s="865"/>
      <c r="AJ138" s="992"/>
      <c r="AK138" s="992"/>
      <c r="AL138" s="992"/>
      <c r="AM138" s="993"/>
      <c r="AN138" s="994"/>
      <c r="AO138" s="994">
        <f t="shared" si="13"/>
        <v>0</v>
      </c>
      <c r="AP138" s="153"/>
      <c r="AQ138" s="1027"/>
      <c r="AR138" s="153"/>
      <c r="AS138" s="153"/>
      <c r="AT138" s="153"/>
      <c r="AU138" s="153"/>
      <c r="AV138" s="153"/>
      <c r="AW138" s="153"/>
      <c r="AX138" s="153"/>
      <c r="AY138" s="153"/>
    </row>
    <row r="139" spans="1:51" s="879" customFormat="1" ht="27.5" customHeight="1" outlineLevel="4">
      <c r="A139" s="579" t="s">
        <v>2629</v>
      </c>
      <c r="B139" s="490" t="s">
        <v>892</v>
      </c>
      <c r="C139" s="490"/>
      <c r="D139" s="537" t="s">
        <v>3715</v>
      </c>
      <c r="E139" s="537"/>
      <c r="F139" s="491"/>
      <c r="G139" s="492"/>
      <c r="H139" s="493"/>
      <c r="I139" s="494"/>
      <c r="J139" s="495"/>
      <c r="K139" s="495"/>
      <c r="L139" s="495"/>
      <c r="M139" s="495"/>
      <c r="N139" s="495"/>
      <c r="O139" s="495"/>
      <c r="P139" s="495"/>
      <c r="Q139" s="492"/>
      <c r="R139" s="494" t="s">
        <v>876</v>
      </c>
      <c r="S139" s="494"/>
      <c r="T139" s="494"/>
      <c r="U139" s="494"/>
      <c r="V139" s="496"/>
      <c r="W139" s="492"/>
      <c r="X139" s="498"/>
      <c r="Y139" s="499"/>
      <c r="Z139" s="500"/>
      <c r="AA139" s="501"/>
      <c r="AB139" s="502"/>
      <c r="AC139" s="502">
        <f>Y139*AB139</f>
        <v>0</v>
      </c>
      <c r="AD139" s="4710" t="s">
        <v>3716</v>
      </c>
      <c r="AE139" s="492"/>
      <c r="AF139" s="502">
        <f t="shared" si="18"/>
        <v>0</v>
      </c>
      <c r="AG139" s="502"/>
      <c r="AH139" s="503">
        <f>AF139+AG139</f>
        <v>0</v>
      </c>
      <c r="AI139" s="866"/>
      <c r="AJ139" s="983"/>
      <c r="AK139" s="983"/>
      <c r="AL139" s="983"/>
      <c r="AM139" s="984"/>
      <c r="AN139" s="985"/>
      <c r="AO139" s="985">
        <f t="shared" si="13"/>
        <v>0</v>
      </c>
      <c r="AQ139" s="1027"/>
    </row>
    <row r="140" spans="1:51" s="879" customFormat="1" ht="21.5" customHeight="1" outlineLevel="4">
      <c r="A140" s="579" t="s">
        <v>2629</v>
      </c>
      <c r="B140" s="490" t="s">
        <v>894</v>
      </c>
      <c r="C140" s="490"/>
      <c r="D140" s="537" t="s">
        <v>3717</v>
      </c>
      <c r="E140" s="537"/>
      <c r="F140" s="491"/>
      <c r="G140" s="492"/>
      <c r="H140" s="493"/>
      <c r="I140" s="494"/>
      <c r="J140" s="495"/>
      <c r="K140" s="495"/>
      <c r="L140" s="495"/>
      <c r="M140" s="495"/>
      <c r="N140" s="495"/>
      <c r="O140" s="495"/>
      <c r="P140" s="495"/>
      <c r="Q140" s="492"/>
      <c r="R140" s="494" t="s">
        <v>876</v>
      </c>
      <c r="S140" s="494"/>
      <c r="T140" s="494"/>
      <c r="U140" s="494"/>
      <c r="V140" s="496"/>
      <c r="W140" s="492"/>
      <c r="X140" s="498"/>
      <c r="Y140" s="499"/>
      <c r="Z140" s="500"/>
      <c r="AA140" s="501"/>
      <c r="AB140" s="502"/>
      <c r="AC140" s="502">
        <f>Y140*AB140</f>
        <v>0</v>
      </c>
      <c r="AD140" s="4711"/>
      <c r="AE140" s="492"/>
      <c r="AF140" s="502">
        <f t="shared" si="18"/>
        <v>0</v>
      </c>
      <c r="AG140" s="502"/>
      <c r="AH140" s="503">
        <f>AF140+AG140</f>
        <v>0</v>
      </c>
      <c r="AI140" s="866"/>
      <c r="AJ140" s="983"/>
      <c r="AK140" s="983"/>
      <c r="AL140" s="983"/>
      <c r="AM140" s="984"/>
      <c r="AN140" s="985"/>
      <c r="AO140" s="985">
        <f t="shared" si="13"/>
        <v>0</v>
      </c>
      <c r="AQ140" s="1027"/>
    </row>
    <row r="141" spans="1:51" s="153" customFormat="1" ht="27.5" customHeight="1" outlineLevel="3">
      <c r="A141" s="581"/>
      <c r="B141" s="400" t="s">
        <v>896</v>
      </c>
      <c r="C141" s="400"/>
      <c r="D141" s="536" t="s">
        <v>897</v>
      </c>
      <c r="E141" s="536"/>
      <c r="F141" s="399"/>
      <c r="G141" s="96"/>
      <c r="H141" s="401"/>
      <c r="I141" s="401"/>
      <c r="J141" s="402"/>
      <c r="K141" s="402"/>
      <c r="L141" s="402"/>
      <c r="M141" s="402"/>
      <c r="N141" s="402"/>
      <c r="O141" s="402"/>
      <c r="P141" s="402"/>
      <c r="Q141" s="96"/>
      <c r="R141" s="837"/>
      <c r="S141" s="851"/>
      <c r="T141" s="851"/>
      <c r="U141" s="851"/>
      <c r="V141" s="399"/>
      <c r="W141" s="96"/>
      <c r="X141" s="396"/>
      <c r="Y141" s="397"/>
      <c r="Z141" s="397"/>
      <c r="AA141" s="395"/>
      <c r="AB141" s="398"/>
      <c r="AC141" s="398">
        <f>SUM(AC142:AC143)</f>
        <v>120000</v>
      </c>
      <c r="AD141" s="691"/>
      <c r="AE141" s="96"/>
      <c r="AF141" s="398">
        <f t="shared" si="18"/>
        <v>120000</v>
      </c>
      <c r="AG141" s="398">
        <f>SUM(AG142:AG143)</f>
        <v>0</v>
      </c>
      <c r="AH141" s="398">
        <f>+AG141+AF141</f>
        <v>120000</v>
      </c>
      <c r="AI141" s="865"/>
      <c r="AJ141" s="992">
        <f>SUM(AJ142:AJ143)</f>
        <v>120000</v>
      </c>
      <c r="AK141" s="992">
        <f>SUM(AK142:AK143)</f>
        <v>0</v>
      </c>
      <c r="AL141" s="992">
        <f>SUM(AL142:AL143)</f>
        <v>0</v>
      </c>
      <c r="AM141" s="993">
        <f>SUM(AM142:AM143)</f>
        <v>0</v>
      </c>
      <c r="AN141" s="994">
        <f>SUM(AN142:AN143)</f>
        <v>0</v>
      </c>
      <c r="AO141" s="994">
        <f t="shared" ref="AO141:AO204" si="19">SUM(AJ141:AN141)</f>
        <v>120000</v>
      </c>
      <c r="AQ141" s="1027"/>
    </row>
    <row r="142" spans="1:51" ht="26.5" customHeight="1" outlineLevel="4">
      <c r="A142" s="159"/>
      <c r="B142" s="702" t="s">
        <v>1411</v>
      </c>
      <c r="C142" s="702"/>
      <c r="D142" s="533" t="s">
        <v>3718</v>
      </c>
      <c r="E142" s="533"/>
      <c r="F142" s="177"/>
      <c r="G142" s="97"/>
      <c r="H142" s="363"/>
      <c r="I142" s="363"/>
      <c r="J142" s="367"/>
      <c r="K142" s="367"/>
      <c r="L142" s="367"/>
      <c r="M142" s="367"/>
      <c r="N142" s="367"/>
      <c r="O142" s="367"/>
      <c r="P142" s="367"/>
      <c r="Q142" s="97"/>
      <c r="R142" s="3897" t="str">
        <f>+'9.3_PA_Det'!$E$56</f>
        <v>Selección Basada en Calificación de Consultores</v>
      </c>
      <c r="S142" s="3897" t="s">
        <v>1075</v>
      </c>
      <c r="T142" s="3897" t="s">
        <v>1198</v>
      </c>
      <c r="U142" s="3897">
        <f>+'9.3_PA_Det'!$F$56</f>
        <v>22</v>
      </c>
      <c r="V142" s="3897"/>
      <c r="W142" s="97"/>
      <c r="X142" s="3903" t="s">
        <v>1179</v>
      </c>
      <c r="Y142" s="3841">
        <v>1</v>
      </c>
      <c r="Z142" s="3841"/>
      <c r="AA142" s="3841"/>
      <c r="AB142" s="3844">
        <v>120000</v>
      </c>
      <c r="AC142" s="3844">
        <f>Y142*AB142</f>
        <v>120000</v>
      </c>
      <c r="AD142" s="4715"/>
      <c r="AE142" s="97"/>
      <c r="AF142" s="3787">
        <f t="shared" si="18"/>
        <v>120000</v>
      </c>
      <c r="AG142" s="3793"/>
      <c r="AH142" s="3793">
        <f>AF142+AG142</f>
        <v>120000</v>
      </c>
      <c r="AI142" s="867"/>
      <c r="AJ142" s="4641">
        <f>+AF142</f>
        <v>120000</v>
      </c>
      <c r="AK142" s="4641"/>
      <c r="AL142" s="4641"/>
      <c r="AM142" s="4641"/>
      <c r="AN142" s="4641"/>
      <c r="AO142" s="4641">
        <f t="shared" si="19"/>
        <v>120000</v>
      </c>
      <c r="AP142" s="108"/>
      <c r="AQ142" s="1027"/>
      <c r="AR142" s="108"/>
      <c r="AS142" s="108"/>
      <c r="AT142" s="108"/>
      <c r="AU142" s="108"/>
      <c r="AV142" s="108"/>
      <c r="AW142" s="108"/>
      <c r="AX142" s="108"/>
      <c r="AY142" s="108"/>
    </row>
    <row r="143" spans="1:51" ht="14.5" customHeight="1" outlineLevel="4">
      <c r="A143" s="159"/>
      <c r="B143" s="702" t="s">
        <v>898</v>
      </c>
      <c r="C143" s="702"/>
      <c r="D143" s="533" t="s">
        <v>3719</v>
      </c>
      <c r="E143" s="533"/>
      <c r="F143" s="177"/>
      <c r="G143" s="97"/>
      <c r="H143" s="363"/>
      <c r="I143" s="363"/>
      <c r="J143" s="367"/>
      <c r="K143" s="367"/>
      <c r="L143" s="367"/>
      <c r="M143" s="367"/>
      <c r="N143" s="367"/>
      <c r="O143" s="367"/>
      <c r="P143" s="367"/>
      <c r="Q143" s="97"/>
      <c r="R143" s="3898"/>
      <c r="S143" s="3898"/>
      <c r="T143" s="3898"/>
      <c r="U143" s="3898"/>
      <c r="V143" s="3898"/>
      <c r="W143" s="97"/>
      <c r="X143" s="3933"/>
      <c r="Y143" s="3842"/>
      <c r="Z143" s="3842"/>
      <c r="AA143" s="3842"/>
      <c r="AB143" s="3845"/>
      <c r="AC143" s="3845">
        <f>Y143*AB143</f>
        <v>0</v>
      </c>
      <c r="AD143" s="4716"/>
      <c r="AE143" s="97"/>
      <c r="AF143" s="3788"/>
      <c r="AG143" s="3794"/>
      <c r="AH143" s="3794"/>
      <c r="AI143" s="867"/>
      <c r="AJ143" s="4642"/>
      <c r="AK143" s="4642"/>
      <c r="AL143" s="4642"/>
      <c r="AM143" s="4642"/>
      <c r="AN143" s="4642"/>
      <c r="AO143" s="4642">
        <f t="shared" si="19"/>
        <v>0</v>
      </c>
      <c r="AP143" s="108"/>
      <c r="AQ143" s="1027"/>
      <c r="AR143" s="108"/>
      <c r="AS143" s="108"/>
      <c r="AT143" s="108"/>
      <c r="AU143" s="108"/>
      <c r="AV143" s="108"/>
      <c r="AW143" s="108"/>
      <c r="AX143" s="108"/>
      <c r="AY143" s="108"/>
    </row>
    <row r="144" spans="1:51" ht="14.5" customHeight="1" outlineLevel="4">
      <c r="A144" s="159"/>
      <c r="B144" s="702" t="s">
        <v>908</v>
      </c>
      <c r="C144" s="702"/>
      <c r="D144" s="533" t="s">
        <v>3720</v>
      </c>
      <c r="E144" s="533"/>
      <c r="F144" s="177"/>
      <c r="G144" s="97"/>
      <c r="H144" s="363"/>
      <c r="I144" s="363"/>
      <c r="J144" s="367"/>
      <c r="K144" s="367"/>
      <c r="L144" s="367"/>
      <c r="M144" s="367"/>
      <c r="N144" s="367"/>
      <c r="O144" s="367"/>
      <c r="P144" s="367"/>
      <c r="Q144" s="97"/>
      <c r="R144" s="3899"/>
      <c r="S144" s="3899"/>
      <c r="T144" s="3899"/>
      <c r="U144" s="3899"/>
      <c r="V144" s="3899"/>
      <c r="W144" s="97"/>
      <c r="X144" s="3934"/>
      <c r="Y144" s="3843"/>
      <c r="Z144" s="3843"/>
      <c r="AA144" s="3843"/>
      <c r="AB144" s="3846"/>
      <c r="AC144" s="3846">
        <f>Y144*AB144</f>
        <v>0</v>
      </c>
      <c r="AD144" s="4717"/>
      <c r="AE144" s="97"/>
      <c r="AF144" s="3789"/>
      <c r="AG144" s="3795"/>
      <c r="AH144" s="3795"/>
      <c r="AI144" s="867"/>
      <c r="AJ144" s="4644"/>
      <c r="AK144" s="4644"/>
      <c r="AL144" s="4644"/>
      <c r="AM144" s="4644"/>
      <c r="AN144" s="4644"/>
      <c r="AO144" s="4644">
        <f t="shared" si="19"/>
        <v>0</v>
      </c>
      <c r="AP144" s="108"/>
      <c r="AQ144" s="1027"/>
      <c r="AR144" s="108"/>
      <c r="AS144" s="108"/>
      <c r="AT144" s="108"/>
      <c r="AU144" s="108"/>
      <c r="AV144" s="108"/>
      <c r="AW144" s="108"/>
      <c r="AX144" s="108"/>
      <c r="AY144" s="108"/>
    </row>
    <row r="145" spans="1:51" s="153" customFormat="1" ht="33" customHeight="1" outlineLevel="3">
      <c r="A145" s="581"/>
      <c r="B145" s="400" t="s">
        <v>918</v>
      </c>
      <c r="C145" s="400"/>
      <c r="D145" s="536" t="s">
        <v>3721</v>
      </c>
      <c r="E145" s="536"/>
      <c r="F145" s="399"/>
      <c r="G145" s="96"/>
      <c r="H145" s="401"/>
      <c r="I145" s="401"/>
      <c r="J145" s="402"/>
      <c r="K145" s="402"/>
      <c r="L145" s="402"/>
      <c r="M145" s="402"/>
      <c r="N145" s="402"/>
      <c r="O145" s="402"/>
      <c r="P145" s="402"/>
      <c r="Q145" s="96"/>
      <c r="R145" s="837"/>
      <c r="S145" s="851"/>
      <c r="T145" s="851"/>
      <c r="U145" s="851"/>
      <c r="V145" s="399"/>
      <c r="W145" s="96"/>
      <c r="X145" s="396"/>
      <c r="Y145" s="397"/>
      <c r="Z145" s="397"/>
      <c r="AA145" s="395"/>
      <c r="AB145" s="398"/>
      <c r="AC145" s="398">
        <f>SUM(AC146:AC148)</f>
        <v>5000000</v>
      </c>
      <c r="AD145" s="933" t="s">
        <v>1419</v>
      </c>
      <c r="AE145" s="96"/>
      <c r="AF145" s="398">
        <f>SUM(AF146:AF148)</f>
        <v>5000000</v>
      </c>
      <c r="AG145" s="398">
        <f>SUM(AG146:AG148)</f>
        <v>0</v>
      </c>
      <c r="AH145" s="398">
        <f>SUM(AH146:AH148)</f>
        <v>5000000</v>
      </c>
      <c r="AI145" s="865"/>
      <c r="AJ145" s="992">
        <f>SUM(AJ146:AJ148)</f>
        <v>100000</v>
      </c>
      <c r="AK145" s="992">
        <f>SUM(AK146:AK148)</f>
        <v>1100000</v>
      </c>
      <c r="AL145" s="992">
        <f>SUM(AL146:AL148)</f>
        <v>2300000</v>
      </c>
      <c r="AM145" s="993">
        <f>SUM(AM146:AM148)</f>
        <v>1100000</v>
      </c>
      <c r="AN145" s="994">
        <f>SUM(AN146:AN148)</f>
        <v>400000</v>
      </c>
      <c r="AO145" s="994">
        <f t="shared" si="19"/>
        <v>5000000</v>
      </c>
      <c r="AQ145" s="1027"/>
    </row>
    <row r="146" spans="1:51" s="108" customFormat="1" ht="27.5" customHeight="1" outlineLevel="4">
      <c r="A146" s="580"/>
      <c r="B146" s="107" t="s">
        <v>920</v>
      </c>
      <c r="C146" s="107"/>
      <c r="D146" s="533" t="s">
        <v>3722</v>
      </c>
      <c r="E146" s="533"/>
      <c r="F146" s="103"/>
      <c r="G146" s="97"/>
      <c r="H146" s="363"/>
      <c r="I146" s="364"/>
      <c r="J146" s="365"/>
      <c r="K146" s="365"/>
      <c r="L146" s="365"/>
      <c r="M146" s="365"/>
      <c r="N146" s="365"/>
      <c r="O146" s="365"/>
      <c r="P146" s="365"/>
      <c r="Q146" s="97"/>
      <c r="R146" s="3897" t="str">
        <f>+'9.3_PA_Det'!$E$59</f>
        <v>Selección Basada en Calidad y Costo</v>
      </c>
      <c r="S146" s="3897" t="s">
        <v>1075</v>
      </c>
      <c r="T146" s="3897" t="s">
        <v>1198</v>
      </c>
      <c r="U146" s="3897">
        <f>+'9.3_PA_Det'!$F$59</f>
        <v>23</v>
      </c>
      <c r="V146" s="3897"/>
      <c r="W146" s="97"/>
      <c r="X146" s="1032" t="s">
        <v>1179</v>
      </c>
      <c r="Y146" s="1032">
        <v>1</v>
      </c>
      <c r="Z146" s="1032"/>
      <c r="AA146" s="1032"/>
      <c r="AB146" s="1032">
        <v>500000</v>
      </c>
      <c r="AC146" s="1032">
        <f>+Y146*AB146</f>
        <v>500000</v>
      </c>
      <c r="AD146" s="1045"/>
      <c r="AE146" s="97"/>
      <c r="AF146" s="1032">
        <f t="shared" si="18"/>
        <v>500000</v>
      </c>
      <c r="AG146" s="1032"/>
      <c r="AH146" s="1041">
        <f>AF146+AG146</f>
        <v>500000</v>
      </c>
      <c r="AI146" s="867"/>
      <c r="AJ146" s="1038">
        <f>+AF146*20%</f>
        <v>100000</v>
      </c>
      <c r="AK146" s="1038">
        <f>+AF146*80%</f>
        <v>400000</v>
      </c>
      <c r="AL146" s="1038"/>
      <c r="AM146" s="1038"/>
      <c r="AN146" s="1038"/>
      <c r="AO146" s="1038">
        <f t="shared" si="19"/>
        <v>500000</v>
      </c>
      <c r="AQ146" s="1027"/>
    </row>
    <row r="147" spans="1:51" s="108" customFormat="1" ht="27.5" customHeight="1" outlineLevel="4">
      <c r="A147" s="580"/>
      <c r="B147" s="107" t="s">
        <v>923</v>
      </c>
      <c r="C147" s="107"/>
      <c r="D147" s="533" t="s">
        <v>3723</v>
      </c>
      <c r="E147" s="533"/>
      <c r="F147" s="103"/>
      <c r="G147" s="97"/>
      <c r="H147" s="363"/>
      <c r="I147" s="364"/>
      <c r="J147" s="365"/>
      <c r="K147" s="365"/>
      <c r="L147" s="365"/>
      <c r="M147" s="365"/>
      <c r="N147" s="365"/>
      <c r="O147" s="365"/>
      <c r="P147" s="365"/>
      <c r="Q147" s="97"/>
      <c r="R147" s="3898"/>
      <c r="S147" s="3898"/>
      <c r="T147" s="3898"/>
      <c r="U147" s="3898"/>
      <c r="V147" s="3898"/>
      <c r="W147" s="97"/>
      <c r="X147" s="1032" t="s">
        <v>1179</v>
      </c>
      <c r="Y147" s="1032">
        <v>1</v>
      </c>
      <c r="Z147" s="1032"/>
      <c r="AA147" s="1032"/>
      <c r="AB147" s="1032">
        <v>3500000</v>
      </c>
      <c r="AC147" s="1032">
        <f>+Y147*AB147</f>
        <v>3500000</v>
      </c>
      <c r="AD147" s="1045"/>
      <c r="AE147" s="97"/>
      <c r="AF147" s="1032">
        <f>+AC147</f>
        <v>3500000</v>
      </c>
      <c r="AG147" s="1032"/>
      <c r="AH147" s="1041">
        <f>AF147+AG147</f>
        <v>3500000</v>
      </c>
      <c r="AI147" s="867"/>
      <c r="AJ147" s="1038"/>
      <c r="AK147" s="1038">
        <f>+AF147*20%</f>
        <v>700000</v>
      </c>
      <c r="AL147" s="1038">
        <f>+AF147*60%</f>
        <v>2100000</v>
      </c>
      <c r="AM147" s="1038">
        <f>+AF147*20%</f>
        <v>700000</v>
      </c>
      <c r="AN147" s="1038"/>
      <c r="AO147" s="1038">
        <f t="shared" si="19"/>
        <v>3500000</v>
      </c>
      <c r="AQ147" s="1027"/>
    </row>
    <row r="148" spans="1:51" s="108" customFormat="1" ht="14" customHeight="1" outlineLevel="4">
      <c r="A148" s="580"/>
      <c r="B148" s="107" t="s">
        <v>926</v>
      </c>
      <c r="C148" s="107"/>
      <c r="D148" s="533" t="s">
        <v>3724</v>
      </c>
      <c r="E148" s="533"/>
      <c r="F148" s="103"/>
      <c r="G148" s="97"/>
      <c r="H148" s="363"/>
      <c r="I148" s="364"/>
      <c r="J148" s="365"/>
      <c r="K148" s="365"/>
      <c r="L148" s="365"/>
      <c r="M148" s="365"/>
      <c r="N148" s="365"/>
      <c r="O148" s="365"/>
      <c r="P148" s="365"/>
      <c r="Q148" s="97"/>
      <c r="R148" s="3899"/>
      <c r="S148" s="3899"/>
      <c r="T148" s="3899"/>
      <c r="U148" s="3899"/>
      <c r="V148" s="3899"/>
      <c r="W148" s="97"/>
      <c r="X148" s="1032" t="s">
        <v>1179</v>
      </c>
      <c r="Y148" s="1032">
        <v>1</v>
      </c>
      <c r="Z148" s="1032"/>
      <c r="AA148" s="1032"/>
      <c r="AB148" s="1032">
        <v>1000000</v>
      </c>
      <c r="AC148" s="1032">
        <f>+Y148*AB148</f>
        <v>1000000</v>
      </c>
      <c r="AD148" s="1045"/>
      <c r="AE148" s="97"/>
      <c r="AF148" s="1032">
        <f>+AC148</f>
        <v>1000000</v>
      </c>
      <c r="AG148" s="1032"/>
      <c r="AH148" s="1041">
        <f>AF148+AG148</f>
        <v>1000000</v>
      </c>
      <c r="AI148" s="867"/>
      <c r="AJ148" s="1038">
        <f>+AE148*20%</f>
        <v>0</v>
      </c>
      <c r="AK148" s="1038"/>
      <c r="AL148" s="1038">
        <f>+AF148*20%</f>
        <v>200000</v>
      </c>
      <c r="AM148" s="1038">
        <f>+AF148*40%</f>
        <v>400000</v>
      </c>
      <c r="AN148" s="1038">
        <f>+AF148*40%</f>
        <v>400000</v>
      </c>
      <c r="AO148" s="1038">
        <f t="shared" si="19"/>
        <v>1000000</v>
      </c>
      <c r="AQ148" s="1027"/>
    </row>
    <row r="149" spans="1:51" s="108" customFormat="1" ht="14" customHeight="1" outlineLevel="3">
      <c r="A149" s="580"/>
      <c r="B149" s="107"/>
      <c r="C149" s="107"/>
      <c r="D149" s="533"/>
      <c r="E149" s="533"/>
      <c r="F149" s="103"/>
      <c r="G149" s="97"/>
      <c r="H149" s="363"/>
      <c r="I149" s="364"/>
      <c r="J149" s="365"/>
      <c r="K149" s="365"/>
      <c r="L149" s="365"/>
      <c r="M149" s="365"/>
      <c r="N149" s="365"/>
      <c r="O149" s="365"/>
      <c r="P149" s="365"/>
      <c r="Q149" s="97"/>
      <c r="R149" s="364"/>
      <c r="S149" s="364"/>
      <c r="T149" s="364"/>
      <c r="U149" s="364"/>
      <c r="V149" s="181"/>
      <c r="W149" s="97"/>
      <c r="X149" s="711"/>
      <c r="Y149" s="712"/>
      <c r="Z149" s="179"/>
      <c r="AA149" s="180"/>
      <c r="AB149" s="1032"/>
      <c r="AC149" s="1032"/>
      <c r="AD149" s="1042"/>
      <c r="AE149" s="97"/>
      <c r="AF149" s="1032">
        <f>+AC149</f>
        <v>0</v>
      </c>
      <c r="AG149" s="1032"/>
      <c r="AH149" s="1041"/>
      <c r="AI149" s="867"/>
      <c r="AJ149" s="986"/>
      <c r="AK149" s="986"/>
      <c r="AL149" s="986"/>
      <c r="AM149" s="987"/>
      <c r="AN149" s="1038"/>
      <c r="AO149" s="1038">
        <f t="shared" si="19"/>
        <v>0</v>
      </c>
      <c r="AQ149" s="1027"/>
    </row>
    <row r="150" spans="1:51" s="878" customFormat="1" ht="35.5" customHeight="1" outlineLevel="2">
      <c r="A150" s="172"/>
      <c r="B150" s="171" t="s">
        <v>517</v>
      </c>
      <c r="C150" s="171"/>
      <c r="D150" s="538" t="s">
        <v>598</v>
      </c>
      <c r="E150" s="538" t="s">
        <v>4</v>
      </c>
      <c r="F150" s="1176"/>
      <c r="G150" s="96"/>
      <c r="H150" s="357" t="str">
        <f>+'1_MdR_Limpia'!C65</f>
        <v>Etapa</v>
      </c>
      <c r="I150" s="357">
        <f>+'1_MdR_Limpia'!D65</f>
        <v>0</v>
      </c>
      <c r="J150" s="357">
        <f>+'1_MdR_Limpia'!E65</f>
        <v>2021</v>
      </c>
      <c r="K150" s="357" t="str">
        <f>+'1_MdR_Limpia'!F65</f>
        <v>-</v>
      </c>
      <c r="L150" s="357" t="str">
        <f>+'1_MdR_Limpia'!G65</f>
        <v>-</v>
      </c>
      <c r="M150" s="357" t="str">
        <f>+'1_MdR_Limpia'!H65</f>
        <v>-</v>
      </c>
      <c r="N150" s="357">
        <f>+'1_MdR_Limpia'!I65</f>
        <v>1</v>
      </c>
      <c r="O150" s="357" t="str">
        <f>+'1_MdR_Limpia'!J65</f>
        <v>-</v>
      </c>
      <c r="P150" s="357">
        <f>+'1_MdR_Limpia'!L65</f>
        <v>1</v>
      </c>
      <c r="Q150" s="96"/>
      <c r="R150" s="358"/>
      <c r="S150" s="358"/>
      <c r="T150" s="358"/>
      <c r="U150" s="358"/>
      <c r="V150" s="174"/>
      <c r="W150" s="96"/>
      <c r="X150" s="106"/>
      <c r="Y150" s="172"/>
      <c r="Z150" s="172"/>
      <c r="AA150" s="171"/>
      <c r="AB150" s="176"/>
      <c r="AC150" s="176">
        <f>+AC151+AC152</f>
        <v>1000000</v>
      </c>
      <c r="AD150" s="686"/>
      <c r="AE150" s="96"/>
      <c r="AF150" s="176">
        <f>+AF151+AF152</f>
        <v>1000000</v>
      </c>
      <c r="AG150" s="176">
        <f>+AG151+AG152</f>
        <v>0</v>
      </c>
      <c r="AH150" s="176">
        <f>+AH151+AH152</f>
        <v>1000000</v>
      </c>
      <c r="AI150" s="865"/>
      <c r="AJ150" s="980">
        <f>+AJ151+AJ152</f>
        <v>100000</v>
      </c>
      <c r="AK150" s="980">
        <f>+AK151+AK152</f>
        <v>90000</v>
      </c>
      <c r="AL150" s="980">
        <f>+AL151+AL152</f>
        <v>270000</v>
      </c>
      <c r="AM150" s="981">
        <f>+AM151+AM152</f>
        <v>540000</v>
      </c>
      <c r="AN150" s="979">
        <f>+AN151+AN152</f>
        <v>0</v>
      </c>
      <c r="AO150" s="979">
        <f t="shared" si="19"/>
        <v>1000000</v>
      </c>
      <c r="AP150" s="153"/>
      <c r="AQ150" s="1027"/>
      <c r="AR150" s="153"/>
      <c r="AS150" s="153"/>
      <c r="AT150" s="153"/>
      <c r="AU150" s="153"/>
      <c r="AV150" s="153"/>
      <c r="AW150" s="153"/>
      <c r="AX150" s="153"/>
      <c r="AY150" s="153"/>
    </row>
    <row r="151" spans="1:51" s="108" customFormat="1" ht="51" customHeight="1" outlineLevel="3">
      <c r="A151" s="580"/>
      <c r="B151" s="107" t="s">
        <v>2410</v>
      </c>
      <c r="C151" s="107"/>
      <c r="D151" s="533" t="s">
        <v>945</v>
      </c>
      <c r="E151" s="533"/>
      <c r="F151" s="103"/>
      <c r="G151" s="97"/>
      <c r="H151" s="363"/>
      <c r="I151" s="364"/>
      <c r="J151" s="365"/>
      <c r="K151" s="365"/>
      <c r="L151" s="365"/>
      <c r="M151" s="365"/>
      <c r="N151" s="365"/>
      <c r="O151" s="365"/>
      <c r="P151" s="365"/>
      <c r="Q151" s="97"/>
      <c r="R151" s="3897" t="str">
        <f>+'9.3_PA_Det'!$E$62</f>
        <v>Selección Basada en Calidad y Costo</v>
      </c>
      <c r="S151" s="3897" t="s">
        <v>1075</v>
      </c>
      <c r="T151" s="3897" t="s">
        <v>1198</v>
      </c>
      <c r="U151" s="3897">
        <f>+'9.3_PA_Det'!$F$62</f>
        <v>24</v>
      </c>
      <c r="V151" s="181"/>
      <c r="W151" s="97"/>
      <c r="X151" s="711" t="s">
        <v>1179</v>
      </c>
      <c r="Y151" s="712">
        <v>1</v>
      </c>
      <c r="Z151" s="179"/>
      <c r="AA151" s="180"/>
      <c r="AB151" s="1032">
        <v>100000</v>
      </c>
      <c r="AC151" s="1032">
        <f>Y151*AB151</f>
        <v>100000</v>
      </c>
      <c r="AD151" s="936" t="s">
        <v>1432</v>
      </c>
      <c r="AE151" s="97"/>
      <c r="AF151" s="1032">
        <f>+AC151</f>
        <v>100000</v>
      </c>
      <c r="AG151" s="1032"/>
      <c r="AH151" s="1041">
        <f>AF151+AG151</f>
        <v>100000</v>
      </c>
      <c r="AI151" s="867"/>
      <c r="AJ151" s="986">
        <f>+AF151</f>
        <v>100000</v>
      </c>
      <c r="AK151" s="986"/>
      <c r="AL151" s="986"/>
      <c r="AM151" s="987"/>
      <c r="AN151" s="1038"/>
      <c r="AO151" s="1038">
        <f t="shared" si="19"/>
        <v>100000</v>
      </c>
      <c r="AQ151" s="1027"/>
    </row>
    <row r="152" spans="1:51" s="153" customFormat="1" ht="14" customHeight="1" outlineLevel="3">
      <c r="A152" s="581"/>
      <c r="B152" s="400" t="s">
        <v>2411</v>
      </c>
      <c r="C152" s="400"/>
      <c r="D152" s="536" t="s">
        <v>947</v>
      </c>
      <c r="E152" s="536"/>
      <c r="F152" s="399"/>
      <c r="G152" s="96"/>
      <c r="H152" s="401"/>
      <c r="I152" s="401"/>
      <c r="J152" s="402"/>
      <c r="K152" s="402"/>
      <c r="L152" s="402"/>
      <c r="M152" s="402"/>
      <c r="N152" s="402"/>
      <c r="O152" s="402"/>
      <c r="P152" s="402"/>
      <c r="Q152" s="96"/>
      <c r="R152" s="3898"/>
      <c r="S152" s="3898"/>
      <c r="T152" s="3898"/>
      <c r="U152" s="3898"/>
      <c r="V152" s="399"/>
      <c r="W152" s="96"/>
      <c r="X152" s="396"/>
      <c r="Y152" s="397"/>
      <c r="Z152" s="397"/>
      <c r="AA152" s="395"/>
      <c r="AB152" s="398"/>
      <c r="AC152" s="398">
        <f>+AC153+AC154</f>
        <v>900000</v>
      </c>
      <c r="AD152" s="680"/>
      <c r="AE152" s="96"/>
      <c r="AF152" s="398">
        <f>+AF153+AF154</f>
        <v>900000</v>
      </c>
      <c r="AG152" s="398">
        <f>+AG153+AG154</f>
        <v>0</v>
      </c>
      <c r="AH152" s="398">
        <f>+AH153+AH154</f>
        <v>900000</v>
      </c>
      <c r="AI152" s="865"/>
      <c r="AJ152" s="992">
        <f>+AJ153+AJ154</f>
        <v>0</v>
      </c>
      <c r="AK152" s="992">
        <f>+AK153+AK154</f>
        <v>90000</v>
      </c>
      <c r="AL152" s="992">
        <f>+AL153+AL154</f>
        <v>270000</v>
      </c>
      <c r="AM152" s="993">
        <f>+AM153+AM154</f>
        <v>540000</v>
      </c>
      <c r="AN152" s="994">
        <f>+AN153+AN154</f>
        <v>0</v>
      </c>
      <c r="AO152" s="994">
        <f t="shared" si="19"/>
        <v>900000</v>
      </c>
      <c r="AQ152" s="1027"/>
    </row>
    <row r="153" spans="1:51" s="108" customFormat="1" ht="41.5" customHeight="1" outlineLevel="3">
      <c r="A153" s="580"/>
      <c r="B153" s="107" t="s">
        <v>3429</v>
      </c>
      <c r="C153" s="107"/>
      <c r="D153" s="533" t="s">
        <v>949</v>
      </c>
      <c r="E153" s="533"/>
      <c r="F153" s="103"/>
      <c r="G153" s="97"/>
      <c r="H153" s="363"/>
      <c r="I153" s="364"/>
      <c r="J153" s="365"/>
      <c r="K153" s="365"/>
      <c r="L153" s="365"/>
      <c r="M153" s="365"/>
      <c r="N153" s="365"/>
      <c r="O153" s="365"/>
      <c r="P153" s="365"/>
      <c r="Q153" s="97"/>
      <c r="R153" s="3898"/>
      <c r="S153" s="3898"/>
      <c r="T153" s="3898"/>
      <c r="U153" s="3898"/>
      <c r="V153" s="181"/>
      <c r="W153" s="97"/>
      <c r="X153" s="711" t="s">
        <v>1179</v>
      </c>
      <c r="Y153" s="712">
        <v>1</v>
      </c>
      <c r="Z153" s="179"/>
      <c r="AA153" s="180"/>
      <c r="AB153" s="1032">
        <v>450000</v>
      </c>
      <c r="AC153" s="1032">
        <f>Y153*AB153</f>
        <v>450000</v>
      </c>
      <c r="AD153" s="937"/>
      <c r="AE153" s="97"/>
      <c r="AF153" s="1032">
        <f>+AC153</f>
        <v>450000</v>
      </c>
      <c r="AG153" s="1032"/>
      <c r="AH153" s="1041">
        <f>AF153+AG153</f>
        <v>450000</v>
      </c>
      <c r="AI153" s="867"/>
      <c r="AJ153" s="986"/>
      <c r="AK153" s="986">
        <f>+$AF$153*10%</f>
        <v>45000</v>
      </c>
      <c r="AL153" s="986">
        <f>+$AF$153*30%</f>
        <v>135000</v>
      </c>
      <c r="AM153" s="986">
        <f>+$AF$153*60%</f>
        <v>270000</v>
      </c>
      <c r="AN153" s="1038"/>
      <c r="AO153" s="1038">
        <f t="shared" si="19"/>
        <v>450000</v>
      </c>
      <c r="AQ153" s="1027"/>
    </row>
    <row r="154" spans="1:51" s="108" customFormat="1" ht="27.5" customHeight="1" outlineLevel="3">
      <c r="A154" s="580"/>
      <c r="B154" s="107" t="s">
        <v>3431</v>
      </c>
      <c r="C154" s="107"/>
      <c r="D154" s="533" t="s">
        <v>951</v>
      </c>
      <c r="E154" s="533"/>
      <c r="F154" s="103"/>
      <c r="G154" s="97"/>
      <c r="H154" s="363"/>
      <c r="I154" s="364"/>
      <c r="J154" s="365"/>
      <c r="K154" s="365"/>
      <c r="L154" s="365"/>
      <c r="M154" s="365"/>
      <c r="N154" s="365"/>
      <c r="O154" s="365"/>
      <c r="P154" s="365"/>
      <c r="Q154" s="97"/>
      <c r="R154" s="3899"/>
      <c r="S154" s="3899"/>
      <c r="T154" s="3899"/>
      <c r="U154" s="3899"/>
      <c r="V154" s="181"/>
      <c r="W154" s="97"/>
      <c r="X154" s="711" t="s">
        <v>1179</v>
      </c>
      <c r="Y154" s="712">
        <v>1</v>
      </c>
      <c r="Z154" s="179"/>
      <c r="AA154" s="180"/>
      <c r="AB154" s="1032">
        <v>450000</v>
      </c>
      <c r="AC154" s="1032">
        <f>Y154*AB154</f>
        <v>450000</v>
      </c>
      <c r="AD154" s="937"/>
      <c r="AE154" s="97"/>
      <c r="AF154" s="1032">
        <f>+AC154</f>
        <v>450000</v>
      </c>
      <c r="AG154" s="1032"/>
      <c r="AH154" s="1041">
        <f>AF154+AG154</f>
        <v>450000</v>
      </c>
      <c r="AI154" s="867"/>
      <c r="AJ154" s="986"/>
      <c r="AK154" s="986">
        <f>+$AF$153*10%</f>
        <v>45000</v>
      </c>
      <c r="AL154" s="986">
        <f>+$AF$153*30%</f>
        <v>135000</v>
      </c>
      <c r="AM154" s="986">
        <f>+$AF$153*60%</f>
        <v>270000</v>
      </c>
      <c r="AN154" s="1038"/>
      <c r="AO154" s="1038">
        <f t="shared" si="19"/>
        <v>450000</v>
      </c>
      <c r="AQ154" s="1027"/>
    </row>
    <row r="155" spans="1:51" s="108" customFormat="1" ht="14" customHeight="1" outlineLevel="2">
      <c r="A155" s="580"/>
      <c r="B155" s="107"/>
      <c r="C155" s="107"/>
      <c r="D155" s="533"/>
      <c r="E155" s="533"/>
      <c r="F155" s="103"/>
      <c r="G155" s="97"/>
      <c r="H155" s="363"/>
      <c r="I155" s="364"/>
      <c r="J155" s="365"/>
      <c r="K155" s="365"/>
      <c r="L155" s="365"/>
      <c r="M155" s="365"/>
      <c r="N155" s="365"/>
      <c r="O155" s="365"/>
      <c r="P155" s="365"/>
      <c r="Q155" s="97"/>
      <c r="R155" s="364"/>
      <c r="S155" s="364"/>
      <c r="T155" s="364"/>
      <c r="U155" s="364"/>
      <c r="V155" s="181"/>
      <c r="W155" s="97"/>
      <c r="X155" s="711"/>
      <c r="Y155" s="712"/>
      <c r="Z155" s="179"/>
      <c r="AA155" s="180"/>
      <c r="AB155" s="1032"/>
      <c r="AC155" s="1032"/>
      <c r="AD155" s="937"/>
      <c r="AE155" s="97"/>
      <c r="AF155" s="1032"/>
      <c r="AG155" s="1032"/>
      <c r="AH155" s="1041"/>
      <c r="AI155" s="867"/>
      <c r="AJ155" s="986"/>
      <c r="AK155" s="986"/>
      <c r="AL155" s="986"/>
      <c r="AM155" s="987"/>
      <c r="AN155" s="1038"/>
      <c r="AO155" s="1038">
        <f t="shared" si="19"/>
        <v>0</v>
      </c>
      <c r="AQ155" s="1027"/>
    </row>
    <row r="156" spans="1:51" s="878" customFormat="1" outlineLevel="1">
      <c r="A156" s="159"/>
      <c r="B156" s="702"/>
      <c r="C156" s="702"/>
      <c r="D156" s="533"/>
      <c r="E156" s="533"/>
      <c r="F156" s="103"/>
      <c r="G156" s="96"/>
      <c r="H156" s="366"/>
      <c r="I156" s="367"/>
      <c r="J156" s="367"/>
      <c r="K156" s="367"/>
      <c r="L156" s="368"/>
      <c r="M156" s="368"/>
      <c r="N156" s="368"/>
      <c r="O156" s="368"/>
      <c r="P156" s="368"/>
      <c r="Q156" s="96"/>
      <c r="R156" s="364"/>
      <c r="S156" s="364"/>
      <c r="T156" s="364"/>
      <c r="U156" s="364"/>
      <c r="V156" s="173"/>
      <c r="W156" s="96"/>
      <c r="X156" s="711"/>
      <c r="Y156" s="704"/>
      <c r="Z156" s="704"/>
      <c r="AA156" s="354"/>
      <c r="AB156" s="355"/>
      <c r="AC156" s="355"/>
      <c r="AD156" s="693"/>
      <c r="AE156" s="96"/>
      <c r="AF156" s="455">
        <f>+AC156</f>
        <v>0</v>
      </c>
      <c r="AG156" s="355"/>
      <c r="AH156" s="355"/>
      <c r="AI156" s="865"/>
      <c r="AJ156" s="996"/>
      <c r="AK156" s="996"/>
      <c r="AL156" s="996"/>
      <c r="AM156" s="997"/>
      <c r="AN156" s="1006"/>
      <c r="AO156" s="1006">
        <f t="shared" si="19"/>
        <v>0</v>
      </c>
      <c r="AP156" s="153"/>
      <c r="AQ156" s="1027"/>
      <c r="AR156" s="153"/>
      <c r="AS156" s="153"/>
      <c r="AT156" s="153"/>
      <c r="AU156" s="153"/>
      <c r="AV156" s="153"/>
      <c r="AW156" s="153"/>
      <c r="AX156" s="153"/>
      <c r="AY156" s="153"/>
    </row>
    <row r="157" spans="1:51" s="878" customFormat="1" ht="28.25" customHeight="1">
      <c r="A157" s="577"/>
      <c r="B157" s="67" t="s">
        <v>518</v>
      </c>
      <c r="C157" s="67"/>
      <c r="D157" s="543" t="s">
        <v>258</v>
      </c>
      <c r="E157" s="543" t="s">
        <v>5</v>
      </c>
      <c r="F157" s="68"/>
      <c r="G157" s="95"/>
      <c r="H157" s="369"/>
      <c r="I157" s="370"/>
      <c r="J157" s="371"/>
      <c r="K157" s="371"/>
      <c r="L157" s="371"/>
      <c r="M157" s="371"/>
      <c r="N157" s="371"/>
      <c r="O157" s="371"/>
      <c r="P157" s="371"/>
      <c r="Q157" s="95"/>
      <c r="R157" s="370"/>
      <c r="S157" s="370"/>
      <c r="T157" s="370"/>
      <c r="U157" s="370"/>
      <c r="V157" s="169"/>
      <c r="W157" s="95"/>
      <c r="X157" s="68"/>
      <c r="Y157" s="166"/>
      <c r="Z157" s="166"/>
      <c r="AA157" s="170"/>
      <c r="AB157" s="69"/>
      <c r="AC157" s="69">
        <f>+AC158+AC195+AC213</f>
        <v>10480000</v>
      </c>
      <c r="AD157" s="69">
        <f>20000000-AC157</f>
        <v>9520000</v>
      </c>
      <c r="AE157" s="95"/>
      <c r="AF157" s="69">
        <f>+AF158+AF195+AF213</f>
        <v>10480000</v>
      </c>
      <c r="AG157" s="69">
        <f>+AG158+AG195+AG213</f>
        <v>0</v>
      </c>
      <c r="AH157" s="69">
        <f>+AH158+AH195+AH213</f>
        <v>10480000</v>
      </c>
      <c r="AI157" s="864"/>
      <c r="AJ157" s="974">
        <f>+AJ158+AJ195+AJ213</f>
        <v>1777000</v>
      </c>
      <c r="AK157" s="974">
        <f>+AK158+AK195+AK213</f>
        <v>3000000</v>
      </c>
      <c r="AL157" s="974">
        <f>+AL158+AL195+AL213</f>
        <v>1677000</v>
      </c>
      <c r="AM157" s="975">
        <f>+AM158+AM195+AM213</f>
        <v>2601000</v>
      </c>
      <c r="AN157" s="973">
        <f>+AN158+AN195+AN213</f>
        <v>1425000</v>
      </c>
      <c r="AO157" s="973">
        <f t="shared" si="19"/>
        <v>10480000</v>
      </c>
      <c r="AP157" s="153"/>
      <c r="AQ157" s="1027"/>
      <c r="AR157" s="153"/>
      <c r="AS157" s="153"/>
      <c r="AT157" s="153"/>
      <c r="AU157" s="153"/>
      <c r="AV157" s="153"/>
      <c r="AW157" s="153"/>
      <c r="AX157" s="153"/>
      <c r="AY157" s="153"/>
    </row>
    <row r="158" spans="1:51" s="153" customFormat="1" ht="26.5" customHeight="1" outlineLevel="1">
      <c r="A158" s="578"/>
      <c r="B158" s="428" t="s">
        <v>519</v>
      </c>
      <c r="C158" s="428"/>
      <c r="D158" s="539" t="s">
        <v>259</v>
      </c>
      <c r="E158" s="539" t="s">
        <v>5</v>
      </c>
      <c r="F158" s="427"/>
      <c r="G158" s="96"/>
      <c r="H158" s="429"/>
      <c r="I158" s="425"/>
      <c r="J158" s="430"/>
      <c r="K158" s="430"/>
      <c r="L158" s="430"/>
      <c r="M158" s="430"/>
      <c r="N158" s="430"/>
      <c r="O158" s="430"/>
      <c r="P158" s="430"/>
      <c r="Q158" s="96"/>
      <c r="R158" s="850"/>
      <c r="S158" s="850"/>
      <c r="T158" s="850"/>
      <c r="U158" s="850"/>
      <c r="V158" s="431"/>
      <c r="W158" s="96"/>
      <c r="X158" s="426"/>
      <c r="Y158" s="425"/>
      <c r="Z158" s="425"/>
      <c r="AA158" s="432"/>
      <c r="AB158" s="433"/>
      <c r="AC158" s="433">
        <f>+AC159+AC165+AC177+AC185</f>
        <v>2345000</v>
      </c>
      <c r="AD158" s="685"/>
      <c r="AE158" s="96"/>
      <c r="AF158" s="433">
        <f>+AF159+AF165+AF177+AF185</f>
        <v>2345000</v>
      </c>
      <c r="AG158" s="433">
        <f>+AG159+AG165+AG177+AG196+AG185</f>
        <v>0</v>
      </c>
      <c r="AH158" s="433">
        <f>+AH159+AH165+AH177+AH185</f>
        <v>2345000</v>
      </c>
      <c r="AI158" s="865"/>
      <c r="AJ158" s="977">
        <f>+AJ159+AJ165+AJ177+AJ185</f>
        <v>1132000</v>
      </c>
      <c r="AK158" s="977">
        <f>+AK159+AK165+AK177+AK185</f>
        <v>973000</v>
      </c>
      <c r="AL158" s="977">
        <f>+AL159+AL165+AL177+AL185</f>
        <v>80000</v>
      </c>
      <c r="AM158" s="978">
        <f>+AM159+AM165+AM177+AM185</f>
        <v>80000</v>
      </c>
      <c r="AN158" s="976">
        <f>+AN159+AN165+AN177+AN185</f>
        <v>80000</v>
      </c>
      <c r="AO158" s="976">
        <f t="shared" si="19"/>
        <v>2345000</v>
      </c>
      <c r="AQ158" s="1027"/>
    </row>
    <row r="159" spans="1:51" s="153" customFormat="1" ht="24.5" customHeight="1" outlineLevel="2">
      <c r="A159" s="172"/>
      <c r="B159" s="171" t="s">
        <v>520</v>
      </c>
      <c r="C159" s="171"/>
      <c r="D159" s="538" t="s">
        <v>3277</v>
      </c>
      <c r="E159" s="538" t="s">
        <v>5</v>
      </c>
      <c r="F159" s="106" t="s">
        <v>3432</v>
      </c>
      <c r="G159" s="96"/>
      <c r="H159" s="357" t="e">
        <f>+'1_MdR_Limpia'!#REF!</f>
        <v>#REF!</v>
      </c>
      <c r="I159" s="357" t="e">
        <f>+'1_MdR_Limpia'!#REF!</f>
        <v>#REF!</v>
      </c>
      <c r="J159" s="357" t="e">
        <f>+'1_MdR_Limpia'!#REF!</f>
        <v>#REF!</v>
      </c>
      <c r="K159" s="357" t="e">
        <f>+'1_MdR_Limpia'!#REF!</f>
        <v>#REF!</v>
      </c>
      <c r="L159" s="357" t="e">
        <f>+'1_MdR_Limpia'!#REF!</f>
        <v>#REF!</v>
      </c>
      <c r="M159" s="357" t="e">
        <f>+'1_MdR_Limpia'!#REF!</f>
        <v>#REF!</v>
      </c>
      <c r="N159" s="357" t="e">
        <f>+'1_MdR_Limpia'!#REF!</f>
        <v>#REF!</v>
      </c>
      <c r="O159" s="357" t="e">
        <f>+'1_MdR_Limpia'!#REF!</f>
        <v>#REF!</v>
      </c>
      <c r="P159" s="357" t="e">
        <f>+'1_MdR_Limpia'!#REF!</f>
        <v>#REF!</v>
      </c>
      <c r="Q159" s="96"/>
      <c r="R159" s="854"/>
      <c r="S159" s="358"/>
      <c r="T159" s="358"/>
      <c r="U159" s="358"/>
      <c r="V159" s="106"/>
      <c r="W159" s="96"/>
      <c r="X159" s="106"/>
      <c r="Y159" s="172"/>
      <c r="Z159" s="172"/>
      <c r="AA159" s="171"/>
      <c r="AB159" s="176"/>
      <c r="AC159" s="176">
        <f>+AC161+AC164</f>
        <v>545000</v>
      </c>
      <c r="AD159" s="692"/>
      <c r="AE159" s="96"/>
      <c r="AF159" s="176">
        <f>+AF161+AF164</f>
        <v>545000</v>
      </c>
      <c r="AG159" s="176">
        <f>+AG161+AG164</f>
        <v>0</v>
      </c>
      <c r="AH159" s="176">
        <f>+AH161+AH164</f>
        <v>545000</v>
      </c>
      <c r="AI159" s="865"/>
      <c r="AJ159" s="980">
        <f>+AJ161+AJ164</f>
        <v>530000</v>
      </c>
      <c r="AK159" s="980">
        <f>+AK161+AK164</f>
        <v>15000</v>
      </c>
      <c r="AL159" s="980">
        <f>+AL161+AL164</f>
        <v>0</v>
      </c>
      <c r="AM159" s="981">
        <f>+AM161+AM164</f>
        <v>0</v>
      </c>
      <c r="AN159" s="979">
        <f>+AN161+AN164</f>
        <v>0</v>
      </c>
      <c r="AO159" s="979">
        <f t="shared" si="19"/>
        <v>545000</v>
      </c>
      <c r="AQ159" s="1027"/>
    </row>
    <row r="160" spans="1:51" s="879" customFormat="1" ht="27.5" customHeight="1" outlineLevel="3">
      <c r="A160" s="583" t="s">
        <v>2629</v>
      </c>
      <c r="B160" s="550" t="s">
        <v>2415</v>
      </c>
      <c r="C160" s="550"/>
      <c r="D160" s="537" t="s">
        <v>3725</v>
      </c>
      <c r="E160" s="537"/>
      <c r="F160" s="491"/>
      <c r="G160" s="492"/>
      <c r="H160" s="493"/>
      <c r="I160" s="495"/>
      <c r="J160" s="495"/>
      <c r="K160" s="495"/>
      <c r="L160" s="495"/>
      <c r="M160" s="495"/>
      <c r="N160" s="495"/>
      <c r="O160" s="495"/>
      <c r="P160" s="495"/>
      <c r="Q160" s="492"/>
      <c r="R160" s="494" t="s">
        <v>876</v>
      </c>
      <c r="S160" s="494"/>
      <c r="T160" s="494"/>
      <c r="U160" s="494"/>
      <c r="V160" s="496"/>
      <c r="W160" s="492"/>
      <c r="X160" s="498"/>
      <c r="Y160" s="499"/>
      <c r="Z160" s="500"/>
      <c r="AA160" s="501"/>
      <c r="AB160" s="502"/>
      <c r="AC160" s="187">
        <f>+Y160*Z160*AB160</f>
        <v>0</v>
      </c>
      <c r="AD160" s="678" t="s">
        <v>3726</v>
      </c>
      <c r="AE160" s="492"/>
      <c r="AF160" s="502">
        <f>+AC160</f>
        <v>0</v>
      </c>
      <c r="AG160" s="502"/>
      <c r="AH160" s="503">
        <f>AF160+AG160</f>
        <v>0</v>
      </c>
      <c r="AI160" s="866"/>
      <c r="AJ160" s="983"/>
      <c r="AK160" s="983"/>
      <c r="AL160" s="983"/>
      <c r="AM160" s="984"/>
      <c r="AN160" s="985"/>
      <c r="AO160" s="1003">
        <f t="shared" si="19"/>
        <v>0</v>
      </c>
      <c r="AP160" s="153"/>
      <c r="AQ160" s="1027"/>
    </row>
    <row r="161" spans="1:43" s="108" customFormat="1" ht="27.5" customHeight="1" outlineLevel="3">
      <c r="A161" s="159"/>
      <c r="B161" s="702" t="s">
        <v>2417</v>
      </c>
      <c r="C161" s="702"/>
      <c r="D161" s="533" t="s">
        <v>3727</v>
      </c>
      <c r="E161" s="533"/>
      <c r="F161" s="103"/>
      <c r="G161" s="97"/>
      <c r="H161" s="363"/>
      <c r="I161" s="364"/>
      <c r="J161" s="365"/>
      <c r="K161" s="365"/>
      <c r="L161" s="365"/>
      <c r="M161" s="365"/>
      <c r="N161" s="365"/>
      <c r="O161" s="365"/>
      <c r="P161" s="365"/>
      <c r="Q161" s="97"/>
      <c r="R161" s="3897" t="str">
        <f>+'9.3_PA_Det'!$E$65</f>
        <v>Selección Basada en Calidad y Costo</v>
      </c>
      <c r="S161" s="3897" t="s">
        <v>1075</v>
      </c>
      <c r="T161" s="3897" t="s">
        <v>1198</v>
      </c>
      <c r="U161" s="3897">
        <f>+'9.3_PA_Det'!$F$65</f>
        <v>25</v>
      </c>
      <c r="V161" s="3903"/>
      <c r="W161" s="97"/>
      <c r="X161" s="3903" t="s">
        <v>3728</v>
      </c>
      <c r="Y161" s="3841">
        <v>1</v>
      </c>
      <c r="Z161" s="3841"/>
      <c r="AA161" s="3841"/>
      <c r="AB161" s="3844">
        <v>500000</v>
      </c>
      <c r="AC161" s="3844">
        <f>+Y161*AB161</f>
        <v>500000</v>
      </c>
      <c r="AD161" s="1042"/>
      <c r="AE161" s="97"/>
      <c r="AF161" s="3844">
        <f>+AC161</f>
        <v>500000</v>
      </c>
      <c r="AG161" s="3844">
        <f>SUM(AG162:AG162)</f>
        <v>0</v>
      </c>
      <c r="AH161" s="3844">
        <f>+AG161+AF161</f>
        <v>500000</v>
      </c>
      <c r="AI161" s="867"/>
      <c r="AJ161" s="4641">
        <f>+AF161</f>
        <v>500000</v>
      </c>
      <c r="AK161" s="4641"/>
      <c r="AL161" s="4641"/>
      <c r="AM161" s="4641"/>
      <c r="AN161" s="4641"/>
      <c r="AO161" s="4641">
        <f t="shared" si="19"/>
        <v>500000</v>
      </c>
      <c r="AP161" s="153"/>
      <c r="AQ161" s="1027"/>
    </row>
    <row r="162" spans="1:43" s="108" customFormat="1" ht="27.5" customHeight="1" outlineLevel="3">
      <c r="B162" s="702" t="s">
        <v>2427</v>
      </c>
      <c r="C162" s="702"/>
      <c r="D162" s="533" t="s">
        <v>3729</v>
      </c>
      <c r="E162" s="533"/>
      <c r="F162" s="103"/>
      <c r="G162" s="97"/>
      <c r="H162" s="363"/>
      <c r="I162" s="364"/>
      <c r="J162" s="365"/>
      <c r="K162" s="365"/>
      <c r="L162" s="365"/>
      <c r="M162" s="365"/>
      <c r="N162" s="365"/>
      <c r="O162" s="365"/>
      <c r="P162" s="365"/>
      <c r="Q162" s="97"/>
      <c r="R162" s="3898"/>
      <c r="S162" s="3898"/>
      <c r="T162" s="3898"/>
      <c r="U162" s="3898"/>
      <c r="V162" s="3933"/>
      <c r="W162" s="97"/>
      <c r="X162" s="3933"/>
      <c r="Y162" s="3842"/>
      <c r="Z162" s="3842"/>
      <c r="AA162" s="3842"/>
      <c r="AB162" s="3845"/>
      <c r="AC162" s="3845">
        <f>Y162*AB162</f>
        <v>0</v>
      </c>
      <c r="AD162" s="1042"/>
      <c r="AE162" s="97"/>
      <c r="AF162" s="3845">
        <f>+AC162</f>
        <v>0</v>
      </c>
      <c r="AG162" s="3845"/>
      <c r="AH162" s="3845">
        <f>AF162+AG162</f>
        <v>0</v>
      </c>
      <c r="AI162" s="867"/>
      <c r="AJ162" s="4642"/>
      <c r="AK162" s="4642"/>
      <c r="AL162" s="4642"/>
      <c r="AM162" s="4642"/>
      <c r="AN162" s="4642"/>
      <c r="AO162" s="4642">
        <f t="shared" si="19"/>
        <v>0</v>
      </c>
      <c r="AP162" s="153"/>
      <c r="AQ162" s="1027"/>
    </row>
    <row r="163" spans="1:43" s="108" customFormat="1" ht="27" customHeight="1" outlineLevel="3">
      <c r="A163" s="159"/>
      <c r="B163" s="702" t="s">
        <v>2433</v>
      </c>
      <c r="C163" s="702"/>
      <c r="D163" s="533" t="s">
        <v>2434</v>
      </c>
      <c r="E163" s="533"/>
      <c r="F163" s="103"/>
      <c r="G163" s="97"/>
      <c r="H163" s="363"/>
      <c r="I163" s="364"/>
      <c r="J163" s="365"/>
      <c r="K163" s="365"/>
      <c r="L163" s="365"/>
      <c r="M163" s="365"/>
      <c r="N163" s="365"/>
      <c r="O163" s="365"/>
      <c r="P163" s="365"/>
      <c r="Q163" s="97"/>
      <c r="R163" s="3899"/>
      <c r="S163" s="3899"/>
      <c r="T163" s="3899"/>
      <c r="U163" s="3899"/>
      <c r="V163" s="3934"/>
      <c r="W163" s="97"/>
      <c r="X163" s="3934"/>
      <c r="Y163" s="3843"/>
      <c r="Z163" s="3843"/>
      <c r="AA163" s="3843"/>
      <c r="AB163" s="3846"/>
      <c r="AC163" s="3846"/>
      <c r="AD163" s="1042"/>
      <c r="AE163" s="97"/>
      <c r="AF163" s="3846">
        <f>+AC163</f>
        <v>0</v>
      </c>
      <c r="AG163" s="3846" t="e">
        <f>SUM(AG165:AG196)</f>
        <v>#REF!</v>
      </c>
      <c r="AH163" s="3846" t="e">
        <f>SUM(AH165:AH196)</f>
        <v>#REF!</v>
      </c>
      <c r="AI163" s="867"/>
      <c r="AJ163" s="4644"/>
      <c r="AK163" s="4644"/>
      <c r="AL163" s="4644"/>
      <c r="AM163" s="4644"/>
      <c r="AN163" s="4644"/>
      <c r="AO163" s="4644">
        <f t="shared" si="19"/>
        <v>0</v>
      </c>
      <c r="AP163" s="153"/>
      <c r="AQ163" s="1027"/>
    </row>
    <row r="164" spans="1:43" s="108" customFormat="1" ht="27.5" customHeight="1" outlineLevel="3">
      <c r="A164" s="159"/>
      <c r="B164" s="702" t="s">
        <v>2435</v>
      </c>
      <c r="C164" s="702"/>
      <c r="D164" s="533" t="s">
        <v>3730</v>
      </c>
      <c r="E164" s="533"/>
      <c r="F164" s="103"/>
      <c r="G164" s="97"/>
      <c r="H164" s="363"/>
      <c r="I164" s="364"/>
      <c r="J164" s="365"/>
      <c r="K164" s="365"/>
      <c r="L164" s="365"/>
      <c r="M164" s="365"/>
      <c r="N164" s="365"/>
      <c r="O164" s="365"/>
      <c r="P164" s="365"/>
      <c r="Q164" s="97"/>
      <c r="R164" s="364" t="str">
        <f>'9.3_PA_Det'!$E$176</f>
        <v>3CV</v>
      </c>
      <c r="S164" s="364" t="s">
        <v>1075</v>
      </c>
      <c r="T164" s="364" t="s">
        <v>1430</v>
      </c>
      <c r="U164" s="364">
        <f>'9.3_PA_Det'!$F$176</f>
        <v>67</v>
      </c>
      <c r="V164" s="181"/>
      <c r="W164" s="97"/>
      <c r="X164" s="126" t="s">
        <v>1267</v>
      </c>
      <c r="Y164" s="1046">
        <v>1</v>
      </c>
      <c r="Z164" s="1046">
        <v>15</v>
      </c>
      <c r="AA164" s="186"/>
      <c r="AB164" s="1047">
        <v>3000</v>
      </c>
      <c r="AC164" s="187">
        <f>+Y164*Z164*AB164</f>
        <v>45000</v>
      </c>
      <c r="AD164" s="1042"/>
      <c r="AE164" s="97"/>
      <c r="AF164" s="1032">
        <f>+AC164</f>
        <v>45000</v>
      </c>
      <c r="AG164" s="1032"/>
      <c r="AH164" s="1041">
        <f>+AG164+AF164</f>
        <v>45000</v>
      </c>
      <c r="AI164" s="867"/>
      <c r="AJ164" s="1038">
        <f>+AB164*10</f>
        <v>30000</v>
      </c>
      <c r="AK164" s="1038">
        <f>+AB164*5</f>
        <v>15000</v>
      </c>
      <c r="AL164" s="1038"/>
      <c r="AM164" s="1004"/>
      <c r="AN164" s="1038"/>
      <c r="AO164" s="1003">
        <f t="shared" si="19"/>
        <v>45000</v>
      </c>
      <c r="AP164" s="153"/>
      <c r="AQ164" s="1027"/>
    </row>
    <row r="165" spans="1:43" s="153" customFormat="1" ht="28.25" customHeight="1" outlineLevel="2">
      <c r="A165" s="172"/>
      <c r="B165" s="171" t="s">
        <v>522</v>
      </c>
      <c r="C165" s="171"/>
      <c r="D165" s="538" t="s">
        <v>3278</v>
      </c>
      <c r="E165" s="538" t="s">
        <v>5</v>
      </c>
      <c r="F165" s="106" t="s">
        <v>3444</v>
      </c>
      <c r="G165" s="96"/>
      <c r="H165" s="357" t="e">
        <f>+'1_MdR_Limpia'!#REF!</f>
        <v>#REF!</v>
      </c>
      <c r="I165" s="357" t="e">
        <f>+'1_MdR_Limpia'!#REF!</f>
        <v>#REF!</v>
      </c>
      <c r="J165" s="357" t="e">
        <f>+'1_MdR_Limpia'!#REF!</f>
        <v>#REF!</v>
      </c>
      <c r="K165" s="357" t="e">
        <f>+'1_MdR_Limpia'!#REF!</f>
        <v>#REF!</v>
      </c>
      <c r="L165" s="357" t="e">
        <f>+'1_MdR_Limpia'!#REF!</f>
        <v>#REF!</v>
      </c>
      <c r="M165" s="357" t="e">
        <f>+'1_MdR_Limpia'!#REF!</f>
        <v>#REF!</v>
      </c>
      <c r="N165" s="357" t="e">
        <f>+'1_MdR_Limpia'!#REF!</f>
        <v>#REF!</v>
      </c>
      <c r="O165" s="357" t="e">
        <f>+'1_MdR_Limpia'!#REF!</f>
        <v>#REF!</v>
      </c>
      <c r="P165" s="357" t="e">
        <f>+'1_MdR_Limpia'!#REF!</f>
        <v>#REF!</v>
      </c>
      <c r="Q165" s="96"/>
      <c r="R165" s="854"/>
      <c r="S165" s="358"/>
      <c r="T165" s="358"/>
      <c r="U165" s="358"/>
      <c r="V165" s="106"/>
      <c r="W165" s="96"/>
      <c r="X165" s="106"/>
      <c r="Y165" s="172"/>
      <c r="Z165" s="172"/>
      <c r="AA165" s="171"/>
      <c r="AB165" s="176"/>
      <c r="AC165" s="176">
        <f>+AC166+AC171+AC176</f>
        <v>840000</v>
      </c>
      <c r="AD165" s="692"/>
      <c r="AE165" s="96"/>
      <c r="AF165" s="176">
        <f t="shared" ref="AF165:AF170" si="20">+AC165</f>
        <v>840000</v>
      </c>
      <c r="AG165" s="176">
        <v>0</v>
      </c>
      <c r="AH165" s="176">
        <f>AF165+AG165</f>
        <v>840000</v>
      </c>
      <c r="AI165" s="865"/>
      <c r="AJ165" s="980">
        <f>+AJ166+AJ171+AJ176</f>
        <v>342000</v>
      </c>
      <c r="AK165" s="980">
        <f>+AK166+AK171+AK176</f>
        <v>498000</v>
      </c>
      <c r="AL165" s="980">
        <f>+AL166+AL171+AL176</f>
        <v>0</v>
      </c>
      <c r="AM165" s="981">
        <f>+AM166+AM171+AM176</f>
        <v>0</v>
      </c>
      <c r="AN165" s="979">
        <f>+AN166+AN171+AN176</f>
        <v>0</v>
      </c>
      <c r="AO165" s="979">
        <f t="shared" si="19"/>
        <v>840000</v>
      </c>
      <c r="AQ165" s="1027"/>
    </row>
    <row r="166" spans="1:43" s="153" customFormat="1" ht="27.5" customHeight="1" outlineLevel="3">
      <c r="A166" s="581"/>
      <c r="B166" s="400" t="s">
        <v>2439</v>
      </c>
      <c r="C166" s="400"/>
      <c r="D166" s="536" t="s">
        <v>2441</v>
      </c>
      <c r="E166" s="536"/>
      <c r="F166" s="399"/>
      <c r="G166" s="96"/>
      <c r="H166" s="401"/>
      <c r="I166" s="401"/>
      <c r="J166" s="402"/>
      <c r="K166" s="402"/>
      <c r="L166" s="402"/>
      <c r="M166" s="402"/>
      <c r="N166" s="402"/>
      <c r="O166" s="402"/>
      <c r="P166" s="402"/>
      <c r="Q166" s="96"/>
      <c r="R166" s="837"/>
      <c r="S166" s="851"/>
      <c r="T166" s="851"/>
      <c r="U166" s="851"/>
      <c r="V166" s="399"/>
      <c r="W166" s="96"/>
      <c r="X166" s="396"/>
      <c r="Y166" s="397"/>
      <c r="Z166" s="397"/>
      <c r="AA166" s="395"/>
      <c r="AB166" s="398"/>
      <c r="AC166" s="398">
        <f>SUM(AC167:AC170)</f>
        <v>500000</v>
      </c>
      <c r="AD166" s="680"/>
      <c r="AE166" s="96"/>
      <c r="AF166" s="398">
        <f>SUM(AF167:AF170)</f>
        <v>500000</v>
      </c>
      <c r="AG166" s="398">
        <f>SUM(AG167:AG170)</f>
        <v>0</v>
      </c>
      <c r="AH166" s="398">
        <f>SUM(AH167:AH170)</f>
        <v>500000</v>
      </c>
      <c r="AI166" s="865"/>
      <c r="AJ166" s="992">
        <f>SUM(AJ167:AJ170)</f>
        <v>200000</v>
      </c>
      <c r="AK166" s="992">
        <f>SUM(AK167:AK170)</f>
        <v>300000</v>
      </c>
      <c r="AL166" s="992">
        <f>SUM(AL167:AL170)</f>
        <v>0</v>
      </c>
      <c r="AM166" s="993">
        <f>SUM(AM167:AM170)</f>
        <v>0</v>
      </c>
      <c r="AN166" s="994">
        <f>SUM(AN167:AN170)</f>
        <v>0</v>
      </c>
      <c r="AO166" s="994">
        <f t="shared" si="19"/>
        <v>500000</v>
      </c>
      <c r="AQ166" s="1027"/>
    </row>
    <row r="167" spans="1:43" s="108" customFormat="1" ht="14" customHeight="1" outlineLevel="4">
      <c r="A167" s="184"/>
      <c r="B167" s="441" t="s">
        <v>2442</v>
      </c>
      <c r="C167" s="441"/>
      <c r="D167" s="533" t="s">
        <v>2443</v>
      </c>
      <c r="E167" s="533"/>
      <c r="F167" s="103"/>
      <c r="G167" s="97"/>
      <c r="H167" s="363"/>
      <c r="I167" s="364"/>
      <c r="J167" s="365"/>
      <c r="K167" s="365"/>
      <c r="L167" s="365"/>
      <c r="M167" s="365"/>
      <c r="N167" s="365"/>
      <c r="O167" s="365"/>
      <c r="P167" s="365"/>
      <c r="Q167" s="97"/>
      <c r="R167" s="3897" t="str">
        <f>+'9.3_PA_Det'!$E$68</f>
        <v>Selección Basada en Calidad y Costo</v>
      </c>
      <c r="S167" s="3897" t="s">
        <v>1075</v>
      </c>
      <c r="T167" s="4718" t="s">
        <v>1198</v>
      </c>
      <c r="U167" s="3897">
        <f>+'9.3_PA_Det'!$F$68</f>
        <v>26</v>
      </c>
      <c r="V167" s="3990"/>
      <c r="W167" s="97"/>
      <c r="X167" s="711" t="s">
        <v>1179</v>
      </c>
      <c r="Y167" s="712">
        <v>1</v>
      </c>
      <c r="Z167" s="179"/>
      <c r="AA167" s="180"/>
      <c r="AB167" s="1048">
        <v>125000</v>
      </c>
      <c r="AC167" s="1032">
        <f>Y167*AB167</f>
        <v>125000</v>
      </c>
      <c r="AD167" s="1042"/>
      <c r="AE167" s="97"/>
      <c r="AF167" s="1032">
        <f t="shared" si="20"/>
        <v>125000</v>
      </c>
      <c r="AG167" s="1032"/>
      <c r="AH167" s="1041">
        <f>AF167+AG167</f>
        <v>125000</v>
      </c>
      <c r="AI167" s="867"/>
      <c r="AJ167" s="986">
        <f>+AF167*40%</f>
        <v>50000</v>
      </c>
      <c r="AK167" s="986">
        <f>+AF167*60%</f>
        <v>75000</v>
      </c>
      <c r="AL167" s="986"/>
      <c r="AM167" s="987"/>
      <c r="AN167" s="1044"/>
      <c r="AO167" s="1038">
        <f t="shared" si="19"/>
        <v>125000</v>
      </c>
      <c r="AP167" s="153"/>
      <c r="AQ167" s="1027"/>
    </row>
    <row r="168" spans="1:43" s="108" customFormat="1" ht="27.5" customHeight="1" outlineLevel="4">
      <c r="A168" s="184"/>
      <c r="B168" s="441" t="s">
        <v>2444</v>
      </c>
      <c r="C168" s="441"/>
      <c r="D168" s="533" t="s">
        <v>2445</v>
      </c>
      <c r="E168" s="533"/>
      <c r="F168" s="103"/>
      <c r="G168" s="97"/>
      <c r="H168" s="363"/>
      <c r="I168" s="364"/>
      <c r="J168" s="365"/>
      <c r="K168" s="365"/>
      <c r="L168" s="365"/>
      <c r="M168" s="365"/>
      <c r="N168" s="365"/>
      <c r="O168" s="365"/>
      <c r="P168" s="365"/>
      <c r="Q168" s="97"/>
      <c r="R168" s="3898"/>
      <c r="S168" s="3898"/>
      <c r="T168" s="4719"/>
      <c r="U168" s="3898"/>
      <c r="V168" s="3991"/>
      <c r="W168" s="97"/>
      <c r="X168" s="711" t="s">
        <v>1179</v>
      </c>
      <c r="Y168" s="712">
        <v>1</v>
      </c>
      <c r="Z168" s="179"/>
      <c r="AA168" s="180"/>
      <c r="AB168" s="1048">
        <v>125000</v>
      </c>
      <c r="AC168" s="1032">
        <f>Y168*AB168</f>
        <v>125000</v>
      </c>
      <c r="AD168" s="1042"/>
      <c r="AE168" s="97"/>
      <c r="AF168" s="1032">
        <f t="shared" si="20"/>
        <v>125000</v>
      </c>
      <c r="AG168" s="1032"/>
      <c r="AH168" s="1041">
        <f>AF168+AG168</f>
        <v>125000</v>
      </c>
      <c r="AI168" s="867"/>
      <c r="AJ168" s="986">
        <f>+AF168*40%</f>
        <v>50000</v>
      </c>
      <c r="AK168" s="986">
        <f>+AF168*60%</f>
        <v>75000</v>
      </c>
      <c r="AL168" s="986"/>
      <c r="AM168" s="987"/>
      <c r="AN168" s="1044"/>
      <c r="AO168" s="1038">
        <f t="shared" si="19"/>
        <v>125000</v>
      </c>
      <c r="AP168" s="153"/>
      <c r="AQ168" s="1027"/>
    </row>
    <row r="169" spans="1:43" s="108" customFormat="1" ht="14" customHeight="1" outlineLevel="4">
      <c r="A169" s="184"/>
      <c r="B169" s="441" t="s">
        <v>2446</v>
      </c>
      <c r="C169" s="441"/>
      <c r="D169" s="533" t="s">
        <v>3446</v>
      </c>
      <c r="E169" s="533"/>
      <c r="F169" s="103"/>
      <c r="G169" s="97"/>
      <c r="H169" s="363"/>
      <c r="I169" s="364"/>
      <c r="J169" s="365"/>
      <c r="K169" s="365"/>
      <c r="L169" s="365"/>
      <c r="M169" s="365"/>
      <c r="N169" s="365"/>
      <c r="O169" s="365"/>
      <c r="P169" s="365"/>
      <c r="Q169" s="97"/>
      <c r="R169" s="3898"/>
      <c r="S169" s="3898"/>
      <c r="T169" s="4719"/>
      <c r="U169" s="3898"/>
      <c r="V169" s="3991"/>
      <c r="W169" s="97"/>
      <c r="X169" s="711" t="s">
        <v>1179</v>
      </c>
      <c r="Y169" s="712">
        <v>1</v>
      </c>
      <c r="Z169" s="179"/>
      <c r="AA169" s="180"/>
      <c r="AB169" s="1048">
        <v>125000</v>
      </c>
      <c r="AC169" s="1032">
        <f>Y169*AB169</f>
        <v>125000</v>
      </c>
      <c r="AD169" s="1042"/>
      <c r="AE169" s="97"/>
      <c r="AF169" s="1032">
        <f t="shared" si="20"/>
        <v>125000</v>
      </c>
      <c r="AG169" s="1032"/>
      <c r="AH169" s="1041">
        <f>AF169+AG169</f>
        <v>125000</v>
      </c>
      <c r="AI169" s="867"/>
      <c r="AJ169" s="986">
        <f>+AF169*40%</f>
        <v>50000</v>
      </c>
      <c r="AK169" s="986">
        <f>+AF169*60%</f>
        <v>75000</v>
      </c>
      <c r="AL169" s="986"/>
      <c r="AM169" s="987"/>
      <c r="AN169" s="1044"/>
      <c r="AO169" s="1038">
        <f t="shared" si="19"/>
        <v>125000</v>
      </c>
      <c r="AP169" s="153"/>
      <c r="AQ169" s="1027"/>
    </row>
    <row r="170" spans="1:43" s="108" customFormat="1" ht="14" customHeight="1" outlineLevel="4">
      <c r="A170" s="184"/>
      <c r="B170" s="441" t="s">
        <v>2448</v>
      </c>
      <c r="C170" s="441"/>
      <c r="D170" s="533" t="s">
        <v>3731</v>
      </c>
      <c r="E170" s="533"/>
      <c r="F170" s="103"/>
      <c r="G170" s="97"/>
      <c r="H170" s="363"/>
      <c r="I170" s="364"/>
      <c r="J170" s="365"/>
      <c r="K170" s="365"/>
      <c r="L170" s="365"/>
      <c r="M170" s="365"/>
      <c r="N170" s="365"/>
      <c r="O170" s="365"/>
      <c r="P170" s="365"/>
      <c r="Q170" s="97"/>
      <c r="R170" s="3899"/>
      <c r="S170" s="3899"/>
      <c r="T170" s="4720"/>
      <c r="U170" s="3899"/>
      <c r="V170" s="4603"/>
      <c r="W170" s="97"/>
      <c r="X170" s="711" t="s">
        <v>1179</v>
      </c>
      <c r="Y170" s="712">
        <v>1</v>
      </c>
      <c r="Z170" s="179"/>
      <c r="AA170" s="180"/>
      <c r="AB170" s="1048">
        <v>125000</v>
      </c>
      <c r="AC170" s="1032">
        <f>Y170*AB170</f>
        <v>125000</v>
      </c>
      <c r="AD170" s="1042"/>
      <c r="AE170" s="97"/>
      <c r="AF170" s="1032">
        <f t="shared" si="20"/>
        <v>125000</v>
      </c>
      <c r="AG170" s="1032"/>
      <c r="AH170" s="1041">
        <f>AF170+AG170</f>
        <v>125000</v>
      </c>
      <c r="AI170" s="867"/>
      <c r="AJ170" s="986">
        <f>+AF170*40%</f>
        <v>50000</v>
      </c>
      <c r="AK170" s="986">
        <f>+AF170*60%</f>
        <v>75000</v>
      </c>
      <c r="AL170" s="986"/>
      <c r="AM170" s="987"/>
      <c r="AN170" s="1044"/>
      <c r="AO170" s="1038">
        <f t="shared" si="19"/>
        <v>125000</v>
      </c>
      <c r="AP170" s="153"/>
      <c r="AQ170" s="1027"/>
    </row>
    <row r="171" spans="1:43" s="153" customFormat="1" ht="14" customHeight="1" outlineLevel="3">
      <c r="A171" s="581"/>
      <c r="B171" s="400" t="s">
        <v>2452</v>
      </c>
      <c r="C171" s="400"/>
      <c r="D171" s="536" t="s">
        <v>3732</v>
      </c>
      <c r="E171" s="536"/>
      <c r="F171" s="399"/>
      <c r="G171" s="96"/>
      <c r="H171" s="401"/>
      <c r="I171" s="401"/>
      <c r="J171" s="402"/>
      <c r="K171" s="402"/>
      <c r="L171" s="402"/>
      <c r="M171" s="402"/>
      <c r="N171" s="402"/>
      <c r="O171" s="402"/>
      <c r="P171" s="402"/>
      <c r="Q171" s="96"/>
      <c r="R171" s="837"/>
      <c r="S171" s="851"/>
      <c r="T171" s="851"/>
      <c r="U171" s="851"/>
      <c r="V171" s="399"/>
      <c r="W171" s="96"/>
      <c r="X171" s="396"/>
      <c r="Y171" s="397"/>
      <c r="Z171" s="397"/>
      <c r="AA171" s="395"/>
      <c r="AB171" s="398"/>
      <c r="AC171" s="398">
        <f>SUM(AC172:AC175)</f>
        <v>280000</v>
      </c>
      <c r="AD171" s="680"/>
      <c r="AE171" s="96"/>
      <c r="AF171" s="398">
        <f>SUM(AF172:AF175)</f>
        <v>280000</v>
      </c>
      <c r="AG171" s="398">
        <f>SUM(AG172:AG175)</f>
        <v>0</v>
      </c>
      <c r="AH171" s="398">
        <f>SUM(AH172:AH175)</f>
        <v>280000</v>
      </c>
      <c r="AI171" s="865"/>
      <c r="AJ171" s="992">
        <f>SUM(AJ172:AJ175)</f>
        <v>112000</v>
      </c>
      <c r="AK171" s="992">
        <f>SUM(AK172:AK175)</f>
        <v>168000</v>
      </c>
      <c r="AL171" s="992">
        <f>SUM(AL172:AL175)</f>
        <v>0</v>
      </c>
      <c r="AM171" s="993">
        <f>SUM(AM172:AM175)</f>
        <v>0</v>
      </c>
      <c r="AN171" s="994">
        <f>SUM(AN172:AN175)</f>
        <v>0</v>
      </c>
      <c r="AO171" s="994">
        <f t="shared" si="19"/>
        <v>280000</v>
      </c>
      <c r="AQ171" s="1027"/>
    </row>
    <row r="172" spans="1:43" s="108" customFormat="1" ht="27.5" customHeight="1" outlineLevel="4">
      <c r="A172" s="184"/>
      <c r="B172" s="441" t="s">
        <v>2454</v>
      </c>
      <c r="C172" s="441"/>
      <c r="D172" s="533" t="s">
        <v>2455</v>
      </c>
      <c r="E172" s="533"/>
      <c r="F172" s="103"/>
      <c r="G172" s="97"/>
      <c r="H172" s="363"/>
      <c r="I172" s="364"/>
      <c r="J172" s="365"/>
      <c r="K172" s="365"/>
      <c r="L172" s="365"/>
      <c r="M172" s="365"/>
      <c r="N172" s="365"/>
      <c r="O172" s="365"/>
      <c r="P172" s="365"/>
      <c r="Q172" s="97"/>
      <c r="R172" s="3897" t="str">
        <f>+'9.3_PA_Det'!$E$68</f>
        <v>Selección Basada en Calidad y Costo</v>
      </c>
      <c r="S172" s="3897" t="s">
        <v>1075</v>
      </c>
      <c r="T172" s="4718" t="s">
        <v>1198</v>
      </c>
      <c r="U172" s="3897">
        <f>+'9.3_PA_Det'!$F$68</f>
        <v>26</v>
      </c>
      <c r="V172" s="3903"/>
      <c r="W172" s="97"/>
      <c r="X172" s="711" t="s">
        <v>1179</v>
      </c>
      <c r="Y172" s="712">
        <v>1</v>
      </c>
      <c r="Z172" s="179"/>
      <c r="AA172" s="180"/>
      <c r="AB172" s="1048">
        <v>70000</v>
      </c>
      <c r="AC172" s="1032">
        <f>Y172*AB172</f>
        <v>70000</v>
      </c>
      <c r="AD172" s="1042"/>
      <c r="AE172" s="97"/>
      <c r="AF172" s="1032">
        <f>+AC172</f>
        <v>70000</v>
      </c>
      <c r="AG172" s="1032"/>
      <c r="AH172" s="1041">
        <f>AF172+AG172</f>
        <v>70000</v>
      </c>
      <c r="AI172" s="867"/>
      <c r="AJ172" s="986">
        <f>+AF172*40%</f>
        <v>28000</v>
      </c>
      <c r="AK172" s="986">
        <f>+AF172*60%</f>
        <v>42000</v>
      </c>
      <c r="AL172" s="986"/>
      <c r="AM172" s="987"/>
      <c r="AN172" s="1044"/>
      <c r="AO172" s="1038">
        <f t="shared" si="19"/>
        <v>70000</v>
      </c>
      <c r="AP172" s="153"/>
      <c r="AQ172" s="1027"/>
    </row>
    <row r="173" spans="1:43" s="108" customFormat="1" ht="27.5" customHeight="1" outlineLevel="4">
      <c r="A173" s="184"/>
      <c r="B173" s="441" t="s">
        <v>2456</v>
      </c>
      <c r="C173" s="441"/>
      <c r="D173" s="533" t="s">
        <v>2457</v>
      </c>
      <c r="E173" s="533"/>
      <c r="F173" s="103"/>
      <c r="G173" s="97"/>
      <c r="H173" s="363"/>
      <c r="I173" s="364"/>
      <c r="J173" s="365"/>
      <c r="K173" s="365"/>
      <c r="L173" s="365"/>
      <c r="M173" s="365"/>
      <c r="N173" s="365"/>
      <c r="O173" s="365"/>
      <c r="P173" s="365"/>
      <c r="Q173" s="97"/>
      <c r="R173" s="3898"/>
      <c r="S173" s="3898"/>
      <c r="T173" s="4719"/>
      <c r="U173" s="3898"/>
      <c r="V173" s="3933"/>
      <c r="W173" s="97"/>
      <c r="X173" s="711" t="s">
        <v>1179</v>
      </c>
      <c r="Y173" s="712">
        <v>1</v>
      </c>
      <c r="Z173" s="179"/>
      <c r="AA173" s="180"/>
      <c r="AB173" s="1048">
        <v>70000</v>
      </c>
      <c r="AC173" s="1032">
        <f>Y173*AB173</f>
        <v>70000</v>
      </c>
      <c r="AD173" s="1042"/>
      <c r="AE173" s="97"/>
      <c r="AF173" s="1032">
        <f>+AC173</f>
        <v>70000</v>
      </c>
      <c r="AG173" s="1032"/>
      <c r="AH173" s="1041">
        <f>AF173+AG173</f>
        <v>70000</v>
      </c>
      <c r="AI173" s="867"/>
      <c r="AJ173" s="986">
        <f>+AF173*40%</f>
        <v>28000</v>
      </c>
      <c r="AK173" s="986">
        <f>+AF173*60%</f>
        <v>42000</v>
      </c>
      <c r="AL173" s="986"/>
      <c r="AM173" s="987"/>
      <c r="AN173" s="1044"/>
      <c r="AO173" s="1038">
        <f t="shared" si="19"/>
        <v>70000</v>
      </c>
      <c r="AP173" s="153"/>
      <c r="AQ173" s="1027"/>
    </row>
    <row r="174" spans="1:43" s="108" customFormat="1" ht="27.5" customHeight="1" outlineLevel="4">
      <c r="A174" s="184"/>
      <c r="B174" s="441" t="s">
        <v>2458</v>
      </c>
      <c r="C174" s="441"/>
      <c r="D174" s="533" t="s">
        <v>2461</v>
      </c>
      <c r="E174" s="533"/>
      <c r="F174" s="103"/>
      <c r="G174" s="97"/>
      <c r="H174" s="363"/>
      <c r="I174" s="364"/>
      <c r="J174" s="365"/>
      <c r="K174" s="365"/>
      <c r="L174" s="365"/>
      <c r="M174" s="365"/>
      <c r="N174" s="365"/>
      <c r="O174" s="365"/>
      <c r="P174" s="365"/>
      <c r="Q174" s="97"/>
      <c r="R174" s="3898"/>
      <c r="S174" s="3898"/>
      <c r="T174" s="4719"/>
      <c r="U174" s="3898"/>
      <c r="V174" s="3933"/>
      <c r="W174" s="97"/>
      <c r="X174" s="711" t="s">
        <v>1179</v>
      </c>
      <c r="Y174" s="712">
        <v>1</v>
      </c>
      <c r="Z174" s="179"/>
      <c r="AA174" s="180"/>
      <c r="AB174" s="1048">
        <v>70000</v>
      </c>
      <c r="AC174" s="1032">
        <f>Y174*AB174</f>
        <v>70000</v>
      </c>
      <c r="AD174" s="1042"/>
      <c r="AE174" s="97"/>
      <c r="AF174" s="1032">
        <f>+AC174</f>
        <v>70000</v>
      </c>
      <c r="AG174" s="1032"/>
      <c r="AH174" s="1041">
        <f>AF174+AG174</f>
        <v>70000</v>
      </c>
      <c r="AI174" s="867"/>
      <c r="AJ174" s="986">
        <f>+AF174*40%</f>
        <v>28000</v>
      </c>
      <c r="AK174" s="986">
        <f>+AF174*60%</f>
        <v>42000</v>
      </c>
      <c r="AL174" s="986"/>
      <c r="AM174" s="987"/>
      <c r="AN174" s="1044"/>
      <c r="AO174" s="1038">
        <f t="shared" si="19"/>
        <v>70000</v>
      </c>
      <c r="AP174" s="153"/>
      <c r="AQ174" s="1027"/>
    </row>
    <row r="175" spans="1:43" s="108" customFormat="1" ht="14.5" customHeight="1" outlineLevel="4">
      <c r="A175" s="184"/>
      <c r="B175" s="441" t="s">
        <v>2468</v>
      </c>
      <c r="C175" s="441"/>
      <c r="D175" s="533" t="s">
        <v>2463</v>
      </c>
      <c r="E175" s="533"/>
      <c r="F175" s="103"/>
      <c r="G175" s="97"/>
      <c r="H175" s="363"/>
      <c r="I175" s="364"/>
      <c r="J175" s="365"/>
      <c r="K175" s="365"/>
      <c r="L175" s="365"/>
      <c r="M175" s="365"/>
      <c r="N175" s="365"/>
      <c r="O175" s="365"/>
      <c r="P175" s="365"/>
      <c r="Q175" s="97"/>
      <c r="R175" s="3899"/>
      <c r="S175" s="3899"/>
      <c r="T175" s="4720"/>
      <c r="U175" s="3899"/>
      <c r="V175" s="3934"/>
      <c r="W175" s="97"/>
      <c r="X175" s="711" t="s">
        <v>1179</v>
      </c>
      <c r="Y175" s="712">
        <v>1</v>
      </c>
      <c r="Z175" s="179"/>
      <c r="AA175" s="180"/>
      <c r="AB175" s="1048">
        <v>70000</v>
      </c>
      <c r="AC175" s="1032">
        <f>Y175*AB175</f>
        <v>70000</v>
      </c>
      <c r="AD175" s="1042"/>
      <c r="AE175" s="97"/>
      <c r="AF175" s="1032">
        <f>+AC175</f>
        <v>70000</v>
      </c>
      <c r="AG175" s="1032"/>
      <c r="AH175" s="1041">
        <f>AF175+AG175</f>
        <v>70000</v>
      </c>
      <c r="AI175" s="867"/>
      <c r="AJ175" s="986">
        <f>+AF175*40%</f>
        <v>28000</v>
      </c>
      <c r="AK175" s="986">
        <f>+AF175*60%</f>
        <v>42000</v>
      </c>
      <c r="AL175" s="986"/>
      <c r="AM175" s="987"/>
      <c r="AN175" s="1044"/>
      <c r="AO175" s="1038">
        <f t="shared" si="19"/>
        <v>70000</v>
      </c>
      <c r="AP175" s="153"/>
      <c r="AQ175" s="1027"/>
    </row>
    <row r="176" spans="1:43" s="881" customFormat="1" ht="25.25" customHeight="1" outlineLevel="3">
      <c r="A176" s="587"/>
      <c r="B176" s="702" t="s">
        <v>3733</v>
      </c>
      <c r="C176" s="702"/>
      <c r="D176" s="1049" t="s">
        <v>2438</v>
      </c>
      <c r="E176" s="1049"/>
      <c r="F176" s="103"/>
      <c r="G176" s="574"/>
      <c r="H176" s="376"/>
      <c r="I176" s="376"/>
      <c r="J176" s="361"/>
      <c r="K176" s="361"/>
      <c r="L176" s="361"/>
      <c r="M176" s="361"/>
      <c r="N176" s="361"/>
      <c r="O176" s="361"/>
      <c r="P176" s="361"/>
      <c r="Q176" s="574"/>
      <c r="R176" s="362" t="str">
        <f>'9.3_PA_Det'!E177</f>
        <v>3CV</v>
      </c>
      <c r="S176" s="364" t="s">
        <v>1075</v>
      </c>
      <c r="T176" s="362" t="s">
        <v>1430</v>
      </c>
      <c r="U176" s="364">
        <f>'9.3_PA_Det'!$F$177</f>
        <v>68</v>
      </c>
      <c r="V176" s="178"/>
      <c r="W176" s="574"/>
      <c r="X176" s="126" t="s">
        <v>1267</v>
      </c>
      <c r="Y176" s="1050">
        <v>1</v>
      </c>
      <c r="Z176" s="1046">
        <v>20</v>
      </c>
      <c r="AA176" s="186"/>
      <c r="AB176" s="1047">
        <v>3000</v>
      </c>
      <c r="AC176" s="187">
        <f>+Y176*Z176*AB176</f>
        <v>60000</v>
      </c>
      <c r="AD176" s="1051"/>
      <c r="AE176" s="574"/>
      <c r="AF176" s="1032">
        <f>+AC176</f>
        <v>60000</v>
      </c>
      <c r="AG176" s="1032"/>
      <c r="AH176" s="1041">
        <f>+AG176+AF176</f>
        <v>60000</v>
      </c>
      <c r="AI176" s="869"/>
      <c r="AJ176" s="1052">
        <f>+AB176*10</f>
        <v>30000</v>
      </c>
      <c r="AK176" s="1052">
        <f>+AB176*10</f>
        <v>30000</v>
      </c>
      <c r="AL176" s="1038"/>
      <c r="AM176" s="1004"/>
      <c r="AN176" s="1038"/>
      <c r="AO176" s="1003">
        <f t="shared" si="19"/>
        <v>60000</v>
      </c>
      <c r="AP176" s="153"/>
      <c r="AQ176" s="1027"/>
    </row>
    <row r="177" spans="1:43" s="153" customFormat="1" ht="58.25" customHeight="1" outlineLevel="2">
      <c r="A177" s="172"/>
      <c r="B177" s="171" t="s">
        <v>524</v>
      </c>
      <c r="C177" s="171"/>
      <c r="D177" s="538" t="s">
        <v>3734</v>
      </c>
      <c r="E177" s="538" t="s">
        <v>5</v>
      </c>
      <c r="F177" s="175" t="s">
        <v>3454</v>
      </c>
      <c r="G177" s="96"/>
      <c r="H177" s="357" t="e">
        <f>+'1_MdR_Limpia'!#REF!</f>
        <v>#REF!</v>
      </c>
      <c r="I177" s="357" t="e">
        <f>+'1_MdR_Limpia'!#REF!</f>
        <v>#REF!</v>
      </c>
      <c r="J177" s="357" t="e">
        <f>+'1_MdR_Limpia'!#REF!</f>
        <v>#REF!</v>
      </c>
      <c r="K177" s="357" t="e">
        <f>+'1_MdR_Limpia'!#REF!</f>
        <v>#REF!</v>
      </c>
      <c r="L177" s="357" t="e">
        <f>+'1_MdR_Limpia'!#REF!</f>
        <v>#REF!</v>
      </c>
      <c r="M177" s="357" t="e">
        <f>+'1_MdR_Limpia'!#REF!</f>
        <v>#REF!</v>
      </c>
      <c r="N177" s="357" t="e">
        <f>+'1_MdR_Limpia'!#REF!</f>
        <v>#REF!</v>
      </c>
      <c r="O177" s="357" t="e">
        <f>+'1_MdR_Limpia'!#REF!</f>
        <v>#REF!</v>
      </c>
      <c r="P177" s="357" t="e">
        <f>+'1_MdR_Limpia'!#REF!</f>
        <v>#REF!</v>
      </c>
      <c r="Q177" s="96"/>
      <c r="R177" s="854"/>
      <c r="S177" s="358"/>
      <c r="T177" s="358"/>
      <c r="U177" s="358"/>
      <c r="V177" s="106"/>
      <c r="W177" s="96"/>
      <c r="X177" s="106"/>
      <c r="Y177" s="172"/>
      <c r="Z177" s="172"/>
      <c r="AA177" s="171"/>
      <c r="AB177" s="176"/>
      <c r="AC177" s="176">
        <f>+AC178+AC184</f>
        <v>560000</v>
      </c>
      <c r="AD177" s="692"/>
      <c r="AE177" s="96"/>
      <c r="AF177" s="176">
        <f>+AF178+AF184</f>
        <v>560000</v>
      </c>
      <c r="AG177" s="176">
        <f>+AG178+AG184</f>
        <v>0</v>
      </c>
      <c r="AH177" s="176">
        <f>+AH178+AH184</f>
        <v>560000</v>
      </c>
      <c r="AI177" s="865"/>
      <c r="AJ177" s="980">
        <f>+AJ178+AJ184</f>
        <v>180000</v>
      </c>
      <c r="AK177" s="980">
        <f>+AK178+AK184</f>
        <v>380000</v>
      </c>
      <c r="AL177" s="980">
        <f>+AL178+AL184</f>
        <v>0</v>
      </c>
      <c r="AM177" s="981">
        <f>+AM178+AM184</f>
        <v>0</v>
      </c>
      <c r="AN177" s="979">
        <f>+AN178+AN184</f>
        <v>0</v>
      </c>
      <c r="AO177" s="979">
        <f t="shared" si="19"/>
        <v>560000</v>
      </c>
      <c r="AQ177" s="1027"/>
    </row>
    <row r="178" spans="1:43" s="108" customFormat="1" ht="27.5" customHeight="1" outlineLevel="3">
      <c r="A178" s="159"/>
      <c r="B178" s="702" t="s">
        <v>2470</v>
      </c>
      <c r="C178" s="702"/>
      <c r="D178" s="533" t="s">
        <v>2475</v>
      </c>
      <c r="E178" s="533"/>
      <c r="F178" s="103"/>
      <c r="G178" s="3903"/>
      <c r="H178" s="363"/>
      <c r="I178" s="364"/>
      <c r="J178" s="365"/>
      <c r="K178" s="365"/>
      <c r="L178" s="365"/>
      <c r="M178" s="365"/>
      <c r="N178" s="365"/>
      <c r="O178" s="365"/>
      <c r="P178" s="365"/>
      <c r="Q178" s="3903"/>
      <c r="R178" s="3897" t="str">
        <f>+'9.3_PA_Det'!$E$76</f>
        <v>Selección Basada en Calidad y Costo</v>
      </c>
      <c r="S178" s="3897" t="s">
        <v>1075</v>
      </c>
      <c r="T178" s="3897" t="s">
        <v>1198</v>
      </c>
      <c r="U178" s="3897">
        <f>+'9.3_PA_Det'!$F$76</f>
        <v>27</v>
      </c>
      <c r="V178" s="3903"/>
      <c r="W178" s="3903"/>
      <c r="X178" s="3903" t="s">
        <v>1179</v>
      </c>
      <c r="Y178" s="3838">
        <v>1</v>
      </c>
      <c r="Z178" s="3838"/>
      <c r="AA178" s="3838"/>
      <c r="AB178" s="3906">
        <v>500000</v>
      </c>
      <c r="AC178" s="3906">
        <f>+AB178*Y178</f>
        <v>500000</v>
      </c>
      <c r="AD178" s="3903"/>
      <c r="AE178" s="3903"/>
      <c r="AF178" s="3906">
        <f>+AC178</f>
        <v>500000</v>
      </c>
      <c r="AG178" s="3906"/>
      <c r="AH178" s="3906">
        <f>AF178+AG178</f>
        <v>500000</v>
      </c>
      <c r="AI178" s="867"/>
      <c r="AJ178" s="3874">
        <f>+AF178*30%</f>
        <v>150000</v>
      </c>
      <c r="AK178" s="3874">
        <f>+AF178*70%</f>
        <v>350000</v>
      </c>
      <c r="AL178" s="3874"/>
      <c r="AM178" s="3874"/>
      <c r="AN178" s="3874"/>
      <c r="AO178" s="3874">
        <f t="shared" si="19"/>
        <v>500000</v>
      </c>
      <c r="AQ178" s="1027"/>
    </row>
    <row r="179" spans="1:43" s="108" customFormat="1" ht="14" customHeight="1" outlineLevel="3">
      <c r="A179" s="159"/>
      <c r="B179" s="702" t="s">
        <v>2472</v>
      </c>
      <c r="C179" s="702"/>
      <c r="D179" s="533" t="s">
        <v>3735</v>
      </c>
      <c r="E179" s="533"/>
      <c r="F179" s="103"/>
      <c r="G179" s="3933"/>
      <c r="H179" s="363"/>
      <c r="I179" s="364"/>
      <c r="J179" s="365"/>
      <c r="K179" s="365"/>
      <c r="L179" s="365"/>
      <c r="M179" s="365"/>
      <c r="N179" s="365"/>
      <c r="O179" s="365"/>
      <c r="P179" s="365"/>
      <c r="Q179" s="3933"/>
      <c r="R179" s="3898"/>
      <c r="S179" s="3898"/>
      <c r="T179" s="3898"/>
      <c r="U179" s="3898"/>
      <c r="V179" s="3933"/>
      <c r="W179" s="3933"/>
      <c r="X179" s="3933"/>
      <c r="Y179" s="3839"/>
      <c r="Z179" s="3839"/>
      <c r="AA179" s="3839"/>
      <c r="AB179" s="3907"/>
      <c r="AC179" s="3907" t="e">
        <f>SUM(#REF!)</f>
        <v>#REF!</v>
      </c>
      <c r="AD179" s="3933"/>
      <c r="AE179" s="3933"/>
      <c r="AF179" s="3907"/>
      <c r="AG179" s="3907"/>
      <c r="AH179" s="3907"/>
      <c r="AI179" s="867"/>
      <c r="AJ179" s="3875"/>
      <c r="AK179" s="3875"/>
      <c r="AL179" s="3875"/>
      <c r="AM179" s="3875"/>
      <c r="AN179" s="3875"/>
      <c r="AO179" s="3875">
        <f t="shared" si="19"/>
        <v>0</v>
      </c>
      <c r="AQ179" s="1027"/>
    </row>
    <row r="180" spans="1:43" s="108" customFormat="1" ht="27.5" customHeight="1" outlineLevel="3">
      <c r="A180" s="159"/>
      <c r="B180" s="702" t="s">
        <v>2474</v>
      </c>
      <c r="C180" s="702"/>
      <c r="D180" s="533" t="s">
        <v>3736</v>
      </c>
      <c r="E180" s="533"/>
      <c r="F180" s="103"/>
      <c r="G180" s="3933"/>
      <c r="H180" s="363"/>
      <c r="I180" s="364"/>
      <c r="J180" s="365"/>
      <c r="K180" s="365"/>
      <c r="L180" s="365"/>
      <c r="M180" s="365"/>
      <c r="N180" s="365"/>
      <c r="O180" s="365"/>
      <c r="P180" s="365"/>
      <c r="Q180" s="3933"/>
      <c r="R180" s="3898"/>
      <c r="S180" s="3898"/>
      <c r="T180" s="3898"/>
      <c r="U180" s="3898"/>
      <c r="V180" s="3933"/>
      <c r="W180" s="3933"/>
      <c r="X180" s="3933"/>
      <c r="Y180" s="3839"/>
      <c r="Z180" s="3839"/>
      <c r="AA180" s="3839"/>
      <c r="AB180" s="3907"/>
      <c r="AC180" s="3907" t="e">
        <f>SUM(#REF!)</f>
        <v>#REF!</v>
      </c>
      <c r="AD180" s="3933"/>
      <c r="AE180" s="3933"/>
      <c r="AF180" s="3907"/>
      <c r="AG180" s="3907"/>
      <c r="AH180" s="3907"/>
      <c r="AI180" s="867"/>
      <c r="AJ180" s="3875"/>
      <c r="AK180" s="3875"/>
      <c r="AL180" s="3875"/>
      <c r="AM180" s="3875"/>
      <c r="AN180" s="3875"/>
      <c r="AO180" s="3875">
        <f t="shared" si="19"/>
        <v>0</v>
      </c>
      <c r="AQ180" s="1027"/>
    </row>
    <row r="181" spans="1:43" s="108" customFormat="1" ht="27.5" customHeight="1" outlineLevel="3">
      <c r="A181" s="159"/>
      <c r="B181" s="702" t="s">
        <v>2480</v>
      </c>
      <c r="C181" s="702"/>
      <c r="D181" s="533" t="s">
        <v>3737</v>
      </c>
      <c r="E181" s="533"/>
      <c r="F181" s="103"/>
      <c r="G181" s="3933"/>
      <c r="H181" s="363"/>
      <c r="I181" s="364"/>
      <c r="J181" s="365"/>
      <c r="K181" s="365"/>
      <c r="L181" s="365"/>
      <c r="M181" s="365"/>
      <c r="N181" s="365"/>
      <c r="O181" s="365"/>
      <c r="P181" s="365"/>
      <c r="Q181" s="3933"/>
      <c r="R181" s="3898"/>
      <c r="S181" s="3898"/>
      <c r="T181" s="3898"/>
      <c r="U181" s="3898"/>
      <c r="V181" s="3933"/>
      <c r="W181" s="3933"/>
      <c r="X181" s="3933"/>
      <c r="Y181" s="3839"/>
      <c r="Z181" s="3839"/>
      <c r="AA181" s="3839"/>
      <c r="AB181" s="3907"/>
      <c r="AC181" s="3907"/>
      <c r="AD181" s="3933"/>
      <c r="AE181" s="3933"/>
      <c r="AF181" s="3907"/>
      <c r="AG181" s="3907"/>
      <c r="AH181" s="3907"/>
      <c r="AI181" s="867"/>
      <c r="AJ181" s="3875"/>
      <c r="AK181" s="3875"/>
      <c r="AL181" s="3875"/>
      <c r="AM181" s="3875"/>
      <c r="AN181" s="3875"/>
      <c r="AO181" s="3875">
        <f t="shared" si="19"/>
        <v>0</v>
      </c>
      <c r="AQ181" s="1027"/>
    </row>
    <row r="182" spans="1:43" s="108" customFormat="1" ht="27.5" customHeight="1" outlineLevel="3">
      <c r="A182" s="159"/>
      <c r="B182" s="702" t="s">
        <v>2482</v>
      </c>
      <c r="C182" s="702"/>
      <c r="D182" s="533" t="s">
        <v>3738</v>
      </c>
      <c r="E182" s="533"/>
      <c r="F182" s="103"/>
      <c r="G182" s="3933"/>
      <c r="H182" s="363"/>
      <c r="I182" s="364"/>
      <c r="J182" s="365"/>
      <c r="K182" s="365"/>
      <c r="L182" s="365"/>
      <c r="M182" s="365"/>
      <c r="N182" s="365"/>
      <c r="O182" s="365"/>
      <c r="P182" s="365"/>
      <c r="Q182" s="3933"/>
      <c r="R182" s="3898"/>
      <c r="S182" s="3898"/>
      <c r="T182" s="3898"/>
      <c r="U182" s="3898"/>
      <c r="V182" s="3933"/>
      <c r="W182" s="3933"/>
      <c r="X182" s="3933"/>
      <c r="Y182" s="3839"/>
      <c r="Z182" s="3839"/>
      <c r="AA182" s="3839"/>
      <c r="AB182" s="3907"/>
      <c r="AC182" s="3907" t="e">
        <f>SUM(#REF!)</f>
        <v>#REF!</v>
      </c>
      <c r="AD182" s="3933"/>
      <c r="AE182" s="3933"/>
      <c r="AF182" s="3907"/>
      <c r="AG182" s="3907"/>
      <c r="AH182" s="3907"/>
      <c r="AI182" s="867"/>
      <c r="AJ182" s="3875"/>
      <c r="AK182" s="3875"/>
      <c r="AL182" s="3875"/>
      <c r="AM182" s="3875"/>
      <c r="AN182" s="3875"/>
      <c r="AO182" s="3875">
        <f t="shared" si="19"/>
        <v>0</v>
      </c>
      <c r="AQ182" s="1027"/>
    </row>
    <row r="183" spans="1:43" s="108" customFormat="1" ht="41.5" customHeight="1" outlineLevel="3">
      <c r="A183" s="159"/>
      <c r="B183" s="702" t="s">
        <v>2484</v>
      </c>
      <c r="C183" s="1170"/>
      <c r="D183" s="149" t="s">
        <v>2485</v>
      </c>
      <c r="E183" s="149"/>
      <c r="F183" s="103"/>
      <c r="G183" s="3934"/>
      <c r="H183" s="363"/>
      <c r="I183" s="364"/>
      <c r="J183" s="365"/>
      <c r="K183" s="365"/>
      <c r="L183" s="365"/>
      <c r="M183" s="365"/>
      <c r="N183" s="365"/>
      <c r="O183" s="365"/>
      <c r="P183" s="365"/>
      <c r="Q183" s="3934"/>
      <c r="R183" s="3899"/>
      <c r="S183" s="3899"/>
      <c r="T183" s="3899"/>
      <c r="U183" s="3899"/>
      <c r="V183" s="3934"/>
      <c r="W183" s="3934"/>
      <c r="X183" s="3934"/>
      <c r="Y183" s="3840"/>
      <c r="Z183" s="3840"/>
      <c r="AA183" s="3840"/>
      <c r="AB183" s="3908"/>
      <c r="AC183" s="3908" t="e">
        <f>SUM(#REF!)</f>
        <v>#REF!</v>
      </c>
      <c r="AD183" s="3934"/>
      <c r="AE183" s="3934"/>
      <c r="AF183" s="3908"/>
      <c r="AG183" s="3908"/>
      <c r="AH183" s="3908"/>
      <c r="AI183" s="867"/>
      <c r="AJ183" s="3876"/>
      <c r="AK183" s="3876"/>
      <c r="AL183" s="3876"/>
      <c r="AM183" s="3876"/>
      <c r="AN183" s="3876"/>
      <c r="AO183" s="3876">
        <f t="shared" si="19"/>
        <v>0</v>
      </c>
      <c r="AQ183" s="1027"/>
    </row>
    <row r="184" spans="1:43" s="108" customFormat="1" ht="28.25" customHeight="1" outlineLevel="3">
      <c r="A184" s="159"/>
      <c r="B184" s="702" t="s">
        <v>2486</v>
      </c>
      <c r="C184" s="702"/>
      <c r="D184" s="533" t="s">
        <v>2487</v>
      </c>
      <c r="E184" s="533"/>
      <c r="F184" s="103"/>
      <c r="G184" s="97"/>
      <c r="H184" s="363"/>
      <c r="I184" s="364"/>
      <c r="J184" s="365"/>
      <c r="K184" s="365"/>
      <c r="L184" s="365"/>
      <c r="M184" s="365"/>
      <c r="N184" s="365"/>
      <c r="O184" s="365"/>
      <c r="P184" s="365"/>
      <c r="Q184" s="97"/>
      <c r="R184" s="364" t="str">
        <f>+'9.3_PA_Det'!$E$178</f>
        <v>3CV</v>
      </c>
      <c r="S184" s="364" t="s">
        <v>1075</v>
      </c>
      <c r="T184" s="364" t="s">
        <v>1430</v>
      </c>
      <c r="U184" s="364">
        <f>+'9.3_PA_Det'!$F$178</f>
        <v>69</v>
      </c>
      <c r="V184" s="1032"/>
      <c r="W184" s="97"/>
      <c r="X184" s="711" t="s">
        <v>1267</v>
      </c>
      <c r="Y184" s="712">
        <v>1</v>
      </c>
      <c r="Z184" s="179">
        <v>24</v>
      </c>
      <c r="AA184" s="180"/>
      <c r="AB184" s="1032">
        <v>2500</v>
      </c>
      <c r="AC184" s="1032">
        <f>Y184*Z184*AB184</f>
        <v>60000</v>
      </c>
      <c r="AD184" s="937" t="s">
        <v>3460</v>
      </c>
      <c r="AE184" s="97"/>
      <c r="AF184" s="1032">
        <f>+AC184</f>
        <v>60000</v>
      </c>
      <c r="AG184" s="1032"/>
      <c r="AH184" s="1041">
        <f>AF184+AG184</f>
        <v>60000</v>
      </c>
      <c r="AI184" s="867"/>
      <c r="AJ184" s="986">
        <f>+$AB$184*12</f>
        <v>30000</v>
      </c>
      <c r="AK184" s="986">
        <f>+$AB$184*12</f>
        <v>30000</v>
      </c>
      <c r="AL184" s="986"/>
      <c r="AM184" s="987"/>
      <c r="AN184" s="1038"/>
      <c r="AO184" s="1038">
        <f t="shared" si="19"/>
        <v>60000</v>
      </c>
      <c r="AQ184" s="1027"/>
    </row>
    <row r="185" spans="1:43" s="153" customFormat="1" ht="38" customHeight="1" outlineLevel="2">
      <c r="A185" s="172"/>
      <c r="B185" s="171" t="s">
        <v>527</v>
      </c>
      <c r="C185" s="171"/>
      <c r="D185" s="538" t="s">
        <v>3280</v>
      </c>
      <c r="E185" s="538" t="s">
        <v>5</v>
      </c>
      <c r="F185" s="175" t="s">
        <v>3463</v>
      </c>
      <c r="G185" s="96"/>
      <c r="H185" s="357" t="e">
        <f>+'1_MdR_Limpia'!#REF!</f>
        <v>#REF!</v>
      </c>
      <c r="I185" s="357" t="e">
        <f>+'1_MdR_Limpia'!#REF!</f>
        <v>#REF!</v>
      </c>
      <c r="J185" s="357" t="e">
        <f>+'1_MdR_Limpia'!#REF!</f>
        <v>#REF!</v>
      </c>
      <c r="K185" s="357" t="e">
        <f>+'1_MdR_Limpia'!#REF!</f>
        <v>#REF!</v>
      </c>
      <c r="L185" s="357" t="e">
        <f>+'1_MdR_Limpia'!#REF!</f>
        <v>#REF!</v>
      </c>
      <c r="M185" s="357" t="e">
        <f>+'1_MdR_Limpia'!#REF!</f>
        <v>#REF!</v>
      </c>
      <c r="N185" s="357" t="e">
        <f>+'1_MdR_Limpia'!#REF!</f>
        <v>#REF!</v>
      </c>
      <c r="O185" s="357" t="e">
        <f>+'1_MdR_Limpia'!#REF!</f>
        <v>#REF!</v>
      </c>
      <c r="P185" s="357" t="e">
        <f>+'1_MdR_Limpia'!#REF!</f>
        <v>#REF!</v>
      </c>
      <c r="Q185" s="96"/>
      <c r="R185" s="854"/>
      <c r="S185" s="358"/>
      <c r="T185" s="358"/>
      <c r="U185" s="358"/>
      <c r="V185" s="106"/>
      <c r="W185" s="96"/>
      <c r="X185" s="106"/>
      <c r="Y185" s="172"/>
      <c r="Z185" s="172"/>
      <c r="AA185" s="171"/>
      <c r="AB185" s="176"/>
      <c r="AC185" s="176">
        <f>+AC186</f>
        <v>400000</v>
      </c>
      <c r="AD185" s="692"/>
      <c r="AE185" s="96"/>
      <c r="AF185" s="176">
        <f t="shared" ref="AF185:AF190" si="21">+AC185</f>
        <v>400000</v>
      </c>
      <c r="AG185" s="176">
        <v>0</v>
      </c>
      <c r="AH185" s="176">
        <f>+AG185+AF185</f>
        <v>400000</v>
      </c>
      <c r="AI185" s="865"/>
      <c r="AJ185" s="980">
        <f>+AJ186</f>
        <v>80000</v>
      </c>
      <c r="AK185" s="980">
        <f>+AK186</f>
        <v>80000</v>
      </c>
      <c r="AL185" s="980">
        <f>+AL186</f>
        <v>80000</v>
      </c>
      <c r="AM185" s="981">
        <f>+AM186</f>
        <v>80000</v>
      </c>
      <c r="AN185" s="979">
        <f>+AN186</f>
        <v>80000</v>
      </c>
      <c r="AO185" s="979">
        <f t="shared" si="19"/>
        <v>400000</v>
      </c>
      <c r="AQ185" s="1027"/>
    </row>
    <row r="186" spans="1:43" s="108" customFormat="1" ht="41.5" customHeight="1" outlineLevel="3">
      <c r="A186" s="580"/>
      <c r="B186" s="107" t="s">
        <v>2490</v>
      </c>
      <c r="C186" s="107"/>
      <c r="D186" s="533" t="s">
        <v>2493</v>
      </c>
      <c r="E186" s="533"/>
      <c r="F186" s="103"/>
      <c r="G186" s="3838"/>
      <c r="H186" s="363"/>
      <c r="I186" s="364"/>
      <c r="J186" s="365"/>
      <c r="K186" s="365"/>
      <c r="L186" s="365"/>
      <c r="M186" s="365"/>
      <c r="N186" s="365"/>
      <c r="O186" s="365"/>
      <c r="P186" s="365"/>
      <c r="Q186" s="3838"/>
      <c r="R186" s="3897" t="str">
        <f>+'9.3_PA_Det'!$E$82</f>
        <v>Selección Basada en Calidad y Costo</v>
      </c>
      <c r="S186" s="3897" t="s">
        <v>1075</v>
      </c>
      <c r="T186" s="3897" t="s">
        <v>1198</v>
      </c>
      <c r="U186" s="3897">
        <f>+'9.3_PA_Det'!$F$82</f>
        <v>28</v>
      </c>
      <c r="V186" s="3903"/>
      <c r="W186" s="3838"/>
      <c r="X186" s="3903" t="s">
        <v>1179</v>
      </c>
      <c r="Y186" s="3838">
        <v>1</v>
      </c>
      <c r="Z186" s="3838"/>
      <c r="AA186" s="3838"/>
      <c r="AB186" s="3906">
        <v>400000</v>
      </c>
      <c r="AC186" s="3906">
        <f>+Y186*AB186</f>
        <v>400000</v>
      </c>
      <c r="AD186" s="3900"/>
      <c r="AE186" s="3838"/>
      <c r="AF186" s="3906">
        <f t="shared" si="21"/>
        <v>400000</v>
      </c>
      <c r="AG186" s="3906">
        <v>0</v>
      </c>
      <c r="AH186" s="3906">
        <f>+AF186+AG186</f>
        <v>400000</v>
      </c>
      <c r="AI186" s="867"/>
      <c r="AJ186" s="3874">
        <f>+$AF$186*20%</f>
        <v>80000</v>
      </c>
      <c r="AK186" s="3874">
        <f>+$AF$186*20%</f>
        <v>80000</v>
      </c>
      <c r="AL186" s="3874">
        <f>+$AF$186*20%</f>
        <v>80000</v>
      </c>
      <c r="AM186" s="3874">
        <f>+$AF$186*20%</f>
        <v>80000</v>
      </c>
      <c r="AN186" s="3874">
        <f>+$AF$186*20%</f>
        <v>80000</v>
      </c>
      <c r="AO186" s="3874">
        <f t="shared" si="19"/>
        <v>400000</v>
      </c>
      <c r="AQ186" s="1027"/>
    </row>
    <row r="187" spans="1:43" s="108" customFormat="1" ht="27.5" customHeight="1" outlineLevel="3">
      <c r="A187" s="580"/>
      <c r="B187" s="107" t="s">
        <v>2492</v>
      </c>
      <c r="C187" s="107"/>
      <c r="D187" s="533" t="s">
        <v>2495</v>
      </c>
      <c r="E187" s="533"/>
      <c r="F187" s="103"/>
      <c r="G187" s="3839"/>
      <c r="H187" s="363"/>
      <c r="I187" s="364"/>
      <c r="J187" s="365"/>
      <c r="K187" s="365"/>
      <c r="L187" s="365"/>
      <c r="M187" s="365"/>
      <c r="N187" s="365"/>
      <c r="O187" s="365"/>
      <c r="P187" s="365"/>
      <c r="Q187" s="3839"/>
      <c r="R187" s="3898"/>
      <c r="S187" s="3898"/>
      <c r="T187" s="3898"/>
      <c r="U187" s="3898"/>
      <c r="V187" s="3933"/>
      <c r="W187" s="3839"/>
      <c r="X187" s="3933"/>
      <c r="Y187" s="3839"/>
      <c r="Z187" s="3839"/>
      <c r="AA187" s="3839"/>
      <c r="AB187" s="3907"/>
      <c r="AC187" s="3907" t="e">
        <f>SUM(#REF!)</f>
        <v>#REF!</v>
      </c>
      <c r="AD187" s="3901"/>
      <c r="AE187" s="3839"/>
      <c r="AF187" s="3907" t="e">
        <f t="shared" si="21"/>
        <v>#REF!</v>
      </c>
      <c r="AG187" s="3907" t="e">
        <f>SUM(#REF!)</f>
        <v>#REF!</v>
      </c>
      <c r="AH187" s="3907" t="e">
        <f>SUM(#REF!)</f>
        <v>#REF!</v>
      </c>
      <c r="AI187" s="867"/>
      <c r="AJ187" s="3875"/>
      <c r="AK187" s="3875"/>
      <c r="AL187" s="3875"/>
      <c r="AM187" s="3875"/>
      <c r="AN187" s="3875"/>
      <c r="AO187" s="3875">
        <f t="shared" si="19"/>
        <v>0</v>
      </c>
      <c r="AQ187" s="1027"/>
    </row>
    <row r="188" spans="1:43" s="108" customFormat="1" ht="27.5" customHeight="1" outlineLevel="3">
      <c r="A188" s="580"/>
      <c r="B188" s="107" t="s">
        <v>2494</v>
      </c>
      <c r="C188" s="107"/>
      <c r="D188" s="533" t="s">
        <v>2497</v>
      </c>
      <c r="E188" s="533"/>
      <c r="F188" s="103"/>
      <c r="G188" s="3839"/>
      <c r="H188" s="363"/>
      <c r="I188" s="364"/>
      <c r="J188" s="365"/>
      <c r="K188" s="365"/>
      <c r="L188" s="365"/>
      <c r="M188" s="365"/>
      <c r="N188" s="365"/>
      <c r="O188" s="365"/>
      <c r="P188" s="365"/>
      <c r="Q188" s="3839"/>
      <c r="R188" s="3898"/>
      <c r="S188" s="3898"/>
      <c r="T188" s="3898"/>
      <c r="U188" s="3898"/>
      <c r="V188" s="3933"/>
      <c r="W188" s="3839"/>
      <c r="X188" s="3933"/>
      <c r="Y188" s="3839"/>
      <c r="Z188" s="3839"/>
      <c r="AA188" s="3839"/>
      <c r="AB188" s="3907"/>
      <c r="AC188" s="3907"/>
      <c r="AD188" s="3901"/>
      <c r="AE188" s="3839"/>
      <c r="AF188" s="3907"/>
      <c r="AG188" s="3907"/>
      <c r="AH188" s="3907"/>
      <c r="AI188" s="867"/>
      <c r="AJ188" s="3875"/>
      <c r="AK188" s="3875"/>
      <c r="AL188" s="3875"/>
      <c r="AM188" s="3875"/>
      <c r="AN188" s="3875"/>
      <c r="AO188" s="3875">
        <f t="shared" si="19"/>
        <v>0</v>
      </c>
      <c r="AQ188" s="1027"/>
    </row>
    <row r="189" spans="1:43" s="108" customFormat="1" ht="14" customHeight="1" outlineLevel="3">
      <c r="A189" s="776"/>
      <c r="B189" s="777" t="s">
        <v>2496</v>
      </c>
      <c r="C189" s="777"/>
      <c r="D189" s="536" t="s">
        <v>3739</v>
      </c>
      <c r="E189" s="536"/>
      <c r="F189" s="103"/>
      <c r="G189" s="3839"/>
      <c r="H189" s="621"/>
      <c r="I189" s="837"/>
      <c r="J189" s="622"/>
      <c r="K189" s="622"/>
      <c r="L189" s="622"/>
      <c r="M189" s="622"/>
      <c r="N189" s="622"/>
      <c r="O189" s="622"/>
      <c r="P189" s="622"/>
      <c r="Q189" s="3839"/>
      <c r="R189" s="3898"/>
      <c r="S189" s="3898"/>
      <c r="T189" s="3898"/>
      <c r="U189" s="3898"/>
      <c r="V189" s="3933"/>
      <c r="W189" s="3839"/>
      <c r="X189" s="3933"/>
      <c r="Y189" s="3839"/>
      <c r="Z189" s="3839"/>
      <c r="AA189" s="3839"/>
      <c r="AB189" s="3907"/>
      <c r="AC189" s="3907">
        <f>SUM(AC190:AC190)</f>
        <v>0</v>
      </c>
      <c r="AD189" s="3901"/>
      <c r="AE189" s="3839"/>
      <c r="AF189" s="3907">
        <f t="shared" si="21"/>
        <v>0</v>
      </c>
      <c r="AG189" s="3907">
        <f>SUM(AG190:AG190)</f>
        <v>0</v>
      </c>
      <c r="AH189" s="3907">
        <f>SUM(AH190:AH190)</f>
        <v>0</v>
      </c>
      <c r="AI189" s="867"/>
      <c r="AJ189" s="3875"/>
      <c r="AK189" s="3875"/>
      <c r="AL189" s="3875"/>
      <c r="AM189" s="3875"/>
      <c r="AN189" s="3875"/>
      <c r="AO189" s="3875">
        <f t="shared" si="19"/>
        <v>0</v>
      </c>
      <c r="AQ189" s="1027"/>
    </row>
    <row r="190" spans="1:43" s="108" customFormat="1" ht="27.5" customHeight="1" outlineLevel="4">
      <c r="A190" s="580"/>
      <c r="B190" s="107" t="s">
        <v>3465</v>
      </c>
      <c r="C190" s="107"/>
      <c r="D190" s="1070" t="s">
        <v>3740</v>
      </c>
      <c r="E190" s="1070"/>
      <c r="F190" s="103"/>
      <c r="G190" s="3839"/>
      <c r="H190" s="363"/>
      <c r="I190" s="364"/>
      <c r="J190" s="365"/>
      <c r="K190" s="365"/>
      <c r="L190" s="365"/>
      <c r="M190" s="365"/>
      <c r="N190" s="365"/>
      <c r="O190" s="365"/>
      <c r="P190" s="365"/>
      <c r="Q190" s="3839"/>
      <c r="R190" s="3898"/>
      <c r="S190" s="3898"/>
      <c r="T190" s="3898"/>
      <c r="U190" s="3898"/>
      <c r="V190" s="3933"/>
      <c r="W190" s="3839"/>
      <c r="X190" s="3933"/>
      <c r="Y190" s="3839"/>
      <c r="Z190" s="3839"/>
      <c r="AA190" s="3839"/>
      <c r="AB190" s="3907"/>
      <c r="AC190" s="3907">
        <f>Y190*AB190</f>
        <v>0</v>
      </c>
      <c r="AD190" s="3901"/>
      <c r="AE190" s="3839"/>
      <c r="AF190" s="3907">
        <f t="shared" si="21"/>
        <v>0</v>
      </c>
      <c r="AG190" s="3907"/>
      <c r="AH190" s="3907">
        <f>AF190+AG190</f>
        <v>0</v>
      </c>
      <c r="AI190" s="867"/>
      <c r="AJ190" s="3875"/>
      <c r="AK190" s="3875"/>
      <c r="AL190" s="3875"/>
      <c r="AM190" s="3875"/>
      <c r="AN190" s="3875"/>
      <c r="AO190" s="3875">
        <f t="shared" si="19"/>
        <v>0</v>
      </c>
      <c r="AQ190" s="1027"/>
    </row>
    <row r="191" spans="1:43" s="108" customFormat="1" ht="14" customHeight="1" outlineLevel="4">
      <c r="A191" s="580"/>
      <c r="B191" s="107" t="s">
        <v>3466</v>
      </c>
      <c r="C191" s="107"/>
      <c r="D191" s="1070" t="s">
        <v>2503</v>
      </c>
      <c r="E191" s="1070"/>
      <c r="F191" s="103"/>
      <c r="G191" s="3839"/>
      <c r="H191" s="363"/>
      <c r="I191" s="364"/>
      <c r="J191" s="365"/>
      <c r="K191" s="365"/>
      <c r="L191" s="365"/>
      <c r="M191" s="365"/>
      <c r="N191" s="365"/>
      <c r="O191" s="365"/>
      <c r="P191" s="365"/>
      <c r="Q191" s="3839"/>
      <c r="R191" s="3898"/>
      <c r="S191" s="3898"/>
      <c r="T191" s="3898"/>
      <c r="U191" s="3898"/>
      <c r="V191" s="3933"/>
      <c r="W191" s="3839"/>
      <c r="X191" s="3933"/>
      <c r="Y191" s="3839"/>
      <c r="Z191" s="3839"/>
      <c r="AA191" s="3839"/>
      <c r="AB191" s="3907"/>
      <c r="AC191" s="3907"/>
      <c r="AD191" s="3901"/>
      <c r="AE191" s="3839"/>
      <c r="AF191" s="3907"/>
      <c r="AG191" s="3907"/>
      <c r="AH191" s="3907"/>
      <c r="AI191" s="867"/>
      <c r="AJ191" s="3875"/>
      <c r="AK191" s="3875"/>
      <c r="AL191" s="3875"/>
      <c r="AM191" s="3875"/>
      <c r="AN191" s="3875"/>
      <c r="AO191" s="3875">
        <f t="shared" si="19"/>
        <v>0</v>
      </c>
      <c r="AQ191" s="1027"/>
    </row>
    <row r="192" spans="1:43" s="108" customFormat="1" ht="14" customHeight="1" outlineLevel="4">
      <c r="A192" s="580"/>
      <c r="B192" s="107" t="s">
        <v>3467</v>
      </c>
      <c r="C192" s="107"/>
      <c r="D192" s="1070" t="s">
        <v>2505</v>
      </c>
      <c r="E192" s="1070"/>
      <c r="F192" s="103"/>
      <c r="G192" s="3839"/>
      <c r="H192" s="363"/>
      <c r="I192" s="364"/>
      <c r="J192" s="365"/>
      <c r="K192" s="365"/>
      <c r="L192" s="365"/>
      <c r="M192" s="365"/>
      <c r="N192" s="365"/>
      <c r="O192" s="365"/>
      <c r="P192" s="365"/>
      <c r="Q192" s="3839"/>
      <c r="R192" s="3898"/>
      <c r="S192" s="3898"/>
      <c r="T192" s="3898"/>
      <c r="U192" s="3898"/>
      <c r="V192" s="3933"/>
      <c r="W192" s="3839"/>
      <c r="X192" s="3933"/>
      <c r="Y192" s="3839"/>
      <c r="Z192" s="3839"/>
      <c r="AA192" s="3839"/>
      <c r="AB192" s="3907"/>
      <c r="AC192" s="3907"/>
      <c r="AD192" s="3901"/>
      <c r="AE192" s="3839"/>
      <c r="AF192" s="3907"/>
      <c r="AG192" s="3907"/>
      <c r="AH192" s="3907"/>
      <c r="AI192" s="867"/>
      <c r="AJ192" s="3875"/>
      <c r="AK192" s="3875"/>
      <c r="AL192" s="3875"/>
      <c r="AM192" s="3875"/>
      <c r="AN192" s="3875"/>
      <c r="AO192" s="3875">
        <f t="shared" si="19"/>
        <v>0</v>
      </c>
      <c r="AQ192" s="1027"/>
    </row>
    <row r="193" spans="1:51" s="108" customFormat="1" ht="27.5" customHeight="1" outlineLevel="3">
      <c r="A193" s="580"/>
      <c r="B193" s="107" t="s">
        <v>2498</v>
      </c>
      <c r="C193" s="107"/>
      <c r="D193" s="533" t="s">
        <v>2507</v>
      </c>
      <c r="E193" s="533"/>
      <c r="F193" s="103"/>
      <c r="G193" s="3840"/>
      <c r="H193" s="363"/>
      <c r="I193" s="364"/>
      <c r="J193" s="365"/>
      <c r="K193" s="365"/>
      <c r="L193" s="365"/>
      <c r="M193" s="365"/>
      <c r="N193" s="365"/>
      <c r="O193" s="365"/>
      <c r="P193" s="365"/>
      <c r="Q193" s="3840"/>
      <c r="R193" s="3899"/>
      <c r="S193" s="3899"/>
      <c r="T193" s="3899"/>
      <c r="U193" s="3899"/>
      <c r="V193" s="3934"/>
      <c r="W193" s="3840"/>
      <c r="X193" s="3934"/>
      <c r="Y193" s="3840"/>
      <c r="Z193" s="3840"/>
      <c r="AA193" s="3840"/>
      <c r="AB193" s="3908"/>
      <c r="AC193" s="3908" t="e">
        <f>SUM(#REF!)</f>
        <v>#REF!</v>
      </c>
      <c r="AD193" s="3902"/>
      <c r="AE193" s="3840"/>
      <c r="AF193" s="3908" t="e">
        <f>+AC193</f>
        <v>#REF!</v>
      </c>
      <c r="AG193" s="3908" t="e">
        <f>SUM(#REF!)</f>
        <v>#REF!</v>
      </c>
      <c r="AH193" s="3908" t="e">
        <f>SUM(#REF!)</f>
        <v>#REF!</v>
      </c>
      <c r="AI193" s="867"/>
      <c r="AJ193" s="3876"/>
      <c r="AK193" s="3876"/>
      <c r="AL193" s="3876"/>
      <c r="AM193" s="3876"/>
      <c r="AN193" s="3876"/>
      <c r="AO193" s="3876">
        <f t="shared" si="19"/>
        <v>0</v>
      </c>
      <c r="AQ193" s="1027"/>
    </row>
    <row r="194" spans="1:51" s="108" customFormat="1" ht="14" customHeight="1" outlineLevel="2">
      <c r="A194" s="580"/>
      <c r="B194" s="107"/>
      <c r="C194" s="107"/>
      <c r="D194" s="533"/>
      <c r="E194" s="533"/>
      <c r="F194" s="103"/>
      <c r="G194" s="765"/>
      <c r="H194" s="363"/>
      <c r="I194" s="364"/>
      <c r="J194" s="365"/>
      <c r="K194" s="365"/>
      <c r="L194" s="365"/>
      <c r="M194" s="365"/>
      <c r="N194" s="365"/>
      <c r="O194" s="365"/>
      <c r="P194" s="365"/>
      <c r="Q194" s="765"/>
      <c r="R194" s="364"/>
      <c r="S194" s="364"/>
      <c r="T194" s="364"/>
      <c r="U194" s="364"/>
      <c r="V194" s="181"/>
      <c r="W194" s="765"/>
      <c r="X194" s="765"/>
      <c r="Y194" s="765"/>
      <c r="Z194" s="765"/>
      <c r="AA194" s="765"/>
      <c r="AB194" s="757"/>
      <c r="AC194" s="757"/>
      <c r="AD194" s="765"/>
      <c r="AE194" s="765"/>
      <c r="AF194" s="1032"/>
      <c r="AG194" s="1032"/>
      <c r="AH194" s="1041"/>
      <c r="AI194" s="867"/>
      <c r="AJ194" s="999"/>
      <c r="AK194" s="999"/>
      <c r="AL194" s="999"/>
      <c r="AM194" s="999"/>
      <c r="AN194" s="999"/>
      <c r="AO194" s="999">
        <f t="shared" si="19"/>
        <v>0</v>
      </c>
      <c r="AQ194" s="1027"/>
    </row>
    <row r="195" spans="1:51" s="153" customFormat="1" ht="15" outlineLevel="1">
      <c r="A195" s="578"/>
      <c r="B195" s="428" t="s">
        <v>529</v>
      </c>
      <c r="C195" s="428"/>
      <c r="D195" s="539" t="s">
        <v>268</v>
      </c>
      <c r="E195" s="539"/>
      <c r="F195" s="427"/>
      <c r="G195" s="96"/>
      <c r="H195" s="429"/>
      <c r="I195" s="425"/>
      <c r="J195" s="430"/>
      <c r="K195" s="430"/>
      <c r="L195" s="430"/>
      <c r="M195" s="430"/>
      <c r="N195" s="430"/>
      <c r="O195" s="430"/>
      <c r="P195" s="430"/>
      <c r="Q195" s="96"/>
      <c r="R195" s="850"/>
      <c r="S195" s="850"/>
      <c r="T195" s="850"/>
      <c r="U195" s="850"/>
      <c r="V195" s="431"/>
      <c r="W195" s="96"/>
      <c r="X195" s="426"/>
      <c r="Y195" s="425"/>
      <c r="Z195" s="425"/>
      <c r="AA195" s="432"/>
      <c r="AB195" s="433"/>
      <c r="AC195" s="433">
        <f>+AC196+AC204+AC209</f>
        <v>790000</v>
      </c>
      <c r="AD195" s="685"/>
      <c r="AE195" s="96"/>
      <c r="AF195" s="433">
        <f>+AF196+AF204+AF209</f>
        <v>790000</v>
      </c>
      <c r="AG195" s="433">
        <f>+AG196+AG204+AG209</f>
        <v>0</v>
      </c>
      <c r="AH195" s="433">
        <f>+AH196+AH204+AH209</f>
        <v>790000</v>
      </c>
      <c r="AI195" s="865"/>
      <c r="AJ195" s="977">
        <f>+AJ196+AJ204+AJ209</f>
        <v>370000</v>
      </c>
      <c r="AK195" s="977">
        <f>+AK196+AK204+AK209</f>
        <v>235000</v>
      </c>
      <c r="AL195" s="977">
        <f>+AL196+AL204+AL209</f>
        <v>65000</v>
      </c>
      <c r="AM195" s="978">
        <f>+AM196+AM204+AM209</f>
        <v>65000</v>
      </c>
      <c r="AN195" s="976">
        <f>+AN196+AN204+AN209</f>
        <v>55000</v>
      </c>
      <c r="AO195" s="976">
        <f t="shared" si="19"/>
        <v>790000</v>
      </c>
      <c r="AQ195" s="1027"/>
    </row>
    <row r="196" spans="1:51" s="153" customFormat="1" ht="27.5" customHeight="1" outlineLevel="2" collapsed="1">
      <c r="A196" s="172"/>
      <c r="B196" s="171" t="s">
        <v>530</v>
      </c>
      <c r="C196" s="171"/>
      <c r="D196" s="538" t="s">
        <v>3741</v>
      </c>
      <c r="E196" s="538" t="s">
        <v>5</v>
      </c>
      <c r="F196" s="106" t="s">
        <v>3468</v>
      </c>
      <c r="G196" s="96"/>
      <c r="H196" s="357" t="e">
        <f>+'1_MdR_Limpia'!#REF!</f>
        <v>#REF!</v>
      </c>
      <c r="I196" s="357" t="e">
        <f>+'1_MdR_Limpia'!#REF!</f>
        <v>#REF!</v>
      </c>
      <c r="J196" s="357" t="e">
        <f>+'1_MdR_Limpia'!#REF!</f>
        <v>#REF!</v>
      </c>
      <c r="K196" s="357" t="e">
        <f>+'1_MdR_Limpia'!#REF!</f>
        <v>#REF!</v>
      </c>
      <c r="L196" s="357" t="e">
        <f>+'1_MdR_Limpia'!#REF!</f>
        <v>#REF!</v>
      </c>
      <c r="M196" s="357" t="e">
        <f>+'1_MdR_Limpia'!#REF!</f>
        <v>#REF!</v>
      </c>
      <c r="N196" s="357" t="e">
        <f>+'1_MdR_Limpia'!#REF!</f>
        <v>#REF!</v>
      </c>
      <c r="O196" s="357" t="e">
        <f>+'1_MdR_Limpia'!#REF!</f>
        <v>#REF!</v>
      </c>
      <c r="P196" s="357" t="e">
        <f>+'1_MdR_Limpia'!#REF!</f>
        <v>#REF!</v>
      </c>
      <c r="Q196" s="96"/>
      <c r="R196" s="854"/>
      <c r="S196" s="358"/>
      <c r="T196" s="358"/>
      <c r="U196" s="358"/>
      <c r="V196" s="106"/>
      <c r="W196" s="96"/>
      <c r="X196" s="106"/>
      <c r="Y196" s="172"/>
      <c r="Z196" s="172"/>
      <c r="AA196" s="171"/>
      <c r="AB196" s="176"/>
      <c r="AC196" s="176">
        <f>+AC197</f>
        <v>200000</v>
      </c>
      <c r="AD196" s="692"/>
      <c r="AE196" s="96"/>
      <c r="AF196" s="176">
        <f>+AF197</f>
        <v>200000</v>
      </c>
      <c r="AG196" s="176">
        <f>+AG197</f>
        <v>0</v>
      </c>
      <c r="AH196" s="176">
        <f>+AH197</f>
        <v>200000</v>
      </c>
      <c r="AI196" s="865"/>
      <c r="AJ196" s="980">
        <f>+AJ197</f>
        <v>30000</v>
      </c>
      <c r="AK196" s="980">
        <f>+AK197</f>
        <v>30000</v>
      </c>
      <c r="AL196" s="980">
        <f>+AL197</f>
        <v>50000</v>
      </c>
      <c r="AM196" s="981">
        <f>+AM197</f>
        <v>50000</v>
      </c>
      <c r="AN196" s="979">
        <f>+AN197</f>
        <v>40000</v>
      </c>
      <c r="AO196" s="979">
        <f t="shared" si="19"/>
        <v>200000</v>
      </c>
      <c r="AQ196" s="1027"/>
    </row>
    <row r="197" spans="1:51" s="108" customFormat="1" ht="27.5" customHeight="1" outlineLevel="3">
      <c r="A197" s="159"/>
      <c r="B197" s="702" t="s">
        <v>2511</v>
      </c>
      <c r="C197" s="702"/>
      <c r="D197" s="533" t="s">
        <v>2512</v>
      </c>
      <c r="E197" s="533"/>
      <c r="F197" s="103"/>
      <c r="G197" s="3903"/>
      <c r="H197" s="363"/>
      <c r="I197" s="364"/>
      <c r="J197" s="365"/>
      <c r="K197" s="365"/>
      <c r="L197" s="365"/>
      <c r="M197" s="365"/>
      <c r="N197" s="365"/>
      <c r="O197" s="365"/>
      <c r="P197" s="365"/>
      <c r="Q197" s="3903"/>
      <c r="R197" s="3897" t="str">
        <f>+'9.3_PA_Det'!E89</f>
        <v>Selección Basada en Calidad y Costo</v>
      </c>
      <c r="S197" s="3897" t="s">
        <v>1075</v>
      </c>
      <c r="T197" s="3897" t="s">
        <v>1198</v>
      </c>
      <c r="U197" s="3897">
        <f>+'9.3_PA_Det'!$F$89</f>
        <v>29</v>
      </c>
      <c r="V197" s="3903"/>
      <c r="W197" s="3903"/>
      <c r="X197" s="3903" t="s">
        <v>1179</v>
      </c>
      <c r="Y197" s="3841">
        <v>1</v>
      </c>
      <c r="Z197" s="3841"/>
      <c r="AA197" s="3841"/>
      <c r="AB197" s="3844">
        <v>200000</v>
      </c>
      <c r="AC197" s="3844">
        <f>Y197*AB197</f>
        <v>200000</v>
      </c>
      <c r="AD197" s="3903"/>
      <c r="AE197" s="3903"/>
      <c r="AF197" s="3787">
        <f>+AC197</f>
        <v>200000</v>
      </c>
      <c r="AG197" s="3787"/>
      <c r="AH197" s="3787">
        <f>AF197+AG197</f>
        <v>200000</v>
      </c>
      <c r="AI197" s="867"/>
      <c r="AJ197" s="4641">
        <f>+$AF$197*15%</f>
        <v>30000</v>
      </c>
      <c r="AK197" s="4641">
        <f>+$AF$197*15%</f>
        <v>30000</v>
      </c>
      <c r="AL197" s="4641">
        <f>+$AF$197*25%</f>
        <v>50000</v>
      </c>
      <c r="AM197" s="4641">
        <f>+$AF$197*25%</f>
        <v>50000</v>
      </c>
      <c r="AN197" s="4641">
        <f>+$AF$197*20%</f>
        <v>40000</v>
      </c>
      <c r="AO197" s="4641">
        <f t="shared" si="19"/>
        <v>200000</v>
      </c>
      <c r="AQ197" s="1027"/>
    </row>
    <row r="198" spans="1:51" s="108" customFormat="1" ht="27.5" customHeight="1" outlineLevel="3">
      <c r="A198" s="159"/>
      <c r="B198" s="702" t="s">
        <v>2513</v>
      </c>
      <c r="C198" s="702"/>
      <c r="D198" s="533" t="s">
        <v>2514</v>
      </c>
      <c r="E198" s="533"/>
      <c r="F198" s="103"/>
      <c r="G198" s="3933"/>
      <c r="H198" s="363"/>
      <c r="I198" s="364"/>
      <c r="J198" s="365"/>
      <c r="K198" s="365"/>
      <c r="L198" s="365"/>
      <c r="M198" s="365"/>
      <c r="N198" s="365"/>
      <c r="O198" s="365"/>
      <c r="P198" s="365"/>
      <c r="Q198" s="3933"/>
      <c r="R198" s="3898"/>
      <c r="S198" s="3898"/>
      <c r="T198" s="3898"/>
      <c r="U198" s="3898"/>
      <c r="V198" s="3933"/>
      <c r="W198" s="3933"/>
      <c r="X198" s="3933"/>
      <c r="Y198" s="3842"/>
      <c r="Z198" s="3842"/>
      <c r="AA198" s="3842"/>
      <c r="AB198" s="3845"/>
      <c r="AC198" s="3845"/>
      <c r="AD198" s="3933"/>
      <c r="AE198" s="3933"/>
      <c r="AF198" s="3788"/>
      <c r="AG198" s="3788"/>
      <c r="AH198" s="3788"/>
      <c r="AI198" s="867"/>
      <c r="AJ198" s="4642"/>
      <c r="AK198" s="4642"/>
      <c r="AL198" s="4642"/>
      <c r="AM198" s="4642"/>
      <c r="AN198" s="4642"/>
      <c r="AO198" s="4642">
        <f t="shared" si="19"/>
        <v>0</v>
      </c>
      <c r="AQ198" s="1027"/>
    </row>
    <row r="199" spans="1:51" s="108" customFormat="1" ht="27.5" customHeight="1" outlineLevel="3">
      <c r="A199" s="581"/>
      <c r="B199" s="400" t="s">
        <v>2515</v>
      </c>
      <c r="C199" s="400"/>
      <c r="D199" s="536" t="s">
        <v>3742</v>
      </c>
      <c r="E199" s="536"/>
      <c r="F199" s="103"/>
      <c r="G199" s="3933"/>
      <c r="H199" s="621"/>
      <c r="I199" s="837"/>
      <c r="J199" s="622"/>
      <c r="K199" s="622"/>
      <c r="L199" s="622"/>
      <c r="M199" s="622"/>
      <c r="N199" s="622"/>
      <c r="O199" s="622"/>
      <c r="P199" s="622"/>
      <c r="Q199" s="3933"/>
      <c r="R199" s="3898"/>
      <c r="S199" s="3898"/>
      <c r="T199" s="3898"/>
      <c r="U199" s="3898"/>
      <c r="V199" s="3933"/>
      <c r="W199" s="3933"/>
      <c r="X199" s="3933"/>
      <c r="Y199" s="3842"/>
      <c r="Z199" s="3842"/>
      <c r="AA199" s="3842"/>
      <c r="AB199" s="3845"/>
      <c r="AC199" s="3845"/>
      <c r="AD199" s="3933"/>
      <c r="AE199" s="3933"/>
      <c r="AF199" s="3788"/>
      <c r="AG199" s="3788"/>
      <c r="AH199" s="3788"/>
      <c r="AI199" s="867"/>
      <c r="AJ199" s="4642"/>
      <c r="AK199" s="4642"/>
      <c r="AL199" s="4642"/>
      <c r="AM199" s="4642"/>
      <c r="AN199" s="4642"/>
      <c r="AO199" s="4642">
        <f t="shared" si="19"/>
        <v>0</v>
      </c>
      <c r="AQ199" s="1027"/>
    </row>
    <row r="200" spans="1:51" s="108" customFormat="1" ht="14.5" customHeight="1" outlineLevel="4">
      <c r="A200" s="159"/>
      <c r="B200" s="702" t="s">
        <v>2517</v>
      </c>
      <c r="C200" s="702"/>
      <c r="D200" s="533" t="s">
        <v>2518</v>
      </c>
      <c r="E200" s="533"/>
      <c r="F200" s="103"/>
      <c r="G200" s="3933"/>
      <c r="H200" s="363"/>
      <c r="I200" s="364"/>
      <c r="J200" s="365"/>
      <c r="K200" s="365"/>
      <c r="L200" s="365"/>
      <c r="M200" s="365"/>
      <c r="N200" s="365"/>
      <c r="O200" s="365"/>
      <c r="P200" s="365"/>
      <c r="Q200" s="3933"/>
      <c r="R200" s="3898"/>
      <c r="S200" s="3898"/>
      <c r="T200" s="3898"/>
      <c r="U200" s="3898"/>
      <c r="V200" s="3933"/>
      <c r="W200" s="3933"/>
      <c r="X200" s="3933"/>
      <c r="Y200" s="3842"/>
      <c r="Z200" s="3842"/>
      <c r="AA200" s="3842"/>
      <c r="AB200" s="3845"/>
      <c r="AC200" s="3845"/>
      <c r="AD200" s="3933"/>
      <c r="AE200" s="3933"/>
      <c r="AF200" s="3788"/>
      <c r="AG200" s="3788"/>
      <c r="AH200" s="3788"/>
      <c r="AI200" s="867"/>
      <c r="AJ200" s="4642"/>
      <c r="AK200" s="4642"/>
      <c r="AL200" s="4642"/>
      <c r="AM200" s="4642"/>
      <c r="AN200" s="4642"/>
      <c r="AO200" s="4642">
        <f t="shared" si="19"/>
        <v>0</v>
      </c>
      <c r="AQ200" s="1027"/>
    </row>
    <row r="201" spans="1:51" s="108" customFormat="1" ht="14.25" customHeight="1" outlineLevel="4">
      <c r="A201" s="159"/>
      <c r="B201" s="702" t="s">
        <v>2519</v>
      </c>
      <c r="C201" s="702"/>
      <c r="D201" s="533" t="s">
        <v>2520</v>
      </c>
      <c r="E201" s="533"/>
      <c r="F201" s="103"/>
      <c r="G201" s="3933"/>
      <c r="H201" s="363"/>
      <c r="I201" s="364"/>
      <c r="J201" s="365"/>
      <c r="K201" s="365"/>
      <c r="L201" s="365"/>
      <c r="M201" s="365"/>
      <c r="N201" s="365"/>
      <c r="O201" s="365"/>
      <c r="P201" s="365"/>
      <c r="Q201" s="3933"/>
      <c r="R201" s="3898"/>
      <c r="S201" s="3898"/>
      <c r="T201" s="3898"/>
      <c r="U201" s="3898"/>
      <c r="V201" s="3933"/>
      <c r="W201" s="3933"/>
      <c r="X201" s="3933"/>
      <c r="Y201" s="3842"/>
      <c r="Z201" s="3842"/>
      <c r="AA201" s="3842"/>
      <c r="AB201" s="3845"/>
      <c r="AC201" s="3845"/>
      <c r="AD201" s="3933"/>
      <c r="AE201" s="3933"/>
      <c r="AF201" s="3788"/>
      <c r="AG201" s="3788"/>
      <c r="AH201" s="3788"/>
      <c r="AI201" s="867"/>
      <c r="AJ201" s="4642"/>
      <c r="AK201" s="4642"/>
      <c r="AL201" s="4642"/>
      <c r="AM201" s="4642"/>
      <c r="AN201" s="4642"/>
      <c r="AO201" s="4642">
        <f t="shared" si="19"/>
        <v>0</v>
      </c>
      <c r="AQ201" s="1027"/>
    </row>
    <row r="202" spans="1:51" s="108" customFormat="1" ht="14.5" customHeight="1" outlineLevel="4">
      <c r="A202" s="159"/>
      <c r="B202" s="702" t="s">
        <v>2521</v>
      </c>
      <c r="C202" s="702"/>
      <c r="D202" s="533" t="s">
        <v>2522</v>
      </c>
      <c r="E202" s="533"/>
      <c r="F202" s="103"/>
      <c r="G202" s="3934"/>
      <c r="H202" s="363"/>
      <c r="I202" s="364"/>
      <c r="J202" s="365"/>
      <c r="K202" s="365"/>
      <c r="L202" s="365"/>
      <c r="M202" s="365"/>
      <c r="N202" s="365"/>
      <c r="O202" s="365"/>
      <c r="P202" s="365"/>
      <c r="Q202" s="3934"/>
      <c r="R202" s="3899"/>
      <c r="S202" s="3899"/>
      <c r="T202" s="3899"/>
      <c r="U202" s="3899"/>
      <c r="V202" s="3934"/>
      <c r="W202" s="3934"/>
      <c r="X202" s="3934"/>
      <c r="Y202" s="3843"/>
      <c r="Z202" s="3843"/>
      <c r="AA202" s="3843"/>
      <c r="AB202" s="3846"/>
      <c r="AC202" s="3846"/>
      <c r="AD202" s="3934"/>
      <c r="AE202" s="3934"/>
      <c r="AF202" s="3789"/>
      <c r="AG202" s="3789"/>
      <c r="AH202" s="3789"/>
      <c r="AI202" s="867"/>
      <c r="AJ202" s="4644"/>
      <c r="AK202" s="4644"/>
      <c r="AL202" s="4644"/>
      <c r="AM202" s="4644"/>
      <c r="AN202" s="4644"/>
      <c r="AO202" s="4644">
        <f t="shared" si="19"/>
        <v>0</v>
      </c>
      <c r="AQ202" s="1027"/>
    </row>
    <row r="203" spans="1:51" s="108" customFormat="1" ht="14" customHeight="1" outlineLevel="3">
      <c r="A203" s="159"/>
      <c r="B203" s="702"/>
      <c r="C203" s="702"/>
      <c r="D203" s="533"/>
      <c r="E203" s="533"/>
      <c r="F203" s="103"/>
      <c r="G203" s="762"/>
      <c r="H203" s="363"/>
      <c r="I203" s="364"/>
      <c r="J203" s="365"/>
      <c r="K203" s="365"/>
      <c r="L203" s="365"/>
      <c r="M203" s="365"/>
      <c r="N203" s="365"/>
      <c r="O203" s="365"/>
      <c r="P203" s="365"/>
      <c r="Q203" s="762"/>
      <c r="R203" s="364"/>
      <c r="S203" s="364"/>
      <c r="T203" s="364"/>
      <c r="U203" s="364"/>
      <c r="V203" s="181"/>
      <c r="W203" s="762"/>
      <c r="X203" s="533"/>
      <c r="Y203" s="533"/>
      <c r="Z203" s="533"/>
      <c r="AA203" s="533"/>
      <c r="AB203" s="533"/>
      <c r="AC203" s="533"/>
      <c r="AD203" s="533"/>
      <c r="AE203" s="762"/>
      <c r="AF203" s="1032"/>
      <c r="AG203" s="1032"/>
      <c r="AH203" s="1041"/>
      <c r="AI203" s="867"/>
      <c r="AJ203" s="728"/>
      <c r="AK203" s="728"/>
      <c r="AL203" s="728"/>
      <c r="AM203" s="728"/>
      <c r="AN203" s="728"/>
      <c r="AO203" s="728">
        <f t="shared" si="19"/>
        <v>0</v>
      </c>
      <c r="AQ203" s="1027"/>
    </row>
    <row r="204" spans="1:51" s="153" customFormat="1" ht="27.5" customHeight="1" outlineLevel="2">
      <c r="A204" s="172"/>
      <c r="B204" s="171" t="s">
        <v>533</v>
      </c>
      <c r="C204" s="171"/>
      <c r="D204" s="538" t="s">
        <v>3291</v>
      </c>
      <c r="E204" s="538" t="s">
        <v>5</v>
      </c>
      <c r="F204" s="106" t="s">
        <v>3470</v>
      </c>
      <c r="G204" s="96"/>
      <c r="H204" s="357" t="e">
        <f>+'1_MdR_Limpia'!#REF!</f>
        <v>#REF!</v>
      </c>
      <c r="I204" s="357" t="e">
        <f>+'1_MdR_Limpia'!#REF!</f>
        <v>#REF!</v>
      </c>
      <c r="J204" s="357" t="e">
        <f>+'1_MdR_Limpia'!#REF!</f>
        <v>#REF!</v>
      </c>
      <c r="K204" s="357" t="e">
        <f>+'1_MdR_Limpia'!#REF!</f>
        <v>#REF!</v>
      </c>
      <c r="L204" s="357" t="e">
        <f>+'1_MdR_Limpia'!#REF!</f>
        <v>#REF!</v>
      </c>
      <c r="M204" s="357" t="e">
        <f>+'1_MdR_Limpia'!#REF!</f>
        <v>#REF!</v>
      </c>
      <c r="N204" s="357" t="e">
        <f>+'1_MdR_Limpia'!#REF!</f>
        <v>#REF!</v>
      </c>
      <c r="O204" s="357" t="e">
        <f>+'1_MdR_Limpia'!#REF!</f>
        <v>#REF!</v>
      </c>
      <c r="P204" s="357" t="e">
        <f>+'1_MdR_Limpia'!#REF!</f>
        <v>#REF!</v>
      </c>
      <c r="Q204" s="96"/>
      <c r="R204" s="854"/>
      <c r="S204" s="358"/>
      <c r="T204" s="358"/>
      <c r="U204" s="358"/>
      <c r="V204" s="106"/>
      <c r="W204" s="96"/>
      <c r="X204" s="106"/>
      <c r="Y204" s="172"/>
      <c r="Z204" s="172"/>
      <c r="AA204" s="171"/>
      <c r="AB204" s="176"/>
      <c r="AC204" s="176">
        <f>SUM(AC205:AC208)</f>
        <v>400000</v>
      </c>
      <c r="AD204" s="692"/>
      <c r="AE204" s="96"/>
      <c r="AF204" s="176">
        <f>SUM(AF205:AF208)</f>
        <v>400000</v>
      </c>
      <c r="AG204" s="176">
        <f>SUM(AG205:AG208)</f>
        <v>0</v>
      </c>
      <c r="AH204" s="176">
        <f>SUM(AH205:AH208)</f>
        <v>400000</v>
      </c>
      <c r="AI204" s="865"/>
      <c r="AJ204" s="980">
        <f>SUM(AJ205:AJ208)</f>
        <v>340000</v>
      </c>
      <c r="AK204" s="980">
        <f>SUM(AK205:AK208)</f>
        <v>15000</v>
      </c>
      <c r="AL204" s="980">
        <f>SUM(AL205:AL208)</f>
        <v>15000</v>
      </c>
      <c r="AM204" s="981">
        <f>SUM(AM205:AM208)</f>
        <v>15000</v>
      </c>
      <c r="AN204" s="979">
        <f>SUM(AN205:AN208)</f>
        <v>15000</v>
      </c>
      <c r="AO204" s="979">
        <f t="shared" si="19"/>
        <v>400000</v>
      </c>
      <c r="AQ204" s="1027"/>
    </row>
    <row r="205" spans="1:51" s="84" customFormat="1" ht="41.5" customHeight="1" outlineLevel="3">
      <c r="A205" s="159"/>
      <c r="B205" s="107" t="s">
        <v>2531</v>
      </c>
      <c r="C205" s="107"/>
      <c r="D205" s="533" t="s">
        <v>3471</v>
      </c>
      <c r="E205" s="533"/>
      <c r="F205" s="103"/>
      <c r="G205" s="97"/>
      <c r="H205" s="363"/>
      <c r="I205" s="364"/>
      <c r="J205" s="367"/>
      <c r="K205" s="367"/>
      <c r="L205" s="367"/>
      <c r="M205" s="367"/>
      <c r="N205" s="367"/>
      <c r="O205" s="367"/>
      <c r="P205" s="367"/>
      <c r="Q205" s="97"/>
      <c r="R205" s="364" t="str">
        <f>+'9.3_PA_Det'!E92</f>
        <v>Selección Basada en Calidad y Costo</v>
      </c>
      <c r="S205" s="364" t="s">
        <v>1075</v>
      </c>
      <c r="T205" s="364" t="s">
        <v>1198</v>
      </c>
      <c r="U205" s="364">
        <f>+'9.3_PA_Det'!$F$92</f>
        <v>30</v>
      </c>
      <c r="V205" s="177"/>
      <c r="W205" s="97"/>
      <c r="X205" s="711" t="s">
        <v>1179</v>
      </c>
      <c r="Y205" s="712">
        <v>1</v>
      </c>
      <c r="Z205" s="179"/>
      <c r="AA205" s="179"/>
      <c r="AB205" s="1053">
        <v>200000</v>
      </c>
      <c r="AC205" s="1032">
        <f>Y205*AB205</f>
        <v>200000</v>
      </c>
      <c r="AD205" s="1054"/>
      <c r="AE205" s="97"/>
      <c r="AF205" s="1041">
        <f>+AC205</f>
        <v>200000</v>
      </c>
      <c r="AG205" s="1048">
        <v>0</v>
      </c>
      <c r="AH205" s="1041">
        <f>AF205+AG205</f>
        <v>200000</v>
      </c>
      <c r="AI205" s="867"/>
      <c r="AJ205" s="986">
        <f>+AF205</f>
        <v>200000</v>
      </c>
      <c r="AK205" s="986"/>
      <c r="AL205" s="986"/>
      <c r="AM205" s="986"/>
      <c r="AN205" s="1055"/>
      <c r="AO205" s="1038">
        <f t="shared" ref="AO205:AO268" si="22">SUM(AJ205:AN205)</f>
        <v>200000</v>
      </c>
      <c r="AP205" s="148"/>
      <c r="AQ205" s="1027"/>
      <c r="AR205" s="148"/>
      <c r="AS205" s="148"/>
      <c r="AT205" s="148"/>
      <c r="AU205" s="148"/>
      <c r="AV205" s="148"/>
      <c r="AW205" s="148"/>
      <c r="AX205" s="148"/>
      <c r="AY205" s="148"/>
    </row>
    <row r="206" spans="1:51" s="108" customFormat="1" ht="14" customHeight="1" outlineLevel="3">
      <c r="A206" s="580"/>
      <c r="B206" s="107" t="s">
        <v>2537</v>
      </c>
      <c r="C206" s="107"/>
      <c r="D206" s="533" t="s">
        <v>3743</v>
      </c>
      <c r="E206" s="533"/>
      <c r="F206" s="103"/>
      <c r="G206" s="97"/>
      <c r="H206" s="363"/>
      <c r="I206" s="364"/>
      <c r="J206" s="365"/>
      <c r="K206" s="365"/>
      <c r="L206" s="365"/>
      <c r="M206" s="365"/>
      <c r="N206" s="365"/>
      <c r="O206" s="365"/>
      <c r="P206" s="365"/>
      <c r="Q206" s="97"/>
      <c r="R206" s="364" t="s">
        <v>723</v>
      </c>
      <c r="S206" s="364"/>
      <c r="T206" s="364"/>
      <c r="U206" s="364"/>
      <c r="V206" s="181"/>
      <c r="W206" s="97"/>
      <c r="X206" s="711" t="s">
        <v>3744</v>
      </c>
      <c r="Y206" s="712">
        <v>30</v>
      </c>
      <c r="Z206" s="179"/>
      <c r="AA206" s="180"/>
      <c r="AB206" s="1032">
        <v>3000</v>
      </c>
      <c r="AC206" s="1032">
        <f>Y206*AB206</f>
        <v>90000</v>
      </c>
      <c r="AD206" s="1042"/>
      <c r="AE206" s="97"/>
      <c r="AF206" s="1032">
        <f>+AC206</f>
        <v>90000</v>
      </c>
      <c r="AG206" s="1048">
        <v>0</v>
      </c>
      <c r="AH206" s="1041">
        <f>AF206+AG206</f>
        <v>90000</v>
      </c>
      <c r="AI206" s="867"/>
      <c r="AJ206" s="986">
        <f>+AF206</f>
        <v>90000</v>
      </c>
      <c r="AK206" s="986"/>
      <c r="AL206" s="986"/>
      <c r="AM206" s="987"/>
      <c r="AN206" s="1038"/>
      <c r="AO206" s="1038">
        <f t="shared" si="22"/>
        <v>90000</v>
      </c>
      <c r="AQ206" s="1027"/>
    </row>
    <row r="207" spans="1:51" s="108" customFormat="1" ht="14" customHeight="1" outlineLevel="3">
      <c r="A207" s="580"/>
      <c r="B207" s="107" t="s">
        <v>2543</v>
      </c>
      <c r="C207" s="107"/>
      <c r="D207" s="533" t="s">
        <v>3745</v>
      </c>
      <c r="E207" s="533"/>
      <c r="F207" s="103"/>
      <c r="G207" s="97"/>
      <c r="H207" s="363"/>
      <c r="I207" s="364"/>
      <c r="J207" s="365"/>
      <c r="K207" s="365"/>
      <c r="L207" s="365"/>
      <c r="M207" s="365"/>
      <c r="N207" s="365"/>
      <c r="O207" s="365"/>
      <c r="P207" s="365"/>
      <c r="Q207" s="97"/>
      <c r="R207" s="364" t="s">
        <v>723</v>
      </c>
      <c r="S207" s="364"/>
      <c r="T207" s="364"/>
      <c r="U207" s="364"/>
      <c r="V207" s="181"/>
      <c r="W207" s="97"/>
      <c r="X207" s="711" t="s">
        <v>3744</v>
      </c>
      <c r="Y207" s="712">
        <v>30</v>
      </c>
      <c r="Z207" s="179">
        <v>4</v>
      </c>
      <c r="AA207" s="180"/>
      <c r="AB207" s="1032">
        <v>500</v>
      </c>
      <c r="AC207" s="1032">
        <f>Y207*Z207*AB207</f>
        <v>60000</v>
      </c>
      <c r="AD207" s="1042"/>
      <c r="AE207" s="97"/>
      <c r="AF207" s="1032">
        <f>+AC207</f>
        <v>60000</v>
      </c>
      <c r="AG207" s="1048">
        <v>0</v>
      </c>
      <c r="AH207" s="1041">
        <f>AF207+AG207</f>
        <v>60000</v>
      </c>
      <c r="AI207" s="867"/>
      <c r="AJ207" s="986"/>
      <c r="AK207" s="986">
        <f>+$AF$207*25%</f>
        <v>15000</v>
      </c>
      <c r="AL207" s="986">
        <f>+$AF$207*25%</f>
        <v>15000</v>
      </c>
      <c r="AM207" s="986">
        <f>+$AF$207*25%</f>
        <v>15000</v>
      </c>
      <c r="AN207" s="986">
        <f>+$AF$207*25%</f>
        <v>15000</v>
      </c>
      <c r="AO207" s="1038">
        <f t="shared" si="22"/>
        <v>60000</v>
      </c>
      <c r="AQ207" s="1027"/>
    </row>
    <row r="208" spans="1:51" s="84" customFormat="1" ht="41.5" customHeight="1" outlineLevel="3">
      <c r="A208" s="159"/>
      <c r="B208" s="107" t="s">
        <v>2549</v>
      </c>
      <c r="C208" s="107"/>
      <c r="D208" s="533" t="s">
        <v>3746</v>
      </c>
      <c r="E208" s="533"/>
      <c r="F208" s="103"/>
      <c r="G208" s="97"/>
      <c r="H208" s="363"/>
      <c r="I208" s="364"/>
      <c r="J208" s="367"/>
      <c r="K208" s="367"/>
      <c r="L208" s="367"/>
      <c r="M208" s="367"/>
      <c r="N208" s="367"/>
      <c r="O208" s="367"/>
      <c r="P208" s="367"/>
      <c r="Q208" s="97"/>
      <c r="R208" s="364" t="s">
        <v>723</v>
      </c>
      <c r="S208" s="364"/>
      <c r="T208" s="364"/>
      <c r="U208" s="364"/>
      <c r="V208" s="177"/>
      <c r="W208" s="97"/>
      <c r="X208" s="711" t="s">
        <v>1179</v>
      </c>
      <c r="Y208" s="712">
        <v>1</v>
      </c>
      <c r="Z208" s="179"/>
      <c r="AA208" s="179"/>
      <c r="AB208" s="1053">
        <v>50000</v>
      </c>
      <c r="AC208" s="1032">
        <f>Y208*AB208</f>
        <v>50000</v>
      </c>
      <c r="AD208" s="714" t="s">
        <v>3482</v>
      </c>
      <c r="AE208" s="97"/>
      <c r="AF208" s="1032">
        <f>+AC208</f>
        <v>50000</v>
      </c>
      <c r="AG208" s="1048">
        <v>0</v>
      </c>
      <c r="AH208" s="1041">
        <f>AF208+AG208</f>
        <v>50000</v>
      </c>
      <c r="AI208" s="867"/>
      <c r="AJ208" s="986">
        <f>+AF208</f>
        <v>50000</v>
      </c>
      <c r="AK208" s="986"/>
      <c r="AL208" s="986"/>
      <c r="AM208" s="986"/>
      <c r="AN208" s="1055"/>
      <c r="AO208" s="1038">
        <f t="shared" si="22"/>
        <v>50000</v>
      </c>
      <c r="AP208" s="148"/>
      <c r="AQ208" s="1027"/>
      <c r="AR208" s="148"/>
      <c r="AS208" s="148"/>
      <c r="AT208" s="148"/>
      <c r="AU208" s="148"/>
      <c r="AV208" s="148"/>
      <c r="AW208" s="148"/>
      <c r="AX208" s="148"/>
      <c r="AY208" s="148"/>
    </row>
    <row r="209" spans="1:51" s="153" customFormat="1" ht="27.5" customHeight="1" outlineLevel="2">
      <c r="A209" s="172"/>
      <c r="B209" s="171" t="s">
        <v>535</v>
      </c>
      <c r="C209" s="171"/>
      <c r="D209" s="538" t="s">
        <v>3483</v>
      </c>
      <c r="E209" s="538" t="s">
        <v>5</v>
      </c>
      <c r="F209" s="1176"/>
      <c r="G209" s="96"/>
      <c r="H209" s="357" t="e">
        <f>+'1_MdR_Limpia'!#REF!</f>
        <v>#REF!</v>
      </c>
      <c r="I209" s="357" t="e">
        <f>+'1_MdR_Limpia'!#REF!</f>
        <v>#REF!</v>
      </c>
      <c r="J209" s="357" t="e">
        <f>+'1_MdR_Limpia'!#REF!</f>
        <v>#REF!</v>
      </c>
      <c r="K209" s="357" t="e">
        <f>+'1_MdR_Limpia'!#REF!</f>
        <v>#REF!</v>
      </c>
      <c r="L209" s="357" t="e">
        <f>+'1_MdR_Limpia'!#REF!</f>
        <v>#REF!</v>
      </c>
      <c r="M209" s="357" t="e">
        <f>+'1_MdR_Limpia'!#REF!</f>
        <v>#REF!</v>
      </c>
      <c r="N209" s="357" t="e">
        <f>+'1_MdR_Limpia'!#REF!</f>
        <v>#REF!</v>
      </c>
      <c r="O209" s="357" t="e">
        <f>+'1_MdR_Limpia'!#REF!</f>
        <v>#REF!</v>
      </c>
      <c r="P209" s="357" t="e">
        <f>+'1_MdR_Limpia'!#REF!</f>
        <v>#REF!</v>
      </c>
      <c r="Q209" s="96"/>
      <c r="R209" s="854"/>
      <c r="S209" s="358"/>
      <c r="T209" s="358"/>
      <c r="U209" s="358"/>
      <c r="V209" s="106"/>
      <c r="W209" s="96"/>
      <c r="X209" s="106"/>
      <c r="Y209" s="172"/>
      <c r="Z209" s="172"/>
      <c r="AA209" s="171"/>
      <c r="AB209" s="176"/>
      <c r="AC209" s="176">
        <f>+AC210+AC211</f>
        <v>190000</v>
      </c>
      <c r="AD209" s="692"/>
      <c r="AE209" s="96"/>
      <c r="AF209" s="176">
        <f>+AF210+AF211</f>
        <v>190000</v>
      </c>
      <c r="AG209" s="176">
        <f>+AG210+AG211</f>
        <v>0</v>
      </c>
      <c r="AH209" s="176">
        <f>+AH210+AH211</f>
        <v>190000</v>
      </c>
      <c r="AI209" s="865"/>
      <c r="AJ209" s="980">
        <f>+AJ210+AJ211</f>
        <v>0</v>
      </c>
      <c r="AK209" s="980">
        <f>+AK210+AK211</f>
        <v>190000</v>
      </c>
      <c r="AL209" s="980">
        <f>+AL210+AL211</f>
        <v>0</v>
      </c>
      <c r="AM209" s="981">
        <f>+AM210+AM211</f>
        <v>0</v>
      </c>
      <c r="AN209" s="979">
        <f>+AN210+AN211</f>
        <v>0</v>
      </c>
      <c r="AO209" s="979">
        <f t="shared" si="22"/>
        <v>190000</v>
      </c>
      <c r="AQ209" s="1027"/>
    </row>
    <row r="210" spans="1:51" s="84" customFormat="1" ht="62" customHeight="1" outlineLevel="3">
      <c r="A210" s="159"/>
      <c r="B210" s="107" t="s">
        <v>2557</v>
      </c>
      <c r="C210" s="107"/>
      <c r="D210" s="533" t="s">
        <v>3747</v>
      </c>
      <c r="E210" s="533"/>
      <c r="F210" s="103"/>
      <c r="G210" s="97"/>
      <c r="H210" s="363"/>
      <c r="I210" s="364"/>
      <c r="J210" s="367"/>
      <c r="K210" s="367"/>
      <c r="L210" s="367"/>
      <c r="M210" s="367"/>
      <c r="N210" s="367"/>
      <c r="O210" s="367"/>
      <c r="P210" s="367"/>
      <c r="Q210" s="97"/>
      <c r="R210" s="364" t="str">
        <f>+'9.3_PA_Det'!E179</f>
        <v>3CV</v>
      </c>
      <c r="S210" s="364" t="s">
        <v>1075</v>
      </c>
      <c r="T210" s="364" t="s">
        <v>1289</v>
      </c>
      <c r="U210" s="364">
        <f>+'9.3_PA_Det'!F179</f>
        <v>70</v>
      </c>
      <c r="V210" s="177"/>
      <c r="W210" s="97"/>
      <c r="X210" s="711" t="s">
        <v>3440</v>
      </c>
      <c r="Y210" s="356">
        <v>2</v>
      </c>
      <c r="Z210" s="179"/>
      <c r="AA210" s="179"/>
      <c r="AB210" s="1053">
        <v>20000</v>
      </c>
      <c r="AC210" s="1048">
        <f>+Y210*AB210</f>
        <v>40000</v>
      </c>
      <c r="AD210" s="769" t="s">
        <v>3484</v>
      </c>
      <c r="AE210" s="97"/>
      <c r="AF210" s="1041">
        <f>+AC210</f>
        <v>40000</v>
      </c>
      <c r="AG210" s="1048">
        <v>0</v>
      </c>
      <c r="AH210" s="1053">
        <f>+AF210+AG210</f>
        <v>40000</v>
      </c>
      <c r="AI210" s="867"/>
      <c r="AJ210" s="1007"/>
      <c r="AK210" s="1007">
        <f>+AF210</f>
        <v>40000</v>
      </c>
      <c r="AL210" s="986"/>
      <c r="AM210" s="986"/>
      <c r="AN210" s="1055"/>
      <c r="AO210" s="1044">
        <f t="shared" si="22"/>
        <v>40000</v>
      </c>
      <c r="AP210" s="148"/>
      <c r="AQ210" s="1027"/>
      <c r="AR210" s="148"/>
      <c r="AS210" s="148"/>
      <c r="AT210" s="148"/>
      <c r="AU210" s="148"/>
      <c r="AV210" s="148"/>
      <c r="AW210" s="148"/>
      <c r="AX210" s="148"/>
      <c r="AY210" s="148"/>
    </row>
    <row r="211" spans="1:51" s="84" customFormat="1" ht="72" customHeight="1" outlineLevel="3">
      <c r="A211" s="159"/>
      <c r="B211" s="107" t="s">
        <v>2559</v>
      </c>
      <c r="C211" s="107"/>
      <c r="D211" s="533" t="s">
        <v>3748</v>
      </c>
      <c r="E211" s="533"/>
      <c r="F211" s="103"/>
      <c r="G211" s="97"/>
      <c r="H211" s="363"/>
      <c r="I211" s="364"/>
      <c r="J211" s="367"/>
      <c r="K211" s="367"/>
      <c r="L211" s="367"/>
      <c r="M211" s="367"/>
      <c r="N211" s="367"/>
      <c r="O211" s="367"/>
      <c r="P211" s="367"/>
      <c r="Q211" s="97"/>
      <c r="R211" s="364" t="str">
        <f>+'9.3_PA_Det'!E23</f>
        <v>Licitación Pública Nacional</v>
      </c>
      <c r="S211" s="364" t="s">
        <v>1075</v>
      </c>
      <c r="T211" s="365" t="s">
        <v>2989</v>
      </c>
      <c r="U211" s="364">
        <f>+'9.3_PA_Det'!G23</f>
        <v>5</v>
      </c>
      <c r="V211" s="770" t="s">
        <v>3486</v>
      </c>
      <c r="W211" s="97"/>
      <c r="X211" s="711" t="s">
        <v>1179</v>
      </c>
      <c r="Y211" s="356">
        <v>1</v>
      </c>
      <c r="Z211" s="179"/>
      <c r="AA211" s="179"/>
      <c r="AB211" s="1053">
        <v>150000</v>
      </c>
      <c r="AC211" s="1048">
        <f>+Y211*AB211</f>
        <v>150000</v>
      </c>
      <c r="AD211" s="714" t="s">
        <v>3487</v>
      </c>
      <c r="AE211" s="97"/>
      <c r="AF211" s="1041">
        <f>+AC211</f>
        <v>150000</v>
      </c>
      <c r="AG211" s="1048">
        <v>0</v>
      </c>
      <c r="AH211" s="1053">
        <f>+AF211+AG211</f>
        <v>150000</v>
      </c>
      <c r="AI211" s="867"/>
      <c r="AJ211" s="1007"/>
      <c r="AK211" s="1007">
        <f>+AF211</f>
        <v>150000</v>
      </c>
      <c r="AL211" s="986"/>
      <c r="AM211" s="986"/>
      <c r="AN211" s="1055"/>
      <c r="AO211" s="1044">
        <f t="shared" si="22"/>
        <v>150000</v>
      </c>
      <c r="AP211" s="148"/>
      <c r="AQ211" s="1027"/>
      <c r="AR211" s="148"/>
      <c r="AS211" s="148"/>
      <c r="AT211" s="148"/>
      <c r="AU211" s="148"/>
      <c r="AV211" s="148"/>
      <c r="AW211" s="148"/>
      <c r="AX211" s="148"/>
      <c r="AY211" s="148"/>
    </row>
    <row r="212" spans="1:51" s="84" customFormat="1" ht="14" customHeight="1" outlineLevel="2">
      <c r="A212" s="159"/>
      <c r="B212" s="107"/>
      <c r="C212" s="203"/>
      <c r="D212" s="148"/>
      <c r="E212" s="148"/>
      <c r="F212" s="103"/>
      <c r="G212" s="97"/>
      <c r="H212" s="363"/>
      <c r="I212" s="364"/>
      <c r="J212" s="367"/>
      <c r="K212" s="367"/>
      <c r="L212" s="367"/>
      <c r="M212" s="367"/>
      <c r="N212" s="367"/>
      <c r="O212" s="367"/>
      <c r="P212" s="367"/>
      <c r="Q212" s="97"/>
      <c r="R212" s="364"/>
      <c r="S212" s="364"/>
      <c r="T212" s="364"/>
      <c r="U212" s="364"/>
      <c r="V212" s="177"/>
      <c r="W212" s="97"/>
      <c r="X212" s="182"/>
      <c r="Y212" s="356"/>
      <c r="Z212" s="179"/>
      <c r="AA212" s="179"/>
      <c r="AB212" s="1053"/>
      <c r="AC212" s="1032"/>
      <c r="AD212" s="1054"/>
      <c r="AE212" s="97"/>
      <c r="AF212" s="1041"/>
      <c r="AG212" s="1048"/>
      <c r="AH212" s="1053"/>
      <c r="AI212" s="867"/>
      <c r="AJ212" s="1007"/>
      <c r="AK212" s="1007"/>
      <c r="AL212" s="986"/>
      <c r="AM212" s="986"/>
      <c r="AN212" s="1055"/>
      <c r="AO212" s="1038">
        <f t="shared" si="22"/>
        <v>0</v>
      </c>
      <c r="AP212" s="148"/>
      <c r="AQ212" s="1027"/>
      <c r="AR212" s="148"/>
      <c r="AS212" s="148"/>
      <c r="AT212" s="148"/>
      <c r="AU212" s="148"/>
      <c r="AV212" s="148"/>
      <c r="AW212" s="148"/>
      <c r="AX212" s="148"/>
      <c r="AY212" s="148"/>
    </row>
    <row r="213" spans="1:51" s="153" customFormat="1" ht="30" outlineLevel="1">
      <c r="A213" s="578"/>
      <c r="B213" s="428" t="s">
        <v>538</v>
      </c>
      <c r="C213" s="428"/>
      <c r="D213" s="539" t="s">
        <v>281</v>
      </c>
      <c r="E213" s="539"/>
      <c r="F213" s="427"/>
      <c r="G213" s="96"/>
      <c r="H213" s="429"/>
      <c r="I213" s="425"/>
      <c r="J213" s="430"/>
      <c r="K213" s="430"/>
      <c r="L213" s="430"/>
      <c r="M213" s="430"/>
      <c r="N213" s="430"/>
      <c r="O213" s="430"/>
      <c r="P213" s="430"/>
      <c r="Q213" s="96"/>
      <c r="R213" s="850"/>
      <c r="S213" s="850"/>
      <c r="T213" s="850"/>
      <c r="U213" s="850"/>
      <c r="V213" s="431"/>
      <c r="W213" s="96"/>
      <c r="X213" s="426"/>
      <c r="Y213" s="425"/>
      <c r="Z213" s="425"/>
      <c r="AA213" s="432"/>
      <c r="AB213" s="433"/>
      <c r="AC213" s="433">
        <f>AC235+AC214+AC252+AC254+AC259+AC256</f>
        <v>7345000</v>
      </c>
      <c r="AD213" s="685"/>
      <c r="AE213" s="96"/>
      <c r="AF213" s="433">
        <f>AF235+AF214+AF252+AF254+AF259+AF256</f>
        <v>7345000</v>
      </c>
      <c r="AG213" s="433">
        <f>AG235+AG214+AG252+AG254+AG259+AG256</f>
        <v>0</v>
      </c>
      <c r="AH213" s="433">
        <f>AH235+AH214+AH252+AH254+AH259+AH256</f>
        <v>7345000</v>
      </c>
      <c r="AI213" s="865"/>
      <c r="AJ213" s="977">
        <f>AJ235+AJ214+AJ252+AJ254+AJ259+AJ256</f>
        <v>275000</v>
      </c>
      <c r="AK213" s="977">
        <f>AK235+AK214+AK252+AK254+AK259+AK256</f>
        <v>1792000</v>
      </c>
      <c r="AL213" s="977">
        <f>AL235+AL214+AL252+AL254+AL259+AL256</f>
        <v>1532000</v>
      </c>
      <c r="AM213" s="978">
        <f>AM235+AM214+AM252+AM254+AM259+AM256</f>
        <v>2456000</v>
      </c>
      <c r="AN213" s="976">
        <f>AN235+AN214+AN252+AN254+AN259+AN256</f>
        <v>1290000</v>
      </c>
      <c r="AO213" s="976">
        <f t="shared" si="22"/>
        <v>7345000</v>
      </c>
      <c r="AQ213" s="1027"/>
    </row>
    <row r="214" spans="1:51" s="153" customFormat="1" ht="32.5" customHeight="1" outlineLevel="2">
      <c r="A214" s="172"/>
      <c r="B214" s="171" t="s">
        <v>539</v>
      </c>
      <c r="C214" s="171"/>
      <c r="D214" s="538" t="s">
        <v>3749</v>
      </c>
      <c r="E214" s="538" t="s">
        <v>5</v>
      </c>
      <c r="F214" s="106" t="s">
        <v>1440</v>
      </c>
      <c r="G214" s="96"/>
      <c r="H214" s="357" t="e">
        <f>+'1_MdR_Limpia'!#REF!</f>
        <v>#REF!</v>
      </c>
      <c r="I214" s="357" t="e">
        <f>+'1_MdR_Limpia'!#REF!</f>
        <v>#REF!</v>
      </c>
      <c r="J214" s="357" t="e">
        <f>+'1_MdR_Limpia'!#REF!</f>
        <v>#REF!</v>
      </c>
      <c r="K214" s="357" t="e">
        <f>+'1_MdR_Limpia'!#REF!</f>
        <v>#REF!</v>
      </c>
      <c r="L214" s="357" t="e">
        <f>+'1_MdR_Limpia'!#REF!</f>
        <v>#REF!</v>
      </c>
      <c r="M214" s="357" t="e">
        <f>+'1_MdR_Limpia'!#REF!</f>
        <v>#REF!</v>
      </c>
      <c r="N214" s="357" t="e">
        <f>+'1_MdR_Limpia'!#REF!</f>
        <v>#REF!</v>
      </c>
      <c r="O214" s="357" t="e">
        <f>+'1_MdR_Limpia'!#REF!</f>
        <v>#REF!</v>
      </c>
      <c r="P214" s="357" t="e">
        <f>+'1_MdR_Limpia'!#REF!</f>
        <v>#REF!</v>
      </c>
      <c r="Q214" s="96"/>
      <c r="R214" s="854"/>
      <c r="S214" s="358"/>
      <c r="T214" s="358"/>
      <c r="U214" s="358"/>
      <c r="V214" s="106"/>
      <c r="W214" s="96"/>
      <c r="X214" s="106"/>
      <c r="Y214" s="172"/>
      <c r="Z214" s="172"/>
      <c r="AA214" s="171"/>
      <c r="AB214" s="176"/>
      <c r="AC214" s="176">
        <f>+AC215+AC216+AC228+AC233</f>
        <v>2310000</v>
      </c>
      <c r="AD214" s="692"/>
      <c r="AE214" s="96"/>
      <c r="AF214" s="176">
        <f>+AC214</f>
        <v>2310000</v>
      </c>
      <c r="AG214" s="176"/>
      <c r="AH214" s="176">
        <f>AF214+AG214</f>
        <v>2310000</v>
      </c>
      <c r="AI214" s="865"/>
      <c r="AJ214" s="980">
        <f>+AJ215+AJ216+AJ228+AJ233</f>
        <v>120000</v>
      </c>
      <c r="AK214" s="980">
        <f>+AK215+AK216+AK228+AK233</f>
        <v>756000</v>
      </c>
      <c r="AL214" s="980">
        <f>+AL215+AL216+AL228+AL233</f>
        <v>576000</v>
      </c>
      <c r="AM214" s="981">
        <f>+AM215+AM216+AM228+AM233</f>
        <v>558000</v>
      </c>
      <c r="AN214" s="979">
        <f>+AN215+AN216+AN228+AN233</f>
        <v>300000</v>
      </c>
      <c r="AO214" s="979">
        <f t="shared" si="22"/>
        <v>2310000</v>
      </c>
      <c r="AQ214" s="1027"/>
    </row>
    <row r="215" spans="1:51" s="108" customFormat="1" ht="41.5" customHeight="1" outlineLevel="3">
      <c r="A215" s="580"/>
      <c r="B215" s="107" t="s">
        <v>1438</v>
      </c>
      <c r="C215" s="107"/>
      <c r="D215" s="533" t="s">
        <v>3750</v>
      </c>
      <c r="E215" s="533"/>
      <c r="F215" s="103"/>
      <c r="G215" s="97"/>
      <c r="H215" s="363"/>
      <c r="I215" s="364"/>
      <c r="J215" s="365"/>
      <c r="K215" s="365"/>
      <c r="L215" s="365"/>
      <c r="M215" s="365"/>
      <c r="N215" s="365"/>
      <c r="O215" s="365"/>
      <c r="P215" s="365"/>
      <c r="Q215" s="97"/>
      <c r="R215" s="364" t="str">
        <f>+'9.3_PA_Det'!E93</f>
        <v>Selección Basada en Calidad y Costo</v>
      </c>
      <c r="S215" s="364" t="s">
        <v>1075</v>
      </c>
      <c r="T215" s="364" t="s">
        <v>1198</v>
      </c>
      <c r="U215" s="364">
        <f>+'9.3_PA_Det'!F93</f>
        <v>31</v>
      </c>
      <c r="V215" s="181"/>
      <c r="W215" s="97"/>
      <c r="X215" s="711" t="s">
        <v>1179</v>
      </c>
      <c r="Y215" s="712">
        <v>1</v>
      </c>
      <c r="Z215" s="179"/>
      <c r="AA215" s="180"/>
      <c r="AB215" s="1032">
        <v>300000</v>
      </c>
      <c r="AC215" s="1032">
        <f>Y215*AB215</f>
        <v>300000</v>
      </c>
      <c r="AD215" s="1042"/>
      <c r="AE215" s="97"/>
      <c r="AF215" s="1032">
        <f>+AC215</f>
        <v>300000</v>
      </c>
      <c r="AG215" s="1032">
        <v>0</v>
      </c>
      <c r="AH215" s="1041">
        <f>+AF215+AG215</f>
        <v>300000</v>
      </c>
      <c r="AI215" s="867"/>
      <c r="AJ215" s="986">
        <f>+AF215*40%</f>
        <v>120000</v>
      </c>
      <c r="AK215" s="986">
        <f>+AF215*60%</f>
        <v>180000</v>
      </c>
      <c r="AL215" s="986"/>
      <c r="AM215" s="987"/>
      <c r="AN215" s="1038"/>
      <c r="AO215" s="1038">
        <f t="shared" si="22"/>
        <v>300000</v>
      </c>
      <c r="AP215" s="153"/>
      <c r="AQ215" s="1027"/>
    </row>
    <row r="216" spans="1:51" s="153" customFormat="1" ht="54.5" customHeight="1" outlineLevel="3">
      <c r="A216" s="581"/>
      <c r="B216" s="400" t="s">
        <v>1516</v>
      </c>
      <c r="C216" s="400"/>
      <c r="D216" s="536" t="s">
        <v>3751</v>
      </c>
      <c r="E216" s="536"/>
      <c r="F216" s="399"/>
      <c r="G216" s="96"/>
      <c r="H216" s="401"/>
      <c r="I216" s="401"/>
      <c r="J216" s="402"/>
      <c r="K216" s="402"/>
      <c r="L216" s="402"/>
      <c r="M216" s="402"/>
      <c r="N216" s="402"/>
      <c r="O216" s="402"/>
      <c r="P216" s="402"/>
      <c r="Q216" s="96"/>
      <c r="R216" s="837"/>
      <c r="S216" s="851"/>
      <c r="T216" s="851"/>
      <c r="U216" s="851"/>
      <c r="V216" s="399"/>
      <c r="W216" s="96"/>
      <c r="X216" s="396"/>
      <c r="Y216" s="397"/>
      <c r="Z216" s="397"/>
      <c r="AA216" s="395"/>
      <c r="AB216" s="398"/>
      <c r="AC216" s="398">
        <f>+AC217+AC222</f>
        <v>1200000</v>
      </c>
      <c r="AD216" s="933" t="s">
        <v>3752</v>
      </c>
      <c r="AE216" s="96"/>
      <c r="AF216" s="398">
        <f>+AF217+AF222</f>
        <v>1200000</v>
      </c>
      <c r="AG216" s="398">
        <f>+AG217+AG222</f>
        <v>0</v>
      </c>
      <c r="AH216" s="398">
        <f>+AH217+AH222</f>
        <v>1200000</v>
      </c>
      <c r="AI216" s="865"/>
      <c r="AJ216" s="992">
        <f>+AJ217+AJ222</f>
        <v>0</v>
      </c>
      <c r="AK216" s="992">
        <f>+AK217+AK222</f>
        <v>300000</v>
      </c>
      <c r="AL216" s="992">
        <f>+AL217+AL222</f>
        <v>300000</v>
      </c>
      <c r="AM216" s="993">
        <f>+AM217+AM222</f>
        <v>300000</v>
      </c>
      <c r="AN216" s="994">
        <f>+AN217+AN222</f>
        <v>300000</v>
      </c>
      <c r="AO216" s="994">
        <f t="shared" si="22"/>
        <v>1200000</v>
      </c>
      <c r="AQ216" s="1027"/>
    </row>
    <row r="217" spans="1:51" s="153" customFormat="1" ht="27.5" customHeight="1" outlineLevel="4">
      <c r="A217" s="715"/>
      <c r="B217" s="716" t="s">
        <v>1518</v>
      </c>
      <c r="C217" s="716"/>
      <c r="D217" s="938" t="s">
        <v>3753</v>
      </c>
      <c r="E217" s="938"/>
      <c r="F217" s="177"/>
      <c r="G217" s="96"/>
      <c r="H217" s="366"/>
      <c r="I217" s="717"/>
      <c r="J217" s="717"/>
      <c r="K217" s="717"/>
      <c r="L217" s="717"/>
      <c r="M217" s="717"/>
      <c r="N217" s="717"/>
      <c r="O217" s="717"/>
      <c r="P217" s="717"/>
      <c r="Q217" s="96"/>
      <c r="R217" s="857"/>
      <c r="S217" s="857"/>
      <c r="T217" s="857"/>
      <c r="U217" s="857"/>
      <c r="V217" s="717"/>
      <c r="W217" s="96"/>
      <c r="X217" s="717"/>
      <c r="Y217" s="718"/>
      <c r="Z217" s="718"/>
      <c r="AA217" s="719"/>
      <c r="AB217" s="720"/>
      <c r="AC217" s="720">
        <f>SUM(AC218:AC221)</f>
        <v>600000</v>
      </c>
      <c r="AD217" s="721"/>
      <c r="AE217" s="96"/>
      <c r="AF217" s="720">
        <f>SUM(AF218:AF221)</f>
        <v>600000</v>
      </c>
      <c r="AG217" s="720">
        <f>SUM(AG218:AG221)</f>
        <v>0</v>
      </c>
      <c r="AH217" s="720">
        <f>SUM(AH218:AH221)</f>
        <v>600000</v>
      </c>
      <c r="AI217" s="865"/>
      <c r="AJ217" s="1008">
        <f>SUM(AJ218:AJ221)</f>
        <v>0</v>
      </c>
      <c r="AK217" s="1008">
        <f>SUM(AK218:AK221)</f>
        <v>150000</v>
      </c>
      <c r="AL217" s="1008">
        <f>SUM(AL218:AL221)</f>
        <v>150000</v>
      </c>
      <c r="AM217" s="1009">
        <f>SUM(AM218:AM221)</f>
        <v>150000</v>
      </c>
      <c r="AN217" s="1010">
        <f>SUM(AN218:AN221)</f>
        <v>150000</v>
      </c>
      <c r="AO217" s="1010">
        <f t="shared" si="22"/>
        <v>600000</v>
      </c>
      <c r="AQ217" s="1027"/>
    </row>
    <row r="218" spans="1:51" s="108" customFormat="1" ht="14" customHeight="1" outlineLevel="5">
      <c r="A218" s="184"/>
      <c r="B218" s="441" t="s">
        <v>3754</v>
      </c>
      <c r="C218" s="441"/>
      <c r="D218" s="1070" t="s">
        <v>2443</v>
      </c>
      <c r="E218" s="1070"/>
      <c r="F218" s="103"/>
      <c r="G218" s="97"/>
      <c r="H218" s="363"/>
      <c r="I218" s="364"/>
      <c r="J218" s="365"/>
      <c r="K218" s="365"/>
      <c r="L218" s="365"/>
      <c r="M218" s="365"/>
      <c r="N218" s="365"/>
      <c r="O218" s="365"/>
      <c r="P218" s="365"/>
      <c r="Q218" s="97"/>
      <c r="R218" s="3897" t="str">
        <f>+'9.3_PA_Det'!$E$94</f>
        <v>Selección Basada en Calidad y Costo</v>
      </c>
      <c r="S218" s="3897" t="s">
        <v>1075</v>
      </c>
      <c r="T218" s="3996" t="s">
        <v>1198</v>
      </c>
      <c r="U218" s="3897">
        <f>+'9.3_PA_Det'!$F$94</f>
        <v>32</v>
      </c>
      <c r="V218" s="3918"/>
      <c r="W218" s="97"/>
      <c r="X218" s="711" t="s">
        <v>1179</v>
      </c>
      <c r="Y218" s="712">
        <v>1</v>
      </c>
      <c r="Z218" s="179"/>
      <c r="AA218" s="180"/>
      <c r="AB218" s="1048">
        <v>150000</v>
      </c>
      <c r="AC218" s="1032">
        <f>Y218*AB218</f>
        <v>150000</v>
      </c>
      <c r="AD218" s="1042"/>
      <c r="AE218" s="97"/>
      <c r="AF218" s="1032">
        <f>+AC218</f>
        <v>150000</v>
      </c>
      <c r="AG218" s="1032"/>
      <c r="AH218" s="1041">
        <f>AF218+AG218</f>
        <v>150000</v>
      </c>
      <c r="AI218" s="867"/>
      <c r="AJ218" s="986"/>
      <c r="AK218" s="986">
        <f>+AF218*25%</f>
        <v>37500</v>
      </c>
      <c r="AL218" s="986">
        <f>+AF218*25%</f>
        <v>37500</v>
      </c>
      <c r="AM218" s="987">
        <f>+AF218*25%</f>
        <v>37500</v>
      </c>
      <c r="AN218" s="1044">
        <f>+AF218*25%</f>
        <v>37500</v>
      </c>
      <c r="AO218" s="1038">
        <f t="shared" si="22"/>
        <v>150000</v>
      </c>
      <c r="AP218" s="153"/>
      <c r="AQ218" s="1027"/>
    </row>
    <row r="219" spans="1:51" s="108" customFormat="1" ht="27.5" customHeight="1" outlineLevel="5">
      <c r="A219" s="184"/>
      <c r="B219" s="441" t="s">
        <v>3755</v>
      </c>
      <c r="C219" s="441"/>
      <c r="D219" s="1070" t="s">
        <v>2445</v>
      </c>
      <c r="E219" s="1070"/>
      <c r="F219" s="103"/>
      <c r="G219" s="97"/>
      <c r="H219" s="363"/>
      <c r="I219" s="364"/>
      <c r="J219" s="365"/>
      <c r="K219" s="365"/>
      <c r="L219" s="365"/>
      <c r="M219" s="365"/>
      <c r="N219" s="365"/>
      <c r="O219" s="365"/>
      <c r="P219" s="365"/>
      <c r="Q219" s="97"/>
      <c r="R219" s="3898"/>
      <c r="S219" s="3898"/>
      <c r="T219" s="3997"/>
      <c r="U219" s="3898"/>
      <c r="V219" s="3919"/>
      <c r="W219" s="97"/>
      <c r="X219" s="711" t="s">
        <v>1179</v>
      </c>
      <c r="Y219" s="712">
        <v>1</v>
      </c>
      <c r="Z219" s="179"/>
      <c r="AA219" s="180"/>
      <c r="AB219" s="1048">
        <v>150000</v>
      </c>
      <c r="AC219" s="1032">
        <f>Y219*AB219</f>
        <v>150000</v>
      </c>
      <c r="AD219" s="1042"/>
      <c r="AE219" s="97"/>
      <c r="AF219" s="1032">
        <f>+AC219</f>
        <v>150000</v>
      </c>
      <c r="AG219" s="1032"/>
      <c r="AH219" s="1041">
        <f>AF219+AG219</f>
        <v>150000</v>
      </c>
      <c r="AI219" s="867"/>
      <c r="AJ219" s="986"/>
      <c r="AK219" s="986">
        <f>+AF219*25%</f>
        <v>37500</v>
      </c>
      <c r="AL219" s="986">
        <f>+AF219*25%</f>
        <v>37500</v>
      </c>
      <c r="AM219" s="987">
        <f>+AF219*25%</f>
        <v>37500</v>
      </c>
      <c r="AN219" s="1044">
        <f>+AF219*25%</f>
        <v>37500</v>
      </c>
      <c r="AO219" s="1038">
        <f t="shared" si="22"/>
        <v>150000</v>
      </c>
      <c r="AP219" s="153"/>
      <c r="AQ219" s="1027"/>
    </row>
    <row r="220" spans="1:51" s="108" customFormat="1" ht="14" customHeight="1" outlineLevel="5">
      <c r="A220" s="184"/>
      <c r="B220" s="441" t="s">
        <v>3756</v>
      </c>
      <c r="C220" s="441"/>
      <c r="D220" s="1070" t="s">
        <v>3446</v>
      </c>
      <c r="E220" s="1070"/>
      <c r="F220" s="103"/>
      <c r="G220" s="97"/>
      <c r="H220" s="363"/>
      <c r="I220" s="364"/>
      <c r="J220" s="365"/>
      <c r="K220" s="365"/>
      <c r="L220" s="365"/>
      <c r="M220" s="365"/>
      <c r="N220" s="365"/>
      <c r="O220" s="365"/>
      <c r="P220" s="365"/>
      <c r="Q220" s="97"/>
      <c r="R220" s="3898"/>
      <c r="S220" s="3898"/>
      <c r="T220" s="3997"/>
      <c r="U220" s="3898"/>
      <c r="V220" s="3919"/>
      <c r="W220" s="97"/>
      <c r="X220" s="711" t="s">
        <v>1179</v>
      </c>
      <c r="Y220" s="712">
        <v>1</v>
      </c>
      <c r="Z220" s="179"/>
      <c r="AA220" s="180"/>
      <c r="AB220" s="1048">
        <v>150000</v>
      </c>
      <c r="AC220" s="1032">
        <f>Y220*AB220</f>
        <v>150000</v>
      </c>
      <c r="AD220" s="1042"/>
      <c r="AE220" s="97"/>
      <c r="AF220" s="1032">
        <f>+AC220</f>
        <v>150000</v>
      </c>
      <c r="AG220" s="1032"/>
      <c r="AH220" s="1041">
        <f>AF220+AG220</f>
        <v>150000</v>
      </c>
      <c r="AI220" s="867"/>
      <c r="AJ220" s="986"/>
      <c r="AK220" s="986">
        <f>+AF220*25%</f>
        <v>37500</v>
      </c>
      <c r="AL220" s="986">
        <f>+AF220*25%</f>
        <v>37500</v>
      </c>
      <c r="AM220" s="987">
        <f>+AF220*25%</f>
        <v>37500</v>
      </c>
      <c r="AN220" s="1044">
        <f>+AF220*25%</f>
        <v>37500</v>
      </c>
      <c r="AO220" s="1038">
        <f t="shared" si="22"/>
        <v>150000</v>
      </c>
      <c r="AP220" s="153"/>
      <c r="AQ220" s="1027"/>
    </row>
    <row r="221" spans="1:51" s="108" customFormat="1" ht="14" customHeight="1" outlineLevel="5">
      <c r="A221" s="184"/>
      <c r="B221" s="441" t="s">
        <v>3757</v>
      </c>
      <c r="C221" s="441"/>
      <c r="D221" s="1070" t="s">
        <v>3731</v>
      </c>
      <c r="E221" s="1070"/>
      <c r="F221" s="103"/>
      <c r="G221" s="97"/>
      <c r="H221" s="363"/>
      <c r="I221" s="364"/>
      <c r="J221" s="365"/>
      <c r="K221" s="365"/>
      <c r="L221" s="365"/>
      <c r="M221" s="365"/>
      <c r="N221" s="365"/>
      <c r="O221" s="365"/>
      <c r="P221" s="365"/>
      <c r="Q221" s="97"/>
      <c r="R221" s="3899"/>
      <c r="S221" s="3899"/>
      <c r="T221" s="3998"/>
      <c r="U221" s="3899"/>
      <c r="V221" s="3920"/>
      <c r="W221" s="97"/>
      <c r="X221" s="711" t="s">
        <v>1179</v>
      </c>
      <c r="Y221" s="712">
        <v>1</v>
      </c>
      <c r="Z221" s="179"/>
      <c r="AA221" s="180"/>
      <c r="AB221" s="1048">
        <v>150000</v>
      </c>
      <c r="AC221" s="1032">
        <f>Y221*AB221</f>
        <v>150000</v>
      </c>
      <c r="AD221" s="1042"/>
      <c r="AE221" s="97"/>
      <c r="AF221" s="1032">
        <f>+AC221</f>
        <v>150000</v>
      </c>
      <c r="AG221" s="1032"/>
      <c r="AH221" s="1041">
        <f>AF221+AG221</f>
        <v>150000</v>
      </c>
      <c r="AI221" s="867"/>
      <c r="AJ221" s="986"/>
      <c r="AK221" s="986">
        <f>+AF221*25%</f>
        <v>37500</v>
      </c>
      <c r="AL221" s="986">
        <f>+AF221*25%</f>
        <v>37500</v>
      </c>
      <c r="AM221" s="987">
        <f>+AF221*25%</f>
        <v>37500</v>
      </c>
      <c r="AN221" s="1044">
        <f>+AF221*25%</f>
        <v>37500</v>
      </c>
      <c r="AO221" s="1038">
        <f t="shared" si="22"/>
        <v>150000</v>
      </c>
      <c r="AP221" s="153"/>
      <c r="AQ221" s="1027"/>
    </row>
    <row r="222" spans="1:51" s="153" customFormat="1" ht="27.5" customHeight="1" outlineLevel="4">
      <c r="A222" s="715"/>
      <c r="B222" s="716" t="s">
        <v>1518</v>
      </c>
      <c r="C222" s="716"/>
      <c r="D222" s="938" t="s">
        <v>3758</v>
      </c>
      <c r="E222" s="938"/>
      <c r="F222" s="177"/>
      <c r="G222" s="96"/>
      <c r="H222" s="366"/>
      <c r="I222" s="717"/>
      <c r="J222" s="717"/>
      <c r="K222" s="717"/>
      <c r="L222" s="717"/>
      <c r="M222" s="717"/>
      <c r="N222" s="717"/>
      <c r="O222" s="717"/>
      <c r="P222" s="717"/>
      <c r="Q222" s="96"/>
      <c r="R222" s="857"/>
      <c r="S222" s="857"/>
      <c r="T222" s="857"/>
      <c r="U222" s="857"/>
      <c r="V222" s="717"/>
      <c r="W222" s="96"/>
      <c r="X222" s="717"/>
      <c r="Y222" s="718"/>
      <c r="Z222" s="718"/>
      <c r="AA222" s="719"/>
      <c r="AB222" s="720"/>
      <c r="AC222" s="720">
        <f>SUM(AC223:AC226)</f>
        <v>600000</v>
      </c>
      <c r="AD222" s="721"/>
      <c r="AE222" s="96"/>
      <c r="AF222" s="720">
        <f>SUM(AF223:AF226)</f>
        <v>600000</v>
      </c>
      <c r="AG222" s="720">
        <f>SUM(AG223:AG226)</f>
        <v>0</v>
      </c>
      <c r="AH222" s="720">
        <f>SUM(AH223:AH226)</f>
        <v>600000</v>
      </c>
      <c r="AI222" s="865"/>
      <c r="AJ222" s="1008">
        <f>SUM(AJ223:AJ226)</f>
        <v>0</v>
      </c>
      <c r="AK222" s="1008">
        <f>SUM(AK223:AK226)</f>
        <v>150000</v>
      </c>
      <c r="AL222" s="1008">
        <f>SUM(AL223:AL226)</f>
        <v>150000</v>
      </c>
      <c r="AM222" s="1009">
        <f>SUM(AM223:AM226)</f>
        <v>150000</v>
      </c>
      <c r="AN222" s="1010">
        <f>SUM(AN223:AN226)</f>
        <v>150000</v>
      </c>
      <c r="AO222" s="1010">
        <f t="shared" si="22"/>
        <v>600000</v>
      </c>
      <c r="AQ222" s="1027"/>
    </row>
    <row r="223" spans="1:51" s="108" customFormat="1" ht="27.5" customHeight="1" outlineLevel="5">
      <c r="A223" s="184"/>
      <c r="B223" s="441" t="s">
        <v>3754</v>
      </c>
      <c r="C223" s="441"/>
      <c r="D223" s="1070" t="s">
        <v>2455</v>
      </c>
      <c r="E223" s="1070"/>
      <c r="F223" s="103"/>
      <c r="G223" s="97"/>
      <c r="H223" s="363"/>
      <c r="I223" s="364"/>
      <c r="J223" s="365"/>
      <c r="K223" s="365"/>
      <c r="L223" s="365"/>
      <c r="M223" s="365"/>
      <c r="N223" s="365"/>
      <c r="O223" s="365"/>
      <c r="P223" s="365"/>
      <c r="Q223" s="97"/>
      <c r="R223" s="3897" t="str">
        <f>+'9.3_PA_Det'!$E$94</f>
        <v>Selección Basada en Calidad y Costo</v>
      </c>
      <c r="S223" s="3897" t="s">
        <v>1075</v>
      </c>
      <c r="T223" s="3996" t="s">
        <v>1198</v>
      </c>
      <c r="U223" s="3897">
        <f>+'9.3_PA_Det'!$F$94</f>
        <v>32</v>
      </c>
      <c r="V223" s="3918"/>
      <c r="W223" s="97"/>
      <c r="X223" s="711"/>
      <c r="Y223" s="712">
        <v>1</v>
      </c>
      <c r="Z223" s="179"/>
      <c r="AA223" s="180"/>
      <c r="AB223" s="1048">
        <v>150000</v>
      </c>
      <c r="AC223" s="1032">
        <f>Y223*AB223</f>
        <v>150000</v>
      </c>
      <c r="AD223" s="1042"/>
      <c r="AE223" s="97"/>
      <c r="AF223" s="1032">
        <f>+AC223</f>
        <v>150000</v>
      </c>
      <c r="AG223" s="1032"/>
      <c r="AH223" s="1041">
        <f>AF223+AG223</f>
        <v>150000</v>
      </c>
      <c r="AI223" s="867"/>
      <c r="AJ223" s="986"/>
      <c r="AK223" s="986">
        <f>+AF223*25%</f>
        <v>37500</v>
      </c>
      <c r="AL223" s="986">
        <f>+AF223*25%</f>
        <v>37500</v>
      </c>
      <c r="AM223" s="987">
        <f>+AF223*25%</f>
        <v>37500</v>
      </c>
      <c r="AN223" s="1044">
        <f>+AF223*25%</f>
        <v>37500</v>
      </c>
      <c r="AO223" s="1038">
        <f t="shared" si="22"/>
        <v>150000</v>
      </c>
      <c r="AP223" s="153"/>
      <c r="AQ223" s="1027"/>
    </row>
    <row r="224" spans="1:51" s="108" customFormat="1" ht="27.5" customHeight="1" outlineLevel="5">
      <c r="A224" s="184"/>
      <c r="B224" s="441" t="s">
        <v>3755</v>
      </c>
      <c r="C224" s="441"/>
      <c r="D224" s="1070" t="s">
        <v>2457</v>
      </c>
      <c r="E224" s="1070"/>
      <c r="F224" s="103"/>
      <c r="G224" s="97"/>
      <c r="H224" s="363"/>
      <c r="I224" s="364"/>
      <c r="J224" s="365"/>
      <c r="K224" s="365"/>
      <c r="L224" s="365"/>
      <c r="M224" s="365"/>
      <c r="N224" s="365"/>
      <c r="O224" s="365"/>
      <c r="P224" s="365"/>
      <c r="Q224" s="97"/>
      <c r="R224" s="3898"/>
      <c r="S224" s="3898"/>
      <c r="T224" s="3997"/>
      <c r="U224" s="3898"/>
      <c r="V224" s="3919"/>
      <c r="W224" s="97"/>
      <c r="X224" s="711"/>
      <c r="Y224" s="712">
        <v>1</v>
      </c>
      <c r="Z224" s="179"/>
      <c r="AA224" s="180"/>
      <c r="AB224" s="1048">
        <v>150000</v>
      </c>
      <c r="AC224" s="1032">
        <f>Y224*AB224</f>
        <v>150000</v>
      </c>
      <c r="AD224" s="1042"/>
      <c r="AE224" s="97"/>
      <c r="AF224" s="1032">
        <f>+AC224</f>
        <v>150000</v>
      </c>
      <c r="AG224" s="1032"/>
      <c r="AH224" s="1041">
        <f>AF224+AG224</f>
        <v>150000</v>
      </c>
      <c r="AI224" s="867"/>
      <c r="AJ224" s="986"/>
      <c r="AK224" s="986">
        <f>+AF224*25%</f>
        <v>37500</v>
      </c>
      <c r="AL224" s="986">
        <f>+AF224*25%</f>
        <v>37500</v>
      </c>
      <c r="AM224" s="987">
        <f>+AF224*25%</f>
        <v>37500</v>
      </c>
      <c r="AN224" s="1044">
        <f>+AF224*25%</f>
        <v>37500</v>
      </c>
      <c r="AO224" s="1038">
        <f t="shared" si="22"/>
        <v>150000</v>
      </c>
      <c r="AP224" s="153"/>
      <c r="AQ224" s="1027"/>
    </row>
    <row r="225" spans="1:43" s="108" customFormat="1" ht="27.5" customHeight="1" outlineLevel="5">
      <c r="A225" s="184"/>
      <c r="B225" s="441" t="s">
        <v>3756</v>
      </c>
      <c r="C225" s="441"/>
      <c r="D225" s="1070" t="s">
        <v>2461</v>
      </c>
      <c r="E225" s="1070"/>
      <c r="F225" s="103"/>
      <c r="G225" s="97"/>
      <c r="H225" s="363"/>
      <c r="I225" s="364"/>
      <c r="J225" s="365"/>
      <c r="K225" s="365"/>
      <c r="L225" s="365"/>
      <c r="M225" s="365"/>
      <c r="N225" s="365"/>
      <c r="O225" s="365"/>
      <c r="P225" s="365"/>
      <c r="Q225" s="97"/>
      <c r="R225" s="3898"/>
      <c r="S225" s="3898"/>
      <c r="T225" s="3997"/>
      <c r="U225" s="3898"/>
      <c r="V225" s="3919"/>
      <c r="W225" s="97"/>
      <c r="X225" s="711"/>
      <c r="Y225" s="712">
        <v>1</v>
      </c>
      <c r="Z225" s="179"/>
      <c r="AA225" s="180"/>
      <c r="AB225" s="1048">
        <v>150000</v>
      </c>
      <c r="AC225" s="1032">
        <f>Y225*AB225</f>
        <v>150000</v>
      </c>
      <c r="AD225" s="1042"/>
      <c r="AE225" s="97"/>
      <c r="AF225" s="1032">
        <f>+AC225</f>
        <v>150000</v>
      </c>
      <c r="AG225" s="1032"/>
      <c r="AH225" s="1041">
        <f>AF225+AG225</f>
        <v>150000</v>
      </c>
      <c r="AI225" s="867"/>
      <c r="AJ225" s="986"/>
      <c r="AK225" s="986">
        <f>+AF225*25%</f>
        <v>37500</v>
      </c>
      <c r="AL225" s="986">
        <f>+AF225*25%</f>
        <v>37500</v>
      </c>
      <c r="AM225" s="987">
        <f>+AF225*25%</f>
        <v>37500</v>
      </c>
      <c r="AN225" s="1044">
        <f>+AF225*25%</f>
        <v>37500</v>
      </c>
      <c r="AO225" s="1038">
        <f t="shared" si="22"/>
        <v>150000</v>
      </c>
      <c r="AP225" s="153"/>
      <c r="AQ225" s="1027"/>
    </row>
    <row r="226" spans="1:43" s="108" customFormat="1" ht="14.5" customHeight="1" outlineLevel="5">
      <c r="A226" s="184"/>
      <c r="B226" s="441" t="s">
        <v>3757</v>
      </c>
      <c r="C226" s="441"/>
      <c r="D226" s="1070" t="s">
        <v>2463</v>
      </c>
      <c r="E226" s="1070"/>
      <c r="F226" s="103"/>
      <c r="G226" s="97"/>
      <c r="H226" s="363"/>
      <c r="I226" s="364"/>
      <c r="J226" s="365"/>
      <c r="K226" s="365"/>
      <c r="L226" s="365"/>
      <c r="M226" s="365"/>
      <c r="N226" s="365"/>
      <c r="O226" s="365"/>
      <c r="P226" s="365"/>
      <c r="Q226" s="97"/>
      <c r="R226" s="3899"/>
      <c r="S226" s="3899"/>
      <c r="T226" s="3998"/>
      <c r="U226" s="3899"/>
      <c r="V226" s="3920"/>
      <c r="W226" s="97"/>
      <c r="X226" s="711"/>
      <c r="Y226" s="712">
        <v>1</v>
      </c>
      <c r="Z226" s="179"/>
      <c r="AA226" s="180"/>
      <c r="AB226" s="1048">
        <v>150000</v>
      </c>
      <c r="AC226" s="1032">
        <f>Y226*AB226</f>
        <v>150000</v>
      </c>
      <c r="AD226" s="1042"/>
      <c r="AE226" s="97"/>
      <c r="AF226" s="1032">
        <f>+AC226</f>
        <v>150000</v>
      </c>
      <c r="AG226" s="1032"/>
      <c r="AH226" s="1041">
        <f>AF226+AG226</f>
        <v>150000</v>
      </c>
      <c r="AI226" s="867"/>
      <c r="AJ226" s="986"/>
      <c r="AK226" s="986">
        <f>+AF226*25%</f>
        <v>37500</v>
      </c>
      <c r="AL226" s="986">
        <f>+AF226*25%</f>
        <v>37500</v>
      </c>
      <c r="AM226" s="987">
        <f>+AF226*25%</f>
        <v>37500</v>
      </c>
      <c r="AN226" s="1044">
        <f>+AF226*25%</f>
        <v>37500</v>
      </c>
      <c r="AO226" s="1038">
        <f t="shared" si="22"/>
        <v>150000</v>
      </c>
      <c r="AP226" s="153"/>
      <c r="AQ226" s="1027"/>
    </row>
    <row r="227" spans="1:43" s="108" customFormat="1" ht="14" customHeight="1" outlineLevel="4">
      <c r="A227" s="184"/>
      <c r="B227" s="441"/>
      <c r="C227" s="441"/>
      <c r="D227" s="533"/>
      <c r="E227" s="533"/>
      <c r="F227" s="103"/>
      <c r="G227" s="97"/>
      <c r="H227" s="363"/>
      <c r="I227" s="364"/>
      <c r="J227" s="365"/>
      <c r="K227" s="365"/>
      <c r="L227" s="365"/>
      <c r="M227" s="365"/>
      <c r="N227" s="365"/>
      <c r="O227" s="365"/>
      <c r="P227" s="365"/>
      <c r="Q227" s="97"/>
      <c r="R227" s="364"/>
      <c r="S227" s="364"/>
      <c r="T227" s="364"/>
      <c r="U227" s="364"/>
      <c r="V227" s="181"/>
      <c r="W227" s="97"/>
      <c r="X227" s="711"/>
      <c r="Y227" s="712"/>
      <c r="Z227" s="179"/>
      <c r="AA227" s="180"/>
      <c r="AB227" s="1048"/>
      <c r="AC227" s="1032"/>
      <c r="AD227" s="1042"/>
      <c r="AE227" s="97"/>
      <c r="AF227" s="1032"/>
      <c r="AG227" s="1032"/>
      <c r="AH227" s="1041"/>
      <c r="AI227" s="867"/>
      <c r="AJ227" s="986"/>
      <c r="AK227" s="986"/>
      <c r="AL227" s="986"/>
      <c r="AM227" s="987"/>
      <c r="AN227" s="1044"/>
      <c r="AO227" s="1038">
        <f t="shared" si="22"/>
        <v>0</v>
      </c>
      <c r="AP227" s="153"/>
      <c r="AQ227" s="1027"/>
    </row>
    <row r="228" spans="1:43" s="153" customFormat="1" ht="29.5" customHeight="1" outlineLevel="3">
      <c r="A228" s="581"/>
      <c r="B228" s="400" t="s">
        <v>1537</v>
      </c>
      <c r="C228" s="400"/>
      <c r="D228" s="536" t="s">
        <v>3759</v>
      </c>
      <c r="E228" s="536"/>
      <c r="F228" s="399"/>
      <c r="G228" s="96"/>
      <c r="H228" s="401"/>
      <c r="I228" s="401"/>
      <c r="J228" s="402"/>
      <c r="K228" s="402"/>
      <c r="L228" s="402"/>
      <c r="M228" s="402"/>
      <c r="N228" s="402"/>
      <c r="O228" s="402"/>
      <c r="P228" s="402"/>
      <c r="Q228" s="96"/>
      <c r="R228" s="837"/>
      <c r="S228" s="851"/>
      <c r="T228" s="851"/>
      <c r="U228" s="851"/>
      <c r="V228" s="399"/>
      <c r="W228" s="96"/>
      <c r="X228" s="396"/>
      <c r="Y228" s="397"/>
      <c r="Z228" s="397"/>
      <c r="AA228" s="395"/>
      <c r="AB228" s="398"/>
      <c r="AC228" s="398">
        <f>SUM(AC229:AC232)</f>
        <v>720000</v>
      </c>
      <c r="AD228" s="933" t="s">
        <v>3760</v>
      </c>
      <c r="AE228" s="96"/>
      <c r="AF228" s="398">
        <f>SUM(AF229:AF232)</f>
        <v>720000</v>
      </c>
      <c r="AG228" s="398">
        <f>SUM(AG229:AG232)</f>
        <v>0</v>
      </c>
      <c r="AH228" s="398">
        <f>SUM(AH229:AH232)</f>
        <v>720000</v>
      </c>
      <c r="AI228" s="865"/>
      <c r="AJ228" s="992">
        <f>SUM(AJ229:AJ232)</f>
        <v>0</v>
      </c>
      <c r="AK228" s="992">
        <f>SUM(AK229:AK232)</f>
        <v>240000</v>
      </c>
      <c r="AL228" s="992">
        <f>SUM(AL229:AL232)</f>
        <v>240000</v>
      </c>
      <c r="AM228" s="993">
        <f>SUM(AM229:AM232)</f>
        <v>240000</v>
      </c>
      <c r="AN228" s="994">
        <f>SUM(AN229:AN232)</f>
        <v>0</v>
      </c>
      <c r="AO228" s="994">
        <f t="shared" si="22"/>
        <v>720000</v>
      </c>
      <c r="AQ228" s="1027"/>
    </row>
    <row r="229" spans="1:43" s="108" customFormat="1" ht="20" customHeight="1" outlineLevel="5">
      <c r="A229" s="580"/>
      <c r="B229" s="107" t="s">
        <v>2517</v>
      </c>
      <c r="C229" s="107"/>
      <c r="D229" s="1070" t="s">
        <v>865</v>
      </c>
      <c r="E229" s="1070"/>
      <c r="F229" s="103"/>
      <c r="G229" s="97"/>
      <c r="H229" s="363"/>
      <c r="I229" s="364"/>
      <c r="J229" s="365"/>
      <c r="K229" s="365"/>
      <c r="L229" s="365"/>
      <c r="M229" s="365"/>
      <c r="N229" s="365"/>
      <c r="O229" s="365"/>
      <c r="P229" s="365"/>
      <c r="Q229" s="97"/>
      <c r="R229" s="364" t="str">
        <f>+'9.3_PA_Det'!$E$180</f>
        <v>3CV</v>
      </c>
      <c r="S229" s="364" t="s">
        <v>1075</v>
      </c>
      <c r="T229" s="364" t="s">
        <v>1430</v>
      </c>
      <c r="U229" s="364">
        <f>+'9.3_PA_Det'!$F$180</f>
        <v>71</v>
      </c>
      <c r="V229" s="181"/>
      <c r="W229" s="97"/>
      <c r="X229" s="1072" t="s">
        <v>3761</v>
      </c>
      <c r="Y229" s="712">
        <v>1</v>
      </c>
      <c r="Z229" s="179">
        <v>36</v>
      </c>
      <c r="AA229" s="180"/>
      <c r="AB229" s="1032">
        <v>5000</v>
      </c>
      <c r="AC229" s="1032">
        <f>Y229*Z229*AB229</f>
        <v>180000</v>
      </c>
      <c r="AD229" s="1056"/>
      <c r="AE229" s="97"/>
      <c r="AF229" s="1032">
        <f>+AC229</f>
        <v>180000</v>
      </c>
      <c r="AG229" s="1032">
        <v>0</v>
      </c>
      <c r="AH229" s="1041">
        <f>AF229+AG229</f>
        <v>180000</v>
      </c>
      <c r="AI229" s="867"/>
      <c r="AJ229" s="986"/>
      <c r="AK229" s="986">
        <f>+$AB$229*12</f>
        <v>60000</v>
      </c>
      <c r="AL229" s="986">
        <f>+$AB$229*12</f>
        <v>60000</v>
      </c>
      <c r="AM229" s="986">
        <f>+$AB$229*12</f>
        <v>60000</v>
      </c>
      <c r="AN229" s="1038"/>
      <c r="AO229" s="1038">
        <f t="shared" si="22"/>
        <v>180000</v>
      </c>
      <c r="AP229" s="153"/>
      <c r="AQ229" s="1027"/>
    </row>
    <row r="230" spans="1:43" s="108" customFormat="1" ht="20" customHeight="1" outlineLevel="5">
      <c r="A230" s="580"/>
      <c r="B230" s="107" t="s">
        <v>2519</v>
      </c>
      <c r="C230" s="107"/>
      <c r="D230" s="1070" t="s">
        <v>1455</v>
      </c>
      <c r="E230" s="1070"/>
      <c r="F230" s="103"/>
      <c r="G230" s="97"/>
      <c r="H230" s="363"/>
      <c r="I230" s="364"/>
      <c r="J230" s="365"/>
      <c r="K230" s="365"/>
      <c r="L230" s="365"/>
      <c r="M230" s="365"/>
      <c r="N230" s="365"/>
      <c r="O230" s="365"/>
      <c r="P230" s="365"/>
      <c r="Q230" s="97"/>
      <c r="R230" s="364" t="str">
        <f>+'9.3_PA_Det'!$E$181</f>
        <v>3CV</v>
      </c>
      <c r="S230" s="364" t="s">
        <v>1075</v>
      </c>
      <c r="T230" s="364" t="s">
        <v>1430</v>
      </c>
      <c r="U230" s="364">
        <f>+'9.3_PA_Det'!$F$181</f>
        <v>72</v>
      </c>
      <c r="V230" s="181"/>
      <c r="W230" s="97"/>
      <c r="X230" s="1072" t="s">
        <v>3761</v>
      </c>
      <c r="Y230" s="712">
        <v>2</v>
      </c>
      <c r="Z230" s="179">
        <v>36</v>
      </c>
      <c r="AA230" s="180"/>
      <c r="AB230" s="1032">
        <v>2500</v>
      </c>
      <c r="AC230" s="1032">
        <f>Y230*Z230*AB230</f>
        <v>180000</v>
      </c>
      <c r="AD230" s="1042"/>
      <c r="AE230" s="97"/>
      <c r="AF230" s="1032">
        <f>+AC230</f>
        <v>180000</v>
      </c>
      <c r="AG230" s="1032">
        <v>0</v>
      </c>
      <c r="AH230" s="1041">
        <f>AF230+AG230</f>
        <v>180000</v>
      </c>
      <c r="AI230" s="867"/>
      <c r="AJ230" s="986"/>
      <c r="AK230" s="986">
        <f>+$AB$230*12*2</f>
        <v>60000</v>
      </c>
      <c r="AL230" s="986">
        <f>+$AB$230*12*2</f>
        <v>60000</v>
      </c>
      <c r="AM230" s="986">
        <f>+$AB$230*12*2</f>
        <v>60000</v>
      </c>
      <c r="AN230" s="1038"/>
      <c r="AO230" s="1038">
        <f t="shared" si="22"/>
        <v>180000</v>
      </c>
      <c r="AP230" s="153"/>
      <c r="AQ230" s="1027"/>
    </row>
    <row r="231" spans="1:43" s="108" customFormat="1" ht="27.5" customHeight="1" outlineLevel="5">
      <c r="A231" s="580"/>
      <c r="B231" s="107" t="s">
        <v>2521</v>
      </c>
      <c r="C231" s="107"/>
      <c r="D231" s="1070" t="s">
        <v>1457</v>
      </c>
      <c r="E231" s="1070"/>
      <c r="F231" s="103"/>
      <c r="G231" s="97"/>
      <c r="H231" s="363"/>
      <c r="I231" s="364"/>
      <c r="J231" s="365"/>
      <c r="K231" s="365"/>
      <c r="L231" s="365"/>
      <c r="M231" s="365"/>
      <c r="N231" s="365"/>
      <c r="O231" s="365"/>
      <c r="P231" s="365"/>
      <c r="Q231" s="97"/>
      <c r="R231" s="364" t="str">
        <f>+'9.3_PA_Det'!$E$182</f>
        <v>3CV</v>
      </c>
      <c r="S231" s="364" t="s">
        <v>1075</v>
      </c>
      <c r="T231" s="364" t="s">
        <v>1430</v>
      </c>
      <c r="U231" s="364">
        <f>+'9.3_PA_Det'!$F$182</f>
        <v>73</v>
      </c>
      <c r="V231" s="181"/>
      <c r="W231" s="97"/>
      <c r="X231" s="1072" t="s">
        <v>3761</v>
      </c>
      <c r="Y231" s="712">
        <v>1</v>
      </c>
      <c r="Z231" s="179">
        <v>36</v>
      </c>
      <c r="AA231" s="180"/>
      <c r="AB231" s="1032">
        <v>5000</v>
      </c>
      <c r="AC231" s="1032">
        <f>Y231*Z231*AB231</f>
        <v>180000</v>
      </c>
      <c r="AD231" s="1042"/>
      <c r="AE231" s="97"/>
      <c r="AF231" s="1032">
        <f>+AC231</f>
        <v>180000</v>
      </c>
      <c r="AG231" s="1032">
        <v>0</v>
      </c>
      <c r="AH231" s="1041">
        <f>AF231+AG231</f>
        <v>180000</v>
      </c>
      <c r="AI231" s="867"/>
      <c r="AJ231" s="986"/>
      <c r="AK231" s="986">
        <f>+$AB$231*12</f>
        <v>60000</v>
      </c>
      <c r="AL231" s="986">
        <f>+$AB$231*12</f>
        <v>60000</v>
      </c>
      <c r="AM231" s="986">
        <f>+$AB$231*12</f>
        <v>60000</v>
      </c>
      <c r="AN231" s="1038"/>
      <c r="AO231" s="1038">
        <f t="shared" si="22"/>
        <v>180000</v>
      </c>
      <c r="AP231" s="153"/>
      <c r="AQ231" s="1027"/>
    </row>
    <row r="232" spans="1:43" s="108" customFormat="1" ht="15.5" customHeight="1" outlineLevel="5">
      <c r="A232" s="580"/>
      <c r="B232" s="107" t="s">
        <v>2523</v>
      </c>
      <c r="C232" s="107"/>
      <c r="D232" s="1070" t="s">
        <v>1459</v>
      </c>
      <c r="E232" s="1070"/>
      <c r="F232" s="103"/>
      <c r="G232" s="97"/>
      <c r="H232" s="363"/>
      <c r="I232" s="364"/>
      <c r="J232" s="365"/>
      <c r="K232" s="365"/>
      <c r="L232" s="365"/>
      <c r="M232" s="365"/>
      <c r="N232" s="365"/>
      <c r="O232" s="365"/>
      <c r="P232" s="365"/>
      <c r="Q232" s="97"/>
      <c r="R232" s="364" t="str">
        <f>+'9.3_PA_Det'!$E$183</f>
        <v>3CV</v>
      </c>
      <c r="S232" s="364" t="s">
        <v>1075</v>
      </c>
      <c r="T232" s="364" t="s">
        <v>1430</v>
      </c>
      <c r="U232" s="364">
        <f>+'9.3_PA_Det'!$F$183</f>
        <v>74</v>
      </c>
      <c r="V232" s="181"/>
      <c r="W232" s="97"/>
      <c r="X232" s="1072" t="s">
        <v>3761</v>
      </c>
      <c r="Y232" s="712">
        <v>1</v>
      </c>
      <c r="Z232" s="179">
        <v>36</v>
      </c>
      <c r="AA232" s="180"/>
      <c r="AB232" s="1032">
        <v>5000</v>
      </c>
      <c r="AC232" s="1032">
        <f>Y232*Z232*AB232</f>
        <v>180000</v>
      </c>
      <c r="AD232" s="1071" t="s">
        <v>3762</v>
      </c>
      <c r="AE232" s="97"/>
      <c r="AF232" s="1032">
        <f>+AC232</f>
        <v>180000</v>
      </c>
      <c r="AG232" s="1032">
        <v>0</v>
      </c>
      <c r="AH232" s="1041">
        <f>AF232+AG232</f>
        <v>180000</v>
      </c>
      <c r="AI232" s="867"/>
      <c r="AJ232" s="986"/>
      <c r="AK232" s="986">
        <f>+$AB$232*12</f>
        <v>60000</v>
      </c>
      <c r="AL232" s="986">
        <f>+$AB$232*12</f>
        <v>60000</v>
      </c>
      <c r="AM232" s="986">
        <f>+$AB$232*12</f>
        <v>60000</v>
      </c>
      <c r="AN232" s="1038"/>
      <c r="AO232" s="1038">
        <f t="shared" si="22"/>
        <v>180000</v>
      </c>
      <c r="AP232" s="153"/>
      <c r="AQ232" s="1027"/>
    </row>
    <row r="233" spans="1:43" s="108" customFormat="1" ht="18.5" customHeight="1" outlineLevel="3">
      <c r="A233" s="580"/>
      <c r="B233" s="107" t="s">
        <v>3763</v>
      </c>
      <c r="C233" s="107"/>
      <c r="D233" s="703" t="s">
        <v>3730</v>
      </c>
      <c r="E233" s="703"/>
      <c r="F233" s="103"/>
      <c r="G233" s="97"/>
      <c r="H233" s="363"/>
      <c r="I233" s="364"/>
      <c r="J233" s="365"/>
      <c r="K233" s="365"/>
      <c r="L233" s="365"/>
      <c r="M233" s="365"/>
      <c r="N233" s="365"/>
      <c r="O233" s="365"/>
      <c r="P233" s="365"/>
      <c r="Q233" s="97"/>
      <c r="R233" s="364" t="str">
        <f>+'9.3_PA_Det'!$E$184</f>
        <v>3CV</v>
      </c>
      <c r="S233" s="364" t="s">
        <v>1075</v>
      </c>
      <c r="T233" s="364" t="s">
        <v>1430</v>
      </c>
      <c r="U233" s="364">
        <f>+'9.3_PA_Det'!$F$184</f>
        <v>75</v>
      </c>
      <c r="V233" s="181"/>
      <c r="W233" s="97"/>
      <c r="X233" s="711" t="s">
        <v>1267</v>
      </c>
      <c r="Y233" s="712">
        <v>1</v>
      </c>
      <c r="Z233" s="179">
        <v>30</v>
      </c>
      <c r="AA233" s="180"/>
      <c r="AB233" s="1032">
        <v>3000</v>
      </c>
      <c r="AC233" s="1032">
        <f>+Y233*Z233*AB233</f>
        <v>90000</v>
      </c>
      <c r="AD233" s="1042"/>
      <c r="AE233" s="97"/>
      <c r="AF233" s="1032">
        <f>+AC233</f>
        <v>90000</v>
      </c>
      <c r="AG233" s="1032"/>
      <c r="AH233" s="1041">
        <f>+AG233+AF233</f>
        <v>90000</v>
      </c>
      <c r="AI233" s="867"/>
      <c r="AJ233" s="986"/>
      <c r="AK233" s="986">
        <f>+$AB$233*12</f>
        <v>36000</v>
      </c>
      <c r="AL233" s="986">
        <f>+$AB$233*12</f>
        <v>36000</v>
      </c>
      <c r="AM233" s="986">
        <f>+$AB$233*6</f>
        <v>18000</v>
      </c>
      <c r="AN233" s="1038"/>
      <c r="AO233" s="1038">
        <f t="shared" si="22"/>
        <v>90000</v>
      </c>
      <c r="AP233" s="153"/>
      <c r="AQ233" s="1027"/>
    </row>
    <row r="234" spans="1:43" s="108" customFormat="1" ht="14" customHeight="1" outlineLevel="3">
      <c r="A234" s="184"/>
      <c r="B234" s="441"/>
      <c r="C234" s="441"/>
      <c r="D234" s="533"/>
      <c r="E234" s="533"/>
      <c r="F234" s="103"/>
      <c r="G234" s="97"/>
      <c r="H234" s="363"/>
      <c r="I234" s="364"/>
      <c r="J234" s="365"/>
      <c r="K234" s="365"/>
      <c r="L234" s="365"/>
      <c r="M234" s="365"/>
      <c r="N234" s="365"/>
      <c r="O234" s="365"/>
      <c r="P234" s="365"/>
      <c r="Q234" s="97"/>
      <c r="R234" s="364"/>
      <c r="S234" s="364"/>
      <c r="T234" s="364"/>
      <c r="U234" s="364"/>
      <c r="V234" s="181"/>
      <c r="W234" s="97"/>
      <c r="X234" s="711"/>
      <c r="Y234" s="712"/>
      <c r="Z234" s="179"/>
      <c r="AA234" s="180"/>
      <c r="AB234" s="1032"/>
      <c r="AC234" s="1032"/>
      <c r="AD234" s="1042"/>
      <c r="AE234" s="97"/>
      <c r="AF234" s="1032"/>
      <c r="AG234" s="1032"/>
      <c r="AH234" s="1041"/>
      <c r="AI234" s="867"/>
      <c r="AJ234" s="986"/>
      <c r="AK234" s="986"/>
      <c r="AL234" s="986"/>
      <c r="AM234" s="987"/>
      <c r="AN234" s="1038"/>
      <c r="AO234" s="1038">
        <f t="shared" si="22"/>
        <v>0</v>
      </c>
      <c r="AP234" s="153"/>
      <c r="AQ234" s="1027"/>
    </row>
    <row r="235" spans="1:43" s="153" customFormat="1" ht="26" customHeight="1" outlineLevel="2">
      <c r="A235" s="172"/>
      <c r="B235" s="171" t="s">
        <v>542</v>
      </c>
      <c r="C235" s="171"/>
      <c r="D235" s="538" t="s">
        <v>3764</v>
      </c>
      <c r="E235" s="538" t="s">
        <v>5</v>
      </c>
      <c r="F235" s="106" t="s">
        <v>1440</v>
      </c>
      <c r="G235" s="96"/>
      <c r="H235" s="357" t="e">
        <f>+'1_MdR_Limpia'!#REF!</f>
        <v>#REF!</v>
      </c>
      <c r="I235" s="357" t="e">
        <f>+'1_MdR_Limpia'!#REF!</f>
        <v>#REF!</v>
      </c>
      <c r="J235" s="357" t="e">
        <f>+'1_MdR_Limpia'!#REF!</f>
        <v>#REF!</v>
      </c>
      <c r="K235" s="357" t="e">
        <f>+'1_MdR_Limpia'!#REF!</f>
        <v>#REF!</v>
      </c>
      <c r="L235" s="357" t="e">
        <f>+'1_MdR_Limpia'!#REF!</f>
        <v>#REF!</v>
      </c>
      <c r="M235" s="357" t="e">
        <f>+'1_MdR_Limpia'!#REF!</f>
        <v>#REF!</v>
      </c>
      <c r="N235" s="357" t="e">
        <f>+'1_MdR_Limpia'!#REF!</f>
        <v>#REF!</v>
      </c>
      <c r="O235" s="357" t="e">
        <f>+'1_MdR_Limpia'!#REF!</f>
        <v>#REF!</v>
      </c>
      <c r="P235" s="357" t="e">
        <f>+'1_MdR_Limpia'!#REF!</f>
        <v>#REF!</v>
      </c>
      <c r="Q235" s="96"/>
      <c r="R235" s="854"/>
      <c r="S235" s="358"/>
      <c r="T235" s="358"/>
      <c r="U235" s="358"/>
      <c r="V235" s="106"/>
      <c r="W235" s="96"/>
      <c r="X235" s="106"/>
      <c r="Y235" s="172"/>
      <c r="Z235" s="172"/>
      <c r="AA235" s="171"/>
      <c r="AB235" s="176"/>
      <c r="AC235" s="176">
        <f>+AC236+AC239+AC242+AC243+AC244+AC248</f>
        <v>2835000</v>
      </c>
      <c r="AD235" s="692"/>
      <c r="AE235" s="96"/>
      <c r="AF235" s="176">
        <f>+AF236+AF239+AF242+AF243+AF244+AF248</f>
        <v>2835000</v>
      </c>
      <c r="AG235" s="176">
        <f>+AG236+AG239+AG242+AG243+AG244+AG248</f>
        <v>0</v>
      </c>
      <c r="AH235" s="176">
        <f>+AH236+AH239+AH242+AH243+AH244+AH248</f>
        <v>2835000</v>
      </c>
      <c r="AI235" s="865"/>
      <c r="AJ235" s="980">
        <f>+AJ236+AJ239+AJ242+AJ243+AJ244+AJ248</f>
        <v>95000</v>
      </c>
      <c r="AK235" s="980">
        <f>+AK236+AK239+AK242+AK243+AK244+AK248</f>
        <v>496000</v>
      </c>
      <c r="AL235" s="980">
        <f>+AL236+AL239+AL242+AL243+AL244+AL248</f>
        <v>631000</v>
      </c>
      <c r="AM235" s="981">
        <f>+AM236+AM239+AM242+AM243+AM244+AM248</f>
        <v>973000</v>
      </c>
      <c r="AN235" s="979">
        <f>+AN236+AN239+AN242+AN243+AN244+AN248</f>
        <v>640000</v>
      </c>
      <c r="AO235" s="979">
        <f t="shared" si="22"/>
        <v>2835000</v>
      </c>
      <c r="AQ235" s="1027"/>
    </row>
    <row r="236" spans="1:43" s="153" customFormat="1" ht="38" customHeight="1" outlineLevel="3">
      <c r="A236" s="581"/>
      <c r="B236" s="400" t="s">
        <v>2590</v>
      </c>
      <c r="C236" s="400"/>
      <c r="D236" s="536" t="s">
        <v>3765</v>
      </c>
      <c r="E236" s="536"/>
      <c r="F236" s="399"/>
      <c r="G236" s="96"/>
      <c r="H236" s="401"/>
      <c r="I236" s="401"/>
      <c r="J236" s="402"/>
      <c r="K236" s="402"/>
      <c r="L236" s="402"/>
      <c r="M236" s="402"/>
      <c r="N236" s="402"/>
      <c r="O236" s="402"/>
      <c r="P236" s="402"/>
      <c r="Q236" s="96"/>
      <c r="R236" s="837"/>
      <c r="S236" s="851"/>
      <c r="T236" s="851"/>
      <c r="U236" s="851"/>
      <c r="V236" s="399"/>
      <c r="W236" s="96"/>
      <c r="X236" s="396"/>
      <c r="Y236" s="397"/>
      <c r="Z236" s="397"/>
      <c r="AA236" s="395"/>
      <c r="AB236" s="398"/>
      <c r="AC236" s="398">
        <f>SUM(AC237:AC238)</f>
        <v>405000</v>
      </c>
      <c r="AD236" s="680"/>
      <c r="AE236" s="96"/>
      <c r="AF236" s="398">
        <f>SUM(AF237:AF238)</f>
        <v>405000</v>
      </c>
      <c r="AG236" s="398">
        <f>SUM(AG237:AG238)</f>
        <v>0</v>
      </c>
      <c r="AH236" s="398">
        <f>SUM(AH237:AH238)</f>
        <v>405000</v>
      </c>
      <c r="AI236" s="865"/>
      <c r="AJ236" s="398">
        <f>SUM(AJ237:AJ238)</f>
        <v>45000</v>
      </c>
      <c r="AK236" s="398">
        <f>SUM(AK237:AK238)</f>
        <v>90000</v>
      </c>
      <c r="AL236" s="398">
        <f>SUM(AL237:AL238)</f>
        <v>90000</v>
      </c>
      <c r="AM236" s="398">
        <f>SUM(AM237:AM238)</f>
        <v>90000</v>
      </c>
      <c r="AN236" s="398">
        <f>SUM(AN237:AN238)</f>
        <v>90000</v>
      </c>
      <c r="AO236" s="994">
        <f t="shared" si="22"/>
        <v>405000</v>
      </c>
      <c r="AQ236" s="1027"/>
    </row>
    <row r="237" spans="1:43" s="108" customFormat="1" ht="21" customHeight="1" outlineLevel="4">
      <c r="A237" s="580"/>
      <c r="B237" s="107" t="s">
        <v>3766</v>
      </c>
      <c r="C237" s="107"/>
      <c r="D237" s="533" t="s">
        <v>3767</v>
      </c>
      <c r="E237" s="533"/>
      <c r="F237" s="103"/>
      <c r="G237" s="97"/>
      <c r="H237" s="363"/>
      <c r="I237" s="364"/>
      <c r="J237" s="365"/>
      <c r="K237" s="365"/>
      <c r="L237" s="365"/>
      <c r="M237" s="365"/>
      <c r="N237" s="365"/>
      <c r="O237" s="365"/>
      <c r="P237" s="365"/>
      <c r="Q237" s="97"/>
      <c r="R237" s="364" t="str">
        <f>+'9.3_PA_Det'!$E$185</f>
        <v>3CV</v>
      </c>
      <c r="S237" s="364" t="s">
        <v>1075</v>
      </c>
      <c r="T237" s="364" t="s">
        <v>1430</v>
      </c>
      <c r="U237" s="364">
        <f>+'9.3_PA_Det'!$F$185</f>
        <v>76</v>
      </c>
      <c r="V237" s="181"/>
      <c r="W237" s="97"/>
      <c r="X237" s="711" t="s">
        <v>3768</v>
      </c>
      <c r="Y237" s="712">
        <v>1</v>
      </c>
      <c r="Z237" s="179">
        <v>54</v>
      </c>
      <c r="AA237" s="180"/>
      <c r="AB237" s="1032">
        <v>4500</v>
      </c>
      <c r="AC237" s="1032">
        <f>Y237*AB237*Z237</f>
        <v>243000</v>
      </c>
      <c r="AD237" s="4675" t="s">
        <v>3769</v>
      </c>
      <c r="AE237" s="97"/>
      <c r="AF237" s="1032">
        <f t="shared" ref="AF237:AF243" si="23">+AC237</f>
        <v>243000</v>
      </c>
      <c r="AG237" s="1032"/>
      <c r="AH237" s="1041">
        <f>AF237+AG237</f>
        <v>243000</v>
      </c>
      <c r="AI237" s="867"/>
      <c r="AJ237" s="1032">
        <f>+$AB$237*6</f>
        <v>27000</v>
      </c>
      <c r="AK237" s="1032">
        <f>+$AB$237*12</f>
        <v>54000</v>
      </c>
      <c r="AL237" s="1032">
        <f>+$AB$237*12</f>
        <v>54000</v>
      </c>
      <c r="AM237" s="1032">
        <f>+$AB$237*12</f>
        <v>54000</v>
      </c>
      <c r="AN237" s="1032">
        <f>+$AB$237*12</f>
        <v>54000</v>
      </c>
      <c r="AO237" s="1038">
        <f t="shared" si="22"/>
        <v>243000</v>
      </c>
      <c r="AQ237" s="1027"/>
    </row>
    <row r="238" spans="1:43" s="108" customFormat="1" ht="21" customHeight="1" outlineLevel="4">
      <c r="A238" s="580"/>
      <c r="B238" s="107" t="s">
        <v>3770</v>
      </c>
      <c r="C238" s="107"/>
      <c r="D238" s="533" t="s">
        <v>3771</v>
      </c>
      <c r="E238" s="533"/>
      <c r="F238" s="103"/>
      <c r="G238" s="97"/>
      <c r="H238" s="363"/>
      <c r="I238" s="364"/>
      <c r="J238" s="365"/>
      <c r="K238" s="365"/>
      <c r="L238" s="365"/>
      <c r="M238" s="365"/>
      <c r="N238" s="365"/>
      <c r="O238" s="365"/>
      <c r="P238" s="365"/>
      <c r="Q238" s="97"/>
      <c r="R238" s="364" t="str">
        <f>+'9.3_PA_Det'!E186</f>
        <v>3CV</v>
      </c>
      <c r="S238" s="364" t="s">
        <v>1075</v>
      </c>
      <c r="T238" s="364" t="s">
        <v>1430</v>
      </c>
      <c r="U238" s="364">
        <f>+'9.3_PA_Det'!$F$186</f>
        <v>77</v>
      </c>
      <c r="V238" s="181"/>
      <c r="W238" s="97"/>
      <c r="X238" s="711" t="s">
        <v>3768</v>
      </c>
      <c r="Y238" s="712">
        <v>1</v>
      </c>
      <c r="Z238" s="179">
        <v>54</v>
      </c>
      <c r="AA238" s="180"/>
      <c r="AB238" s="1032">
        <v>3000</v>
      </c>
      <c r="AC238" s="1032">
        <f>Y238*AB238*Z238</f>
        <v>162000</v>
      </c>
      <c r="AD238" s="4677"/>
      <c r="AE238" s="97"/>
      <c r="AF238" s="1032">
        <f t="shared" si="23"/>
        <v>162000</v>
      </c>
      <c r="AG238" s="1032"/>
      <c r="AH238" s="1041">
        <f>AF238+AG238</f>
        <v>162000</v>
      </c>
      <c r="AI238" s="867"/>
      <c r="AJ238" s="1032">
        <f>+$AB$238*6</f>
        <v>18000</v>
      </c>
      <c r="AK238" s="1032">
        <f>+$AB$238*12</f>
        <v>36000</v>
      </c>
      <c r="AL238" s="1032">
        <f>+$AB$238*12</f>
        <v>36000</v>
      </c>
      <c r="AM238" s="1032">
        <f>+$AB$238*12</f>
        <v>36000</v>
      </c>
      <c r="AN238" s="1032">
        <f>+$AB$238*12</f>
        <v>36000</v>
      </c>
      <c r="AO238" s="1038">
        <f t="shared" si="22"/>
        <v>162000</v>
      </c>
      <c r="AQ238" s="1027"/>
    </row>
    <row r="239" spans="1:43" s="153" customFormat="1" ht="25.25" customHeight="1" outlineLevel="3">
      <c r="A239" s="581"/>
      <c r="B239" s="400" t="s">
        <v>2592</v>
      </c>
      <c r="C239" s="400"/>
      <c r="D239" s="536" t="s">
        <v>3772</v>
      </c>
      <c r="E239" s="536"/>
      <c r="F239" s="399"/>
      <c r="G239" s="96"/>
      <c r="H239" s="401"/>
      <c r="I239" s="401"/>
      <c r="J239" s="402"/>
      <c r="K239" s="402"/>
      <c r="L239" s="402"/>
      <c r="M239" s="402"/>
      <c r="N239" s="402"/>
      <c r="O239" s="402"/>
      <c r="P239" s="402"/>
      <c r="Q239" s="96"/>
      <c r="R239" s="837"/>
      <c r="S239" s="851"/>
      <c r="T239" s="851"/>
      <c r="U239" s="851"/>
      <c r="V239" s="399"/>
      <c r="W239" s="96"/>
      <c r="X239" s="396"/>
      <c r="Y239" s="397"/>
      <c r="Z239" s="397"/>
      <c r="AA239" s="395"/>
      <c r="AB239" s="398"/>
      <c r="AC239" s="398">
        <f>SUM(AC240:AC241)</f>
        <v>150000</v>
      </c>
      <c r="AD239" s="680"/>
      <c r="AE239" s="96"/>
      <c r="AF239" s="398">
        <f>SUM(AF240:AF241)</f>
        <v>150000</v>
      </c>
      <c r="AG239" s="398">
        <f>SUM(AG240:AG241)</f>
        <v>0</v>
      </c>
      <c r="AH239" s="398">
        <f>SUM(AH240:AH241)</f>
        <v>150000</v>
      </c>
      <c r="AI239" s="865"/>
      <c r="AJ239" s="398">
        <f>SUM(AJ240:AJ241)</f>
        <v>0</v>
      </c>
      <c r="AK239" s="398">
        <f>SUM(AK240:AK241)</f>
        <v>0</v>
      </c>
      <c r="AL239" s="398">
        <f>SUM(AL240:AL241)</f>
        <v>45000</v>
      </c>
      <c r="AM239" s="398">
        <f>SUM(AM240:AM241)</f>
        <v>60000</v>
      </c>
      <c r="AN239" s="398">
        <f>SUM(AN240:AN241)</f>
        <v>45000</v>
      </c>
      <c r="AO239" s="994">
        <f t="shared" si="22"/>
        <v>150000</v>
      </c>
      <c r="AQ239" s="1027"/>
    </row>
    <row r="240" spans="1:43" s="108" customFormat="1" ht="25.25" customHeight="1" outlineLevel="4">
      <c r="A240" s="580"/>
      <c r="B240" s="107" t="s">
        <v>2593</v>
      </c>
      <c r="C240" s="107"/>
      <c r="D240" s="533" t="s">
        <v>1525</v>
      </c>
      <c r="E240" s="533"/>
      <c r="F240" s="103"/>
      <c r="G240" s="97"/>
      <c r="H240" s="363"/>
      <c r="I240" s="364"/>
      <c r="J240" s="365"/>
      <c r="K240" s="365"/>
      <c r="L240" s="365"/>
      <c r="M240" s="365"/>
      <c r="N240" s="365"/>
      <c r="O240" s="365"/>
      <c r="P240" s="365"/>
      <c r="Q240" s="97"/>
      <c r="R240" s="364" t="s">
        <v>723</v>
      </c>
      <c r="S240" s="364"/>
      <c r="T240" s="364"/>
      <c r="U240" s="364"/>
      <c r="V240" s="177"/>
      <c r="W240" s="97"/>
      <c r="X240" s="711" t="s">
        <v>1179</v>
      </c>
      <c r="Y240" s="712">
        <v>1</v>
      </c>
      <c r="Z240" s="179"/>
      <c r="AA240" s="180"/>
      <c r="AB240" s="1032">
        <v>60000</v>
      </c>
      <c r="AC240" s="1032">
        <f>Y240*AB240</f>
        <v>60000</v>
      </c>
      <c r="AD240" s="4675" t="s">
        <v>1527</v>
      </c>
      <c r="AE240" s="97"/>
      <c r="AF240" s="1032">
        <f t="shared" si="23"/>
        <v>60000</v>
      </c>
      <c r="AG240" s="1032"/>
      <c r="AH240" s="1041">
        <f>AF240+AG240</f>
        <v>60000</v>
      </c>
      <c r="AI240" s="867"/>
      <c r="AJ240" s="1032"/>
      <c r="AK240" s="1032"/>
      <c r="AL240" s="1032">
        <f>+$AF$240*30%</f>
        <v>18000</v>
      </c>
      <c r="AM240" s="1032">
        <f>+$AF$240*40%</f>
        <v>24000</v>
      </c>
      <c r="AN240" s="1032">
        <f>+$AF$240*30%</f>
        <v>18000</v>
      </c>
      <c r="AO240" s="1038">
        <f t="shared" si="22"/>
        <v>60000</v>
      </c>
      <c r="AQ240" s="1027"/>
    </row>
    <row r="241" spans="1:43" s="108" customFormat="1" ht="25.25" customHeight="1" outlineLevel="4">
      <c r="A241" s="580"/>
      <c r="B241" s="107" t="s">
        <v>2594</v>
      </c>
      <c r="C241" s="107"/>
      <c r="D241" s="533" t="s">
        <v>1529</v>
      </c>
      <c r="E241" s="533"/>
      <c r="F241" s="103"/>
      <c r="G241" s="97"/>
      <c r="H241" s="363"/>
      <c r="I241" s="364"/>
      <c r="J241" s="365"/>
      <c r="K241" s="365"/>
      <c r="L241" s="365"/>
      <c r="M241" s="365"/>
      <c r="N241" s="365"/>
      <c r="O241" s="365"/>
      <c r="P241" s="365"/>
      <c r="Q241" s="97"/>
      <c r="R241" s="364" t="s">
        <v>723</v>
      </c>
      <c r="S241" s="364"/>
      <c r="T241" s="364"/>
      <c r="U241" s="364"/>
      <c r="V241" s="177"/>
      <c r="W241" s="97"/>
      <c r="X241" s="711" t="s">
        <v>1179</v>
      </c>
      <c r="Y241" s="712">
        <v>1</v>
      </c>
      <c r="Z241" s="179"/>
      <c r="AA241" s="180"/>
      <c r="AB241" s="1032">
        <v>90000</v>
      </c>
      <c r="AC241" s="1032">
        <f>Y241*AB241</f>
        <v>90000</v>
      </c>
      <c r="AD241" s="4677"/>
      <c r="AE241" s="97"/>
      <c r="AF241" s="1032">
        <f t="shared" si="23"/>
        <v>90000</v>
      </c>
      <c r="AG241" s="1032"/>
      <c r="AH241" s="1041">
        <f>AF241+AG241</f>
        <v>90000</v>
      </c>
      <c r="AI241" s="867"/>
      <c r="AJ241" s="1032"/>
      <c r="AK241" s="1032"/>
      <c r="AL241" s="1032">
        <f>+AF$241*30%</f>
        <v>27000</v>
      </c>
      <c r="AM241" s="1032">
        <f>+AF$241*40%</f>
        <v>36000</v>
      </c>
      <c r="AN241" s="1032">
        <f>+AF$241*30%</f>
        <v>27000</v>
      </c>
      <c r="AO241" s="1038">
        <f t="shared" si="22"/>
        <v>90000</v>
      </c>
      <c r="AQ241" s="1027"/>
    </row>
    <row r="242" spans="1:43" s="108" customFormat="1" ht="40.25" customHeight="1" outlineLevel="3">
      <c r="A242" s="580"/>
      <c r="B242" s="107" t="s">
        <v>3495</v>
      </c>
      <c r="C242" s="107"/>
      <c r="D242" s="533" t="s">
        <v>3773</v>
      </c>
      <c r="E242" s="533"/>
      <c r="F242" s="103"/>
      <c r="G242" s="97"/>
      <c r="H242" s="363"/>
      <c r="I242" s="364"/>
      <c r="J242" s="365"/>
      <c r="K242" s="365"/>
      <c r="L242" s="365"/>
      <c r="M242" s="365"/>
      <c r="N242" s="365"/>
      <c r="O242" s="365"/>
      <c r="P242" s="365"/>
      <c r="Q242" s="97"/>
      <c r="R242" s="364" t="str">
        <f>+'9.3_PA_Det'!E14</f>
        <v>Licitación Pública Internacional</v>
      </c>
      <c r="S242" s="364" t="s">
        <v>1075</v>
      </c>
      <c r="T242" s="364" t="s">
        <v>1340</v>
      </c>
      <c r="U242" s="364">
        <f>+'9.3_PA_Det'!G14</f>
        <v>1</v>
      </c>
      <c r="V242" s="1077" t="s">
        <v>3774</v>
      </c>
      <c r="W242" s="97"/>
      <c r="X242" s="711" t="s">
        <v>3728</v>
      </c>
      <c r="Y242" s="712">
        <v>1</v>
      </c>
      <c r="Z242" s="179"/>
      <c r="AA242" s="180"/>
      <c r="AB242" s="1032">
        <v>500000</v>
      </c>
      <c r="AC242" s="1032">
        <f>Y242*AB242</f>
        <v>500000</v>
      </c>
      <c r="AD242" s="1042"/>
      <c r="AE242" s="97"/>
      <c r="AF242" s="1032">
        <f t="shared" si="23"/>
        <v>500000</v>
      </c>
      <c r="AG242" s="1032">
        <v>0</v>
      </c>
      <c r="AH242" s="1041">
        <f t="shared" ref="AH242:AH250" si="24">+AF242+AG242</f>
        <v>500000</v>
      </c>
      <c r="AI242" s="867"/>
      <c r="AJ242" s="1032"/>
      <c r="AK242" s="1032"/>
      <c r="AL242" s="1032">
        <f>+AF$242*30%</f>
        <v>150000</v>
      </c>
      <c r="AM242" s="1032">
        <f>+AF$242*40%</f>
        <v>200000</v>
      </c>
      <c r="AN242" s="1032">
        <f>+AF$242*30%</f>
        <v>150000</v>
      </c>
      <c r="AO242" s="1038">
        <f t="shared" si="22"/>
        <v>500000</v>
      </c>
      <c r="AQ242" s="1027"/>
    </row>
    <row r="243" spans="1:43" s="108" customFormat="1" ht="23.5" customHeight="1" outlineLevel="3" collapsed="1">
      <c r="A243" s="580"/>
      <c r="B243" s="107" t="s">
        <v>3496</v>
      </c>
      <c r="C243" s="107"/>
      <c r="D243" s="533" t="s">
        <v>3775</v>
      </c>
      <c r="E243" s="533"/>
      <c r="F243" s="103"/>
      <c r="G243" s="97"/>
      <c r="H243" s="363"/>
      <c r="I243" s="364"/>
      <c r="J243" s="365"/>
      <c r="K243" s="365"/>
      <c r="L243" s="365"/>
      <c r="M243" s="365"/>
      <c r="N243" s="365"/>
      <c r="O243" s="365"/>
      <c r="P243" s="365"/>
      <c r="Q243" s="97"/>
      <c r="R243" s="364" t="str">
        <f>+'9.3_PA_Det'!E15</f>
        <v>Licitación Pública Internacional</v>
      </c>
      <c r="S243" s="364" t="s">
        <v>1075</v>
      </c>
      <c r="T243" s="364" t="s">
        <v>1340</v>
      </c>
      <c r="U243" s="364">
        <f>+'9.3_PA_Det'!G15</f>
        <v>2</v>
      </c>
      <c r="V243" s="1077" t="s">
        <v>3776</v>
      </c>
      <c r="W243" s="97"/>
      <c r="X243" s="711" t="s">
        <v>153</v>
      </c>
      <c r="Y243" s="712" t="s">
        <v>553</v>
      </c>
      <c r="Z243" s="179"/>
      <c r="AA243" s="180"/>
      <c r="AB243" s="1032">
        <v>100000</v>
      </c>
      <c r="AC243" s="1032">
        <f>+Y243*AB243</f>
        <v>300000</v>
      </c>
      <c r="AD243" s="1042"/>
      <c r="AE243" s="97"/>
      <c r="AF243" s="1032">
        <f t="shared" si="23"/>
        <v>300000</v>
      </c>
      <c r="AG243" s="1032">
        <v>0</v>
      </c>
      <c r="AH243" s="1041">
        <f t="shared" si="24"/>
        <v>300000</v>
      </c>
      <c r="AI243" s="867"/>
      <c r="AJ243" s="1032"/>
      <c r="AK243" s="1032"/>
      <c r="AL243" s="1032">
        <f>+AF$243*30%</f>
        <v>90000</v>
      </c>
      <c r="AM243" s="1032">
        <f>+AF$243*40%</f>
        <v>120000</v>
      </c>
      <c r="AN243" s="1032">
        <f>+AF$243*30%</f>
        <v>90000</v>
      </c>
      <c r="AO243" s="1038">
        <f t="shared" si="22"/>
        <v>300000</v>
      </c>
      <c r="AQ243" s="1027"/>
    </row>
    <row r="244" spans="1:43" s="153" customFormat="1" ht="27.5" customHeight="1" outlineLevel="3">
      <c r="A244" s="581"/>
      <c r="B244" s="400" t="s">
        <v>3497</v>
      </c>
      <c r="C244" s="400"/>
      <c r="D244" s="536" t="s">
        <v>3777</v>
      </c>
      <c r="E244" s="536"/>
      <c r="F244" s="399"/>
      <c r="G244" s="96"/>
      <c r="H244" s="401"/>
      <c r="I244" s="401"/>
      <c r="J244" s="402"/>
      <c r="K244" s="402"/>
      <c r="L244" s="402"/>
      <c r="M244" s="402"/>
      <c r="N244" s="402"/>
      <c r="O244" s="402"/>
      <c r="P244" s="402"/>
      <c r="Q244" s="96"/>
      <c r="R244" s="837"/>
      <c r="S244" s="851"/>
      <c r="T244" s="851"/>
      <c r="U244" s="851"/>
      <c r="V244" s="1078"/>
      <c r="W244" s="96"/>
      <c r="X244" s="396"/>
      <c r="Y244" s="397"/>
      <c r="Z244" s="397"/>
      <c r="AA244" s="395"/>
      <c r="AB244" s="398"/>
      <c r="AC244" s="398">
        <f>+AC245+AC246+AC247</f>
        <v>1190000</v>
      </c>
      <c r="AD244" s="680"/>
      <c r="AE244" s="96"/>
      <c r="AF244" s="398">
        <f>+AF245+AF246+AF247</f>
        <v>1190000</v>
      </c>
      <c r="AG244" s="398">
        <f>+AG245+AG246+AG247</f>
        <v>0</v>
      </c>
      <c r="AH244" s="398">
        <f>+AH245+AH246+AH247</f>
        <v>1190000</v>
      </c>
      <c r="AI244" s="865"/>
      <c r="AJ244" s="398">
        <f>+AJ245+AJ246+AJ247</f>
        <v>0</v>
      </c>
      <c r="AK244" s="398">
        <f>+AK245+AK246+AK247</f>
        <v>238000</v>
      </c>
      <c r="AL244" s="398">
        <f>+AL245+AL246+AL247</f>
        <v>238000</v>
      </c>
      <c r="AM244" s="398">
        <f>+AM245+AM246+AM247</f>
        <v>476000</v>
      </c>
      <c r="AN244" s="398">
        <f>+AN245+AN246+AN247</f>
        <v>238000</v>
      </c>
      <c r="AO244" s="994">
        <f t="shared" si="22"/>
        <v>1190000</v>
      </c>
      <c r="AQ244" s="1027"/>
    </row>
    <row r="245" spans="1:43" s="108" customFormat="1" ht="26" customHeight="1" outlineLevel="4">
      <c r="A245" s="580"/>
      <c r="B245" s="107" t="s">
        <v>3778</v>
      </c>
      <c r="C245" s="107"/>
      <c r="D245" s="1070" t="s">
        <v>3779</v>
      </c>
      <c r="E245" s="1070"/>
      <c r="F245" s="103"/>
      <c r="G245" s="97"/>
      <c r="H245" s="363"/>
      <c r="I245" s="364"/>
      <c r="J245" s="365"/>
      <c r="K245" s="365"/>
      <c r="L245" s="365"/>
      <c r="M245" s="365"/>
      <c r="N245" s="365"/>
      <c r="O245" s="365"/>
      <c r="P245" s="365"/>
      <c r="Q245" s="97"/>
      <c r="R245" s="364" t="str">
        <f>+'9.3_PA_Det'!E102</f>
        <v>Selección Basada en Calidad y Costo</v>
      </c>
      <c r="S245" s="364" t="s">
        <v>1075</v>
      </c>
      <c r="T245" s="364" t="s">
        <v>1198</v>
      </c>
      <c r="U245" s="364">
        <f>+'9.3_PA_Det'!F102</f>
        <v>33</v>
      </c>
      <c r="V245" s="1077" t="s">
        <v>3780</v>
      </c>
      <c r="W245" s="97"/>
      <c r="X245" s="711" t="s">
        <v>1179</v>
      </c>
      <c r="Y245" s="712">
        <v>1</v>
      </c>
      <c r="Z245" s="179"/>
      <c r="AA245" s="180"/>
      <c r="AB245" s="1032">
        <v>500000</v>
      </c>
      <c r="AC245" s="1032">
        <f>+Y245*AB245</f>
        <v>500000</v>
      </c>
      <c r="AD245" s="1042"/>
      <c r="AE245" s="97"/>
      <c r="AF245" s="1032">
        <f>+AC245</f>
        <v>500000</v>
      </c>
      <c r="AG245" s="1032">
        <v>0</v>
      </c>
      <c r="AH245" s="1041">
        <f t="shared" si="24"/>
        <v>500000</v>
      </c>
      <c r="AI245" s="867"/>
      <c r="AJ245" s="1032"/>
      <c r="AK245" s="1032">
        <f>+$AF$245*20%</f>
        <v>100000</v>
      </c>
      <c r="AL245" s="1032">
        <f>+$AF$245*20%</f>
        <v>100000</v>
      </c>
      <c r="AM245" s="1032">
        <f>+$AF$245*40%</f>
        <v>200000</v>
      </c>
      <c r="AN245" s="1032">
        <f>+$AF$245*20%</f>
        <v>100000</v>
      </c>
      <c r="AO245" s="1038">
        <f t="shared" si="22"/>
        <v>500000</v>
      </c>
      <c r="AQ245" s="1027"/>
    </row>
    <row r="246" spans="1:43" s="108" customFormat="1" ht="29.5" customHeight="1" outlineLevel="4">
      <c r="A246" s="580"/>
      <c r="B246" s="107" t="s">
        <v>3781</v>
      </c>
      <c r="C246" s="107"/>
      <c r="D246" s="1070" t="s">
        <v>3782</v>
      </c>
      <c r="E246" s="1070"/>
      <c r="F246" s="103"/>
      <c r="G246" s="97"/>
      <c r="H246" s="363"/>
      <c r="I246" s="364"/>
      <c r="J246" s="365"/>
      <c r="K246" s="365"/>
      <c r="L246" s="365"/>
      <c r="M246" s="365"/>
      <c r="N246" s="365"/>
      <c r="O246" s="365"/>
      <c r="P246" s="365"/>
      <c r="Q246" s="97"/>
      <c r="R246" s="364" t="str">
        <f>+'9.3_PA_Det'!E16</f>
        <v>Licitación Pública Internacional</v>
      </c>
      <c r="S246" s="364" t="s">
        <v>1075</v>
      </c>
      <c r="T246" s="364" t="s">
        <v>1340</v>
      </c>
      <c r="U246" s="364">
        <f>+'9.3_PA_Det'!G16</f>
        <v>3</v>
      </c>
      <c r="V246" s="1079"/>
      <c r="W246" s="97"/>
      <c r="X246" s="711" t="s">
        <v>153</v>
      </c>
      <c r="Y246" s="712">
        <v>3</v>
      </c>
      <c r="Z246" s="179"/>
      <c r="AA246" s="180"/>
      <c r="AB246" s="1032">
        <v>130000</v>
      </c>
      <c r="AC246" s="1032">
        <f>+Y246*AB246</f>
        <v>390000</v>
      </c>
      <c r="AD246" s="937" t="s">
        <v>3783</v>
      </c>
      <c r="AE246" s="97"/>
      <c r="AF246" s="1032">
        <f>+AC246</f>
        <v>390000</v>
      </c>
      <c r="AG246" s="1032">
        <v>0</v>
      </c>
      <c r="AH246" s="1041">
        <f t="shared" si="24"/>
        <v>390000</v>
      </c>
      <c r="AI246" s="867"/>
      <c r="AJ246" s="1032"/>
      <c r="AK246" s="1032">
        <f>+$AF$246*20%</f>
        <v>78000</v>
      </c>
      <c r="AL246" s="1032">
        <f>+$AF$246*20%</f>
        <v>78000</v>
      </c>
      <c r="AM246" s="1032">
        <f>+$AF$246*40%</f>
        <v>156000</v>
      </c>
      <c r="AN246" s="1032">
        <f>+$AF$246*20%</f>
        <v>78000</v>
      </c>
      <c r="AO246" s="1038">
        <f t="shared" si="22"/>
        <v>390000</v>
      </c>
      <c r="AQ246" s="1027"/>
    </row>
    <row r="247" spans="1:43" s="108" customFormat="1" ht="41.5" customHeight="1" outlineLevel="4">
      <c r="A247" s="580"/>
      <c r="B247" s="107" t="s">
        <v>3784</v>
      </c>
      <c r="C247" s="107"/>
      <c r="D247" s="1070" t="s">
        <v>3785</v>
      </c>
      <c r="E247" s="1070"/>
      <c r="F247" s="103"/>
      <c r="G247" s="97"/>
      <c r="H247" s="363"/>
      <c r="I247" s="364"/>
      <c r="J247" s="365"/>
      <c r="K247" s="365"/>
      <c r="L247" s="365"/>
      <c r="M247" s="365"/>
      <c r="N247" s="365"/>
      <c r="O247" s="365"/>
      <c r="P247" s="365"/>
      <c r="Q247" s="97"/>
      <c r="R247" s="364" t="str">
        <f>+'9.3_PA_Det'!E103</f>
        <v>Selección Basada en Calidad y Costo</v>
      </c>
      <c r="S247" s="364" t="s">
        <v>1075</v>
      </c>
      <c r="T247" s="364" t="s">
        <v>1198</v>
      </c>
      <c r="U247" s="364">
        <f>+'9.3_PA_Det'!F103</f>
        <v>34</v>
      </c>
      <c r="V247" s="1079"/>
      <c r="W247" s="97"/>
      <c r="X247" s="711" t="s">
        <v>1179</v>
      </c>
      <c r="Y247" s="712">
        <v>1</v>
      </c>
      <c r="Z247" s="179"/>
      <c r="AA247" s="180"/>
      <c r="AB247" s="1032">
        <v>300000</v>
      </c>
      <c r="AC247" s="1032">
        <f>+Y247*AB247</f>
        <v>300000</v>
      </c>
      <c r="AD247" s="937" t="s">
        <v>3786</v>
      </c>
      <c r="AE247" s="97"/>
      <c r="AF247" s="1032">
        <f>+AC247</f>
        <v>300000</v>
      </c>
      <c r="AG247" s="1032">
        <v>0</v>
      </c>
      <c r="AH247" s="1041">
        <f t="shared" si="24"/>
        <v>300000</v>
      </c>
      <c r="AI247" s="867"/>
      <c r="AJ247" s="1032"/>
      <c r="AK247" s="1032">
        <f>+$AF$247*20%</f>
        <v>60000</v>
      </c>
      <c r="AL247" s="1032">
        <f>+$AF$247*20%</f>
        <v>60000</v>
      </c>
      <c r="AM247" s="1032">
        <f>+$AF$247*40%</f>
        <v>120000</v>
      </c>
      <c r="AN247" s="1032">
        <f>+$AF$247*20%</f>
        <v>60000</v>
      </c>
      <c r="AO247" s="1038">
        <f t="shared" si="22"/>
        <v>300000</v>
      </c>
      <c r="AQ247" s="1027"/>
    </row>
    <row r="248" spans="1:43" s="153" customFormat="1" ht="35.5" customHeight="1" outlineLevel="3">
      <c r="A248" s="581"/>
      <c r="B248" s="400" t="s">
        <v>3787</v>
      </c>
      <c r="C248" s="400"/>
      <c r="D248" s="536" t="s">
        <v>3788</v>
      </c>
      <c r="E248" s="536"/>
      <c r="F248" s="399"/>
      <c r="G248" s="96"/>
      <c r="H248" s="401"/>
      <c r="I248" s="401"/>
      <c r="J248" s="402"/>
      <c r="K248" s="402"/>
      <c r="L248" s="402"/>
      <c r="M248" s="402"/>
      <c r="N248" s="402"/>
      <c r="O248" s="402"/>
      <c r="P248" s="402"/>
      <c r="Q248" s="96"/>
      <c r="R248" s="837"/>
      <c r="S248" s="851"/>
      <c r="T248" s="851"/>
      <c r="U248" s="851"/>
      <c r="V248" s="1078"/>
      <c r="W248" s="96"/>
      <c r="X248" s="396"/>
      <c r="Y248" s="397"/>
      <c r="Z248" s="397"/>
      <c r="AA248" s="395"/>
      <c r="AB248" s="398"/>
      <c r="AC248" s="398">
        <f>+AC249+AC250</f>
        <v>290000</v>
      </c>
      <c r="AD248" s="680"/>
      <c r="AE248" s="96"/>
      <c r="AF248" s="398">
        <f>+AF249+AF250</f>
        <v>290000</v>
      </c>
      <c r="AG248" s="398">
        <f>+AG249+AG250</f>
        <v>0</v>
      </c>
      <c r="AH248" s="398">
        <f>+AH249+AH250</f>
        <v>290000</v>
      </c>
      <c r="AI248" s="865"/>
      <c r="AJ248" s="398">
        <f>+AJ249+AJ250</f>
        <v>50000</v>
      </c>
      <c r="AK248" s="398">
        <f>+AK249+AK250</f>
        <v>168000</v>
      </c>
      <c r="AL248" s="398">
        <f>+AL249+AL250</f>
        <v>18000</v>
      </c>
      <c r="AM248" s="398">
        <f>+AM249+AM250</f>
        <v>27000</v>
      </c>
      <c r="AN248" s="398">
        <f>+AN249+AN250</f>
        <v>27000</v>
      </c>
      <c r="AO248" s="994">
        <f t="shared" si="22"/>
        <v>290000</v>
      </c>
      <c r="AQ248" s="1027"/>
    </row>
    <row r="249" spans="1:43" s="108" customFormat="1" ht="38" customHeight="1" outlineLevel="4">
      <c r="A249" s="580"/>
      <c r="B249" s="107" t="s">
        <v>3789</v>
      </c>
      <c r="C249" s="107"/>
      <c r="D249" s="1070" t="s">
        <v>3790</v>
      </c>
      <c r="E249" s="1070"/>
      <c r="F249" s="103"/>
      <c r="G249" s="97"/>
      <c r="H249" s="363"/>
      <c r="I249" s="364"/>
      <c r="J249" s="365"/>
      <c r="K249" s="365"/>
      <c r="L249" s="365"/>
      <c r="M249" s="365"/>
      <c r="N249" s="365"/>
      <c r="O249" s="365"/>
      <c r="P249" s="365"/>
      <c r="Q249" s="97"/>
      <c r="R249" s="364" t="str">
        <f>+'9.3_PA_Det'!E104</f>
        <v>Selección Basada en Calidad y Costo</v>
      </c>
      <c r="S249" s="364" t="s">
        <v>1075</v>
      </c>
      <c r="T249" s="364" t="s">
        <v>1198</v>
      </c>
      <c r="U249" s="364">
        <f>+'9.3_PA_Det'!F104</f>
        <v>35</v>
      </c>
      <c r="V249" s="1077" t="s">
        <v>3791</v>
      </c>
      <c r="W249" s="97"/>
      <c r="X249" s="711" t="s">
        <v>1179</v>
      </c>
      <c r="Y249" s="712">
        <v>1</v>
      </c>
      <c r="Z249" s="179"/>
      <c r="AA249" s="180"/>
      <c r="AB249" s="1032">
        <v>200000</v>
      </c>
      <c r="AC249" s="1032">
        <f>+Y249*AB249</f>
        <v>200000</v>
      </c>
      <c r="AD249" s="937"/>
      <c r="AE249" s="97"/>
      <c r="AF249" s="1032">
        <f>+AC249</f>
        <v>200000</v>
      </c>
      <c r="AG249" s="1032">
        <v>0</v>
      </c>
      <c r="AH249" s="1041">
        <f t="shared" si="24"/>
        <v>200000</v>
      </c>
      <c r="AI249" s="867"/>
      <c r="AJ249" s="986">
        <f>+AF249*25%</f>
        <v>50000</v>
      </c>
      <c r="AK249" s="986">
        <f>+AF249*75%</f>
        <v>150000</v>
      </c>
      <c r="AL249" s="986"/>
      <c r="AM249" s="987"/>
      <c r="AN249" s="1038"/>
      <c r="AO249" s="1038">
        <f t="shared" si="22"/>
        <v>200000</v>
      </c>
      <c r="AQ249" s="1027"/>
    </row>
    <row r="250" spans="1:43" s="108" customFormat="1" ht="20" customHeight="1" outlineLevel="4">
      <c r="A250" s="580"/>
      <c r="B250" s="107" t="s">
        <v>3792</v>
      </c>
      <c r="C250" s="107"/>
      <c r="D250" s="1070" t="s">
        <v>3793</v>
      </c>
      <c r="E250" s="1070"/>
      <c r="F250" s="103"/>
      <c r="G250" s="97"/>
      <c r="H250" s="363"/>
      <c r="I250" s="364"/>
      <c r="J250" s="365"/>
      <c r="K250" s="365"/>
      <c r="L250" s="365"/>
      <c r="M250" s="365"/>
      <c r="N250" s="365"/>
      <c r="O250" s="365"/>
      <c r="P250" s="365"/>
      <c r="Q250" s="97"/>
      <c r="R250" s="364" t="s">
        <v>723</v>
      </c>
      <c r="S250" s="364" t="s">
        <v>3074</v>
      </c>
      <c r="T250" s="364" t="s">
        <v>3074</v>
      </c>
      <c r="U250" s="364" t="s">
        <v>3074</v>
      </c>
      <c r="V250" s="1077" t="s">
        <v>3794</v>
      </c>
      <c r="W250" s="97"/>
      <c r="X250" s="711" t="s">
        <v>153</v>
      </c>
      <c r="Y250" s="712">
        <v>3</v>
      </c>
      <c r="Z250" s="179"/>
      <c r="AA250" s="180"/>
      <c r="AB250" s="1032">
        <v>30000</v>
      </c>
      <c r="AC250" s="1032">
        <f>+Y250*AB250</f>
        <v>90000</v>
      </c>
      <c r="AD250" s="937"/>
      <c r="AE250" s="97"/>
      <c r="AF250" s="1032">
        <f>+AC250</f>
        <v>90000</v>
      </c>
      <c r="AG250" s="1032">
        <v>0</v>
      </c>
      <c r="AH250" s="1041">
        <f t="shared" si="24"/>
        <v>90000</v>
      </c>
      <c r="AI250" s="867"/>
      <c r="AJ250" s="986"/>
      <c r="AK250" s="986">
        <f>+$AF$250*20%</f>
        <v>18000</v>
      </c>
      <c r="AL250" s="986">
        <f>+$AF$250*20%</f>
        <v>18000</v>
      </c>
      <c r="AM250" s="986">
        <f>+$AF$250*30%</f>
        <v>27000</v>
      </c>
      <c r="AN250" s="986">
        <f>+$AF$250*30%</f>
        <v>27000</v>
      </c>
      <c r="AO250" s="1038">
        <f t="shared" si="22"/>
        <v>90000</v>
      </c>
      <c r="AQ250" s="1027"/>
    </row>
    <row r="251" spans="1:43" s="108" customFormat="1" ht="14.5" customHeight="1" outlineLevel="3">
      <c r="A251" s="580"/>
      <c r="B251" s="107"/>
      <c r="C251" s="107"/>
      <c r="D251" s="533"/>
      <c r="E251" s="533"/>
      <c r="F251" s="103"/>
      <c r="G251" s="97"/>
      <c r="H251" s="363"/>
      <c r="I251" s="364"/>
      <c r="J251" s="365"/>
      <c r="K251" s="365"/>
      <c r="L251" s="365"/>
      <c r="M251" s="365"/>
      <c r="N251" s="365"/>
      <c r="O251" s="365"/>
      <c r="P251" s="365"/>
      <c r="Q251" s="97"/>
      <c r="R251" s="364"/>
      <c r="S251" s="364"/>
      <c r="T251" s="364"/>
      <c r="U251" s="364"/>
      <c r="V251" s="1079"/>
      <c r="W251" s="97"/>
      <c r="X251" s="711"/>
      <c r="Y251" s="712"/>
      <c r="Z251" s="179"/>
      <c r="AA251" s="180"/>
      <c r="AB251" s="1032"/>
      <c r="AC251" s="1032"/>
      <c r="AD251" s="1042"/>
      <c r="AE251" s="97"/>
      <c r="AF251" s="1032"/>
      <c r="AG251" s="1032"/>
      <c r="AH251" s="1041"/>
      <c r="AI251" s="867"/>
      <c r="AJ251" s="986"/>
      <c r="AK251" s="986"/>
      <c r="AL251" s="986"/>
      <c r="AM251" s="987"/>
      <c r="AN251" s="1038"/>
      <c r="AO251" s="1038">
        <f t="shared" si="22"/>
        <v>0</v>
      </c>
      <c r="AQ251" s="1027"/>
    </row>
    <row r="252" spans="1:43" s="153" customFormat="1" ht="32.5" customHeight="1" outlineLevel="2">
      <c r="A252" s="172"/>
      <c r="B252" s="171" t="s">
        <v>544</v>
      </c>
      <c r="C252" s="171"/>
      <c r="D252" s="538" t="s">
        <v>3795</v>
      </c>
      <c r="E252" s="538" t="s">
        <v>5</v>
      </c>
      <c r="F252" s="106" t="s">
        <v>1501</v>
      </c>
      <c r="G252" s="96"/>
      <c r="H252" s="357" t="e">
        <f>+'1_MdR_Limpia'!#REF!</f>
        <v>#REF!</v>
      </c>
      <c r="I252" s="357" t="e">
        <f>+'1_MdR_Limpia'!#REF!</f>
        <v>#REF!</v>
      </c>
      <c r="J252" s="357" t="e">
        <f>+'1_MdR_Limpia'!#REF!</f>
        <v>#REF!</v>
      </c>
      <c r="K252" s="357" t="e">
        <f>+'1_MdR_Limpia'!#REF!</f>
        <v>#REF!</v>
      </c>
      <c r="L252" s="357" t="e">
        <f>+'1_MdR_Limpia'!#REF!</f>
        <v>#REF!</v>
      </c>
      <c r="M252" s="357" t="e">
        <f>+'1_MdR_Limpia'!#REF!</f>
        <v>#REF!</v>
      </c>
      <c r="N252" s="357" t="e">
        <f>+'1_MdR_Limpia'!#REF!</f>
        <v>#REF!</v>
      </c>
      <c r="O252" s="357" t="e">
        <f>+'1_MdR_Limpia'!#REF!</f>
        <v>#REF!</v>
      </c>
      <c r="P252" s="357" t="e">
        <f>+'1_MdR_Limpia'!#REF!</f>
        <v>#REF!</v>
      </c>
      <c r="Q252" s="96"/>
      <c r="R252" s="854"/>
      <c r="S252" s="358"/>
      <c r="T252" s="358"/>
      <c r="U252" s="358"/>
      <c r="V252" s="106"/>
      <c r="W252" s="96"/>
      <c r="X252" s="106"/>
      <c r="Y252" s="172"/>
      <c r="Z252" s="172"/>
      <c r="AA252" s="171"/>
      <c r="AB252" s="176"/>
      <c r="AC252" s="176">
        <f>+AC253</f>
        <v>500000</v>
      </c>
      <c r="AD252" s="692"/>
      <c r="AE252" s="96"/>
      <c r="AF252" s="176">
        <f>+AF253</f>
        <v>500000</v>
      </c>
      <c r="AG252" s="176">
        <f>+AG253</f>
        <v>0</v>
      </c>
      <c r="AH252" s="176">
        <f>+AH253</f>
        <v>500000</v>
      </c>
      <c r="AI252" s="865"/>
      <c r="AJ252" s="980">
        <f>+AJ253</f>
        <v>0</v>
      </c>
      <c r="AK252" s="980">
        <f>+AK253</f>
        <v>100000</v>
      </c>
      <c r="AL252" s="980">
        <f>+AL253</f>
        <v>125000</v>
      </c>
      <c r="AM252" s="981">
        <f>+AM253</f>
        <v>125000</v>
      </c>
      <c r="AN252" s="979">
        <f>+AN253</f>
        <v>150000</v>
      </c>
      <c r="AO252" s="979">
        <f t="shared" si="22"/>
        <v>500000</v>
      </c>
      <c r="AQ252" s="1027"/>
    </row>
    <row r="253" spans="1:43" s="108" customFormat="1" ht="51" customHeight="1" outlineLevel="3">
      <c r="A253" s="580"/>
      <c r="B253" s="107" t="s">
        <v>2599</v>
      </c>
      <c r="C253" s="107"/>
      <c r="D253" s="533" t="s">
        <v>3796</v>
      </c>
      <c r="E253" s="533"/>
      <c r="F253" s="103"/>
      <c r="G253" s="97"/>
      <c r="H253" s="363"/>
      <c r="I253" s="364"/>
      <c r="J253" s="365"/>
      <c r="K253" s="365"/>
      <c r="L253" s="365"/>
      <c r="M253" s="365"/>
      <c r="N253" s="365"/>
      <c r="O253" s="365"/>
      <c r="P253" s="365"/>
      <c r="Q253" s="97"/>
      <c r="R253" s="364" t="str">
        <f>+'9.3_PA_Det'!E105</f>
        <v>Selección Basada en Calidad y Costo</v>
      </c>
      <c r="S253" s="364" t="s">
        <v>1075</v>
      </c>
      <c r="T253" s="364" t="s">
        <v>1526</v>
      </c>
      <c r="U253" s="364">
        <f>+'9.3_PA_Det'!F105</f>
        <v>36</v>
      </c>
      <c r="V253" s="181"/>
      <c r="W253" s="97"/>
      <c r="X253" s="711" t="s">
        <v>1179</v>
      </c>
      <c r="Y253" s="712" t="s">
        <v>494</v>
      </c>
      <c r="Z253" s="179"/>
      <c r="AA253" s="180"/>
      <c r="AB253" s="1032">
        <v>500000</v>
      </c>
      <c r="AC253" s="1032">
        <f>Y253*AB253</f>
        <v>500000</v>
      </c>
      <c r="AD253" s="936" t="s">
        <v>3797</v>
      </c>
      <c r="AE253" s="97"/>
      <c r="AF253" s="1032">
        <f>+AC253</f>
        <v>500000</v>
      </c>
      <c r="AG253" s="1032">
        <v>0</v>
      </c>
      <c r="AH253" s="1041">
        <f>+AF253+AG253</f>
        <v>500000</v>
      </c>
      <c r="AI253" s="867"/>
      <c r="AJ253" s="986"/>
      <c r="AK253" s="986">
        <f>+$AF$253*20%</f>
        <v>100000</v>
      </c>
      <c r="AL253" s="986">
        <f>+$AF$253*25%</f>
        <v>125000</v>
      </c>
      <c r="AM253" s="986">
        <f>+$AF$253*25%</f>
        <v>125000</v>
      </c>
      <c r="AN253" s="986">
        <f>+$AF$253*30%</f>
        <v>150000</v>
      </c>
      <c r="AO253" s="1038">
        <f t="shared" si="22"/>
        <v>500000</v>
      </c>
      <c r="AQ253" s="1027"/>
    </row>
    <row r="254" spans="1:43" s="153" customFormat="1" ht="42.5" customHeight="1" outlineLevel="2">
      <c r="A254" s="172"/>
      <c r="B254" s="171" t="s">
        <v>546</v>
      </c>
      <c r="C254" s="171"/>
      <c r="D254" s="538" t="s">
        <v>3798</v>
      </c>
      <c r="E254" s="538" t="s">
        <v>5</v>
      </c>
      <c r="F254" s="1176"/>
      <c r="G254" s="96"/>
      <c r="H254" s="357" t="e">
        <f>+'1_MdR_Limpia'!#REF!</f>
        <v>#REF!</v>
      </c>
      <c r="I254" s="357" t="e">
        <f>+'1_MdR_Limpia'!#REF!</f>
        <v>#REF!</v>
      </c>
      <c r="J254" s="357" t="e">
        <f>+'1_MdR_Limpia'!#REF!</f>
        <v>#REF!</v>
      </c>
      <c r="K254" s="357" t="e">
        <f>+'1_MdR_Limpia'!#REF!</f>
        <v>#REF!</v>
      </c>
      <c r="L254" s="357" t="e">
        <f>+'1_MdR_Limpia'!#REF!</f>
        <v>#REF!</v>
      </c>
      <c r="M254" s="357" t="e">
        <f>+'1_MdR_Limpia'!#REF!</f>
        <v>#REF!</v>
      </c>
      <c r="N254" s="357" t="e">
        <f>+'1_MdR_Limpia'!#REF!</f>
        <v>#REF!</v>
      </c>
      <c r="O254" s="357" t="e">
        <f>+'1_MdR_Limpia'!#REF!</f>
        <v>#REF!</v>
      </c>
      <c r="P254" s="357" t="e">
        <f>+'1_MdR_Limpia'!#REF!</f>
        <v>#REF!</v>
      </c>
      <c r="Q254" s="96"/>
      <c r="R254" s="854"/>
      <c r="S254" s="358"/>
      <c r="T254" s="358"/>
      <c r="U254" s="358"/>
      <c r="V254" s="106"/>
      <c r="W254" s="96"/>
      <c r="X254" s="106"/>
      <c r="Y254" s="172"/>
      <c r="Z254" s="172"/>
      <c r="AA254" s="171"/>
      <c r="AB254" s="176"/>
      <c r="AC254" s="176">
        <f>+AC255</f>
        <v>300000</v>
      </c>
      <c r="AD254" s="692"/>
      <c r="AE254" s="96"/>
      <c r="AF254" s="176">
        <f>+AF255</f>
        <v>300000</v>
      </c>
      <c r="AG254" s="176">
        <f>+AG255</f>
        <v>0</v>
      </c>
      <c r="AH254" s="176">
        <f>+AH255</f>
        <v>300000</v>
      </c>
      <c r="AI254" s="865"/>
      <c r="AJ254" s="980">
        <f>+AJ255</f>
        <v>60000</v>
      </c>
      <c r="AK254" s="980">
        <f>+AK255</f>
        <v>240000</v>
      </c>
      <c r="AL254" s="980">
        <f>+AL255</f>
        <v>0</v>
      </c>
      <c r="AM254" s="981">
        <f>+AM255</f>
        <v>0</v>
      </c>
      <c r="AN254" s="979">
        <f>+AN255</f>
        <v>0</v>
      </c>
      <c r="AO254" s="979">
        <f t="shared" si="22"/>
        <v>300000</v>
      </c>
      <c r="AQ254" s="1027"/>
    </row>
    <row r="255" spans="1:43" s="108" customFormat="1" ht="41.5" customHeight="1" outlineLevel="3">
      <c r="A255" s="580"/>
      <c r="B255" s="107" t="s">
        <v>2605</v>
      </c>
      <c r="C255" s="107"/>
      <c r="D255" s="533" t="s">
        <v>1533</v>
      </c>
      <c r="E255" s="533"/>
      <c r="F255" s="103"/>
      <c r="G255" s="97"/>
      <c r="H255" s="363"/>
      <c r="I255" s="364"/>
      <c r="J255" s="365"/>
      <c r="K255" s="365"/>
      <c r="L255" s="365"/>
      <c r="M255" s="365"/>
      <c r="N255" s="365"/>
      <c r="O255" s="365"/>
      <c r="P255" s="365"/>
      <c r="Q255" s="97"/>
      <c r="R255" s="364" t="str">
        <f>+'9.3_PA_Det'!E106</f>
        <v>Selección Basada en Calidad y Costo</v>
      </c>
      <c r="S255" s="364" t="s">
        <v>1075</v>
      </c>
      <c r="T255" s="364" t="s">
        <v>1526</v>
      </c>
      <c r="U255" s="364">
        <f>+'9.3_PA_Det'!F106</f>
        <v>37</v>
      </c>
      <c r="V255" s="181"/>
      <c r="W255" s="97"/>
      <c r="X255" s="711" t="s">
        <v>1179</v>
      </c>
      <c r="Y255" s="712">
        <v>1</v>
      </c>
      <c r="Z255" s="179"/>
      <c r="AA255" s="180"/>
      <c r="AB255" s="1032">
        <v>300000</v>
      </c>
      <c r="AC255" s="1032">
        <f>+Y255*AB255</f>
        <v>300000</v>
      </c>
      <c r="AD255" s="1042"/>
      <c r="AE255" s="97"/>
      <c r="AF255" s="1032">
        <f>+AC255</f>
        <v>300000</v>
      </c>
      <c r="AG255" s="1032">
        <v>0</v>
      </c>
      <c r="AH255" s="1041">
        <f>+AF255+AG255</f>
        <v>300000</v>
      </c>
      <c r="AI255" s="867"/>
      <c r="AJ255" s="986">
        <f>+AF255*20%</f>
        <v>60000</v>
      </c>
      <c r="AK255" s="986">
        <f>+AF255*80%</f>
        <v>240000</v>
      </c>
      <c r="AL255" s="986"/>
      <c r="AM255" s="986"/>
      <c r="AN255" s="986"/>
      <c r="AO255" s="1038">
        <f t="shared" si="22"/>
        <v>300000</v>
      </c>
      <c r="AQ255" s="1027"/>
    </row>
    <row r="256" spans="1:43" s="153" customFormat="1" ht="27.5" customHeight="1" outlineLevel="2">
      <c r="A256" s="172"/>
      <c r="B256" s="171" t="s">
        <v>548</v>
      </c>
      <c r="C256" s="171"/>
      <c r="D256" s="538" t="s">
        <v>3799</v>
      </c>
      <c r="E256" s="538" t="s">
        <v>5</v>
      </c>
      <c r="F256" s="1176"/>
      <c r="G256" s="96"/>
      <c r="H256" s="357" t="e">
        <f>+'1_MdR_Limpia'!#REF!</f>
        <v>#REF!</v>
      </c>
      <c r="I256" s="357" t="e">
        <f>+'1_MdR_Limpia'!#REF!</f>
        <v>#REF!</v>
      </c>
      <c r="J256" s="357" t="e">
        <f>+'1_MdR_Limpia'!#REF!</f>
        <v>#REF!</v>
      </c>
      <c r="K256" s="357" t="e">
        <f>+'1_MdR_Limpia'!#REF!</f>
        <v>#REF!</v>
      </c>
      <c r="L256" s="357" t="e">
        <f>+'1_MdR_Limpia'!#REF!</f>
        <v>#REF!</v>
      </c>
      <c r="M256" s="357" t="e">
        <f>+'1_MdR_Limpia'!#REF!</f>
        <v>#REF!</v>
      </c>
      <c r="N256" s="357" t="e">
        <f>+'1_MdR_Limpia'!#REF!</f>
        <v>#REF!</v>
      </c>
      <c r="O256" s="357" t="e">
        <f>+'1_MdR_Limpia'!#REF!</f>
        <v>#REF!</v>
      </c>
      <c r="P256" s="357" t="e">
        <f>+'1_MdR_Limpia'!#REF!</f>
        <v>#REF!</v>
      </c>
      <c r="Q256" s="96"/>
      <c r="R256" s="854"/>
      <c r="S256" s="358"/>
      <c r="T256" s="358"/>
      <c r="U256" s="358"/>
      <c r="V256" s="106"/>
      <c r="W256" s="96"/>
      <c r="X256" s="106"/>
      <c r="Y256" s="172"/>
      <c r="Z256" s="172"/>
      <c r="AA256" s="171"/>
      <c r="AB256" s="176"/>
      <c r="AC256" s="176">
        <f>+AC257+AC258</f>
        <v>800000</v>
      </c>
      <c r="AD256" s="692"/>
      <c r="AE256" s="96"/>
      <c r="AF256" s="176">
        <f>+AF257+AF258</f>
        <v>800000</v>
      </c>
      <c r="AG256" s="176">
        <f>+AG257+AG258</f>
        <v>0</v>
      </c>
      <c r="AH256" s="176">
        <f>+AH257+AH258</f>
        <v>800000</v>
      </c>
      <c r="AI256" s="865"/>
      <c r="AJ256" s="980">
        <f>+AJ257+AJ258</f>
        <v>0</v>
      </c>
      <c r="AK256" s="980">
        <f>+AK257+AK258</f>
        <v>200000</v>
      </c>
      <c r="AL256" s="980">
        <f>+AL257+AL258</f>
        <v>200000</v>
      </c>
      <c r="AM256" s="981">
        <f>+AM257+AM258</f>
        <v>200000</v>
      </c>
      <c r="AN256" s="979">
        <f>+AN257+AN258</f>
        <v>200000</v>
      </c>
      <c r="AO256" s="979">
        <f t="shared" si="22"/>
        <v>800000</v>
      </c>
      <c r="AQ256" s="1027"/>
    </row>
    <row r="257" spans="1:51" s="108" customFormat="1" ht="14" customHeight="1" outlineLevel="3">
      <c r="A257" s="580"/>
      <c r="B257" s="107" t="s">
        <v>2610</v>
      </c>
      <c r="C257" s="107"/>
      <c r="D257" s="533" t="s">
        <v>3800</v>
      </c>
      <c r="E257" s="533"/>
      <c r="F257" s="103"/>
      <c r="G257" s="97"/>
      <c r="H257" s="363"/>
      <c r="I257" s="364"/>
      <c r="J257" s="365"/>
      <c r="K257" s="365"/>
      <c r="L257" s="365"/>
      <c r="M257" s="365"/>
      <c r="N257" s="365"/>
      <c r="O257" s="365"/>
      <c r="P257" s="365"/>
      <c r="Q257" s="97"/>
      <c r="R257" s="3897" t="str">
        <f>+'9.3_PA_Det'!$E$107</f>
        <v>Selección Basada en Calidad y Costo</v>
      </c>
      <c r="S257" s="3897" t="s">
        <v>1075</v>
      </c>
      <c r="T257" s="3897" t="s">
        <v>1195</v>
      </c>
      <c r="U257" s="3897">
        <f>+'9.3_PA_Det'!$F$107</f>
        <v>38</v>
      </c>
      <c r="V257" s="3918"/>
      <c r="W257" s="97"/>
      <c r="X257" s="711" t="s">
        <v>1179</v>
      </c>
      <c r="Y257" s="712">
        <v>1</v>
      </c>
      <c r="Z257" s="179"/>
      <c r="AA257" s="180"/>
      <c r="AB257" s="1032">
        <v>200000</v>
      </c>
      <c r="AC257" s="1032">
        <f>Y257*AB257</f>
        <v>200000</v>
      </c>
      <c r="AD257" s="1042"/>
      <c r="AE257" s="97"/>
      <c r="AF257" s="1032">
        <f>+AC257</f>
        <v>200000</v>
      </c>
      <c r="AG257" s="1032">
        <v>0</v>
      </c>
      <c r="AH257" s="1041">
        <f>+AF257+AG257</f>
        <v>200000</v>
      </c>
      <c r="AI257" s="867"/>
      <c r="AJ257" s="986"/>
      <c r="AK257" s="986">
        <f>+AF257</f>
        <v>200000</v>
      </c>
      <c r="AL257" s="986"/>
      <c r="AM257" s="987"/>
      <c r="AN257" s="1038"/>
      <c r="AO257" s="1038">
        <f t="shared" si="22"/>
        <v>200000</v>
      </c>
      <c r="AQ257" s="1027"/>
    </row>
    <row r="258" spans="1:51" s="108" customFormat="1" ht="14" customHeight="1" outlineLevel="3">
      <c r="A258" s="580"/>
      <c r="B258" s="107" t="s">
        <v>3801</v>
      </c>
      <c r="C258" s="107"/>
      <c r="D258" s="533" t="s">
        <v>3802</v>
      </c>
      <c r="E258" s="533"/>
      <c r="F258" s="103"/>
      <c r="G258" s="97"/>
      <c r="H258" s="363"/>
      <c r="I258" s="364"/>
      <c r="J258" s="365"/>
      <c r="K258" s="365"/>
      <c r="L258" s="365"/>
      <c r="M258" s="365"/>
      <c r="N258" s="365"/>
      <c r="O258" s="365"/>
      <c r="P258" s="365"/>
      <c r="Q258" s="97"/>
      <c r="R258" s="3899"/>
      <c r="S258" s="3899"/>
      <c r="T258" s="3899"/>
      <c r="U258" s="3899"/>
      <c r="V258" s="3920"/>
      <c r="W258" s="97"/>
      <c r="X258" s="711" t="s">
        <v>211</v>
      </c>
      <c r="Y258" s="712" t="s">
        <v>553</v>
      </c>
      <c r="Z258" s="179"/>
      <c r="AA258" s="180"/>
      <c r="AB258" s="1032">
        <v>200000</v>
      </c>
      <c r="AC258" s="1032">
        <f>+Y258*AB258</f>
        <v>600000</v>
      </c>
      <c r="AD258" s="1042"/>
      <c r="AE258" s="97"/>
      <c r="AF258" s="1032">
        <f>+AC258</f>
        <v>600000</v>
      </c>
      <c r="AG258" s="1032">
        <v>0</v>
      </c>
      <c r="AH258" s="1041">
        <f>+AF258+AG258</f>
        <v>600000</v>
      </c>
      <c r="AI258" s="867"/>
      <c r="AJ258" s="986"/>
      <c r="AK258" s="986"/>
      <c r="AL258" s="986">
        <f>+$AF$258/3</f>
        <v>200000</v>
      </c>
      <c r="AM258" s="986">
        <f>+$AF$258/3</f>
        <v>200000</v>
      </c>
      <c r="AN258" s="986">
        <f>+$AF$258/3</f>
        <v>200000</v>
      </c>
      <c r="AO258" s="1038">
        <f t="shared" si="22"/>
        <v>600000</v>
      </c>
      <c r="AQ258" s="1027"/>
    </row>
    <row r="259" spans="1:51" s="153" customFormat="1" ht="15" outlineLevel="2">
      <c r="A259" s="172"/>
      <c r="B259" s="171" t="s">
        <v>551</v>
      </c>
      <c r="C259" s="171"/>
      <c r="D259" s="538" t="s">
        <v>3803</v>
      </c>
      <c r="E259" s="538" t="s">
        <v>5</v>
      </c>
      <c r="F259" s="1176"/>
      <c r="G259" s="96"/>
      <c r="H259" s="357" t="e">
        <f>+'1_MdR_Limpia'!#REF!</f>
        <v>#REF!</v>
      </c>
      <c r="I259" s="357" t="e">
        <f>+'1_MdR_Limpia'!#REF!</f>
        <v>#REF!</v>
      </c>
      <c r="J259" s="357" t="e">
        <f>+'1_MdR_Limpia'!#REF!</f>
        <v>#REF!</v>
      </c>
      <c r="K259" s="357" t="e">
        <f>+'1_MdR_Limpia'!#REF!</f>
        <v>#REF!</v>
      </c>
      <c r="L259" s="357" t="e">
        <f>+'1_MdR_Limpia'!#REF!</f>
        <v>#REF!</v>
      </c>
      <c r="M259" s="357" t="e">
        <f>+'1_MdR_Limpia'!#REF!</f>
        <v>#REF!</v>
      </c>
      <c r="N259" s="357" t="e">
        <f>+'1_MdR_Limpia'!#REF!</f>
        <v>#REF!</v>
      </c>
      <c r="O259" s="357" t="e">
        <f>+'1_MdR_Limpia'!#REF!</f>
        <v>#REF!</v>
      </c>
      <c r="P259" s="357" t="e">
        <f>+'1_MdR_Limpia'!#REF!</f>
        <v>#REF!</v>
      </c>
      <c r="Q259" s="96"/>
      <c r="R259" s="854"/>
      <c r="S259" s="358"/>
      <c r="T259" s="358"/>
      <c r="U259" s="358"/>
      <c r="V259" s="106"/>
      <c r="W259" s="96"/>
      <c r="X259" s="106"/>
      <c r="Y259" s="172"/>
      <c r="Z259" s="172"/>
      <c r="AA259" s="171"/>
      <c r="AB259" s="176"/>
      <c r="AC259" s="176">
        <f>+AC260</f>
        <v>600000</v>
      </c>
      <c r="AD259" s="692"/>
      <c r="AE259" s="96"/>
      <c r="AF259" s="176">
        <f>+AF260</f>
        <v>600000</v>
      </c>
      <c r="AG259" s="176">
        <f>+AG260</f>
        <v>0</v>
      </c>
      <c r="AH259" s="176">
        <f>+AH260</f>
        <v>600000</v>
      </c>
      <c r="AI259" s="865"/>
      <c r="AJ259" s="980">
        <f>+AJ260</f>
        <v>0</v>
      </c>
      <c r="AK259" s="980">
        <f>+AK260</f>
        <v>0</v>
      </c>
      <c r="AL259" s="980">
        <f>+AL260</f>
        <v>0</v>
      </c>
      <c r="AM259" s="981">
        <f>+AM260</f>
        <v>600000</v>
      </c>
      <c r="AN259" s="979">
        <f>+AN260</f>
        <v>0</v>
      </c>
      <c r="AO259" s="979">
        <f t="shared" si="22"/>
        <v>600000</v>
      </c>
      <c r="AQ259" s="1027"/>
    </row>
    <row r="260" spans="1:51" s="108" customFormat="1" ht="27.5" customHeight="1" outlineLevel="3">
      <c r="A260" s="580"/>
      <c r="B260" s="107" t="s">
        <v>3804</v>
      </c>
      <c r="C260" s="107"/>
      <c r="D260" s="533" t="s">
        <v>3805</v>
      </c>
      <c r="E260" s="533"/>
      <c r="F260" s="103"/>
      <c r="G260" s="97"/>
      <c r="H260" s="363"/>
      <c r="I260" s="364"/>
      <c r="J260" s="365"/>
      <c r="K260" s="365"/>
      <c r="L260" s="365"/>
      <c r="M260" s="365"/>
      <c r="N260" s="365"/>
      <c r="O260" s="365"/>
      <c r="P260" s="365"/>
      <c r="Q260" s="97"/>
      <c r="R260" s="3897" t="s">
        <v>723</v>
      </c>
      <c r="S260" s="3897"/>
      <c r="T260" s="3897" t="s">
        <v>1195</v>
      </c>
      <c r="U260" s="3897"/>
      <c r="V260" s="3903"/>
      <c r="W260" s="97"/>
      <c r="X260" s="3903" t="s">
        <v>1179</v>
      </c>
      <c r="Y260" s="3841">
        <v>1</v>
      </c>
      <c r="Z260" s="3841"/>
      <c r="AA260" s="3841"/>
      <c r="AB260" s="3844">
        <v>600000</v>
      </c>
      <c r="AC260" s="3844">
        <f>+Y260*AB260</f>
        <v>600000</v>
      </c>
      <c r="AD260" s="4721" t="s">
        <v>3806</v>
      </c>
      <c r="AE260" s="97"/>
      <c r="AF260" s="3844">
        <f>+AC260</f>
        <v>600000</v>
      </c>
      <c r="AG260" s="3844">
        <v>0</v>
      </c>
      <c r="AH260" s="3844">
        <f>+AF260+AG260</f>
        <v>600000</v>
      </c>
      <c r="AI260" s="867"/>
      <c r="AJ260" s="4641"/>
      <c r="AK260" s="4641"/>
      <c r="AL260" s="4641"/>
      <c r="AM260" s="4641">
        <f>+AF260</f>
        <v>600000</v>
      </c>
      <c r="AN260" s="4641"/>
      <c r="AO260" s="4641">
        <f t="shared" si="22"/>
        <v>600000</v>
      </c>
      <c r="AQ260" s="1027"/>
    </row>
    <row r="261" spans="1:51" s="108" customFormat="1" ht="27.5" customHeight="1" outlineLevel="3">
      <c r="A261" s="580"/>
      <c r="B261" s="107" t="s">
        <v>3807</v>
      </c>
      <c r="C261" s="107"/>
      <c r="D261" s="533" t="s">
        <v>3808</v>
      </c>
      <c r="E261" s="533"/>
      <c r="F261" s="103"/>
      <c r="G261" s="97"/>
      <c r="H261" s="363"/>
      <c r="I261" s="364"/>
      <c r="J261" s="365"/>
      <c r="K261" s="365"/>
      <c r="L261" s="365"/>
      <c r="M261" s="365"/>
      <c r="N261" s="365"/>
      <c r="O261" s="365"/>
      <c r="P261" s="365"/>
      <c r="Q261" s="97"/>
      <c r="R261" s="3899"/>
      <c r="S261" s="3899"/>
      <c r="T261" s="3899"/>
      <c r="U261" s="3899"/>
      <c r="V261" s="3934"/>
      <c r="W261" s="97"/>
      <c r="X261" s="3934"/>
      <c r="Y261" s="3843"/>
      <c r="Z261" s="3843"/>
      <c r="AA261" s="3843"/>
      <c r="AB261" s="3846"/>
      <c r="AC261" s="3846"/>
      <c r="AD261" s="4625"/>
      <c r="AE261" s="97"/>
      <c r="AF261" s="3846"/>
      <c r="AG261" s="3846"/>
      <c r="AH261" s="3846"/>
      <c r="AI261" s="867"/>
      <c r="AJ261" s="4644"/>
      <c r="AK261" s="4644"/>
      <c r="AL261" s="4644"/>
      <c r="AM261" s="4644"/>
      <c r="AN261" s="4644"/>
      <c r="AO261" s="4644">
        <f t="shared" si="22"/>
        <v>0</v>
      </c>
      <c r="AQ261" s="1027"/>
    </row>
    <row r="262" spans="1:51" s="108" customFormat="1" ht="14" customHeight="1" outlineLevel="2">
      <c r="A262" s="580"/>
      <c r="B262" s="107"/>
      <c r="C262" s="107"/>
      <c r="D262" s="533"/>
      <c r="E262" s="533"/>
      <c r="F262" s="103"/>
      <c r="G262" s="97"/>
      <c r="H262" s="363"/>
      <c r="I262" s="364"/>
      <c r="J262" s="365"/>
      <c r="K262" s="365"/>
      <c r="L262" s="365"/>
      <c r="M262" s="365"/>
      <c r="N262" s="365"/>
      <c r="O262" s="365"/>
      <c r="P262" s="365"/>
      <c r="Q262" s="97"/>
      <c r="R262" s="364"/>
      <c r="S262" s="364"/>
      <c r="T262" s="364"/>
      <c r="U262" s="364"/>
      <c r="V262" s="181"/>
      <c r="W262" s="97"/>
      <c r="X262" s="711"/>
      <c r="Y262" s="712"/>
      <c r="Z262" s="179"/>
      <c r="AA262" s="180"/>
      <c r="AB262" s="1032"/>
      <c r="AC262" s="1032"/>
      <c r="AD262" s="1042"/>
      <c r="AE262" s="97"/>
      <c r="AF262" s="1032"/>
      <c r="AG262" s="1032"/>
      <c r="AH262" s="1041"/>
      <c r="AI262" s="867"/>
      <c r="AJ262" s="986"/>
      <c r="AK262" s="986"/>
      <c r="AL262" s="986"/>
      <c r="AM262" s="987"/>
      <c r="AN262" s="1038"/>
      <c r="AO262" s="1038">
        <f t="shared" si="22"/>
        <v>0</v>
      </c>
      <c r="AQ262" s="1027"/>
    </row>
    <row r="263" spans="1:51" s="108" customFormat="1" ht="14" customHeight="1" outlineLevel="1">
      <c r="A263" s="580"/>
      <c r="B263" s="107"/>
      <c r="C263" s="107"/>
      <c r="D263" s="533"/>
      <c r="E263" s="533"/>
      <c r="F263" s="103"/>
      <c r="G263" s="97"/>
      <c r="H263" s="363"/>
      <c r="I263" s="364"/>
      <c r="J263" s="365"/>
      <c r="K263" s="365"/>
      <c r="L263" s="365"/>
      <c r="M263" s="365"/>
      <c r="N263" s="365"/>
      <c r="O263" s="365"/>
      <c r="P263" s="365"/>
      <c r="Q263" s="97"/>
      <c r="R263" s="364"/>
      <c r="S263" s="364"/>
      <c r="T263" s="364"/>
      <c r="U263" s="364"/>
      <c r="V263" s="181"/>
      <c r="W263" s="97"/>
      <c r="X263" s="711"/>
      <c r="Y263" s="712"/>
      <c r="Z263" s="179"/>
      <c r="AA263" s="180"/>
      <c r="AB263" s="1032"/>
      <c r="AC263" s="1032"/>
      <c r="AD263" s="1042"/>
      <c r="AE263" s="97"/>
      <c r="AF263" s="1032"/>
      <c r="AG263" s="1032"/>
      <c r="AH263" s="1041"/>
      <c r="AI263" s="867"/>
      <c r="AJ263" s="986"/>
      <c r="AK263" s="986"/>
      <c r="AL263" s="986"/>
      <c r="AM263" s="987"/>
      <c r="AN263" s="1038"/>
      <c r="AO263" s="1038">
        <f t="shared" si="22"/>
        <v>0</v>
      </c>
      <c r="AQ263" s="1027"/>
    </row>
    <row r="264" spans="1:51" s="878" customFormat="1" ht="45">
      <c r="A264" s="577"/>
      <c r="B264" s="67" t="s">
        <v>553</v>
      </c>
      <c r="C264" s="67"/>
      <c r="D264" s="546" t="s">
        <v>554</v>
      </c>
      <c r="E264" s="546"/>
      <c r="F264" s="68" t="s">
        <v>4</v>
      </c>
      <c r="G264" s="95"/>
      <c r="H264" s="369"/>
      <c r="I264" s="370"/>
      <c r="J264" s="371"/>
      <c r="K264" s="371"/>
      <c r="L264" s="371"/>
      <c r="M264" s="371"/>
      <c r="N264" s="371"/>
      <c r="O264" s="371"/>
      <c r="P264" s="371"/>
      <c r="Q264" s="95"/>
      <c r="R264" s="370"/>
      <c r="S264" s="370"/>
      <c r="T264" s="370"/>
      <c r="U264" s="370"/>
      <c r="V264" s="169"/>
      <c r="W264" s="95"/>
      <c r="X264" s="68"/>
      <c r="Y264" s="166"/>
      <c r="Z264" s="166"/>
      <c r="AA264" s="170"/>
      <c r="AB264" s="69"/>
      <c r="AC264" s="69">
        <f>+AC265+AC305+AC317+AC348</f>
        <v>7205000</v>
      </c>
      <c r="AD264" s="69">
        <f>8100000-AC264</f>
        <v>895000</v>
      </c>
      <c r="AE264" s="95"/>
      <c r="AF264" s="69">
        <f>+AF265+AF305+AF317+AF348</f>
        <v>7205000</v>
      </c>
      <c r="AG264" s="69">
        <f>+AG265+AG305+AG317+AG348</f>
        <v>0</v>
      </c>
      <c r="AH264" s="69">
        <f>+AH265+AH305+AH317+AH348</f>
        <v>7205000</v>
      </c>
      <c r="AI264" s="864"/>
      <c r="AJ264" s="974">
        <f>+AJ265+AJ305+AJ317+AJ348</f>
        <v>150000</v>
      </c>
      <c r="AK264" s="974">
        <f>+AK265+AK305+AK317+AK348</f>
        <v>1506000</v>
      </c>
      <c r="AL264" s="974">
        <f>+AL265+AL305+AL317+AL348</f>
        <v>2817000</v>
      </c>
      <c r="AM264" s="975">
        <f>+AM265+AM305+AM317+AM348</f>
        <v>1391000</v>
      </c>
      <c r="AN264" s="973">
        <f>+AN265+AN305+AN317+AN348</f>
        <v>1341000</v>
      </c>
      <c r="AO264" s="973">
        <f t="shared" si="22"/>
        <v>7205000</v>
      </c>
      <c r="AP264" s="153"/>
      <c r="AQ264" s="1027"/>
      <c r="AR264" s="153"/>
      <c r="AS264" s="153"/>
      <c r="AT264" s="153"/>
      <c r="AU264" s="153"/>
      <c r="AV264" s="153"/>
      <c r="AW264" s="153"/>
      <c r="AX264" s="153"/>
      <c r="AY264" s="153"/>
    </row>
    <row r="265" spans="1:51" s="153" customFormat="1" ht="26.5" customHeight="1" outlineLevel="1" collapsed="1">
      <c r="A265" s="578"/>
      <c r="B265" s="428" t="s">
        <v>555</v>
      </c>
      <c r="C265" s="428"/>
      <c r="D265" s="545" t="s">
        <v>39</v>
      </c>
      <c r="E265" s="545"/>
      <c r="F265" s="427"/>
      <c r="G265" s="96"/>
      <c r="H265" s="429"/>
      <c r="I265" s="425"/>
      <c r="J265" s="430"/>
      <c r="K265" s="430"/>
      <c r="L265" s="430"/>
      <c r="M265" s="430"/>
      <c r="N265" s="430"/>
      <c r="O265" s="430"/>
      <c r="P265" s="430"/>
      <c r="Q265" s="96"/>
      <c r="R265" s="850"/>
      <c r="S265" s="850"/>
      <c r="T265" s="850"/>
      <c r="U265" s="850"/>
      <c r="V265" s="431"/>
      <c r="W265" s="96"/>
      <c r="X265" s="426"/>
      <c r="Y265" s="425"/>
      <c r="Z265" s="425"/>
      <c r="AA265" s="432"/>
      <c r="AB265" s="433"/>
      <c r="AC265" s="433">
        <f>+AC266+AC273+AC280+AC288+AC295+AC301</f>
        <v>2000000</v>
      </c>
      <c r="AD265" s="685"/>
      <c r="AE265" s="96"/>
      <c r="AF265" s="433">
        <f>+AF266+AF273+AF280+AF288+AF295+AF301</f>
        <v>2000000</v>
      </c>
      <c r="AG265" s="433">
        <f>+AG266+AG273+AG280+AG288+AG295+AG301</f>
        <v>0</v>
      </c>
      <c r="AH265" s="433">
        <f>+AH266+AH273+AH280+AH288+AH295+AH301</f>
        <v>2000000</v>
      </c>
      <c r="AI265" s="865"/>
      <c r="AJ265" s="977">
        <f>+AJ266+AJ273+AJ280+AJ288+AJ295+AJ301</f>
        <v>0</v>
      </c>
      <c r="AK265" s="977">
        <f>+AK266+AK273+AK280+AK288+AK295+AK301</f>
        <v>552000</v>
      </c>
      <c r="AL265" s="977">
        <f>+AL266+AL273+AL280+AL288+AL295+AL301</f>
        <v>1248000</v>
      </c>
      <c r="AM265" s="978">
        <f>+AM266+AM273+AM280+AM288+AM295+AM301</f>
        <v>150000</v>
      </c>
      <c r="AN265" s="976">
        <f>+AN266+AN273+AN280+AN288+AN295+AN301</f>
        <v>50000</v>
      </c>
      <c r="AO265" s="976">
        <f t="shared" si="22"/>
        <v>2000000</v>
      </c>
      <c r="AQ265" s="1027"/>
    </row>
    <row r="266" spans="1:51" s="153" customFormat="1" ht="29" customHeight="1" outlineLevel="2">
      <c r="A266" s="172"/>
      <c r="B266" s="171" t="s">
        <v>556</v>
      </c>
      <c r="C266" s="171"/>
      <c r="D266" s="538" t="s">
        <v>3809</v>
      </c>
      <c r="E266" s="538"/>
      <c r="F266" s="106" t="s">
        <v>1540</v>
      </c>
      <c r="G266" s="96"/>
      <c r="H266" s="357" t="str">
        <f>+'1_MdR_Limpia'!C90</f>
        <v>Sistema</v>
      </c>
      <c r="I266" s="357">
        <f>+'1_MdR_Limpia'!D90</f>
        <v>0</v>
      </c>
      <c r="J266" s="357">
        <f>+'1_MdR_Limpia'!E90</f>
        <v>2021</v>
      </c>
      <c r="K266" s="357" t="str">
        <f>+'1_MdR_Limpia'!F90</f>
        <v>-</v>
      </c>
      <c r="L266" s="357" t="str">
        <f>+'1_MdR_Limpia'!G90</f>
        <v>-</v>
      </c>
      <c r="M266" s="357" t="str">
        <f>+'1_MdR_Limpia'!H90</f>
        <v>-</v>
      </c>
      <c r="N266" s="357" t="str">
        <f>+'1_MdR_Limpia'!I90</f>
        <v>-</v>
      </c>
      <c r="O266" s="357">
        <f>+'1_MdR_Limpia'!J90</f>
        <v>1</v>
      </c>
      <c r="P266" s="357">
        <f>+'1_MdR_Limpia'!L90</f>
        <v>1</v>
      </c>
      <c r="Q266" s="96"/>
      <c r="R266" s="854"/>
      <c r="S266" s="358"/>
      <c r="T266" s="358"/>
      <c r="U266" s="358"/>
      <c r="V266" s="106"/>
      <c r="W266" s="96"/>
      <c r="X266" s="106"/>
      <c r="Y266" s="172"/>
      <c r="Z266" s="172"/>
      <c r="AA266" s="171"/>
      <c r="AB266" s="176"/>
      <c r="AC266" s="176">
        <f>+AC267+AC268+AC269</f>
        <v>80000</v>
      </c>
      <c r="AD266" s="692"/>
      <c r="AE266" s="96"/>
      <c r="AF266" s="176">
        <f>+AF267+AF268+AF269</f>
        <v>80000</v>
      </c>
      <c r="AG266" s="176">
        <f>+AG267+AG268+AG269</f>
        <v>0</v>
      </c>
      <c r="AH266" s="176">
        <f>+AH267+AH268+AH269</f>
        <v>80000</v>
      </c>
      <c r="AI266" s="865"/>
      <c r="AJ266" s="980">
        <f>+AJ267+AJ268+AJ269</f>
        <v>0</v>
      </c>
      <c r="AK266" s="980">
        <f>+AK267+AK268+AK269</f>
        <v>80000</v>
      </c>
      <c r="AL266" s="980">
        <f>+AL267+AL268+AL269</f>
        <v>0</v>
      </c>
      <c r="AM266" s="981">
        <f>+AM267+AM268+AM269</f>
        <v>0</v>
      </c>
      <c r="AN266" s="979">
        <f>+AN267+AN268+AN269</f>
        <v>0</v>
      </c>
      <c r="AO266" s="979">
        <f t="shared" si="22"/>
        <v>80000</v>
      </c>
      <c r="AQ266" s="1027"/>
    </row>
    <row r="267" spans="1:51" s="148" customFormat="1" ht="28.25" customHeight="1" outlineLevel="3">
      <c r="A267" s="159"/>
      <c r="B267" s="702" t="s">
        <v>953</v>
      </c>
      <c r="C267" s="702"/>
      <c r="D267" s="537" t="s">
        <v>3507</v>
      </c>
      <c r="E267" s="537"/>
      <c r="F267" s="103"/>
      <c r="G267" s="97"/>
      <c r="H267" s="363"/>
      <c r="I267" s="363"/>
      <c r="J267" s="365"/>
      <c r="K267" s="365"/>
      <c r="L267" s="365"/>
      <c r="M267" s="365"/>
      <c r="N267" s="365"/>
      <c r="O267" s="365"/>
      <c r="P267" s="365"/>
      <c r="Q267" s="97"/>
      <c r="R267" s="364"/>
      <c r="S267" s="364"/>
      <c r="T267" s="364"/>
      <c r="U267" s="364"/>
      <c r="V267" s="177"/>
      <c r="W267" s="97"/>
      <c r="X267" s="711"/>
      <c r="Y267" s="675"/>
      <c r="Z267" s="179"/>
      <c r="AA267" s="179"/>
      <c r="AB267" s="1041"/>
      <c r="AC267" s="1032">
        <f>Y267*AB267</f>
        <v>0</v>
      </c>
      <c r="AD267" s="939" t="s">
        <v>3508</v>
      </c>
      <c r="AE267" s="97"/>
      <c r="AF267" s="1041"/>
      <c r="AG267" s="1032"/>
      <c r="AH267" s="1041"/>
      <c r="AI267" s="867"/>
      <c r="AJ267" s="986"/>
      <c r="AK267" s="986"/>
      <c r="AL267" s="986"/>
      <c r="AM267" s="986"/>
      <c r="AN267" s="1057"/>
      <c r="AO267" s="1038">
        <f t="shared" si="22"/>
        <v>0</v>
      </c>
      <c r="AQ267" s="1027"/>
    </row>
    <row r="268" spans="1:51" s="148" customFormat="1" ht="41" customHeight="1" outlineLevel="3">
      <c r="A268" s="159"/>
      <c r="B268" s="702" t="s">
        <v>956</v>
      </c>
      <c r="C268" s="702"/>
      <c r="D268" s="537" t="s">
        <v>3509</v>
      </c>
      <c r="E268" s="537"/>
      <c r="F268" s="103"/>
      <c r="G268" s="97"/>
      <c r="H268" s="363"/>
      <c r="I268" s="363"/>
      <c r="J268" s="365"/>
      <c r="K268" s="365"/>
      <c r="L268" s="365"/>
      <c r="M268" s="365"/>
      <c r="N268" s="365"/>
      <c r="O268" s="365"/>
      <c r="P268" s="365"/>
      <c r="Q268" s="97"/>
      <c r="R268" s="364"/>
      <c r="S268" s="364"/>
      <c r="T268" s="364"/>
      <c r="U268" s="364"/>
      <c r="V268" s="177"/>
      <c r="W268" s="97"/>
      <c r="X268" s="711"/>
      <c r="Y268" s="675"/>
      <c r="Z268" s="179"/>
      <c r="AA268" s="179"/>
      <c r="AB268" s="1041"/>
      <c r="AC268" s="1032">
        <f>Y268*AB268</f>
        <v>0</v>
      </c>
      <c r="AD268" s="939" t="s">
        <v>3510</v>
      </c>
      <c r="AE268" s="97"/>
      <c r="AF268" s="1041"/>
      <c r="AG268" s="1032"/>
      <c r="AH268" s="1041"/>
      <c r="AI268" s="867"/>
      <c r="AJ268" s="986"/>
      <c r="AK268" s="986"/>
      <c r="AL268" s="986"/>
      <c r="AM268" s="986"/>
      <c r="AN268" s="1057"/>
      <c r="AO268" s="1038">
        <f t="shared" si="22"/>
        <v>0</v>
      </c>
      <c r="AQ268" s="1027"/>
    </row>
    <row r="269" spans="1:51" s="153" customFormat="1" ht="27.5" customHeight="1" outlineLevel="3">
      <c r="A269" s="581"/>
      <c r="B269" s="400" t="s">
        <v>958</v>
      </c>
      <c r="C269" s="400"/>
      <c r="D269" s="536" t="s">
        <v>3511</v>
      </c>
      <c r="E269" s="536"/>
      <c r="F269" s="399"/>
      <c r="G269" s="96"/>
      <c r="H269" s="401"/>
      <c r="I269" s="401"/>
      <c r="J269" s="402"/>
      <c r="K269" s="402"/>
      <c r="L269" s="402"/>
      <c r="M269" s="402"/>
      <c r="N269" s="402"/>
      <c r="O269" s="402"/>
      <c r="P269" s="402"/>
      <c r="Q269" s="96"/>
      <c r="R269" s="837"/>
      <c r="S269" s="851"/>
      <c r="T269" s="851"/>
      <c r="U269" s="851"/>
      <c r="V269" s="399"/>
      <c r="W269" s="96"/>
      <c r="X269" s="396"/>
      <c r="Y269" s="397"/>
      <c r="Z269" s="397"/>
      <c r="AA269" s="395"/>
      <c r="AB269" s="398"/>
      <c r="AC269" s="398">
        <f>+AC270+AC271</f>
        <v>80000</v>
      </c>
      <c r="AD269" s="691"/>
      <c r="AE269" s="96"/>
      <c r="AF269" s="398">
        <f>+AF270+AF271</f>
        <v>80000</v>
      </c>
      <c r="AG269" s="398">
        <f>+AG270+AG271</f>
        <v>0</v>
      </c>
      <c r="AH269" s="398">
        <f>+AH270+AH271</f>
        <v>80000</v>
      </c>
      <c r="AI269" s="865"/>
      <c r="AJ269" s="992">
        <f>+AJ270+AJ271</f>
        <v>0</v>
      </c>
      <c r="AK269" s="992">
        <f>+AK270+AK271</f>
        <v>80000</v>
      </c>
      <c r="AL269" s="992">
        <f>+AL270+AL271</f>
        <v>0</v>
      </c>
      <c r="AM269" s="993">
        <f>+AM270+AM271</f>
        <v>0</v>
      </c>
      <c r="AN269" s="994">
        <f>+AN270+AN271</f>
        <v>0</v>
      </c>
      <c r="AO269" s="994">
        <f t="shared" ref="AO269:AO332" si="25">SUM(AJ269:AN269)</f>
        <v>80000</v>
      </c>
      <c r="AQ269" s="1027"/>
    </row>
    <row r="270" spans="1:51" s="148" customFormat="1" ht="27.5" customHeight="1" outlineLevel="4">
      <c r="A270" s="159"/>
      <c r="B270" s="702" t="s">
        <v>1568</v>
      </c>
      <c r="C270" s="702"/>
      <c r="D270" s="533" t="s">
        <v>3512</v>
      </c>
      <c r="E270" s="533"/>
      <c r="F270" s="103"/>
      <c r="G270" s="97"/>
      <c r="H270" s="363"/>
      <c r="I270" s="363"/>
      <c r="J270" s="365"/>
      <c r="K270" s="365"/>
      <c r="L270" s="365"/>
      <c r="M270" s="365"/>
      <c r="N270" s="365"/>
      <c r="O270" s="365"/>
      <c r="P270" s="365"/>
      <c r="Q270" s="97"/>
      <c r="R270" s="364" t="str">
        <f>'9.3_PA_Det'!E187</f>
        <v>3CV</v>
      </c>
      <c r="S270" s="364" t="s">
        <v>1075</v>
      </c>
      <c r="T270" s="364" t="s">
        <v>1430</v>
      </c>
      <c r="U270" s="364">
        <f>'9.3_PA_Det'!F187</f>
        <v>78</v>
      </c>
      <c r="V270" s="177"/>
      <c r="W270" s="97"/>
      <c r="X270" s="711" t="s">
        <v>1179</v>
      </c>
      <c r="Y270" s="675">
        <v>1</v>
      </c>
      <c r="Z270" s="179"/>
      <c r="AA270" s="179"/>
      <c r="AB270" s="1041">
        <v>50000</v>
      </c>
      <c r="AC270" s="1032">
        <f>Y270*AB270</f>
        <v>50000</v>
      </c>
      <c r="AD270" s="1058"/>
      <c r="AE270" s="97"/>
      <c r="AF270" s="1041">
        <f>+AC270</f>
        <v>50000</v>
      </c>
      <c r="AG270" s="1032"/>
      <c r="AH270" s="1041">
        <f>+AF270+AG270</f>
        <v>50000</v>
      </c>
      <c r="AI270" s="867"/>
      <c r="AJ270" s="986"/>
      <c r="AK270" s="986">
        <f>+AF270</f>
        <v>50000</v>
      </c>
      <c r="AL270" s="986"/>
      <c r="AM270" s="986"/>
      <c r="AN270" s="1057"/>
      <c r="AO270" s="1038">
        <f t="shared" si="25"/>
        <v>50000</v>
      </c>
      <c r="AQ270" s="1027"/>
    </row>
    <row r="271" spans="1:51" s="148" customFormat="1" ht="27.5" customHeight="1" outlineLevel="4">
      <c r="A271" s="159"/>
      <c r="B271" s="702" t="s">
        <v>1570</v>
      </c>
      <c r="C271" s="702"/>
      <c r="D271" s="533" t="s">
        <v>3513</v>
      </c>
      <c r="E271" s="533"/>
      <c r="F271" s="103"/>
      <c r="G271" s="97"/>
      <c r="H271" s="363"/>
      <c r="I271" s="363"/>
      <c r="J271" s="365"/>
      <c r="K271" s="365"/>
      <c r="L271" s="365"/>
      <c r="M271" s="365"/>
      <c r="N271" s="365"/>
      <c r="O271" s="365"/>
      <c r="P271" s="365"/>
      <c r="Q271" s="97"/>
      <c r="R271" s="364" t="str">
        <f>'9.3_PA_Det'!E188</f>
        <v>3CV</v>
      </c>
      <c r="S271" s="364" t="s">
        <v>1075</v>
      </c>
      <c r="T271" s="364" t="s">
        <v>1430</v>
      </c>
      <c r="U271" s="364">
        <f>'9.3_PA_Det'!F188</f>
        <v>79</v>
      </c>
      <c r="V271" s="177"/>
      <c r="W271" s="97"/>
      <c r="X271" s="711" t="s">
        <v>1179</v>
      </c>
      <c r="Y271" s="675">
        <v>1</v>
      </c>
      <c r="Z271" s="179"/>
      <c r="AA271" s="179"/>
      <c r="AB271" s="1041">
        <v>30000</v>
      </c>
      <c r="AC271" s="1032">
        <f>Y271*AB271</f>
        <v>30000</v>
      </c>
      <c r="AD271" s="1058"/>
      <c r="AE271" s="97"/>
      <c r="AF271" s="1041">
        <f>+AC271</f>
        <v>30000</v>
      </c>
      <c r="AG271" s="1032"/>
      <c r="AH271" s="1041">
        <f>+AF271+AG271</f>
        <v>30000</v>
      </c>
      <c r="AI271" s="867"/>
      <c r="AJ271" s="986"/>
      <c r="AK271" s="986">
        <f>+AF271</f>
        <v>30000</v>
      </c>
      <c r="AL271" s="986"/>
      <c r="AM271" s="986"/>
      <c r="AN271" s="1057"/>
      <c r="AO271" s="1038">
        <f t="shared" si="25"/>
        <v>30000</v>
      </c>
      <c r="AQ271" s="1027"/>
    </row>
    <row r="272" spans="1:51" s="148" customFormat="1" ht="14" customHeight="1" outlineLevel="3">
      <c r="A272" s="159"/>
      <c r="B272" s="702"/>
      <c r="C272" s="702"/>
      <c r="D272" s="533"/>
      <c r="E272" s="533"/>
      <c r="F272" s="103"/>
      <c r="G272" s="97"/>
      <c r="H272" s="363"/>
      <c r="I272" s="363"/>
      <c r="J272" s="365"/>
      <c r="K272" s="365"/>
      <c r="L272" s="365"/>
      <c r="M272" s="365"/>
      <c r="N272" s="365"/>
      <c r="O272" s="365"/>
      <c r="P272" s="365"/>
      <c r="Q272" s="97"/>
      <c r="R272" s="364"/>
      <c r="S272" s="364"/>
      <c r="T272" s="364"/>
      <c r="U272" s="364"/>
      <c r="V272" s="177"/>
      <c r="W272" s="97"/>
      <c r="X272" s="711"/>
      <c r="Y272" s="675"/>
      <c r="Z272" s="179"/>
      <c r="AA272" s="179"/>
      <c r="AB272" s="1041"/>
      <c r="AC272" s="1032"/>
      <c r="AD272" s="1058"/>
      <c r="AE272" s="97"/>
      <c r="AF272" s="1041"/>
      <c r="AG272" s="1032"/>
      <c r="AH272" s="1041"/>
      <c r="AI272" s="867"/>
      <c r="AJ272" s="986"/>
      <c r="AK272" s="986"/>
      <c r="AL272" s="986"/>
      <c r="AM272" s="986"/>
      <c r="AN272" s="1057"/>
      <c r="AO272" s="1038">
        <f t="shared" si="25"/>
        <v>0</v>
      </c>
      <c r="AQ272" s="1027"/>
    </row>
    <row r="273" spans="1:51" s="153" customFormat="1" ht="29" customHeight="1" outlineLevel="2">
      <c r="A273" s="172"/>
      <c r="B273" s="171" t="s">
        <v>559</v>
      </c>
      <c r="C273" s="171"/>
      <c r="D273" s="538" t="s">
        <v>3810</v>
      </c>
      <c r="E273" s="538"/>
      <c r="F273" s="106" t="s">
        <v>1540</v>
      </c>
      <c r="G273" s="96"/>
      <c r="H273" s="357" t="str">
        <f>+'1_MdR_Limpia'!C92</f>
        <v>Marco Jurídico</v>
      </c>
      <c r="I273" s="357">
        <f>+'1_MdR_Limpia'!D92</f>
        <v>0</v>
      </c>
      <c r="J273" s="357">
        <f>+'1_MdR_Limpia'!E92</f>
        <v>2021</v>
      </c>
      <c r="K273" s="357" t="str">
        <f>+'1_MdR_Limpia'!F92</f>
        <v>-</v>
      </c>
      <c r="L273" s="357" t="str">
        <f>+'1_MdR_Limpia'!G92</f>
        <v>-</v>
      </c>
      <c r="M273" s="357" t="str">
        <f>+'1_MdR_Limpia'!H92</f>
        <v>-</v>
      </c>
      <c r="N273" s="357">
        <f>+'1_MdR_Limpia'!I92</f>
        <v>1</v>
      </c>
      <c r="O273" s="357" t="str">
        <f>+'1_MdR_Limpia'!J92</f>
        <v>-</v>
      </c>
      <c r="P273" s="357">
        <f>+'1_MdR_Limpia'!L92</f>
        <v>1</v>
      </c>
      <c r="Q273" s="96"/>
      <c r="R273" s="854"/>
      <c r="S273" s="358"/>
      <c r="T273" s="358"/>
      <c r="U273" s="358"/>
      <c r="V273" s="106"/>
      <c r="W273" s="96"/>
      <c r="X273" s="106"/>
      <c r="Y273" s="172"/>
      <c r="Z273" s="172"/>
      <c r="AA273" s="171"/>
      <c r="AB273" s="176"/>
      <c r="AC273" s="176">
        <f>+AC276</f>
        <v>80000</v>
      </c>
      <c r="AD273" s="692"/>
      <c r="AE273" s="96"/>
      <c r="AF273" s="176">
        <f>+AF276</f>
        <v>80000</v>
      </c>
      <c r="AG273" s="176">
        <f>+AG276</f>
        <v>0</v>
      </c>
      <c r="AH273" s="176">
        <f>+AH276</f>
        <v>80000</v>
      </c>
      <c r="AI273" s="865"/>
      <c r="AJ273" s="980">
        <f>+AJ276</f>
        <v>0</v>
      </c>
      <c r="AK273" s="980">
        <f>+AK276</f>
        <v>80000</v>
      </c>
      <c r="AL273" s="980">
        <f>+AL276</f>
        <v>0</v>
      </c>
      <c r="AM273" s="981">
        <f>+AM276</f>
        <v>0</v>
      </c>
      <c r="AN273" s="979">
        <f>+AN276</f>
        <v>0</v>
      </c>
      <c r="AO273" s="979">
        <f t="shared" si="25"/>
        <v>80000</v>
      </c>
      <c r="AQ273" s="1027"/>
    </row>
    <row r="274" spans="1:51" s="148" customFormat="1" ht="42" customHeight="1" outlineLevel="3">
      <c r="A274" s="159"/>
      <c r="B274" s="702" t="s">
        <v>982</v>
      </c>
      <c r="C274" s="702"/>
      <c r="D274" s="537" t="s">
        <v>3515</v>
      </c>
      <c r="E274" s="537"/>
      <c r="F274" s="103"/>
      <c r="G274" s="97"/>
      <c r="H274" s="363"/>
      <c r="I274" s="363"/>
      <c r="J274" s="365"/>
      <c r="K274" s="365"/>
      <c r="L274" s="365"/>
      <c r="M274" s="365"/>
      <c r="N274" s="365"/>
      <c r="O274" s="365"/>
      <c r="P274" s="365"/>
      <c r="Q274" s="97"/>
      <c r="R274" s="364"/>
      <c r="S274" s="364"/>
      <c r="T274" s="364"/>
      <c r="U274" s="364"/>
      <c r="V274" s="177"/>
      <c r="W274" s="97"/>
      <c r="X274" s="711"/>
      <c r="Y274" s="675"/>
      <c r="Z274" s="179"/>
      <c r="AA274" s="179"/>
      <c r="AB274" s="1041"/>
      <c r="AC274" s="1032">
        <f>Y274*AB274</f>
        <v>0</v>
      </c>
      <c r="AD274" s="939" t="s">
        <v>3516</v>
      </c>
      <c r="AE274" s="97"/>
      <c r="AF274" s="1041"/>
      <c r="AG274" s="1032"/>
      <c r="AH274" s="1041"/>
      <c r="AI274" s="867"/>
      <c r="AJ274" s="986"/>
      <c r="AK274" s="986"/>
      <c r="AL274" s="986"/>
      <c r="AM274" s="986"/>
      <c r="AN274" s="1057"/>
      <c r="AO274" s="1038">
        <f t="shared" si="25"/>
        <v>0</v>
      </c>
      <c r="AQ274" s="1027"/>
    </row>
    <row r="275" spans="1:51" s="148" customFormat="1" ht="54.5" customHeight="1" outlineLevel="3">
      <c r="A275" s="159"/>
      <c r="B275" s="702" t="s">
        <v>1584</v>
      </c>
      <c r="C275" s="702"/>
      <c r="D275" s="537" t="s">
        <v>3517</v>
      </c>
      <c r="E275" s="537"/>
      <c r="F275" s="103"/>
      <c r="G275" s="97"/>
      <c r="H275" s="363"/>
      <c r="I275" s="363"/>
      <c r="J275" s="365"/>
      <c r="K275" s="365"/>
      <c r="L275" s="365"/>
      <c r="M275" s="365"/>
      <c r="N275" s="365"/>
      <c r="O275" s="365"/>
      <c r="P275" s="365"/>
      <c r="Q275" s="97"/>
      <c r="R275" s="364"/>
      <c r="S275" s="364"/>
      <c r="T275" s="364"/>
      <c r="U275" s="364"/>
      <c r="V275" s="177"/>
      <c r="W275" s="97"/>
      <c r="X275" s="711"/>
      <c r="Y275" s="675"/>
      <c r="Z275" s="179"/>
      <c r="AA275" s="179"/>
      <c r="AB275" s="1041"/>
      <c r="AC275" s="1032">
        <f>Y275*AB275</f>
        <v>0</v>
      </c>
      <c r="AD275" s="939" t="s">
        <v>3518</v>
      </c>
      <c r="AE275" s="97"/>
      <c r="AF275" s="1041"/>
      <c r="AG275" s="1032"/>
      <c r="AH275" s="1041"/>
      <c r="AI275" s="867"/>
      <c r="AJ275" s="986"/>
      <c r="AK275" s="986"/>
      <c r="AL275" s="986"/>
      <c r="AM275" s="986"/>
      <c r="AN275" s="1057"/>
      <c r="AO275" s="1038">
        <f t="shared" si="25"/>
        <v>0</v>
      </c>
      <c r="AQ275" s="1027"/>
    </row>
    <row r="276" spans="1:51" s="153" customFormat="1" ht="27.5" customHeight="1" outlineLevel="3">
      <c r="A276" s="581"/>
      <c r="B276" s="400" t="s">
        <v>1587</v>
      </c>
      <c r="C276" s="400"/>
      <c r="D276" s="536" t="s">
        <v>3519</v>
      </c>
      <c r="E276" s="536"/>
      <c r="F276" s="399"/>
      <c r="G276" s="96"/>
      <c r="H276" s="401"/>
      <c r="I276" s="401"/>
      <c r="J276" s="402"/>
      <c r="K276" s="402"/>
      <c r="L276" s="402"/>
      <c r="M276" s="402"/>
      <c r="N276" s="402"/>
      <c r="O276" s="402"/>
      <c r="P276" s="402"/>
      <c r="Q276" s="96"/>
      <c r="R276" s="837"/>
      <c r="S276" s="851"/>
      <c r="T276" s="851"/>
      <c r="U276" s="851"/>
      <c r="V276" s="399"/>
      <c r="W276" s="96"/>
      <c r="X276" s="396"/>
      <c r="Y276" s="397"/>
      <c r="Z276" s="397"/>
      <c r="AA276" s="395"/>
      <c r="AB276" s="398"/>
      <c r="AC276" s="398">
        <f>+AC277+AC278</f>
        <v>80000</v>
      </c>
      <c r="AD276" s="691"/>
      <c r="AE276" s="96"/>
      <c r="AF276" s="398">
        <f>+AF277+AF278</f>
        <v>80000</v>
      </c>
      <c r="AG276" s="398">
        <f>+AG277+AG278</f>
        <v>0</v>
      </c>
      <c r="AH276" s="398">
        <f>+AH277+AH278</f>
        <v>80000</v>
      </c>
      <c r="AI276" s="865"/>
      <c r="AJ276" s="992">
        <f>+AJ277+AJ278</f>
        <v>0</v>
      </c>
      <c r="AK276" s="992">
        <f>+AK277+AK278</f>
        <v>80000</v>
      </c>
      <c r="AL276" s="992">
        <f>+AL277+AL278</f>
        <v>0</v>
      </c>
      <c r="AM276" s="993">
        <f>+AM277+AM278</f>
        <v>0</v>
      </c>
      <c r="AN276" s="994">
        <f>+AN277+AN278</f>
        <v>0</v>
      </c>
      <c r="AO276" s="994">
        <f t="shared" si="25"/>
        <v>80000</v>
      </c>
      <c r="AQ276" s="1027"/>
    </row>
    <row r="277" spans="1:51" s="148" customFormat="1" ht="27.5" customHeight="1" outlineLevel="4">
      <c r="A277" s="159"/>
      <c r="B277" s="702" t="s">
        <v>3520</v>
      </c>
      <c r="C277" s="702"/>
      <c r="D277" s="533" t="s">
        <v>3512</v>
      </c>
      <c r="E277" s="533"/>
      <c r="F277" s="103"/>
      <c r="G277" s="97"/>
      <c r="H277" s="363"/>
      <c r="I277" s="363"/>
      <c r="J277" s="365"/>
      <c r="K277" s="365"/>
      <c r="L277" s="365"/>
      <c r="M277" s="365"/>
      <c r="N277" s="365"/>
      <c r="O277" s="365"/>
      <c r="P277" s="365"/>
      <c r="Q277" s="97"/>
      <c r="R277" s="364" t="str">
        <f>'9.3_PA_Det'!E189</f>
        <v>3CV</v>
      </c>
      <c r="S277" s="364" t="s">
        <v>1075</v>
      </c>
      <c r="T277" s="364" t="s">
        <v>1430</v>
      </c>
      <c r="U277" s="364">
        <f>'9.3_PA_Det'!F189</f>
        <v>80</v>
      </c>
      <c r="V277" s="177"/>
      <c r="W277" s="97"/>
      <c r="X277" s="711" t="s">
        <v>1179</v>
      </c>
      <c r="Y277" s="675">
        <v>1</v>
      </c>
      <c r="Z277" s="179"/>
      <c r="AA277" s="179"/>
      <c r="AB277" s="1041">
        <v>50000</v>
      </c>
      <c r="AC277" s="1032">
        <f>Y277*AB277</f>
        <v>50000</v>
      </c>
      <c r="AD277" s="1058"/>
      <c r="AE277" s="97"/>
      <c r="AF277" s="1041">
        <f>+AC277</f>
        <v>50000</v>
      </c>
      <c r="AG277" s="1032"/>
      <c r="AH277" s="1041">
        <f>+AF277+AG277</f>
        <v>50000</v>
      </c>
      <c r="AI277" s="867"/>
      <c r="AJ277" s="986"/>
      <c r="AK277" s="986">
        <f>+AF277</f>
        <v>50000</v>
      </c>
      <c r="AL277" s="986"/>
      <c r="AM277" s="986"/>
      <c r="AN277" s="1057"/>
      <c r="AO277" s="1038">
        <f t="shared" si="25"/>
        <v>50000</v>
      </c>
      <c r="AQ277" s="1027"/>
    </row>
    <row r="278" spans="1:51" s="148" customFormat="1" ht="27.5" customHeight="1" outlineLevel="4">
      <c r="A278" s="159"/>
      <c r="B278" s="702" t="s">
        <v>3521</v>
      </c>
      <c r="C278" s="702"/>
      <c r="D278" s="533" t="s">
        <v>3513</v>
      </c>
      <c r="E278" s="533"/>
      <c r="F278" s="103"/>
      <c r="G278" s="97"/>
      <c r="H278" s="363"/>
      <c r="I278" s="363"/>
      <c r="J278" s="365"/>
      <c r="K278" s="365"/>
      <c r="L278" s="365"/>
      <c r="M278" s="365"/>
      <c r="N278" s="365"/>
      <c r="O278" s="365"/>
      <c r="P278" s="365"/>
      <c r="Q278" s="97"/>
      <c r="R278" s="364" t="str">
        <f>'9.3_PA_Det'!E190</f>
        <v>3CV</v>
      </c>
      <c r="S278" s="364" t="s">
        <v>1075</v>
      </c>
      <c r="T278" s="364" t="s">
        <v>1430</v>
      </c>
      <c r="U278" s="364">
        <f>'9.3_PA_Det'!F190</f>
        <v>81</v>
      </c>
      <c r="V278" s="177"/>
      <c r="W278" s="97"/>
      <c r="X278" s="711" t="s">
        <v>1179</v>
      </c>
      <c r="Y278" s="675">
        <v>1</v>
      </c>
      <c r="Z278" s="179"/>
      <c r="AA278" s="179"/>
      <c r="AB278" s="1041">
        <v>30000</v>
      </c>
      <c r="AC278" s="1032">
        <f>Y278*AB278</f>
        <v>30000</v>
      </c>
      <c r="AD278" s="1058"/>
      <c r="AE278" s="97"/>
      <c r="AF278" s="1041">
        <f>+AC278</f>
        <v>30000</v>
      </c>
      <c r="AG278" s="1032"/>
      <c r="AH278" s="1041">
        <f>+AF278+AG278</f>
        <v>30000</v>
      </c>
      <c r="AI278" s="867"/>
      <c r="AJ278" s="986"/>
      <c r="AK278" s="986">
        <f>+AF278</f>
        <v>30000</v>
      </c>
      <c r="AL278" s="986"/>
      <c r="AM278" s="986"/>
      <c r="AN278" s="1057"/>
      <c r="AO278" s="1038">
        <f t="shared" si="25"/>
        <v>30000</v>
      </c>
      <c r="AQ278" s="1027"/>
    </row>
    <row r="279" spans="1:51" s="148" customFormat="1" ht="14" customHeight="1" outlineLevel="3">
      <c r="A279" s="159"/>
      <c r="B279" s="702"/>
      <c r="C279" s="702"/>
      <c r="D279" s="533"/>
      <c r="E279" s="533"/>
      <c r="F279" s="103"/>
      <c r="G279" s="97"/>
      <c r="H279" s="363"/>
      <c r="I279" s="363"/>
      <c r="J279" s="365"/>
      <c r="K279" s="365"/>
      <c r="L279" s="365"/>
      <c r="M279" s="365"/>
      <c r="N279" s="365"/>
      <c r="O279" s="365"/>
      <c r="P279" s="365"/>
      <c r="Q279" s="97"/>
      <c r="R279" s="364"/>
      <c r="S279" s="364"/>
      <c r="T279" s="364"/>
      <c r="U279" s="364"/>
      <c r="V279" s="177"/>
      <c r="W279" s="97"/>
      <c r="X279" s="711"/>
      <c r="Y279" s="450"/>
      <c r="Z279" s="179"/>
      <c r="AA279" s="179"/>
      <c r="AB279" s="1041"/>
      <c r="AC279" s="1041"/>
      <c r="AD279" s="1058"/>
      <c r="AE279" s="97"/>
      <c r="AF279" s="1041">
        <f t="shared" ref="AF279:AF287" si="26">+AC279</f>
        <v>0</v>
      </c>
      <c r="AG279" s="1032"/>
      <c r="AH279" s="1041"/>
      <c r="AI279" s="867"/>
      <c r="AJ279" s="986"/>
      <c r="AK279" s="986"/>
      <c r="AL279" s="986"/>
      <c r="AM279" s="986"/>
      <c r="AN279" s="1057"/>
      <c r="AO279" s="1057">
        <f t="shared" si="25"/>
        <v>0</v>
      </c>
      <c r="AQ279" s="1027"/>
    </row>
    <row r="280" spans="1:51" s="153" customFormat="1" ht="39.5" customHeight="1" outlineLevel="2">
      <c r="A280" s="172"/>
      <c r="B280" s="171" t="s">
        <v>561</v>
      </c>
      <c r="C280" s="171"/>
      <c r="D280" s="538" t="s">
        <v>3811</v>
      </c>
      <c r="E280" s="538"/>
      <c r="F280" s="106" t="s">
        <v>1556</v>
      </c>
      <c r="G280" s="96"/>
      <c r="H280" s="357" t="str">
        <f>+'1_MdR_Limpia'!C93</f>
        <v>Plataforma</v>
      </c>
      <c r="I280" s="357">
        <f>+'1_MdR_Limpia'!D93</f>
        <v>0</v>
      </c>
      <c r="J280" s="357">
        <f>+'1_MdR_Limpia'!E93</f>
        <v>2021</v>
      </c>
      <c r="K280" s="357" t="str">
        <f>+'1_MdR_Limpia'!F93</f>
        <v>-</v>
      </c>
      <c r="L280" s="357" t="str">
        <f>+'1_MdR_Limpia'!G93</f>
        <v>-</v>
      </c>
      <c r="M280" s="357" t="str">
        <f>+'1_MdR_Limpia'!H93</f>
        <v>-</v>
      </c>
      <c r="N280" s="357">
        <f>+'1_MdR_Limpia'!I93</f>
        <v>1</v>
      </c>
      <c r="O280" s="357" t="str">
        <f>+'1_MdR_Limpia'!J93</f>
        <v>-</v>
      </c>
      <c r="P280" s="357">
        <f>+'1_MdR_Limpia'!L93</f>
        <v>1</v>
      </c>
      <c r="Q280" s="96"/>
      <c r="R280" s="854"/>
      <c r="S280" s="358"/>
      <c r="T280" s="358"/>
      <c r="U280" s="358"/>
      <c r="V280" s="106"/>
      <c r="W280" s="96"/>
      <c r="X280" s="106"/>
      <c r="Y280" s="172"/>
      <c r="Z280" s="172"/>
      <c r="AA280" s="171"/>
      <c r="AB280" s="176"/>
      <c r="AC280" s="176">
        <f>SUM(AC281:AC287)</f>
        <v>910000</v>
      </c>
      <c r="AD280" s="692"/>
      <c r="AE280" s="96"/>
      <c r="AF280" s="176">
        <f>SUM(AF281:AF287)</f>
        <v>910000</v>
      </c>
      <c r="AG280" s="176">
        <f>SUM(AG281:AG287)</f>
        <v>0</v>
      </c>
      <c r="AH280" s="176">
        <f>SUM(AH281:AH287)</f>
        <v>910000</v>
      </c>
      <c r="AI280" s="865"/>
      <c r="AJ280" s="980">
        <f>SUM(AJ281:AJ287)</f>
        <v>0</v>
      </c>
      <c r="AK280" s="980">
        <f>SUM(AK281:AK287)</f>
        <v>302000</v>
      </c>
      <c r="AL280" s="980">
        <f>SUM(AL281:AL287)</f>
        <v>608000</v>
      </c>
      <c r="AM280" s="981">
        <f>SUM(AM281:AM287)</f>
        <v>0</v>
      </c>
      <c r="AN280" s="979">
        <f>SUM(AN281:AN287)</f>
        <v>0</v>
      </c>
      <c r="AO280" s="979">
        <f t="shared" si="25"/>
        <v>910000</v>
      </c>
      <c r="AQ280" s="1027"/>
    </row>
    <row r="281" spans="1:51" ht="26.5" customHeight="1" outlineLevel="3">
      <c r="A281" s="159"/>
      <c r="B281" s="702" t="s">
        <v>1593</v>
      </c>
      <c r="C281" s="702"/>
      <c r="D281" s="703" t="s">
        <v>3523</v>
      </c>
      <c r="E281" s="703"/>
      <c r="F281" s="177"/>
      <c r="G281" s="97"/>
      <c r="H281" s="363"/>
      <c r="I281" s="363"/>
      <c r="J281" s="367"/>
      <c r="K281" s="367"/>
      <c r="L281" s="367"/>
      <c r="M281" s="367"/>
      <c r="N281" s="367"/>
      <c r="O281" s="367"/>
      <c r="P281" s="367"/>
      <c r="Q281" s="97"/>
      <c r="R281" s="364" t="str">
        <f>+'9.3_PA_Det'!E109</f>
        <v>Selección Basada en Calificación de Consultores</v>
      </c>
      <c r="S281" s="364" t="s">
        <v>1075</v>
      </c>
      <c r="T281" s="364" t="s">
        <v>1667</v>
      </c>
      <c r="U281" s="364">
        <f>+'9.3_PA_Det'!F109</f>
        <v>39</v>
      </c>
      <c r="V281" s="181"/>
      <c r="W281" s="97"/>
      <c r="X281" s="711" t="s">
        <v>1179</v>
      </c>
      <c r="Y281" s="712">
        <v>1</v>
      </c>
      <c r="Z281" s="179"/>
      <c r="AA281" s="180"/>
      <c r="AB281" s="1048">
        <v>150000</v>
      </c>
      <c r="AC281" s="1048">
        <f>+Y281*AB281</f>
        <v>150000</v>
      </c>
      <c r="AD281" s="940" t="s">
        <v>3524</v>
      </c>
      <c r="AE281" s="97"/>
      <c r="AF281" s="1048">
        <f t="shared" si="26"/>
        <v>150000</v>
      </c>
      <c r="AG281" s="1048"/>
      <c r="AH281" s="1048">
        <f t="shared" ref="AH281:AH287" si="27">+AG281+AF281</f>
        <v>150000</v>
      </c>
      <c r="AI281" s="867"/>
      <c r="AJ281" s="1015"/>
      <c r="AK281" s="1015">
        <f>+AF281</f>
        <v>150000</v>
      </c>
      <c r="AL281" s="1015"/>
      <c r="AM281" s="1031"/>
      <c r="AN281" s="1044"/>
      <c r="AO281" s="1044">
        <f t="shared" si="25"/>
        <v>150000</v>
      </c>
      <c r="AP281" s="108"/>
      <c r="AQ281" s="1027"/>
      <c r="AR281" s="108"/>
      <c r="AS281" s="108"/>
      <c r="AT281" s="108"/>
      <c r="AU281" s="108"/>
      <c r="AV281" s="108"/>
      <c r="AW281" s="108"/>
      <c r="AX281" s="108"/>
      <c r="AY281" s="108"/>
    </row>
    <row r="282" spans="1:51" s="84" customFormat="1" ht="14" customHeight="1" outlineLevel="3">
      <c r="A282" s="159"/>
      <c r="B282" s="702" t="s">
        <v>985</v>
      </c>
      <c r="C282" s="702"/>
      <c r="D282" s="703" t="s">
        <v>3525</v>
      </c>
      <c r="E282" s="703"/>
      <c r="F282" s="103"/>
      <c r="G282" s="97"/>
      <c r="H282" s="363"/>
      <c r="I282" s="363"/>
      <c r="J282" s="367"/>
      <c r="K282" s="367"/>
      <c r="L282" s="367"/>
      <c r="M282" s="367"/>
      <c r="N282" s="367"/>
      <c r="O282" s="367"/>
      <c r="P282" s="367"/>
      <c r="Q282" s="97"/>
      <c r="R282" s="3897" t="str">
        <f>+'9.3_PA_Det'!$E$110</f>
        <v>Selección Basada en Calidad y Costo</v>
      </c>
      <c r="S282" s="3897" t="s">
        <v>1075</v>
      </c>
      <c r="T282" s="3897" t="s">
        <v>1667</v>
      </c>
      <c r="U282" s="3897">
        <f>+'9.3_PA_Det'!$F$110</f>
        <v>40</v>
      </c>
      <c r="V282" s="3897"/>
      <c r="W282" s="97"/>
      <c r="X282" s="711" t="s">
        <v>1179</v>
      </c>
      <c r="Y282" s="712">
        <v>1</v>
      </c>
      <c r="Z282" s="179"/>
      <c r="AA282" s="179"/>
      <c r="AB282" s="1053">
        <v>50000</v>
      </c>
      <c r="AC282" s="1048">
        <f t="shared" ref="AC282:AC300" si="28">+Y282*AB282</f>
        <v>50000</v>
      </c>
      <c r="AD282" s="1054"/>
      <c r="AE282" s="97"/>
      <c r="AF282" s="1053">
        <f t="shared" si="26"/>
        <v>50000</v>
      </c>
      <c r="AG282" s="1048"/>
      <c r="AH282" s="1053">
        <f t="shared" si="27"/>
        <v>50000</v>
      </c>
      <c r="AI282" s="867"/>
      <c r="AJ282" s="1015"/>
      <c r="AK282" s="1015">
        <f t="shared" ref="AK282:AK287" si="29">+AF282*20%</f>
        <v>10000</v>
      </c>
      <c r="AL282" s="1015">
        <f t="shared" ref="AL282:AL287" si="30">+AF282*80%</f>
        <v>40000</v>
      </c>
      <c r="AM282" s="1015"/>
      <c r="AN282" s="1055"/>
      <c r="AO282" s="1044">
        <f t="shared" si="25"/>
        <v>50000</v>
      </c>
      <c r="AP282" s="148"/>
      <c r="AQ282" s="1027"/>
      <c r="AR282" s="148"/>
      <c r="AS282" s="148"/>
      <c r="AT282" s="148"/>
      <c r="AU282" s="148"/>
      <c r="AV282" s="148"/>
      <c r="AW282" s="148"/>
      <c r="AX282" s="148"/>
      <c r="AY282" s="148"/>
    </row>
    <row r="283" spans="1:51" s="84" customFormat="1" ht="14" customHeight="1" outlineLevel="3">
      <c r="A283" s="159"/>
      <c r="B283" s="702" t="s">
        <v>988</v>
      </c>
      <c r="C283" s="702"/>
      <c r="D283" s="703" t="s">
        <v>3526</v>
      </c>
      <c r="E283" s="703"/>
      <c r="F283" s="177"/>
      <c r="G283" s="97"/>
      <c r="H283" s="363"/>
      <c r="I283" s="363"/>
      <c r="J283" s="367"/>
      <c r="K283" s="367"/>
      <c r="L283" s="367"/>
      <c r="M283" s="367"/>
      <c r="N283" s="367"/>
      <c r="O283" s="367"/>
      <c r="P283" s="367"/>
      <c r="Q283" s="97"/>
      <c r="R283" s="3898"/>
      <c r="S283" s="3898"/>
      <c r="T283" s="3898"/>
      <c r="U283" s="3898"/>
      <c r="V283" s="3898"/>
      <c r="W283" s="97"/>
      <c r="X283" s="711" t="s">
        <v>1179</v>
      </c>
      <c r="Y283" s="712">
        <v>1</v>
      </c>
      <c r="Z283" s="179"/>
      <c r="AA283" s="179"/>
      <c r="AB283" s="1053">
        <v>200000</v>
      </c>
      <c r="AC283" s="1048">
        <f t="shared" si="28"/>
        <v>200000</v>
      </c>
      <c r="AD283" s="1054"/>
      <c r="AE283" s="97"/>
      <c r="AF283" s="1053">
        <f t="shared" si="26"/>
        <v>200000</v>
      </c>
      <c r="AG283" s="1048"/>
      <c r="AH283" s="1053">
        <f t="shared" si="27"/>
        <v>200000</v>
      </c>
      <c r="AI283" s="867"/>
      <c r="AJ283" s="1015"/>
      <c r="AK283" s="1015">
        <f t="shared" si="29"/>
        <v>40000</v>
      </c>
      <c r="AL283" s="1015">
        <f t="shared" si="30"/>
        <v>160000</v>
      </c>
      <c r="AM283" s="1015"/>
      <c r="AN283" s="1055"/>
      <c r="AO283" s="1044">
        <f t="shared" si="25"/>
        <v>200000</v>
      </c>
      <c r="AP283" s="148"/>
      <c r="AQ283" s="1027"/>
      <c r="AR283" s="148"/>
      <c r="AS283" s="148"/>
      <c r="AT283" s="148"/>
      <c r="AU283" s="148"/>
      <c r="AV283" s="148"/>
      <c r="AW283" s="148"/>
      <c r="AX283" s="148"/>
      <c r="AY283" s="148"/>
    </row>
    <row r="284" spans="1:51" s="84" customFormat="1" ht="14" customHeight="1" outlineLevel="3">
      <c r="A284" s="159"/>
      <c r="B284" s="702" t="s">
        <v>990</v>
      </c>
      <c r="C284" s="702"/>
      <c r="D284" s="703" t="s">
        <v>3527</v>
      </c>
      <c r="E284" s="703"/>
      <c r="F284" s="177"/>
      <c r="G284" s="97"/>
      <c r="H284" s="363"/>
      <c r="I284" s="363"/>
      <c r="J284" s="367"/>
      <c r="K284" s="367"/>
      <c r="L284" s="367"/>
      <c r="M284" s="367"/>
      <c r="N284" s="367"/>
      <c r="O284" s="367"/>
      <c r="P284" s="367"/>
      <c r="Q284" s="97"/>
      <c r="R284" s="3898"/>
      <c r="S284" s="3898"/>
      <c r="T284" s="3898"/>
      <c r="U284" s="3898"/>
      <c r="V284" s="3898"/>
      <c r="W284" s="97"/>
      <c r="X284" s="711" t="s">
        <v>1179</v>
      </c>
      <c r="Y284" s="712">
        <v>1</v>
      </c>
      <c r="Z284" s="179"/>
      <c r="AA284" s="179"/>
      <c r="AB284" s="1053">
        <v>100000</v>
      </c>
      <c r="AC284" s="1048">
        <f t="shared" si="28"/>
        <v>100000</v>
      </c>
      <c r="AD284" s="1054"/>
      <c r="AE284" s="97"/>
      <c r="AF284" s="1053">
        <f t="shared" si="26"/>
        <v>100000</v>
      </c>
      <c r="AG284" s="1048"/>
      <c r="AH284" s="1053">
        <f t="shared" si="27"/>
        <v>100000</v>
      </c>
      <c r="AI284" s="867"/>
      <c r="AJ284" s="1015"/>
      <c r="AK284" s="1015">
        <f t="shared" si="29"/>
        <v>20000</v>
      </c>
      <c r="AL284" s="1015">
        <f t="shared" si="30"/>
        <v>80000</v>
      </c>
      <c r="AM284" s="1015"/>
      <c r="AN284" s="1055"/>
      <c r="AO284" s="1044">
        <f t="shared" si="25"/>
        <v>100000</v>
      </c>
      <c r="AP284" s="148"/>
      <c r="AQ284" s="1027"/>
      <c r="AR284" s="148"/>
      <c r="AS284" s="148"/>
      <c r="AT284" s="148"/>
      <c r="AU284" s="148"/>
      <c r="AV284" s="148"/>
      <c r="AW284" s="148"/>
      <c r="AX284" s="148"/>
      <c r="AY284" s="148"/>
    </row>
    <row r="285" spans="1:51" s="84" customFormat="1" ht="25.25" customHeight="1" outlineLevel="3">
      <c r="A285" s="159"/>
      <c r="B285" s="702" t="s">
        <v>992</v>
      </c>
      <c r="C285" s="702"/>
      <c r="D285" s="703" t="s">
        <v>3528</v>
      </c>
      <c r="E285" s="703"/>
      <c r="F285" s="177"/>
      <c r="G285" s="97"/>
      <c r="H285" s="363"/>
      <c r="I285" s="363"/>
      <c r="J285" s="367"/>
      <c r="K285" s="367"/>
      <c r="L285" s="367"/>
      <c r="M285" s="367"/>
      <c r="N285" s="367"/>
      <c r="O285" s="367"/>
      <c r="P285" s="367"/>
      <c r="Q285" s="97"/>
      <c r="R285" s="3898"/>
      <c r="S285" s="3898"/>
      <c r="T285" s="3898"/>
      <c r="U285" s="3898"/>
      <c r="V285" s="3898"/>
      <c r="W285" s="97"/>
      <c r="X285" s="711" t="s">
        <v>1179</v>
      </c>
      <c r="Y285" s="712">
        <v>1</v>
      </c>
      <c r="Z285" s="179"/>
      <c r="AA285" s="179"/>
      <c r="AB285" s="1053">
        <v>150000</v>
      </c>
      <c r="AC285" s="1048">
        <f t="shared" si="28"/>
        <v>150000</v>
      </c>
      <c r="AD285" s="1054"/>
      <c r="AE285" s="97"/>
      <c r="AF285" s="1053">
        <f t="shared" si="26"/>
        <v>150000</v>
      </c>
      <c r="AG285" s="1048"/>
      <c r="AH285" s="1053">
        <f t="shared" si="27"/>
        <v>150000</v>
      </c>
      <c r="AI285" s="867"/>
      <c r="AJ285" s="1015"/>
      <c r="AK285" s="1015">
        <f t="shared" si="29"/>
        <v>30000</v>
      </c>
      <c r="AL285" s="1015">
        <f t="shared" si="30"/>
        <v>120000</v>
      </c>
      <c r="AM285" s="1015"/>
      <c r="AN285" s="1055"/>
      <c r="AO285" s="1044">
        <f t="shared" si="25"/>
        <v>150000</v>
      </c>
      <c r="AP285" s="148"/>
      <c r="AQ285" s="1027"/>
      <c r="AR285" s="148"/>
      <c r="AS285" s="148"/>
      <c r="AT285" s="148"/>
      <c r="AU285" s="148"/>
      <c r="AV285" s="148"/>
      <c r="AW285" s="148"/>
      <c r="AX285" s="148"/>
      <c r="AY285" s="148"/>
    </row>
    <row r="286" spans="1:51" s="84" customFormat="1" ht="27.5" customHeight="1" outlineLevel="3">
      <c r="A286" s="159"/>
      <c r="B286" s="702" t="s">
        <v>3529</v>
      </c>
      <c r="C286" s="702"/>
      <c r="D286" s="703" t="s">
        <v>3530</v>
      </c>
      <c r="E286" s="703"/>
      <c r="F286" s="177"/>
      <c r="G286" s="97"/>
      <c r="H286" s="363"/>
      <c r="I286" s="363"/>
      <c r="J286" s="367"/>
      <c r="K286" s="367"/>
      <c r="L286" s="367"/>
      <c r="M286" s="367"/>
      <c r="N286" s="367"/>
      <c r="O286" s="367"/>
      <c r="P286" s="367"/>
      <c r="Q286" s="97"/>
      <c r="R286" s="3898"/>
      <c r="S286" s="3898"/>
      <c r="T286" s="3898"/>
      <c r="U286" s="3898"/>
      <c r="V286" s="3898"/>
      <c r="W286" s="97"/>
      <c r="X286" s="711" t="s">
        <v>1179</v>
      </c>
      <c r="Y286" s="712">
        <v>1</v>
      </c>
      <c r="Z286" s="179"/>
      <c r="AA286" s="179"/>
      <c r="AB286" s="1053">
        <v>160000</v>
      </c>
      <c r="AC286" s="1048">
        <f t="shared" si="28"/>
        <v>160000</v>
      </c>
      <c r="AD286" s="1054"/>
      <c r="AE286" s="97"/>
      <c r="AF286" s="1053">
        <f t="shared" si="26"/>
        <v>160000</v>
      </c>
      <c r="AG286" s="1048"/>
      <c r="AH286" s="1053">
        <f t="shared" si="27"/>
        <v>160000</v>
      </c>
      <c r="AI286" s="867"/>
      <c r="AJ286" s="1015"/>
      <c r="AK286" s="1015">
        <f t="shared" si="29"/>
        <v>32000</v>
      </c>
      <c r="AL286" s="1015">
        <f t="shared" si="30"/>
        <v>128000</v>
      </c>
      <c r="AM286" s="1015"/>
      <c r="AN286" s="1055"/>
      <c r="AO286" s="1044">
        <f t="shared" si="25"/>
        <v>160000</v>
      </c>
      <c r="AP286" s="148"/>
      <c r="AQ286" s="1027"/>
      <c r="AR286" s="148"/>
      <c r="AS286" s="148"/>
      <c r="AT286" s="148"/>
      <c r="AU286" s="148"/>
      <c r="AV286" s="148"/>
      <c r="AW286" s="148"/>
      <c r="AX286" s="148"/>
      <c r="AY286" s="148"/>
    </row>
    <row r="287" spans="1:51" s="84" customFormat="1" ht="25.25" customHeight="1" outlineLevel="3">
      <c r="A287" s="159"/>
      <c r="B287" s="702" t="s">
        <v>3531</v>
      </c>
      <c r="C287" s="702"/>
      <c r="D287" s="703" t="s">
        <v>3532</v>
      </c>
      <c r="E287" s="703"/>
      <c r="F287" s="177"/>
      <c r="G287" s="97"/>
      <c r="H287" s="363"/>
      <c r="I287" s="363"/>
      <c r="J287" s="367"/>
      <c r="K287" s="367"/>
      <c r="L287" s="367"/>
      <c r="M287" s="367"/>
      <c r="N287" s="367"/>
      <c r="O287" s="367"/>
      <c r="P287" s="367"/>
      <c r="Q287" s="97"/>
      <c r="R287" s="3899"/>
      <c r="S287" s="3899"/>
      <c r="T287" s="3899"/>
      <c r="U287" s="3899"/>
      <c r="V287" s="3899"/>
      <c r="W287" s="97"/>
      <c r="X287" s="711" t="s">
        <v>1179</v>
      </c>
      <c r="Y287" s="712">
        <v>1</v>
      </c>
      <c r="Z287" s="179"/>
      <c r="AA287" s="179"/>
      <c r="AB287" s="1053">
        <v>100000</v>
      </c>
      <c r="AC287" s="1048">
        <f t="shared" si="28"/>
        <v>100000</v>
      </c>
      <c r="AD287" s="714" t="s">
        <v>3533</v>
      </c>
      <c r="AE287" s="97"/>
      <c r="AF287" s="1053">
        <f t="shared" si="26"/>
        <v>100000</v>
      </c>
      <c r="AG287" s="1048"/>
      <c r="AH287" s="1053">
        <f t="shared" si="27"/>
        <v>100000</v>
      </c>
      <c r="AI287" s="867"/>
      <c r="AJ287" s="1015"/>
      <c r="AK287" s="1015">
        <f t="shared" si="29"/>
        <v>20000</v>
      </c>
      <c r="AL287" s="1015">
        <f t="shared" si="30"/>
        <v>80000</v>
      </c>
      <c r="AM287" s="1015"/>
      <c r="AN287" s="1055"/>
      <c r="AO287" s="1044">
        <f t="shared" si="25"/>
        <v>100000</v>
      </c>
      <c r="AP287" s="148"/>
      <c r="AQ287" s="1027"/>
      <c r="AR287" s="148"/>
      <c r="AS287" s="148"/>
      <c r="AT287" s="148"/>
      <c r="AU287" s="148"/>
      <c r="AV287" s="148"/>
      <c r="AW287" s="148"/>
      <c r="AX287" s="148"/>
      <c r="AY287" s="148"/>
    </row>
    <row r="288" spans="1:51" s="878" customFormat="1" ht="31.25" customHeight="1" outlineLevel="2">
      <c r="A288" s="172"/>
      <c r="B288" s="171" t="s">
        <v>562</v>
      </c>
      <c r="C288" s="171"/>
      <c r="D288" s="538" t="s">
        <v>3534</v>
      </c>
      <c r="E288" s="538"/>
      <c r="F288" s="106" t="s">
        <v>1556</v>
      </c>
      <c r="G288" s="96"/>
      <c r="H288" s="357" t="e">
        <f>+'1_MdR_Limpia'!#REF!</f>
        <v>#REF!</v>
      </c>
      <c r="I288" s="357" t="e">
        <f>+'1_MdR_Limpia'!#REF!</f>
        <v>#REF!</v>
      </c>
      <c r="J288" s="357" t="e">
        <f>+'1_MdR_Limpia'!#REF!</f>
        <v>#REF!</v>
      </c>
      <c r="K288" s="357" t="e">
        <f>+'1_MdR_Limpia'!#REF!</f>
        <v>#REF!</v>
      </c>
      <c r="L288" s="357" t="e">
        <f>+'1_MdR_Limpia'!#REF!</f>
        <v>#REF!</v>
      </c>
      <c r="M288" s="357" t="e">
        <f>+'1_MdR_Limpia'!#REF!</f>
        <v>#REF!</v>
      </c>
      <c r="N288" s="357" t="e">
        <f>+'1_MdR_Limpia'!#REF!</f>
        <v>#REF!</v>
      </c>
      <c r="O288" s="357" t="e">
        <f>+'1_MdR_Limpia'!#REF!</f>
        <v>#REF!</v>
      </c>
      <c r="P288" s="357" t="e">
        <f>+'1_MdR_Limpia'!#REF!</f>
        <v>#REF!</v>
      </c>
      <c r="Q288" s="96"/>
      <c r="R288" s="854"/>
      <c r="S288" s="358"/>
      <c r="T288" s="358"/>
      <c r="U288" s="358"/>
      <c r="V288" s="106"/>
      <c r="W288" s="96"/>
      <c r="X288" s="106"/>
      <c r="Y288" s="172"/>
      <c r="Z288" s="172"/>
      <c r="AA288" s="171"/>
      <c r="AB288" s="176"/>
      <c r="AC288" s="176">
        <f>SUM(AC289:AC294)</f>
        <v>240000</v>
      </c>
      <c r="AD288" s="692"/>
      <c r="AE288" s="96"/>
      <c r="AF288" s="176">
        <f>SUM(AF289:AF294)</f>
        <v>240000</v>
      </c>
      <c r="AG288" s="176">
        <f>SUM(AG289:AG294)</f>
        <v>0</v>
      </c>
      <c r="AH288" s="176">
        <f>SUM(AH289:AH294)</f>
        <v>240000</v>
      </c>
      <c r="AI288" s="865"/>
      <c r="AJ288" s="980">
        <f>SUM(AJ289:AJ294)</f>
        <v>0</v>
      </c>
      <c r="AK288" s="980">
        <f>SUM(AK289:AK294)</f>
        <v>0</v>
      </c>
      <c r="AL288" s="980">
        <f>SUM(AL289:AL294)</f>
        <v>40000</v>
      </c>
      <c r="AM288" s="981">
        <f>SUM(AM289:AM294)</f>
        <v>150000</v>
      </c>
      <c r="AN288" s="979">
        <f>SUM(AN289:AN294)</f>
        <v>50000</v>
      </c>
      <c r="AO288" s="979">
        <f t="shared" si="25"/>
        <v>240000</v>
      </c>
      <c r="AP288" s="153"/>
      <c r="AQ288" s="1027"/>
      <c r="AR288" s="153"/>
      <c r="AS288" s="153"/>
      <c r="AT288" s="153"/>
      <c r="AU288" s="153"/>
      <c r="AV288" s="153"/>
      <c r="AW288" s="153"/>
      <c r="AX288" s="153"/>
      <c r="AY288" s="153"/>
    </row>
    <row r="289" spans="1:51" s="153" customFormat="1" ht="26.5" customHeight="1" outlineLevel="3">
      <c r="A289" s="159"/>
      <c r="B289" s="702" t="s">
        <v>2612</v>
      </c>
      <c r="C289" s="702"/>
      <c r="D289" s="703" t="s">
        <v>3535</v>
      </c>
      <c r="E289" s="703"/>
      <c r="F289" s="177"/>
      <c r="G289" s="96"/>
      <c r="H289" s="366"/>
      <c r="I289" s="366"/>
      <c r="J289" s="368"/>
      <c r="K289" s="368"/>
      <c r="L289" s="368"/>
      <c r="M289" s="368"/>
      <c r="N289" s="368"/>
      <c r="O289" s="368"/>
      <c r="P289" s="368"/>
      <c r="Q289" s="96"/>
      <c r="R289" s="3897" t="str">
        <f>+'9.3_PA_Det'!$E$116</f>
        <v>Selección Basada en Calidad y Costo</v>
      </c>
      <c r="S289" s="3897" t="s">
        <v>1075</v>
      </c>
      <c r="T289" s="3897" t="s">
        <v>1667</v>
      </c>
      <c r="U289" s="3897">
        <f>+'9.3_PA_Det'!$F$116</f>
        <v>41</v>
      </c>
      <c r="V289" s="3918"/>
      <c r="W289" s="96"/>
      <c r="X289" s="711" t="s">
        <v>1179</v>
      </c>
      <c r="Y289" s="712">
        <v>1</v>
      </c>
      <c r="Z289" s="704"/>
      <c r="AA289" s="354"/>
      <c r="AB289" s="355">
        <v>10000</v>
      </c>
      <c r="AC289" s="1048">
        <f t="shared" si="28"/>
        <v>10000</v>
      </c>
      <c r="AD289" s="1059"/>
      <c r="AE289" s="96"/>
      <c r="AF289" s="1048">
        <f t="shared" ref="AF289:AF294" si="31">+AC289</f>
        <v>10000</v>
      </c>
      <c r="AG289" s="1048">
        <v>0</v>
      </c>
      <c r="AH289" s="355">
        <f t="shared" ref="AH289:AH294" si="32">+AF289+AG289</f>
        <v>10000</v>
      </c>
      <c r="AI289" s="865"/>
      <c r="AJ289" s="1015"/>
      <c r="AK289" s="1015"/>
      <c r="AL289" s="1033">
        <f>+AF289</f>
        <v>10000</v>
      </c>
      <c r="AM289" s="1034"/>
      <c r="AN289" s="1006"/>
      <c r="AO289" s="1044">
        <f t="shared" si="25"/>
        <v>10000</v>
      </c>
      <c r="AQ289" s="1027"/>
    </row>
    <row r="290" spans="1:51" s="153" customFormat="1" ht="27" customHeight="1" outlineLevel="3">
      <c r="A290" s="159"/>
      <c r="B290" s="702" t="s">
        <v>2613</v>
      </c>
      <c r="C290" s="702"/>
      <c r="D290" s="703" t="s">
        <v>3536</v>
      </c>
      <c r="E290" s="703"/>
      <c r="F290" s="177"/>
      <c r="G290" s="96"/>
      <c r="H290" s="366"/>
      <c r="I290" s="366"/>
      <c r="J290" s="368"/>
      <c r="K290" s="368"/>
      <c r="L290" s="368"/>
      <c r="M290" s="368"/>
      <c r="N290" s="368"/>
      <c r="O290" s="368"/>
      <c r="P290" s="368"/>
      <c r="Q290" s="96"/>
      <c r="R290" s="3898"/>
      <c r="S290" s="3898"/>
      <c r="T290" s="3898"/>
      <c r="U290" s="3898"/>
      <c r="V290" s="3919"/>
      <c r="W290" s="96"/>
      <c r="X290" s="711" t="s">
        <v>1179</v>
      </c>
      <c r="Y290" s="712">
        <v>1</v>
      </c>
      <c r="Z290" s="704"/>
      <c r="AA290" s="354"/>
      <c r="AB290" s="355">
        <v>30000</v>
      </c>
      <c r="AC290" s="1048">
        <f t="shared" si="28"/>
        <v>30000</v>
      </c>
      <c r="AD290" s="1059"/>
      <c r="AE290" s="96"/>
      <c r="AF290" s="1048">
        <f t="shared" si="31"/>
        <v>30000</v>
      </c>
      <c r="AG290" s="1048">
        <v>0</v>
      </c>
      <c r="AH290" s="355">
        <f t="shared" si="32"/>
        <v>30000</v>
      </c>
      <c r="AI290" s="865"/>
      <c r="AJ290" s="1015"/>
      <c r="AK290" s="1015"/>
      <c r="AL290" s="1033">
        <f>+AF290</f>
        <v>30000</v>
      </c>
      <c r="AM290" s="1034"/>
      <c r="AN290" s="1006"/>
      <c r="AO290" s="1044">
        <f t="shared" si="25"/>
        <v>30000</v>
      </c>
      <c r="AQ290" s="1027"/>
    </row>
    <row r="291" spans="1:51" s="153" customFormat="1" ht="27.5" customHeight="1" outlineLevel="3">
      <c r="A291" s="159"/>
      <c r="B291" s="702" t="s">
        <v>2614</v>
      </c>
      <c r="C291" s="702"/>
      <c r="D291" s="703" t="s">
        <v>3537</v>
      </c>
      <c r="E291" s="703"/>
      <c r="F291" s="177"/>
      <c r="G291" s="96"/>
      <c r="H291" s="366"/>
      <c r="I291" s="366"/>
      <c r="J291" s="368"/>
      <c r="K291" s="368"/>
      <c r="L291" s="368"/>
      <c r="M291" s="368"/>
      <c r="N291" s="368"/>
      <c r="O291" s="368"/>
      <c r="P291" s="368"/>
      <c r="Q291" s="96"/>
      <c r="R291" s="3898"/>
      <c r="S291" s="3898"/>
      <c r="T291" s="3898"/>
      <c r="U291" s="3898"/>
      <c r="V291" s="3919"/>
      <c r="W291" s="96"/>
      <c r="X291" s="711" t="s">
        <v>1179</v>
      </c>
      <c r="Y291" s="712">
        <v>1</v>
      </c>
      <c r="Z291" s="704"/>
      <c r="AA291" s="354"/>
      <c r="AB291" s="355">
        <v>50000</v>
      </c>
      <c r="AC291" s="1048">
        <f t="shared" si="28"/>
        <v>50000</v>
      </c>
      <c r="AD291" s="705" t="s">
        <v>3538</v>
      </c>
      <c r="AE291" s="96"/>
      <c r="AF291" s="1048">
        <f t="shared" si="31"/>
        <v>50000</v>
      </c>
      <c r="AG291" s="1048">
        <v>0</v>
      </c>
      <c r="AH291" s="355">
        <f t="shared" si="32"/>
        <v>50000</v>
      </c>
      <c r="AI291" s="865"/>
      <c r="AJ291" s="1015"/>
      <c r="AK291" s="1015"/>
      <c r="AL291" s="1033"/>
      <c r="AM291" s="1034">
        <f>+AF291</f>
        <v>50000</v>
      </c>
      <c r="AN291" s="1006"/>
      <c r="AO291" s="1044">
        <f t="shared" si="25"/>
        <v>50000</v>
      </c>
      <c r="AQ291" s="1027"/>
    </row>
    <row r="292" spans="1:51" s="153" customFormat="1" ht="27.5" customHeight="1" outlineLevel="3">
      <c r="A292" s="159"/>
      <c r="B292" s="702" t="s">
        <v>2615</v>
      </c>
      <c r="C292" s="702"/>
      <c r="D292" s="703" t="s">
        <v>3539</v>
      </c>
      <c r="E292" s="703"/>
      <c r="F292" s="177"/>
      <c r="G292" s="96"/>
      <c r="H292" s="366"/>
      <c r="I292" s="366"/>
      <c r="J292" s="368"/>
      <c r="K292" s="368"/>
      <c r="L292" s="368"/>
      <c r="M292" s="368"/>
      <c r="N292" s="368"/>
      <c r="O292" s="368"/>
      <c r="P292" s="368"/>
      <c r="Q292" s="96"/>
      <c r="R292" s="3898"/>
      <c r="S292" s="3898"/>
      <c r="T292" s="3898"/>
      <c r="U292" s="3898"/>
      <c r="V292" s="3919"/>
      <c r="W292" s="96"/>
      <c r="X292" s="711" t="s">
        <v>1179</v>
      </c>
      <c r="Y292" s="712">
        <v>1</v>
      </c>
      <c r="Z292" s="704"/>
      <c r="AA292" s="354"/>
      <c r="AB292" s="355">
        <v>100000</v>
      </c>
      <c r="AC292" s="1048">
        <f t="shared" si="28"/>
        <v>100000</v>
      </c>
      <c r="AD292" s="1059"/>
      <c r="AE292" s="96"/>
      <c r="AF292" s="1048">
        <f t="shared" si="31"/>
        <v>100000</v>
      </c>
      <c r="AG292" s="1048">
        <v>0</v>
      </c>
      <c r="AH292" s="355">
        <f t="shared" si="32"/>
        <v>100000</v>
      </c>
      <c r="AI292" s="865"/>
      <c r="AJ292" s="1015"/>
      <c r="AK292" s="1015"/>
      <c r="AL292" s="1033"/>
      <c r="AM292" s="1034">
        <f>+AF292</f>
        <v>100000</v>
      </c>
      <c r="AN292" s="1006"/>
      <c r="AO292" s="1044">
        <f t="shared" si="25"/>
        <v>100000</v>
      </c>
      <c r="AQ292" s="1027"/>
    </row>
    <row r="293" spans="1:51" s="153" customFormat="1" ht="18" customHeight="1" outlineLevel="3">
      <c r="A293" s="159"/>
      <c r="B293" s="702" t="s">
        <v>2616</v>
      </c>
      <c r="C293" s="702"/>
      <c r="D293" s="703" t="s">
        <v>3540</v>
      </c>
      <c r="E293" s="703"/>
      <c r="F293" s="177"/>
      <c r="G293" s="96"/>
      <c r="H293" s="366"/>
      <c r="I293" s="366"/>
      <c r="J293" s="368"/>
      <c r="K293" s="368"/>
      <c r="L293" s="368"/>
      <c r="M293" s="368"/>
      <c r="N293" s="368"/>
      <c r="O293" s="368"/>
      <c r="P293" s="368"/>
      <c r="Q293" s="96"/>
      <c r="R293" s="3898"/>
      <c r="S293" s="3898"/>
      <c r="T293" s="3898"/>
      <c r="U293" s="3898"/>
      <c r="V293" s="3919"/>
      <c r="W293" s="96"/>
      <c r="X293" s="711" t="s">
        <v>1179</v>
      </c>
      <c r="Y293" s="712">
        <v>1</v>
      </c>
      <c r="Z293" s="704"/>
      <c r="AA293" s="354"/>
      <c r="AB293" s="355">
        <v>20000</v>
      </c>
      <c r="AC293" s="1048">
        <f t="shared" si="28"/>
        <v>20000</v>
      </c>
      <c r="AD293" s="1059"/>
      <c r="AE293" s="96"/>
      <c r="AF293" s="1048">
        <f t="shared" si="31"/>
        <v>20000</v>
      </c>
      <c r="AG293" s="1048">
        <v>0</v>
      </c>
      <c r="AH293" s="355">
        <f t="shared" si="32"/>
        <v>20000</v>
      </c>
      <c r="AI293" s="865"/>
      <c r="AJ293" s="1015"/>
      <c r="AK293" s="1015"/>
      <c r="AL293" s="1033"/>
      <c r="AM293" s="1034"/>
      <c r="AN293" s="1006">
        <f>+AF293</f>
        <v>20000</v>
      </c>
      <c r="AO293" s="1044">
        <f t="shared" si="25"/>
        <v>20000</v>
      </c>
      <c r="AQ293" s="1027"/>
    </row>
    <row r="294" spans="1:51" s="153" customFormat="1" ht="27.5" customHeight="1" outlineLevel="3">
      <c r="A294" s="159"/>
      <c r="B294" s="702" t="s">
        <v>3541</v>
      </c>
      <c r="C294" s="702"/>
      <c r="D294" s="703" t="s">
        <v>3542</v>
      </c>
      <c r="E294" s="703"/>
      <c r="F294" s="177"/>
      <c r="G294" s="96"/>
      <c r="H294" s="366"/>
      <c r="I294" s="366"/>
      <c r="J294" s="368"/>
      <c r="K294" s="368"/>
      <c r="L294" s="368"/>
      <c r="M294" s="368"/>
      <c r="N294" s="368"/>
      <c r="O294" s="368"/>
      <c r="P294" s="368"/>
      <c r="Q294" s="96"/>
      <c r="R294" s="3899"/>
      <c r="S294" s="3899"/>
      <c r="T294" s="3899"/>
      <c r="U294" s="3899"/>
      <c r="V294" s="3920"/>
      <c r="W294" s="96"/>
      <c r="X294" s="711" t="s">
        <v>1179</v>
      </c>
      <c r="Y294" s="712">
        <v>1</v>
      </c>
      <c r="Z294" s="704"/>
      <c r="AA294" s="354"/>
      <c r="AB294" s="355">
        <v>30000</v>
      </c>
      <c r="AC294" s="1048">
        <f t="shared" si="28"/>
        <v>30000</v>
      </c>
      <c r="AD294" s="1059"/>
      <c r="AE294" s="96"/>
      <c r="AF294" s="1048">
        <f t="shared" si="31"/>
        <v>30000</v>
      </c>
      <c r="AG294" s="1048">
        <v>0</v>
      </c>
      <c r="AH294" s="355">
        <f t="shared" si="32"/>
        <v>30000</v>
      </c>
      <c r="AI294" s="865"/>
      <c r="AJ294" s="1015"/>
      <c r="AK294" s="1015"/>
      <c r="AL294" s="1033"/>
      <c r="AM294" s="1034"/>
      <c r="AN294" s="1006">
        <f>+AF294</f>
        <v>30000</v>
      </c>
      <c r="AO294" s="1044">
        <f t="shared" si="25"/>
        <v>30000</v>
      </c>
      <c r="AQ294" s="1027"/>
    </row>
    <row r="295" spans="1:51" s="153" customFormat="1" ht="27.5" customHeight="1" outlineLevel="2">
      <c r="A295" s="172"/>
      <c r="B295" s="171" t="s">
        <v>564</v>
      </c>
      <c r="C295" s="171"/>
      <c r="D295" s="538" t="s">
        <v>3812</v>
      </c>
      <c r="E295" s="538"/>
      <c r="F295" s="106" t="s">
        <v>1556</v>
      </c>
      <c r="G295" s="96"/>
      <c r="H295" s="357" t="str">
        <f>+'1_MdR_Limpia'!C94</f>
        <v>Etapas</v>
      </c>
      <c r="I295" s="357">
        <f>+'1_MdR_Limpia'!D94</f>
        <v>0</v>
      </c>
      <c r="J295" s="357">
        <f>+'1_MdR_Limpia'!E94</f>
        <v>2021</v>
      </c>
      <c r="K295" s="357" t="str">
        <f>+'1_MdR_Limpia'!F94</f>
        <v>-</v>
      </c>
      <c r="L295" s="357" t="str">
        <f>+'1_MdR_Limpia'!G94</f>
        <v>-</v>
      </c>
      <c r="M295" s="357">
        <f>+'1_MdR_Limpia'!I94</f>
        <v>1</v>
      </c>
      <c r="N295" s="357" t="str">
        <f>+'1_MdR_Limpia'!J94</f>
        <v>-</v>
      </c>
      <c r="O295" s="357" t="str">
        <f>+'1_MdR_Limpia'!J94</f>
        <v>-</v>
      </c>
      <c r="P295" s="357">
        <f>+'1_MdR_Limpia'!L94</f>
        <v>2</v>
      </c>
      <c r="Q295" s="96"/>
      <c r="R295" s="854"/>
      <c r="S295" s="358"/>
      <c r="T295" s="358"/>
      <c r="U295" s="358"/>
      <c r="V295" s="106"/>
      <c r="W295" s="96"/>
      <c r="X295" s="106"/>
      <c r="Y295" s="172"/>
      <c r="Z295" s="172"/>
      <c r="AA295" s="171"/>
      <c r="AB295" s="176"/>
      <c r="AC295" s="176">
        <f>SUM(AC296:AC300)</f>
        <v>390000</v>
      </c>
      <c r="AD295" s="686"/>
      <c r="AE295" s="96"/>
      <c r="AF295" s="176">
        <f>SUM(AF296:AF300)</f>
        <v>390000</v>
      </c>
      <c r="AG295" s="176">
        <f>SUM(AG296:AG300)</f>
        <v>0</v>
      </c>
      <c r="AH295" s="176">
        <f>SUM(AH296:AH300)</f>
        <v>390000</v>
      </c>
      <c r="AI295" s="865"/>
      <c r="AJ295" s="980">
        <f>SUM(AJ296:AJ300)</f>
        <v>0</v>
      </c>
      <c r="AK295" s="980">
        <f>SUM(AK296:AK300)</f>
        <v>90000</v>
      </c>
      <c r="AL295" s="980">
        <f>SUM(AL296:AL300)</f>
        <v>300000</v>
      </c>
      <c r="AM295" s="981">
        <f>SUM(AM296:AM300)</f>
        <v>0</v>
      </c>
      <c r="AN295" s="979">
        <f>SUM(AN296:AN300)</f>
        <v>0</v>
      </c>
      <c r="AO295" s="979">
        <f t="shared" si="25"/>
        <v>390000</v>
      </c>
      <c r="AQ295" s="1027"/>
    </row>
    <row r="296" spans="1:51" s="108" customFormat="1" ht="14" customHeight="1" outlineLevel="4">
      <c r="A296" s="580"/>
      <c r="B296" s="107" t="s">
        <v>2617</v>
      </c>
      <c r="C296" s="107"/>
      <c r="D296" s="703" t="s">
        <v>3544</v>
      </c>
      <c r="E296" s="703"/>
      <c r="F296" s="103"/>
      <c r="G296" s="97"/>
      <c r="H296" s="363"/>
      <c r="I296" s="364"/>
      <c r="J296" s="364"/>
      <c r="K296" s="364"/>
      <c r="L296" s="364"/>
      <c r="M296" s="364"/>
      <c r="N296" s="364"/>
      <c r="O296" s="364"/>
      <c r="P296" s="364"/>
      <c r="Q296" s="97"/>
      <c r="R296" s="3897" t="str">
        <f>+'9.3_PA_Det'!$E$122</f>
        <v>Selección Basada en Calidad y Costo</v>
      </c>
      <c r="S296" s="3897" t="s">
        <v>1075</v>
      </c>
      <c r="T296" s="3897" t="s">
        <v>1667</v>
      </c>
      <c r="U296" s="3897">
        <f>+'9.3_PA_Det'!$F$122</f>
        <v>42</v>
      </c>
      <c r="V296" s="3918"/>
      <c r="W296" s="97"/>
      <c r="X296" s="711" t="s">
        <v>1179</v>
      </c>
      <c r="Y296" s="712">
        <v>1</v>
      </c>
      <c r="Z296" s="179"/>
      <c r="AA296" s="180"/>
      <c r="AB296" s="1048">
        <v>20000</v>
      </c>
      <c r="AC296" s="1048">
        <f t="shared" si="28"/>
        <v>20000</v>
      </c>
      <c r="AD296" s="1059"/>
      <c r="AE296" s="97"/>
      <c r="AF296" s="1048">
        <f>+AC296</f>
        <v>20000</v>
      </c>
      <c r="AG296" s="1048">
        <v>0</v>
      </c>
      <c r="AH296" s="355">
        <f>+AG296+AF296</f>
        <v>20000</v>
      </c>
      <c r="AI296" s="867"/>
      <c r="AJ296" s="1015"/>
      <c r="AK296" s="1015">
        <f>+AF296</f>
        <v>20000</v>
      </c>
      <c r="AL296" s="1015"/>
      <c r="AM296" s="1031"/>
      <c r="AN296" s="1044"/>
      <c r="AO296" s="1044">
        <f t="shared" si="25"/>
        <v>20000</v>
      </c>
      <c r="AQ296" s="1027"/>
    </row>
    <row r="297" spans="1:51" s="108" customFormat="1" ht="14.5" customHeight="1" outlineLevel="4">
      <c r="A297" s="580"/>
      <c r="B297" s="107" t="s">
        <v>2618</v>
      </c>
      <c r="C297" s="107"/>
      <c r="D297" s="703" t="s">
        <v>3545</v>
      </c>
      <c r="E297" s="703"/>
      <c r="F297" s="103"/>
      <c r="G297" s="97"/>
      <c r="H297" s="363"/>
      <c r="I297" s="364"/>
      <c r="J297" s="364"/>
      <c r="K297" s="364"/>
      <c r="L297" s="364"/>
      <c r="M297" s="364"/>
      <c r="N297" s="364"/>
      <c r="O297" s="364"/>
      <c r="P297" s="364"/>
      <c r="Q297" s="97"/>
      <c r="R297" s="3898"/>
      <c r="S297" s="3898"/>
      <c r="T297" s="3898"/>
      <c r="U297" s="3898"/>
      <c r="V297" s="3919"/>
      <c r="W297" s="97"/>
      <c r="X297" s="711" t="s">
        <v>1179</v>
      </c>
      <c r="Y297" s="712">
        <v>1</v>
      </c>
      <c r="Z297" s="179"/>
      <c r="AA297" s="180"/>
      <c r="AB297" s="1048">
        <v>20000</v>
      </c>
      <c r="AC297" s="1048">
        <f t="shared" si="28"/>
        <v>20000</v>
      </c>
      <c r="AD297" s="1059"/>
      <c r="AE297" s="97"/>
      <c r="AF297" s="1048">
        <f>+AC297</f>
        <v>20000</v>
      </c>
      <c r="AG297" s="1048">
        <v>0</v>
      </c>
      <c r="AH297" s="355">
        <f>+AG297+AF297</f>
        <v>20000</v>
      </c>
      <c r="AI297" s="867"/>
      <c r="AJ297" s="1015"/>
      <c r="AK297" s="1015">
        <f>+AF297</f>
        <v>20000</v>
      </c>
      <c r="AL297" s="1015"/>
      <c r="AM297" s="1031"/>
      <c r="AN297" s="1044"/>
      <c r="AO297" s="1044">
        <f t="shared" si="25"/>
        <v>20000</v>
      </c>
      <c r="AQ297" s="1027"/>
    </row>
    <row r="298" spans="1:51" s="108" customFormat="1" ht="27.5" customHeight="1" outlineLevel="4">
      <c r="A298" s="580"/>
      <c r="B298" s="107" t="s">
        <v>2619</v>
      </c>
      <c r="C298" s="107"/>
      <c r="D298" s="703" t="s">
        <v>3546</v>
      </c>
      <c r="E298" s="703"/>
      <c r="F298" s="103"/>
      <c r="G298" s="97"/>
      <c r="H298" s="363"/>
      <c r="I298" s="364"/>
      <c r="J298" s="364"/>
      <c r="K298" s="364"/>
      <c r="L298" s="364"/>
      <c r="M298" s="364"/>
      <c r="N298" s="364"/>
      <c r="O298" s="364"/>
      <c r="P298" s="364"/>
      <c r="Q298" s="97"/>
      <c r="R298" s="3898"/>
      <c r="S298" s="3898"/>
      <c r="T298" s="3898"/>
      <c r="U298" s="3898"/>
      <c r="V298" s="3919"/>
      <c r="W298" s="97"/>
      <c r="X298" s="711" t="s">
        <v>1179</v>
      </c>
      <c r="Y298" s="712">
        <v>1</v>
      </c>
      <c r="Z298" s="179"/>
      <c r="AA298" s="180"/>
      <c r="AB298" s="1048">
        <v>50000</v>
      </c>
      <c r="AC298" s="1048">
        <f t="shared" si="28"/>
        <v>50000</v>
      </c>
      <c r="AD298" s="1059"/>
      <c r="AE298" s="97"/>
      <c r="AF298" s="1048">
        <f>+AC298</f>
        <v>50000</v>
      </c>
      <c r="AG298" s="1048">
        <v>0</v>
      </c>
      <c r="AH298" s="355">
        <f>+AG298+AF298</f>
        <v>50000</v>
      </c>
      <c r="AI298" s="867"/>
      <c r="AJ298" s="1015"/>
      <c r="AK298" s="1015">
        <f>+AF298</f>
        <v>50000</v>
      </c>
      <c r="AL298" s="1015"/>
      <c r="AM298" s="1031"/>
      <c r="AN298" s="1044"/>
      <c r="AO298" s="1044">
        <f t="shared" si="25"/>
        <v>50000</v>
      </c>
      <c r="AQ298" s="1027"/>
    </row>
    <row r="299" spans="1:51" s="108" customFormat="1" ht="14.5" customHeight="1" outlineLevel="4">
      <c r="A299" s="580"/>
      <c r="B299" s="107" t="s">
        <v>2620</v>
      </c>
      <c r="C299" s="107"/>
      <c r="D299" s="703" t="s">
        <v>3547</v>
      </c>
      <c r="E299" s="703"/>
      <c r="F299" s="103"/>
      <c r="G299" s="97"/>
      <c r="H299" s="363"/>
      <c r="I299" s="364"/>
      <c r="J299" s="364"/>
      <c r="K299" s="364"/>
      <c r="L299" s="364"/>
      <c r="M299" s="364"/>
      <c r="N299" s="364"/>
      <c r="O299" s="364"/>
      <c r="P299" s="364"/>
      <c r="Q299" s="97"/>
      <c r="R299" s="3898"/>
      <c r="S299" s="3898"/>
      <c r="T299" s="3898"/>
      <c r="U299" s="3898"/>
      <c r="V299" s="3919"/>
      <c r="W299" s="97"/>
      <c r="X299" s="711" t="s">
        <v>1179</v>
      </c>
      <c r="Y299" s="712">
        <v>1</v>
      </c>
      <c r="Z299" s="179"/>
      <c r="AA299" s="180"/>
      <c r="AB299" s="1048">
        <v>200000</v>
      </c>
      <c r="AC299" s="1048">
        <f t="shared" si="28"/>
        <v>200000</v>
      </c>
      <c r="AD299" s="1059"/>
      <c r="AE299" s="97"/>
      <c r="AF299" s="1048">
        <f>+AC299</f>
        <v>200000</v>
      </c>
      <c r="AG299" s="1048">
        <v>0</v>
      </c>
      <c r="AH299" s="355">
        <f>+AG299+AF299</f>
        <v>200000</v>
      </c>
      <c r="AI299" s="867"/>
      <c r="AJ299" s="1015"/>
      <c r="AK299" s="1015"/>
      <c r="AL299" s="1015">
        <f>+AF299</f>
        <v>200000</v>
      </c>
      <c r="AM299" s="1031"/>
      <c r="AN299" s="1044"/>
      <c r="AO299" s="1044">
        <f t="shared" si="25"/>
        <v>200000</v>
      </c>
      <c r="AQ299" s="1027"/>
    </row>
    <row r="300" spans="1:51" s="108" customFormat="1" ht="27.5" customHeight="1" outlineLevel="4">
      <c r="A300" s="580"/>
      <c r="B300" s="107" t="s">
        <v>3548</v>
      </c>
      <c r="C300" s="107"/>
      <c r="D300" s="703" t="s">
        <v>3549</v>
      </c>
      <c r="E300" s="703"/>
      <c r="F300" s="103"/>
      <c r="G300" s="97"/>
      <c r="H300" s="363"/>
      <c r="I300" s="364"/>
      <c r="J300" s="364"/>
      <c r="K300" s="364"/>
      <c r="L300" s="364"/>
      <c r="M300" s="364"/>
      <c r="N300" s="364"/>
      <c r="O300" s="364"/>
      <c r="P300" s="364"/>
      <c r="Q300" s="97"/>
      <c r="R300" s="3899"/>
      <c r="S300" s="3899"/>
      <c r="T300" s="3899"/>
      <c r="U300" s="3899"/>
      <c r="V300" s="3920"/>
      <c r="W300" s="97"/>
      <c r="X300" s="711" t="s">
        <v>1179</v>
      </c>
      <c r="Y300" s="712">
        <v>1</v>
      </c>
      <c r="Z300" s="179"/>
      <c r="AA300" s="180"/>
      <c r="AB300" s="1048">
        <v>100000</v>
      </c>
      <c r="AC300" s="1048">
        <f t="shared" si="28"/>
        <v>100000</v>
      </c>
      <c r="AD300" s="1059"/>
      <c r="AE300" s="97"/>
      <c r="AF300" s="1048">
        <f>+AC300</f>
        <v>100000</v>
      </c>
      <c r="AG300" s="1048">
        <v>0</v>
      </c>
      <c r="AH300" s="355">
        <f>+AG300+AF300</f>
        <v>100000</v>
      </c>
      <c r="AI300" s="867"/>
      <c r="AJ300" s="1015"/>
      <c r="AK300" s="1015"/>
      <c r="AL300" s="1015">
        <f>+AF300</f>
        <v>100000</v>
      </c>
      <c r="AM300" s="1031"/>
      <c r="AN300" s="1044"/>
      <c r="AO300" s="1044">
        <f t="shared" si="25"/>
        <v>100000</v>
      </c>
      <c r="AQ300" s="1027"/>
    </row>
    <row r="301" spans="1:51" s="878" customFormat="1" ht="55.25" customHeight="1" outlineLevel="2">
      <c r="A301" s="172"/>
      <c r="B301" s="171" t="s">
        <v>565</v>
      </c>
      <c r="C301" s="171"/>
      <c r="D301" s="538" t="s">
        <v>47</v>
      </c>
      <c r="E301" s="538"/>
      <c r="F301" s="106" t="s">
        <v>1556</v>
      </c>
      <c r="G301" s="96"/>
      <c r="H301" s="357" t="str">
        <f>+'1_MdR_Limpia'!C95</f>
        <v>Plataforma</v>
      </c>
      <c r="I301" s="357">
        <f>+'1_MdR_Limpia'!D95</f>
        <v>0</v>
      </c>
      <c r="J301" s="357">
        <f>+'1_MdR_Limpia'!E95</f>
        <v>2021</v>
      </c>
      <c r="K301" s="357" t="str">
        <f>+'1_MdR_Limpia'!F95</f>
        <v>-</v>
      </c>
      <c r="L301" s="357" t="str">
        <f>+'1_MdR_Limpia'!G95</f>
        <v>-</v>
      </c>
      <c r="M301" s="357" t="str">
        <f>+'1_MdR_Limpia'!H95</f>
        <v>-</v>
      </c>
      <c r="N301" s="357">
        <f>+'1_MdR_Limpia'!I95</f>
        <v>1</v>
      </c>
      <c r="O301" s="357" t="str">
        <f>+'1_MdR_Limpia'!J95</f>
        <v>-</v>
      </c>
      <c r="P301" s="357">
        <f>+'1_MdR_Limpia'!L95</f>
        <v>1</v>
      </c>
      <c r="Q301" s="96"/>
      <c r="R301" s="854"/>
      <c r="S301" s="358"/>
      <c r="T301" s="358"/>
      <c r="U301" s="358"/>
      <c r="V301" s="106"/>
      <c r="W301" s="96"/>
      <c r="X301" s="106"/>
      <c r="Y301" s="172"/>
      <c r="Z301" s="172"/>
      <c r="AA301" s="171"/>
      <c r="AB301" s="176"/>
      <c r="AC301" s="176">
        <f>+AC302</f>
        <v>300000</v>
      </c>
      <c r="AD301" s="686"/>
      <c r="AE301" s="96"/>
      <c r="AF301" s="176">
        <f>+AF302</f>
        <v>300000</v>
      </c>
      <c r="AG301" s="176">
        <f>+AG302</f>
        <v>0</v>
      </c>
      <c r="AH301" s="176">
        <f>+AH302</f>
        <v>300000</v>
      </c>
      <c r="AI301" s="865"/>
      <c r="AJ301" s="980">
        <f>+AJ302</f>
        <v>0</v>
      </c>
      <c r="AK301" s="980">
        <f>+AK302</f>
        <v>0</v>
      </c>
      <c r="AL301" s="980">
        <f>+AL302</f>
        <v>300000</v>
      </c>
      <c r="AM301" s="981">
        <f>+AM302</f>
        <v>0</v>
      </c>
      <c r="AN301" s="979">
        <f>+AN302</f>
        <v>0</v>
      </c>
      <c r="AO301" s="979">
        <f t="shared" si="25"/>
        <v>300000</v>
      </c>
      <c r="AP301" s="153"/>
      <c r="AQ301" s="1027"/>
      <c r="AR301" s="153"/>
      <c r="AS301" s="153"/>
      <c r="AT301" s="153"/>
      <c r="AU301" s="153"/>
      <c r="AV301" s="153"/>
      <c r="AW301" s="153"/>
      <c r="AX301" s="153"/>
      <c r="AY301" s="153"/>
    </row>
    <row r="302" spans="1:51" ht="14" customHeight="1" outlineLevel="3">
      <c r="A302" s="159"/>
      <c r="B302" s="702" t="s">
        <v>3551</v>
      </c>
      <c r="C302" s="702"/>
      <c r="D302" s="703" t="s">
        <v>699</v>
      </c>
      <c r="E302" s="703"/>
      <c r="F302" s="177"/>
      <c r="G302" s="97"/>
      <c r="H302" s="363"/>
      <c r="I302" s="363"/>
      <c r="J302" s="367"/>
      <c r="K302" s="367"/>
      <c r="L302" s="367"/>
      <c r="M302" s="367"/>
      <c r="N302" s="367"/>
      <c r="O302" s="367"/>
      <c r="P302" s="367"/>
      <c r="Q302" s="97"/>
      <c r="R302" s="3897" t="str">
        <f>+'9.3_PA_Det'!$E$127</f>
        <v>Selección Basada en Calidad y Costo</v>
      </c>
      <c r="S302" s="3897" t="s">
        <v>1075</v>
      </c>
      <c r="T302" s="3897" t="s">
        <v>1667</v>
      </c>
      <c r="U302" s="3897">
        <f>+'9.3_PA_Det'!$F$127</f>
        <v>43</v>
      </c>
      <c r="V302" s="3918"/>
      <c r="W302" s="97"/>
      <c r="X302" s="3903" t="s">
        <v>1179</v>
      </c>
      <c r="Y302" s="3841">
        <v>1</v>
      </c>
      <c r="Z302" s="3841"/>
      <c r="AA302" s="3841"/>
      <c r="AB302" s="4599">
        <v>300000</v>
      </c>
      <c r="AC302" s="4599">
        <f>+Y302*AB302</f>
        <v>300000</v>
      </c>
      <c r="AD302" s="3990"/>
      <c r="AE302" s="97"/>
      <c r="AF302" s="4599">
        <f>+AC302</f>
        <v>300000</v>
      </c>
      <c r="AG302" s="4599">
        <f>SUM(AG303:AG303)</f>
        <v>0</v>
      </c>
      <c r="AH302" s="4599">
        <f>+AG302+AF302</f>
        <v>300000</v>
      </c>
      <c r="AI302" s="867"/>
      <c r="AJ302" s="4595"/>
      <c r="AK302" s="4595"/>
      <c r="AL302" s="4595">
        <f>+AF302</f>
        <v>300000</v>
      </c>
      <c r="AM302" s="4595"/>
      <c r="AN302" s="4595"/>
      <c r="AO302" s="4595">
        <f t="shared" si="25"/>
        <v>300000</v>
      </c>
      <c r="AP302" s="108"/>
      <c r="AQ302" s="1027"/>
      <c r="AR302" s="108"/>
      <c r="AS302" s="108"/>
      <c r="AT302" s="108"/>
      <c r="AU302" s="108"/>
      <c r="AV302" s="108"/>
      <c r="AW302" s="108"/>
      <c r="AX302" s="108"/>
      <c r="AY302" s="108"/>
    </row>
    <row r="303" spans="1:51" ht="14" customHeight="1" outlineLevel="3">
      <c r="A303" s="159"/>
      <c r="B303" s="702" t="s">
        <v>3552</v>
      </c>
      <c r="C303" s="702"/>
      <c r="D303" s="703" t="s">
        <v>3553</v>
      </c>
      <c r="E303" s="703"/>
      <c r="F303" s="177"/>
      <c r="G303" s="97"/>
      <c r="H303" s="363"/>
      <c r="I303" s="363"/>
      <c r="J303" s="367"/>
      <c r="K303" s="367"/>
      <c r="L303" s="367"/>
      <c r="M303" s="367"/>
      <c r="N303" s="367"/>
      <c r="O303" s="367"/>
      <c r="P303" s="367"/>
      <c r="Q303" s="97"/>
      <c r="R303" s="3899"/>
      <c r="S303" s="3899"/>
      <c r="T303" s="3899"/>
      <c r="U303" s="3899"/>
      <c r="V303" s="3920"/>
      <c r="W303" s="97"/>
      <c r="X303" s="3934"/>
      <c r="Y303" s="3843"/>
      <c r="Z303" s="3843"/>
      <c r="AA303" s="3843"/>
      <c r="AB303" s="4600"/>
      <c r="AC303" s="4600"/>
      <c r="AD303" s="4603"/>
      <c r="AE303" s="97"/>
      <c r="AF303" s="4600">
        <f>+AC303</f>
        <v>0</v>
      </c>
      <c r="AG303" s="4600"/>
      <c r="AH303" s="4600">
        <f>AF303+AG303</f>
        <v>0</v>
      </c>
      <c r="AI303" s="867"/>
      <c r="AJ303" s="4596"/>
      <c r="AK303" s="4596"/>
      <c r="AL303" s="4596"/>
      <c r="AM303" s="4596"/>
      <c r="AN303" s="4596"/>
      <c r="AO303" s="4596">
        <f t="shared" si="25"/>
        <v>0</v>
      </c>
      <c r="AP303" s="108"/>
      <c r="AQ303" s="1027"/>
      <c r="AR303" s="108"/>
      <c r="AS303" s="108"/>
      <c r="AT303" s="108"/>
      <c r="AU303" s="108"/>
      <c r="AV303" s="108"/>
      <c r="AW303" s="108"/>
      <c r="AX303" s="108"/>
      <c r="AY303" s="108"/>
    </row>
    <row r="304" spans="1:51" s="883" customFormat="1" ht="14" customHeight="1" outlineLevel="2">
      <c r="A304" s="184"/>
      <c r="B304" s="441"/>
      <c r="C304" s="441"/>
      <c r="D304" s="941"/>
      <c r="E304" s="941"/>
      <c r="F304" s="442"/>
      <c r="G304" s="96"/>
      <c r="H304" s="444"/>
      <c r="I304" s="444"/>
      <c r="J304" s="445"/>
      <c r="K304" s="445"/>
      <c r="L304" s="445"/>
      <c r="M304" s="445"/>
      <c r="N304" s="445"/>
      <c r="O304" s="445"/>
      <c r="P304" s="445"/>
      <c r="Q304" s="443"/>
      <c r="R304" s="362"/>
      <c r="S304" s="858"/>
      <c r="T304" s="858"/>
      <c r="U304" s="858"/>
      <c r="V304" s="442"/>
      <c r="W304" s="443"/>
      <c r="X304" s="446"/>
      <c r="Y304" s="447"/>
      <c r="Z304" s="447"/>
      <c r="AA304" s="448"/>
      <c r="AB304" s="440"/>
      <c r="AC304" s="440"/>
      <c r="AD304" s="694"/>
      <c r="AE304" s="443"/>
      <c r="AF304" s="440"/>
      <c r="AG304" s="440"/>
      <c r="AH304" s="440"/>
      <c r="AI304" s="870"/>
      <c r="AJ304" s="1011"/>
      <c r="AK304" s="1011"/>
      <c r="AL304" s="1011"/>
      <c r="AM304" s="1012"/>
      <c r="AN304" s="1013"/>
      <c r="AO304" s="1013">
        <f t="shared" si="25"/>
        <v>0</v>
      </c>
      <c r="AP304" s="153"/>
      <c r="AQ304" s="1027"/>
    </row>
    <row r="305" spans="1:51" s="153" customFormat="1" ht="30" outlineLevel="1">
      <c r="A305" s="578"/>
      <c r="B305" s="428" t="s">
        <v>566</v>
      </c>
      <c r="C305" s="428"/>
      <c r="D305" s="545" t="s">
        <v>49</v>
      </c>
      <c r="E305" s="545"/>
      <c r="F305" s="427"/>
      <c r="G305" s="96"/>
      <c r="H305" s="429"/>
      <c r="I305" s="425"/>
      <c r="J305" s="430"/>
      <c r="K305" s="430"/>
      <c r="L305" s="430"/>
      <c r="M305" s="430"/>
      <c r="N305" s="430"/>
      <c r="O305" s="430"/>
      <c r="P305" s="430"/>
      <c r="Q305" s="96"/>
      <c r="R305" s="850"/>
      <c r="S305" s="850"/>
      <c r="T305" s="850"/>
      <c r="U305" s="850"/>
      <c r="V305" s="431"/>
      <c r="W305" s="96"/>
      <c r="X305" s="426"/>
      <c r="Y305" s="425"/>
      <c r="Z305" s="425"/>
      <c r="AA305" s="432"/>
      <c r="AB305" s="433"/>
      <c r="AC305" s="433">
        <f>+AC306+AC310</f>
        <v>1300000</v>
      </c>
      <c r="AD305" s="685"/>
      <c r="AE305" s="96"/>
      <c r="AF305" s="433">
        <f>+AF306+AF310</f>
        <v>1300000</v>
      </c>
      <c r="AG305" s="433">
        <f>+AG306+AG310</f>
        <v>0</v>
      </c>
      <c r="AH305" s="433">
        <f>+AH306+AH310</f>
        <v>1300000</v>
      </c>
      <c r="AI305" s="865"/>
      <c r="AJ305" s="977">
        <f>+AJ306+AJ310</f>
        <v>0</v>
      </c>
      <c r="AK305" s="977">
        <f>+AK306+AK310</f>
        <v>550000</v>
      </c>
      <c r="AL305" s="977">
        <f>+AL306+AL310</f>
        <v>750000</v>
      </c>
      <c r="AM305" s="978">
        <f>+AM306+AM310</f>
        <v>0</v>
      </c>
      <c r="AN305" s="976">
        <f>+AN306+AN310</f>
        <v>0</v>
      </c>
      <c r="AO305" s="976">
        <f t="shared" si="25"/>
        <v>1300000</v>
      </c>
      <c r="AQ305" s="1027"/>
    </row>
    <row r="306" spans="1:51" s="878" customFormat="1" ht="38.5" customHeight="1" outlineLevel="2">
      <c r="A306" s="172"/>
      <c r="B306" s="171" t="s">
        <v>567</v>
      </c>
      <c r="C306" s="171"/>
      <c r="D306" s="538" t="s">
        <v>51</v>
      </c>
      <c r="E306" s="538"/>
      <c r="F306" s="106" t="s">
        <v>1556</v>
      </c>
      <c r="G306" s="96"/>
      <c r="H306" s="357" t="str">
        <f>+'1_MdR_Limpia'!C97</f>
        <v>Etapa</v>
      </c>
      <c r="I306" s="357">
        <f>+'1_MdR_Limpia'!D97</f>
        <v>0</v>
      </c>
      <c r="J306" s="357">
        <f>+'1_MdR_Limpia'!E97</f>
        <v>2021</v>
      </c>
      <c r="K306" s="357" t="str">
        <f>+'1_MdR_Limpia'!F97</f>
        <v>-</v>
      </c>
      <c r="L306" s="357" t="str">
        <f>+'1_MdR_Limpia'!G97</f>
        <v>-</v>
      </c>
      <c r="M306" s="357">
        <f>+'1_MdR_Limpia'!H97</f>
        <v>1</v>
      </c>
      <c r="N306" s="357" t="str">
        <f>+'1_MdR_Limpia'!I97</f>
        <v>-</v>
      </c>
      <c r="O306" s="357">
        <f>+'1_MdR_Limpia'!J97</f>
        <v>1</v>
      </c>
      <c r="P306" s="357">
        <f>+'1_MdR_Limpia'!L97</f>
        <v>2</v>
      </c>
      <c r="Q306" s="96"/>
      <c r="R306" s="854"/>
      <c r="S306" s="358"/>
      <c r="T306" s="358"/>
      <c r="U306" s="358"/>
      <c r="V306" s="106"/>
      <c r="W306" s="96"/>
      <c r="X306" s="106"/>
      <c r="Y306" s="172"/>
      <c r="Z306" s="172"/>
      <c r="AA306" s="171"/>
      <c r="AB306" s="176"/>
      <c r="AC306" s="176">
        <f>+AC307</f>
        <v>500000</v>
      </c>
      <c r="AD306" s="686"/>
      <c r="AE306" s="96"/>
      <c r="AF306" s="176">
        <f>+AF307</f>
        <v>500000</v>
      </c>
      <c r="AG306" s="176">
        <f>+AG307</f>
        <v>0</v>
      </c>
      <c r="AH306" s="176">
        <f>+AH307</f>
        <v>500000</v>
      </c>
      <c r="AI306" s="865"/>
      <c r="AJ306" s="980">
        <f>+AJ307</f>
        <v>0</v>
      </c>
      <c r="AK306" s="980">
        <f>+AK307</f>
        <v>200000</v>
      </c>
      <c r="AL306" s="980">
        <f>+AL307</f>
        <v>300000</v>
      </c>
      <c r="AM306" s="981">
        <f>+AM307</f>
        <v>0</v>
      </c>
      <c r="AN306" s="979">
        <f>+AN307</f>
        <v>0</v>
      </c>
      <c r="AO306" s="979">
        <f t="shared" si="25"/>
        <v>500000</v>
      </c>
      <c r="AP306" s="153"/>
      <c r="AQ306" s="1027"/>
      <c r="AR306" s="153"/>
      <c r="AS306" s="153"/>
      <c r="AT306" s="153"/>
      <c r="AU306" s="153"/>
      <c r="AV306" s="153"/>
      <c r="AW306" s="153"/>
      <c r="AX306" s="153"/>
      <c r="AY306" s="153"/>
    </row>
    <row r="307" spans="1:51" ht="14" customHeight="1" outlineLevel="4">
      <c r="A307" s="159"/>
      <c r="B307" s="702" t="s">
        <v>995</v>
      </c>
      <c r="C307" s="702"/>
      <c r="D307" s="703" t="s">
        <v>3554</v>
      </c>
      <c r="E307" s="703"/>
      <c r="F307" s="177"/>
      <c r="G307" s="97"/>
      <c r="H307" s="363"/>
      <c r="I307" s="363"/>
      <c r="J307" s="367"/>
      <c r="K307" s="367"/>
      <c r="L307" s="367"/>
      <c r="M307" s="367"/>
      <c r="N307" s="367"/>
      <c r="O307" s="367"/>
      <c r="P307" s="367"/>
      <c r="Q307" s="97"/>
      <c r="R307" s="3897" t="str">
        <f>+'9.3_PA_Det'!$E$129</f>
        <v>Selección Basada en Calidad y Costo</v>
      </c>
      <c r="S307" s="3897" t="s">
        <v>1075</v>
      </c>
      <c r="T307" s="3897" t="s">
        <v>1667</v>
      </c>
      <c r="U307" s="3897">
        <f>+'9.3_PA_Det'!$F$129</f>
        <v>44</v>
      </c>
      <c r="V307" s="3918"/>
      <c r="W307" s="97"/>
      <c r="X307" s="3903" t="s">
        <v>1179</v>
      </c>
      <c r="Y307" s="3841">
        <v>1</v>
      </c>
      <c r="Z307" s="3841"/>
      <c r="AA307" s="3841"/>
      <c r="AB307" s="4599">
        <v>500000</v>
      </c>
      <c r="AC307" s="4599">
        <f>+Y307*AB307</f>
        <v>500000</v>
      </c>
      <c r="AD307" s="4601" t="s">
        <v>3555</v>
      </c>
      <c r="AE307" s="97"/>
      <c r="AF307" s="4599">
        <f>+AC307</f>
        <v>500000</v>
      </c>
      <c r="AG307" s="4599">
        <f>SUM(AG308:AG308)</f>
        <v>0</v>
      </c>
      <c r="AH307" s="4599">
        <f>+AG307+AF307</f>
        <v>500000</v>
      </c>
      <c r="AI307" s="867"/>
      <c r="AJ307" s="4595"/>
      <c r="AK307" s="4595">
        <f>+AF307*40%</f>
        <v>200000</v>
      </c>
      <c r="AL307" s="4595">
        <f>+AF307*60%</f>
        <v>300000</v>
      </c>
      <c r="AM307" s="4595"/>
      <c r="AN307" s="4595"/>
      <c r="AO307" s="4595">
        <f t="shared" si="25"/>
        <v>500000</v>
      </c>
      <c r="AP307" s="108"/>
      <c r="AQ307" s="1027"/>
      <c r="AR307" s="108"/>
      <c r="AS307" s="108"/>
      <c r="AT307" s="108"/>
      <c r="AU307" s="108"/>
      <c r="AV307" s="108"/>
      <c r="AW307" s="108"/>
      <c r="AX307" s="108"/>
      <c r="AY307" s="108"/>
    </row>
    <row r="308" spans="1:51" ht="14" customHeight="1" outlineLevel="4">
      <c r="A308" s="159"/>
      <c r="B308" s="702" t="s">
        <v>1004</v>
      </c>
      <c r="C308" s="702"/>
      <c r="D308" s="703" t="s">
        <v>3553</v>
      </c>
      <c r="E308" s="703"/>
      <c r="F308" s="177"/>
      <c r="G308" s="97"/>
      <c r="H308" s="363"/>
      <c r="I308" s="363"/>
      <c r="J308" s="367"/>
      <c r="K308" s="367"/>
      <c r="L308" s="367"/>
      <c r="M308" s="367"/>
      <c r="N308" s="367"/>
      <c r="O308" s="367"/>
      <c r="P308" s="367"/>
      <c r="Q308" s="97"/>
      <c r="R308" s="3899"/>
      <c r="S308" s="3899"/>
      <c r="T308" s="3899"/>
      <c r="U308" s="3899"/>
      <c r="V308" s="3920"/>
      <c r="W308" s="97"/>
      <c r="X308" s="3934"/>
      <c r="Y308" s="3843"/>
      <c r="Z308" s="3843"/>
      <c r="AA308" s="3843"/>
      <c r="AB308" s="4600"/>
      <c r="AC308" s="4600">
        <f>Y308*AB308</f>
        <v>0</v>
      </c>
      <c r="AD308" s="4602"/>
      <c r="AE308" s="97"/>
      <c r="AF308" s="4600">
        <f>+AC308</f>
        <v>0</v>
      </c>
      <c r="AG308" s="4600"/>
      <c r="AH308" s="4600">
        <f>AF308+AG308</f>
        <v>0</v>
      </c>
      <c r="AI308" s="867"/>
      <c r="AJ308" s="4596"/>
      <c r="AK308" s="4596"/>
      <c r="AL308" s="4596"/>
      <c r="AM308" s="4596"/>
      <c r="AN308" s="4596"/>
      <c r="AO308" s="4596">
        <f t="shared" si="25"/>
        <v>0</v>
      </c>
      <c r="AP308" s="108"/>
      <c r="AQ308" s="1027"/>
      <c r="AR308" s="108"/>
      <c r="AS308" s="108"/>
      <c r="AT308" s="108"/>
      <c r="AU308" s="108"/>
      <c r="AV308" s="108"/>
      <c r="AW308" s="108"/>
      <c r="AX308" s="108"/>
      <c r="AY308" s="108"/>
    </row>
    <row r="309" spans="1:51" ht="14" customHeight="1" outlineLevel="4">
      <c r="A309" s="159"/>
      <c r="B309" s="702"/>
      <c r="C309" s="702"/>
      <c r="D309" s="533"/>
      <c r="E309" s="533"/>
      <c r="F309" s="177"/>
      <c r="G309" s="97"/>
      <c r="H309" s="363"/>
      <c r="I309" s="363"/>
      <c r="J309" s="367"/>
      <c r="K309" s="367"/>
      <c r="L309" s="367"/>
      <c r="M309" s="367"/>
      <c r="N309" s="367"/>
      <c r="O309" s="367"/>
      <c r="P309" s="367"/>
      <c r="Q309" s="97"/>
      <c r="R309" s="364"/>
      <c r="S309" s="364"/>
      <c r="T309" s="364"/>
      <c r="U309" s="364"/>
      <c r="V309" s="181"/>
      <c r="W309" s="97"/>
      <c r="X309" s="762"/>
      <c r="Y309" s="764"/>
      <c r="Z309" s="764"/>
      <c r="AA309" s="764"/>
      <c r="AB309" s="760"/>
      <c r="AC309" s="760"/>
      <c r="AD309" s="761"/>
      <c r="AE309" s="97"/>
      <c r="AF309" s="1032"/>
      <c r="AG309" s="1048"/>
      <c r="AH309" s="1032"/>
      <c r="AI309" s="867"/>
      <c r="AJ309" s="1005"/>
      <c r="AK309" s="1005"/>
      <c r="AL309" s="1005"/>
      <c r="AM309" s="1005"/>
      <c r="AN309" s="1005"/>
      <c r="AO309" s="1005">
        <f t="shared" si="25"/>
        <v>0</v>
      </c>
      <c r="AP309" s="108"/>
      <c r="AQ309" s="1027"/>
      <c r="AR309" s="108"/>
      <c r="AS309" s="108"/>
      <c r="AT309" s="108"/>
      <c r="AU309" s="108"/>
      <c r="AV309" s="108"/>
      <c r="AW309" s="108"/>
      <c r="AX309" s="108"/>
      <c r="AY309" s="108"/>
    </row>
    <row r="310" spans="1:51" s="878" customFormat="1" ht="41.5" customHeight="1" outlineLevel="2">
      <c r="A310" s="172"/>
      <c r="B310" s="171" t="s">
        <v>569</v>
      </c>
      <c r="C310" s="171"/>
      <c r="D310" s="538" t="s">
        <v>3813</v>
      </c>
      <c r="E310" s="538"/>
      <c r="F310" s="106" t="s">
        <v>1556</v>
      </c>
      <c r="G310" s="96"/>
      <c r="H310" s="357" t="str">
        <f>+'1_MdR_Limpia'!C98</f>
        <v>Plataforma</v>
      </c>
      <c r="I310" s="357">
        <f>+'1_MdR_Limpia'!D98</f>
        <v>0</v>
      </c>
      <c r="J310" s="357">
        <f>+'1_MdR_Limpia'!E98</f>
        <v>2021</v>
      </c>
      <c r="K310" s="357" t="str">
        <f>+'1_MdR_Limpia'!F98</f>
        <v>-</v>
      </c>
      <c r="L310" s="357" t="str">
        <f>+'1_MdR_Limpia'!G98</f>
        <v>-</v>
      </c>
      <c r="M310" s="357" t="str">
        <f>+'1_MdR_Limpia'!H98</f>
        <v>-</v>
      </c>
      <c r="N310" s="357">
        <f>+'1_MdR_Limpia'!I98</f>
        <v>1</v>
      </c>
      <c r="O310" s="357" t="str">
        <f>+'1_MdR_Limpia'!J98</f>
        <v>-</v>
      </c>
      <c r="P310" s="357">
        <f>+'1_MdR_Limpia'!L98</f>
        <v>1</v>
      </c>
      <c r="Q310" s="96"/>
      <c r="R310" s="854"/>
      <c r="S310" s="358"/>
      <c r="T310" s="358"/>
      <c r="U310" s="358"/>
      <c r="V310" s="106"/>
      <c r="W310" s="96"/>
      <c r="X310" s="106"/>
      <c r="Y310" s="172"/>
      <c r="Z310" s="172"/>
      <c r="AA310" s="171"/>
      <c r="AB310" s="176"/>
      <c r="AC310" s="176">
        <f>+AC311+AC312+AC313+AC314+AC315</f>
        <v>800000</v>
      </c>
      <c r="AD310" s="686"/>
      <c r="AE310" s="96"/>
      <c r="AF310" s="176">
        <f>+AF311+AF312+AF313+AF314+AF315</f>
        <v>800000</v>
      </c>
      <c r="AG310" s="176">
        <f>+AG311+AG312+AG313+AG314+AG315</f>
        <v>0</v>
      </c>
      <c r="AH310" s="176">
        <f>+AH311+AH312+AH313+AH314+AH315</f>
        <v>800000</v>
      </c>
      <c r="AI310" s="865"/>
      <c r="AJ310" s="980">
        <f>+AJ311+AJ312+AJ313+AJ314+AJ315</f>
        <v>0</v>
      </c>
      <c r="AK310" s="980">
        <f>+AK311+AK312+AK313+AK314+AK315</f>
        <v>350000</v>
      </c>
      <c r="AL310" s="980">
        <f>+AL311+AL312+AL313+AL314+AL315</f>
        <v>450000</v>
      </c>
      <c r="AM310" s="981">
        <f>+AM311+AM312+AM313+AM314+AM315</f>
        <v>0</v>
      </c>
      <c r="AN310" s="979">
        <f>+AN311+AN312+AN313+AN314+AN315</f>
        <v>0</v>
      </c>
      <c r="AO310" s="979">
        <f t="shared" si="25"/>
        <v>800000</v>
      </c>
      <c r="AP310" s="153"/>
      <c r="AQ310" s="1027"/>
      <c r="AR310" s="153"/>
      <c r="AS310" s="153"/>
      <c r="AT310" s="153"/>
      <c r="AU310" s="153"/>
      <c r="AV310" s="153"/>
      <c r="AW310" s="153"/>
      <c r="AX310" s="153"/>
      <c r="AY310" s="153"/>
    </row>
    <row r="311" spans="1:51" s="881" customFormat="1" ht="38.5" customHeight="1" outlineLevel="3">
      <c r="A311" s="580"/>
      <c r="B311" s="107" t="s">
        <v>1609</v>
      </c>
      <c r="C311" s="107"/>
      <c r="D311" s="611" t="s">
        <v>3556</v>
      </c>
      <c r="E311" s="611"/>
      <c r="F311" s="103"/>
      <c r="G311" s="97"/>
      <c r="H311" s="611" t="s">
        <v>1357</v>
      </c>
      <c r="I311" s="361"/>
      <c r="J311" s="361"/>
      <c r="K311" s="361"/>
      <c r="L311" s="361"/>
      <c r="M311" s="361"/>
      <c r="N311" s="361"/>
      <c r="O311" s="361"/>
      <c r="P311" s="361"/>
      <c r="Q311" s="97"/>
      <c r="R311" s="362" t="str">
        <f>+'9.3_PA_Det'!E131</f>
        <v>Selección Basada en Calificación de Consultores</v>
      </c>
      <c r="S311" s="362" t="s">
        <v>1075</v>
      </c>
      <c r="T311" s="856" t="s">
        <v>3557</v>
      </c>
      <c r="U311" s="362">
        <f>+'9.3_PA_Det'!F131</f>
        <v>45</v>
      </c>
      <c r="V311" s="178"/>
      <c r="W311" s="97"/>
      <c r="X311" s="711" t="s">
        <v>1179</v>
      </c>
      <c r="Y311" s="712">
        <v>1</v>
      </c>
      <c r="Z311" s="179"/>
      <c r="AA311" s="180"/>
      <c r="AB311" s="618">
        <v>50000</v>
      </c>
      <c r="AC311" s="1032">
        <f>Y311*AB311</f>
        <v>50000</v>
      </c>
      <c r="AD311" s="1043"/>
      <c r="AE311" s="97"/>
      <c r="AF311" s="1032">
        <f>+AC311</f>
        <v>50000</v>
      </c>
      <c r="AG311" s="1032"/>
      <c r="AH311" s="1041">
        <f>+AF311+AG311</f>
        <v>50000</v>
      </c>
      <c r="AI311" s="867"/>
      <c r="AJ311" s="986"/>
      <c r="AK311" s="986">
        <f>+AF311</f>
        <v>50000</v>
      </c>
      <c r="AL311" s="986"/>
      <c r="AM311" s="987"/>
      <c r="AN311" s="728"/>
      <c r="AO311" s="1038">
        <f t="shared" si="25"/>
        <v>50000</v>
      </c>
      <c r="AP311" s="108"/>
      <c r="AQ311" s="1027"/>
    </row>
    <row r="312" spans="1:51" s="881" customFormat="1" ht="30" customHeight="1" outlineLevel="3">
      <c r="A312" s="580"/>
      <c r="B312" s="107" t="s">
        <v>3558</v>
      </c>
      <c r="C312" s="107"/>
      <c r="D312" s="611" t="s">
        <v>3559</v>
      </c>
      <c r="E312" s="611"/>
      <c r="F312" s="103"/>
      <c r="G312" s="97"/>
      <c r="H312" s="611"/>
      <c r="I312" s="361"/>
      <c r="J312" s="361"/>
      <c r="K312" s="361"/>
      <c r="L312" s="361"/>
      <c r="M312" s="361"/>
      <c r="N312" s="361"/>
      <c r="O312" s="361"/>
      <c r="P312" s="361"/>
      <c r="Q312" s="97"/>
      <c r="R312" s="362" t="str">
        <f>+'9.3_PA_Det'!E132</f>
        <v>Selección Basada en Calidad y Costo</v>
      </c>
      <c r="S312" s="362" t="s">
        <v>1075</v>
      </c>
      <c r="T312" s="856" t="s">
        <v>1198</v>
      </c>
      <c r="U312" s="362">
        <f>+'9.3_PA_Det'!F132</f>
        <v>46</v>
      </c>
      <c r="V312" s="178"/>
      <c r="W312" s="97"/>
      <c r="X312" s="711" t="s">
        <v>1179</v>
      </c>
      <c r="Y312" s="712">
        <v>1</v>
      </c>
      <c r="Z312" s="179"/>
      <c r="AA312" s="180"/>
      <c r="AB312" s="618">
        <v>300000</v>
      </c>
      <c r="AC312" s="1032">
        <f>Y312*AB312</f>
        <v>300000</v>
      </c>
      <c r="AD312" s="1043"/>
      <c r="AE312" s="97"/>
      <c r="AF312" s="1032">
        <f>+AC312</f>
        <v>300000</v>
      </c>
      <c r="AG312" s="1032"/>
      <c r="AH312" s="1041">
        <f>+AF312+AG312</f>
        <v>300000</v>
      </c>
      <c r="AI312" s="867"/>
      <c r="AJ312" s="986"/>
      <c r="AK312" s="986">
        <f>+AF312</f>
        <v>300000</v>
      </c>
      <c r="AL312" s="986"/>
      <c r="AM312" s="987"/>
      <c r="AN312" s="728"/>
      <c r="AO312" s="1038">
        <f t="shared" si="25"/>
        <v>300000</v>
      </c>
      <c r="AP312" s="108"/>
      <c r="AQ312" s="1027"/>
    </row>
    <row r="313" spans="1:51" s="881" customFormat="1" ht="27.5" customHeight="1" outlineLevel="3">
      <c r="A313" s="580"/>
      <c r="B313" s="107" t="s">
        <v>1014</v>
      </c>
      <c r="C313" s="107"/>
      <c r="D313" s="611" t="s">
        <v>1017</v>
      </c>
      <c r="E313" s="611"/>
      <c r="F313" s="103"/>
      <c r="G313" s="97"/>
      <c r="H313" s="611" t="s">
        <v>1360</v>
      </c>
      <c r="I313" s="361"/>
      <c r="J313" s="361"/>
      <c r="K313" s="361"/>
      <c r="L313" s="361"/>
      <c r="M313" s="361"/>
      <c r="N313" s="361"/>
      <c r="O313" s="361"/>
      <c r="P313" s="361"/>
      <c r="Q313" s="97"/>
      <c r="R313" s="4597" t="str">
        <f>+'9.3_PA_Det'!E133</f>
        <v>Selección Basada en Calidad y Costo</v>
      </c>
      <c r="S313" s="4597" t="s">
        <v>1075</v>
      </c>
      <c r="T313" s="4597" t="s">
        <v>1198</v>
      </c>
      <c r="U313" s="4597">
        <f>+'9.3_PA_Det'!F133</f>
        <v>47</v>
      </c>
      <c r="V313" s="4597"/>
      <c r="W313" s="97"/>
      <c r="X313" s="711" t="s">
        <v>1179</v>
      </c>
      <c r="Y313" s="712">
        <v>1</v>
      </c>
      <c r="Z313" s="179"/>
      <c r="AA313" s="180"/>
      <c r="AB313" s="618">
        <v>150000</v>
      </c>
      <c r="AC313" s="1032">
        <f>Y313*AB313</f>
        <v>150000</v>
      </c>
      <c r="AD313" s="1043"/>
      <c r="AE313" s="97"/>
      <c r="AF313" s="1032">
        <f>+AC313</f>
        <v>150000</v>
      </c>
      <c r="AG313" s="1032"/>
      <c r="AH313" s="1041">
        <f>+AF313+AG313</f>
        <v>150000</v>
      </c>
      <c r="AI313" s="867"/>
      <c r="AJ313" s="986"/>
      <c r="AK313" s="986"/>
      <c r="AL313" s="986">
        <f>+AF313</f>
        <v>150000</v>
      </c>
      <c r="AM313" s="987"/>
      <c r="AN313" s="728"/>
      <c r="AO313" s="1038">
        <f t="shared" si="25"/>
        <v>150000</v>
      </c>
      <c r="AP313" s="108"/>
      <c r="AQ313" s="1027"/>
    </row>
    <row r="314" spans="1:51" s="881" customFormat="1" ht="41.5" customHeight="1" outlineLevel="3">
      <c r="A314" s="580"/>
      <c r="B314" s="107" t="s">
        <v>1016</v>
      </c>
      <c r="C314" s="107"/>
      <c r="D314" s="611" t="s">
        <v>3560</v>
      </c>
      <c r="E314" s="611"/>
      <c r="F314" s="103"/>
      <c r="G314" s="97"/>
      <c r="H314" s="611" t="s">
        <v>1611</v>
      </c>
      <c r="I314" s="361"/>
      <c r="J314" s="361"/>
      <c r="K314" s="361"/>
      <c r="L314" s="361"/>
      <c r="M314" s="361"/>
      <c r="N314" s="361"/>
      <c r="O314" s="361"/>
      <c r="P314" s="361"/>
      <c r="Q314" s="97"/>
      <c r="R314" s="4598"/>
      <c r="S314" s="4598"/>
      <c r="T314" s="4598"/>
      <c r="U314" s="4598"/>
      <c r="V314" s="4598"/>
      <c r="W314" s="97"/>
      <c r="X314" s="711" t="s">
        <v>1179</v>
      </c>
      <c r="Y314" s="712">
        <v>1</v>
      </c>
      <c r="Z314" s="179"/>
      <c r="AA314" s="180"/>
      <c r="AB314" s="618">
        <v>100000</v>
      </c>
      <c r="AC314" s="1032">
        <f>Y314*AB314</f>
        <v>100000</v>
      </c>
      <c r="AD314" s="1043"/>
      <c r="AE314" s="97"/>
      <c r="AF314" s="1032">
        <f>+AC314</f>
        <v>100000</v>
      </c>
      <c r="AG314" s="1032"/>
      <c r="AH314" s="1041">
        <f>+AF314+AG314</f>
        <v>100000</v>
      </c>
      <c r="AI314" s="867"/>
      <c r="AJ314" s="986"/>
      <c r="AK314" s="986"/>
      <c r="AL314" s="986">
        <f>+AF314</f>
        <v>100000</v>
      </c>
      <c r="AM314" s="987"/>
      <c r="AN314" s="728"/>
      <c r="AO314" s="1038">
        <f t="shared" si="25"/>
        <v>100000</v>
      </c>
      <c r="AP314" s="108"/>
      <c r="AQ314" s="1027"/>
    </row>
    <row r="315" spans="1:51" s="881" customFormat="1" ht="55.25" customHeight="1" outlineLevel="3">
      <c r="A315" s="580"/>
      <c r="B315" s="107" t="s">
        <v>1615</v>
      </c>
      <c r="C315" s="107"/>
      <c r="D315" s="611" t="s">
        <v>3561</v>
      </c>
      <c r="E315" s="611"/>
      <c r="F315" s="103"/>
      <c r="G315" s="97"/>
      <c r="H315" s="611"/>
      <c r="I315" s="361"/>
      <c r="J315" s="361"/>
      <c r="K315" s="361"/>
      <c r="L315" s="361"/>
      <c r="M315" s="361"/>
      <c r="N315" s="361"/>
      <c r="O315" s="361"/>
      <c r="P315" s="361"/>
      <c r="Q315" s="97"/>
      <c r="R315" s="362" t="str">
        <f>+'9.3_PA_Det'!E135</f>
        <v>Selección Basada en Calidad y Costo</v>
      </c>
      <c r="S315" s="362" t="s">
        <v>1075</v>
      </c>
      <c r="T315" s="856" t="s">
        <v>1198</v>
      </c>
      <c r="U315" s="362">
        <f>+'9.3_PA_Det'!F135</f>
        <v>48</v>
      </c>
      <c r="V315" s="178"/>
      <c r="W315" s="97"/>
      <c r="X315" s="711" t="s">
        <v>1179</v>
      </c>
      <c r="Y315" s="712">
        <v>1</v>
      </c>
      <c r="Z315" s="179"/>
      <c r="AA315" s="180"/>
      <c r="AB315" s="618">
        <v>200000</v>
      </c>
      <c r="AC315" s="1032">
        <f>Y315*AB315</f>
        <v>200000</v>
      </c>
      <c r="AD315" s="1043"/>
      <c r="AE315" s="97"/>
      <c r="AF315" s="1032">
        <f>+AC315</f>
        <v>200000</v>
      </c>
      <c r="AG315" s="1032"/>
      <c r="AH315" s="1041">
        <f>+AF315+AG315</f>
        <v>200000</v>
      </c>
      <c r="AI315" s="867"/>
      <c r="AJ315" s="986"/>
      <c r="AK315" s="986"/>
      <c r="AL315" s="986">
        <f>+AF315</f>
        <v>200000</v>
      </c>
      <c r="AM315" s="987"/>
      <c r="AN315" s="728"/>
      <c r="AO315" s="1038">
        <f t="shared" si="25"/>
        <v>200000</v>
      </c>
      <c r="AP315" s="108"/>
      <c r="AQ315" s="1027"/>
    </row>
    <row r="316" spans="1:51" s="881" customFormat="1" ht="14" customHeight="1" outlineLevel="2">
      <c r="A316" s="580"/>
      <c r="B316" s="107"/>
      <c r="C316" s="107"/>
      <c r="D316" s="611"/>
      <c r="E316" s="611"/>
      <c r="F316" s="103"/>
      <c r="G316" s="97"/>
      <c r="H316" s="611"/>
      <c r="I316" s="361"/>
      <c r="J316" s="361"/>
      <c r="K316" s="361"/>
      <c r="L316" s="361"/>
      <c r="M316" s="361"/>
      <c r="N316" s="361"/>
      <c r="O316" s="361"/>
      <c r="P316" s="361"/>
      <c r="Q316" s="97"/>
      <c r="R316" s="362"/>
      <c r="S316" s="362"/>
      <c r="T316" s="856"/>
      <c r="U316" s="362"/>
      <c r="V316" s="178"/>
      <c r="W316" s="97"/>
      <c r="X316" s="711"/>
      <c r="Y316" s="712"/>
      <c r="Z316" s="179"/>
      <c r="AA316" s="180"/>
      <c r="AB316" s="618"/>
      <c r="AC316" s="1032"/>
      <c r="AD316" s="1043"/>
      <c r="AE316" s="97"/>
      <c r="AF316" s="1032"/>
      <c r="AG316" s="1032"/>
      <c r="AH316" s="1041"/>
      <c r="AI316" s="867"/>
      <c r="AJ316" s="986"/>
      <c r="AK316" s="986"/>
      <c r="AL316" s="986"/>
      <c r="AM316" s="987"/>
      <c r="AN316" s="728"/>
      <c r="AO316" s="1038">
        <f t="shared" si="25"/>
        <v>0</v>
      </c>
      <c r="AP316" s="108"/>
      <c r="AQ316" s="1027"/>
    </row>
    <row r="317" spans="1:51" s="153" customFormat="1" ht="30" outlineLevel="1">
      <c r="A317" s="578"/>
      <c r="B317" s="428" t="s">
        <v>570</v>
      </c>
      <c r="C317" s="428"/>
      <c r="D317" s="545" t="s">
        <v>54</v>
      </c>
      <c r="E317" s="545"/>
      <c r="F317" s="427"/>
      <c r="G317" s="96"/>
      <c r="H317" s="429"/>
      <c r="I317" s="425"/>
      <c r="J317" s="430"/>
      <c r="K317" s="430"/>
      <c r="L317" s="430"/>
      <c r="M317" s="430"/>
      <c r="N317" s="430"/>
      <c r="O317" s="430"/>
      <c r="P317" s="430"/>
      <c r="Q317" s="96"/>
      <c r="R317" s="850"/>
      <c r="S317" s="850"/>
      <c r="T317" s="850"/>
      <c r="U317" s="850"/>
      <c r="V317" s="431"/>
      <c r="W317" s="96"/>
      <c r="X317" s="426"/>
      <c r="Y317" s="425"/>
      <c r="Z317" s="425"/>
      <c r="AA317" s="432"/>
      <c r="AB317" s="433"/>
      <c r="AC317" s="433">
        <f>+AC318</f>
        <v>3325000</v>
      </c>
      <c r="AD317" s="685"/>
      <c r="AE317" s="96"/>
      <c r="AF317" s="433">
        <f>+AF318</f>
        <v>3325000</v>
      </c>
      <c r="AG317" s="433">
        <f>+AG318</f>
        <v>0</v>
      </c>
      <c r="AH317" s="433">
        <f>+AH318</f>
        <v>3325000</v>
      </c>
      <c r="AI317" s="865"/>
      <c r="AJ317" s="977">
        <f>+AJ318</f>
        <v>150000</v>
      </c>
      <c r="AK317" s="977">
        <f>+AK318</f>
        <v>150000</v>
      </c>
      <c r="AL317" s="977">
        <f>+AL318</f>
        <v>725000</v>
      </c>
      <c r="AM317" s="978">
        <f>+AM318</f>
        <v>1125000</v>
      </c>
      <c r="AN317" s="976">
        <f>+AN318</f>
        <v>1175000</v>
      </c>
      <c r="AO317" s="976">
        <f t="shared" si="25"/>
        <v>3325000</v>
      </c>
      <c r="AQ317" s="1027"/>
    </row>
    <row r="318" spans="1:51" s="878" customFormat="1" ht="41.5" customHeight="1" outlineLevel="2">
      <c r="A318" s="172"/>
      <c r="B318" s="171" t="s">
        <v>571</v>
      </c>
      <c r="C318" s="171"/>
      <c r="D318" s="538" t="s">
        <v>3814</v>
      </c>
      <c r="E318" s="538"/>
      <c r="F318" s="106" t="s">
        <v>1556</v>
      </c>
      <c r="G318" s="96"/>
      <c r="H318" s="357" t="str">
        <f>+'1_MdR_Limpia'!C101</f>
        <v>Número</v>
      </c>
      <c r="I318" s="357">
        <f>+'1_MdR_Limpia'!D101</f>
        <v>0</v>
      </c>
      <c r="J318" s="357">
        <f>+'1_MdR_Limpia'!E101</f>
        <v>2021</v>
      </c>
      <c r="K318" s="357" t="str">
        <f>+'1_MdR_Limpia'!F101</f>
        <v>-</v>
      </c>
      <c r="L318" s="357" t="str">
        <f>+'1_MdR_Limpia'!G101</f>
        <v>-</v>
      </c>
      <c r="M318" s="357" t="str">
        <f>+'1_MdR_Limpia'!H101</f>
        <v>-</v>
      </c>
      <c r="N318" s="357" t="str">
        <f>+'1_MdR_Limpia'!I101</f>
        <v>-</v>
      </c>
      <c r="O318" s="357" t="str">
        <f>+'1_MdR_Limpia'!J101</f>
        <v>-</v>
      </c>
      <c r="P318" s="357">
        <f>+'1_MdR_Limpia'!L101</f>
        <v>1</v>
      </c>
      <c r="Q318" s="96"/>
      <c r="R318" s="854"/>
      <c r="S318" s="358"/>
      <c r="T318" s="358"/>
      <c r="U318" s="358"/>
      <c r="V318" s="106"/>
      <c r="W318" s="96"/>
      <c r="X318" s="106"/>
      <c r="Y318" s="172"/>
      <c r="Z318" s="172"/>
      <c r="AA318" s="171"/>
      <c r="AB318" s="176"/>
      <c r="AC318" s="176">
        <f>+AC319+AC320+AC331+AC336+AC341</f>
        <v>3325000</v>
      </c>
      <c r="AD318" s="176"/>
      <c r="AE318" s="176"/>
      <c r="AF318" s="176">
        <f>+AF319+AF320+AF331+AF336+AF341</f>
        <v>3325000</v>
      </c>
      <c r="AG318" s="176">
        <f>+AG319+AG320+AG331+AG336+AG341</f>
        <v>0</v>
      </c>
      <c r="AH318" s="176">
        <f>+AH319+AH320+AH331+AH336+AH341</f>
        <v>3325000</v>
      </c>
      <c r="AI318" s="865"/>
      <c r="AJ318" s="980">
        <f>+AJ319+AJ320+AJ331+AJ336+AJ341</f>
        <v>150000</v>
      </c>
      <c r="AK318" s="980">
        <f>+AK319+AK320+AK331+AK336+AK341</f>
        <v>150000</v>
      </c>
      <c r="AL318" s="980">
        <f>+AL319+AL320+AL331+AL336+AL341</f>
        <v>725000</v>
      </c>
      <c r="AM318" s="981">
        <f>+AM319+AM320+AM331+AM336+AM341</f>
        <v>1125000</v>
      </c>
      <c r="AN318" s="979">
        <f>+AN319+AN320+AN331+AN336+AN341</f>
        <v>1175000</v>
      </c>
      <c r="AO318" s="979">
        <f t="shared" si="25"/>
        <v>3325000</v>
      </c>
      <c r="AP318" s="153"/>
      <c r="AQ318" s="1027"/>
      <c r="AR318" s="153"/>
      <c r="AS318" s="153"/>
      <c r="AT318" s="153"/>
      <c r="AU318" s="153"/>
      <c r="AV318" s="153"/>
      <c r="AW318" s="153"/>
      <c r="AX318" s="153"/>
      <c r="AY318" s="153"/>
    </row>
    <row r="319" spans="1:51" s="108" customFormat="1" ht="41.5" customHeight="1" outlineLevel="3">
      <c r="A319" s="580"/>
      <c r="B319" s="107" t="s">
        <v>1019</v>
      </c>
      <c r="C319" s="107"/>
      <c r="D319" s="533" t="s">
        <v>1026</v>
      </c>
      <c r="E319" s="533"/>
      <c r="F319" s="103"/>
      <c r="G319" s="97"/>
      <c r="H319" s="363"/>
      <c r="I319" s="364"/>
      <c r="J319" s="364"/>
      <c r="K319" s="364"/>
      <c r="L319" s="364"/>
      <c r="M319" s="364"/>
      <c r="N319" s="364"/>
      <c r="O319" s="364"/>
      <c r="P319" s="364"/>
      <c r="Q319" s="97"/>
      <c r="R319" s="364" t="str">
        <f>+'9.3_PA_Det'!E136</f>
        <v>Selección Basada en Calidad y Costo</v>
      </c>
      <c r="S319" s="364" t="s">
        <v>1075</v>
      </c>
      <c r="T319" s="364" t="s">
        <v>1198</v>
      </c>
      <c r="U319" s="364">
        <f>+'9.3_PA_Det'!F136</f>
        <v>49</v>
      </c>
      <c r="V319" s="181"/>
      <c r="W319" s="97"/>
      <c r="X319" s="711" t="s">
        <v>1179</v>
      </c>
      <c r="Y319" s="712">
        <v>1</v>
      </c>
      <c r="Z319" s="179"/>
      <c r="AA319" s="180"/>
      <c r="AB319" s="1032">
        <v>300000</v>
      </c>
      <c r="AC319" s="1032">
        <v>300000</v>
      </c>
      <c r="AD319" s="1042" t="s">
        <v>1616</v>
      </c>
      <c r="AE319" s="97"/>
      <c r="AF319" s="1032">
        <f>+AB319</f>
        <v>300000</v>
      </c>
      <c r="AG319" s="1032">
        <v>0</v>
      </c>
      <c r="AH319" s="355">
        <f>+AF319+AG319</f>
        <v>300000</v>
      </c>
      <c r="AI319" s="867"/>
      <c r="AJ319" s="986">
        <f>+$AF$319*50%</f>
        <v>150000</v>
      </c>
      <c r="AK319" s="986">
        <f>+$AF$319*50%</f>
        <v>150000</v>
      </c>
      <c r="AL319" s="986"/>
      <c r="AM319" s="987"/>
      <c r="AN319" s="1038"/>
      <c r="AO319" s="1038">
        <f t="shared" si="25"/>
        <v>300000</v>
      </c>
      <c r="AQ319" s="1027"/>
    </row>
    <row r="320" spans="1:51" s="153" customFormat="1" ht="41.5" customHeight="1" outlineLevel="3">
      <c r="A320" s="581"/>
      <c r="B320" s="400" t="s">
        <v>1021</v>
      </c>
      <c r="C320" s="400"/>
      <c r="D320" s="536" t="s">
        <v>3562</v>
      </c>
      <c r="E320" s="536"/>
      <c r="F320" s="399"/>
      <c r="G320" s="96"/>
      <c r="H320" s="401"/>
      <c r="I320" s="401"/>
      <c r="J320" s="402"/>
      <c r="K320" s="402"/>
      <c r="L320" s="402"/>
      <c r="M320" s="402"/>
      <c r="N320" s="402"/>
      <c r="O320" s="402"/>
      <c r="P320" s="402"/>
      <c r="Q320" s="96"/>
      <c r="R320" s="837"/>
      <c r="S320" s="851"/>
      <c r="T320" s="851"/>
      <c r="U320" s="851"/>
      <c r="V320" s="399"/>
      <c r="W320" s="96"/>
      <c r="X320" s="396"/>
      <c r="Y320" s="397"/>
      <c r="Z320" s="397"/>
      <c r="AA320" s="395"/>
      <c r="AB320" s="489"/>
      <c r="AC320" s="398">
        <f>SUM(AC321:AC330)</f>
        <v>2000000</v>
      </c>
      <c r="AD320" s="691"/>
      <c r="AE320" s="96"/>
      <c r="AF320" s="398">
        <f>SUM(AF321:AF330)</f>
        <v>2000000</v>
      </c>
      <c r="AG320" s="398">
        <f>SUM(AG321:AG330)</f>
        <v>0</v>
      </c>
      <c r="AH320" s="398">
        <f>SUM(AH321:AH330)</f>
        <v>2000000</v>
      </c>
      <c r="AI320" s="865"/>
      <c r="AJ320" s="992">
        <f>SUM(AJ321:AJ330)</f>
        <v>0</v>
      </c>
      <c r="AK320" s="992">
        <f>SUM(AK321:AK330)</f>
        <v>0</v>
      </c>
      <c r="AL320" s="992">
        <f>SUM(AL321:AL330)</f>
        <v>400000</v>
      </c>
      <c r="AM320" s="993">
        <f>SUM(AM321:AM330)</f>
        <v>800000</v>
      </c>
      <c r="AN320" s="1014">
        <f>SUM(AN321:AN330)</f>
        <v>800000</v>
      </c>
      <c r="AO320" s="994">
        <f t="shared" si="25"/>
        <v>2000000</v>
      </c>
      <c r="AQ320" s="1027"/>
    </row>
    <row r="321" spans="1:51" ht="26.5" customHeight="1" outlineLevel="4">
      <c r="A321" s="159"/>
      <c r="B321" s="702" t="s">
        <v>1023</v>
      </c>
      <c r="C321" s="702"/>
      <c r="D321" s="533" t="s">
        <v>3523</v>
      </c>
      <c r="E321" s="533"/>
      <c r="F321" s="177"/>
      <c r="G321" s="97"/>
      <c r="H321" s="363"/>
      <c r="I321" s="363"/>
      <c r="J321" s="367"/>
      <c r="K321" s="367"/>
      <c r="L321" s="367"/>
      <c r="M321" s="367"/>
      <c r="N321" s="367"/>
      <c r="O321" s="367"/>
      <c r="P321" s="367"/>
      <c r="Q321" s="97"/>
      <c r="R321" s="3897" t="str">
        <f>+'9.3_PA_Det'!$E$137</f>
        <v>Selección Basada en Calidad y Costo</v>
      </c>
      <c r="S321" s="3897" t="s">
        <v>1075</v>
      </c>
      <c r="T321" s="3897" t="s">
        <v>1198</v>
      </c>
      <c r="U321" s="3897">
        <f>+'9.3_PA_Det'!$F$137</f>
        <v>50</v>
      </c>
      <c r="V321" s="3897"/>
      <c r="W321" s="97"/>
      <c r="X321" s="711" t="s">
        <v>1179</v>
      </c>
      <c r="Y321" s="712">
        <v>1</v>
      </c>
      <c r="Z321" s="179"/>
      <c r="AA321" s="180"/>
      <c r="AB321" s="1048">
        <v>200000</v>
      </c>
      <c r="AC321" s="1048">
        <f>+Y321*AB321</f>
        <v>200000</v>
      </c>
      <c r="AD321" s="940" t="s">
        <v>3563</v>
      </c>
      <c r="AE321" s="97"/>
      <c r="AF321" s="1032">
        <f t="shared" ref="AF321:AF329" si="33">+AC321</f>
        <v>200000</v>
      </c>
      <c r="AG321" s="1048">
        <v>0</v>
      </c>
      <c r="AH321" s="1048">
        <f t="shared" ref="AH321:AH330" si="34">+AG321+AF321</f>
        <v>200000</v>
      </c>
      <c r="AI321" s="867"/>
      <c r="AJ321" s="1015"/>
      <c r="AK321" s="1015"/>
      <c r="AL321" s="1015">
        <f>+AF321*20%</f>
        <v>40000</v>
      </c>
      <c r="AM321" s="1015">
        <f>+AF321*40%</f>
        <v>80000</v>
      </c>
      <c r="AN321" s="1015">
        <f>+AF321*40%</f>
        <v>80000</v>
      </c>
      <c r="AO321" s="1044">
        <f t="shared" si="25"/>
        <v>200000</v>
      </c>
      <c r="AP321" s="108"/>
      <c r="AQ321" s="1027"/>
      <c r="AR321" s="108"/>
      <c r="AS321" s="108"/>
      <c r="AT321" s="108"/>
      <c r="AU321" s="108"/>
      <c r="AV321" s="108"/>
      <c r="AW321" s="108"/>
      <c r="AX321" s="108"/>
      <c r="AY321" s="108"/>
    </row>
    <row r="322" spans="1:51" s="84" customFormat="1" ht="14" customHeight="1" outlineLevel="4">
      <c r="A322" s="159"/>
      <c r="B322" s="702" t="s">
        <v>1025</v>
      </c>
      <c r="C322" s="702"/>
      <c r="D322" s="533" t="s">
        <v>3525</v>
      </c>
      <c r="E322" s="533"/>
      <c r="F322" s="103"/>
      <c r="G322" s="97"/>
      <c r="H322" s="363"/>
      <c r="I322" s="363"/>
      <c r="J322" s="367"/>
      <c r="K322" s="367"/>
      <c r="L322" s="367"/>
      <c r="M322" s="367"/>
      <c r="N322" s="367"/>
      <c r="O322" s="367"/>
      <c r="P322" s="367"/>
      <c r="Q322" s="97"/>
      <c r="R322" s="3898"/>
      <c r="S322" s="3898"/>
      <c r="T322" s="3898"/>
      <c r="U322" s="3898"/>
      <c r="V322" s="3898"/>
      <c r="W322" s="97"/>
      <c r="X322" s="711" t="s">
        <v>1179</v>
      </c>
      <c r="Y322" s="712">
        <v>1</v>
      </c>
      <c r="Z322" s="179"/>
      <c r="AA322" s="179"/>
      <c r="AB322" s="1053">
        <v>200000</v>
      </c>
      <c r="AC322" s="1048">
        <f t="shared" ref="AC322:AC340" si="35">+Y322*AB322</f>
        <v>200000</v>
      </c>
      <c r="AD322" s="1054"/>
      <c r="AE322" s="97"/>
      <c r="AF322" s="1041">
        <f t="shared" si="33"/>
        <v>200000</v>
      </c>
      <c r="AG322" s="1048">
        <v>0</v>
      </c>
      <c r="AH322" s="1048">
        <f t="shared" si="34"/>
        <v>200000</v>
      </c>
      <c r="AI322" s="867"/>
      <c r="AJ322" s="1015"/>
      <c r="AK322" s="1015"/>
      <c r="AL322" s="1015">
        <f t="shared" ref="AL322:AL330" si="36">+AF322*20%</f>
        <v>40000</v>
      </c>
      <c r="AM322" s="1015">
        <f t="shared" ref="AM322:AM330" si="37">+AF322*40%</f>
        <v>80000</v>
      </c>
      <c r="AN322" s="1015">
        <f t="shared" ref="AN322:AN330" si="38">+AF322*40%</f>
        <v>80000</v>
      </c>
      <c r="AO322" s="1044">
        <f t="shared" si="25"/>
        <v>200000</v>
      </c>
      <c r="AP322" s="148"/>
      <c r="AQ322" s="1027"/>
      <c r="AR322" s="148"/>
      <c r="AS322" s="148"/>
      <c r="AT322" s="148"/>
      <c r="AU322" s="148"/>
      <c r="AV322" s="148"/>
      <c r="AW322" s="148"/>
      <c r="AX322" s="148"/>
      <c r="AY322" s="148"/>
    </row>
    <row r="323" spans="1:51" s="84" customFormat="1" ht="14" customHeight="1" outlineLevel="4">
      <c r="A323" s="159"/>
      <c r="B323" s="702" t="s">
        <v>1027</v>
      </c>
      <c r="C323" s="702"/>
      <c r="D323" s="533" t="s">
        <v>3526</v>
      </c>
      <c r="E323" s="533"/>
      <c r="F323" s="177"/>
      <c r="G323" s="97"/>
      <c r="H323" s="363"/>
      <c r="I323" s="363"/>
      <c r="J323" s="367"/>
      <c r="K323" s="367"/>
      <c r="L323" s="367"/>
      <c r="M323" s="367"/>
      <c r="N323" s="367"/>
      <c r="O323" s="367"/>
      <c r="P323" s="367"/>
      <c r="Q323" s="97"/>
      <c r="R323" s="3898"/>
      <c r="S323" s="3898"/>
      <c r="T323" s="3898"/>
      <c r="U323" s="3898"/>
      <c r="V323" s="3898"/>
      <c r="W323" s="97"/>
      <c r="X323" s="711" t="s">
        <v>1179</v>
      </c>
      <c r="Y323" s="712">
        <v>1</v>
      </c>
      <c r="Z323" s="179"/>
      <c r="AA323" s="179"/>
      <c r="AB323" s="1053">
        <v>400000</v>
      </c>
      <c r="AC323" s="1048">
        <f t="shared" si="35"/>
        <v>400000</v>
      </c>
      <c r="AD323" s="1054" t="s">
        <v>3564</v>
      </c>
      <c r="AE323" s="97"/>
      <c r="AF323" s="1041">
        <f t="shared" si="33"/>
        <v>400000</v>
      </c>
      <c r="AG323" s="1048">
        <v>0</v>
      </c>
      <c r="AH323" s="1048">
        <f t="shared" si="34"/>
        <v>400000</v>
      </c>
      <c r="AI323" s="867"/>
      <c r="AJ323" s="1015"/>
      <c r="AK323" s="1015"/>
      <c r="AL323" s="1015">
        <f t="shared" si="36"/>
        <v>80000</v>
      </c>
      <c r="AM323" s="1015">
        <f t="shared" si="37"/>
        <v>160000</v>
      </c>
      <c r="AN323" s="1015">
        <f t="shared" si="38"/>
        <v>160000</v>
      </c>
      <c r="AO323" s="1044">
        <f t="shared" si="25"/>
        <v>400000</v>
      </c>
      <c r="AP323" s="148"/>
      <c r="AQ323" s="1027"/>
      <c r="AR323" s="148"/>
      <c r="AS323" s="148"/>
      <c r="AT323" s="148"/>
      <c r="AU323" s="148"/>
      <c r="AV323" s="148"/>
      <c r="AW323" s="148"/>
      <c r="AX323" s="148"/>
      <c r="AY323" s="148"/>
    </row>
    <row r="324" spans="1:51" s="84" customFormat="1" ht="14" customHeight="1" outlineLevel="4">
      <c r="A324" s="159"/>
      <c r="B324" s="702" t="s">
        <v>1029</v>
      </c>
      <c r="C324" s="702"/>
      <c r="D324" s="533" t="s">
        <v>3527</v>
      </c>
      <c r="E324" s="533"/>
      <c r="F324" s="177"/>
      <c r="G324" s="97"/>
      <c r="H324" s="363"/>
      <c r="I324" s="363"/>
      <c r="J324" s="367"/>
      <c r="K324" s="367"/>
      <c r="L324" s="367"/>
      <c r="M324" s="367"/>
      <c r="N324" s="367"/>
      <c r="O324" s="367"/>
      <c r="P324" s="367"/>
      <c r="Q324" s="97"/>
      <c r="R324" s="3899"/>
      <c r="S324" s="3899"/>
      <c r="T324" s="3899"/>
      <c r="U324" s="3899"/>
      <c r="V324" s="3899"/>
      <c r="W324" s="97"/>
      <c r="X324" s="711" t="s">
        <v>1179</v>
      </c>
      <c r="Y324" s="712">
        <v>1</v>
      </c>
      <c r="Z324" s="179"/>
      <c r="AA324" s="179"/>
      <c r="AB324" s="1053">
        <v>400000</v>
      </c>
      <c r="AC324" s="1048">
        <f t="shared" si="35"/>
        <v>400000</v>
      </c>
      <c r="AD324" s="1054"/>
      <c r="AE324" s="97"/>
      <c r="AF324" s="1041">
        <f t="shared" si="33"/>
        <v>400000</v>
      </c>
      <c r="AG324" s="1048">
        <v>0</v>
      </c>
      <c r="AH324" s="1048">
        <f t="shared" si="34"/>
        <v>400000</v>
      </c>
      <c r="AI324" s="867"/>
      <c r="AJ324" s="1015"/>
      <c r="AK324" s="1015"/>
      <c r="AL324" s="1015">
        <f t="shared" si="36"/>
        <v>80000</v>
      </c>
      <c r="AM324" s="1015">
        <f t="shared" si="37"/>
        <v>160000</v>
      </c>
      <c r="AN324" s="1015">
        <f t="shared" si="38"/>
        <v>160000</v>
      </c>
      <c r="AO324" s="1044">
        <f t="shared" si="25"/>
        <v>400000</v>
      </c>
      <c r="AP324" s="148"/>
      <c r="AQ324" s="1027"/>
      <c r="AR324" s="148"/>
      <c r="AS324" s="148"/>
      <c r="AT324" s="148"/>
      <c r="AU324" s="148"/>
      <c r="AV324" s="148"/>
      <c r="AW324" s="148"/>
      <c r="AX324" s="148"/>
      <c r="AY324" s="148"/>
    </row>
    <row r="325" spans="1:51" s="84" customFormat="1" ht="41.5" customHeight="1" outlineLevel="4">
      <c r="A325" s="159"/>
      <c r="B325" s="702" t="s">
        <v>1031</v>
      </c>
      <c r="C325" s="702"/>
      <c r="D325" s="703" t="s">
        <v>3565</v>
      </c>
      <c r="E325" s="703"/>
      <c r="F325" s="177"/>
      <c r="G325" s="97"/>
      <c r="H325" s="363"/>
      <c r="I325" s="363"/>
      <c r="J325" s="367"/>
      <c r="K325" s="367"/>
      <c r="L325" s="367"/>
      <c r="M325" s="367"/>
      <c r="N325" s="367"/>
      <c r="O325" s="367"/>
      <c r="P325" s="367"/>
      <c r="Q325" s="97"/>
      <c r="R325" s="364"/>
      <c r="S325" s="364"/>
      <c r="T325" s="931"/>
      <c r="U325" s="364"/>
      <c r="V325" s="177"/>
      <c r="W325" s="97"/>
      <c r="X325" s="711"/>
      <c r="Y325" s="712"/>
      <c r="Z325" s="179"/>
      <c r="AA325" s="179"/>
      <c r="AB325" s="1053"/>
      <c r="AC325" s="1048"/>
      <c r="AD325" s="1054"/>
      <c r="AE325" s="97"/>
      <c r="AF325" s="1041">
        <f t="shared" si="33"/>
        <v>0</v>
      </c>
      <c r="AG325" s="1048">
        <v>0</v>
      </c>
      <c r="AH325" s="1048">
        <f t="shared" si="34"/>
        <v>0</v>
      </c>
      <c r="AI325" s="867"/>
      <c r="AJ325" s="1015"/>
      <c r="AK325" s="1015"/>
      <c r="AL325" s="1015">
        <f t="shared" si="36"/>
        <v>0</v>
      </c>
      <c r="AM325" s="1015">
        <f t="shared" si="37"/>
        <v>0</v>
      </c>
      <c r="AN325" s="1015">
        <f t="shared" si="38"/>
        <v>0</v>
      </c>
      <c r="AO325" s="1044">
        <f t="shared" si="25"/>
        <v>0</v>
      </c>
      <c r="AP325" s="148"/>
      <c r="AQ325" s="1027"/>
      <c r="AR325" s="148"/>
      <c r="AS325" s="148"/>
      <c r="AT325" s="148"/>
      <c r="AU325" s="148"/>
      <c r="AV325" s="148"/>
      <c r="AW325" s="148"/>
      <c r="AX325" s="148"/>
      <c r="AY325" s="148"/>
    </row>
    <row r="326" spans="1:51" s="84" customFormat="1" ht="27.5" customHeight="1" outlineLevel="4">
      <c r="A326" s="159"/>
      <c r="B326" s="702" t="s">
        <v>1033</v>
      </c>
      <c r="C326" s="702"/>
      <c r="D326" s="533" t="s">
        <v>3566</v>
      </c>
      <c r="E326" s="533"/>
      <c r="F326" s="177"/>
      <c r="G326" s="97"/>
      <c r="H326" s="363"/>
      <c r="I326" s="363"/>
      <c r="J326" s="367"/>
      <c r="K326" s="367"/>
      <c r="L326" s="367"/>
      <c r="M326" s="367"/>
      <c r="N326" s="367"/>
      <c r="O326" s="367"/>
      <c r="P326" s="367"/>
      <c r="Q326" s="97"/>
      <c r="R326" s="3897" t="str">
        <f>+'9.3_PA_Det'!$E$145</f>
        <v>Selección Basada en Calidad y Costo</v>
      </c>
      <c r="S326" s="3897" t="s">
        <v>1075</v>
      </c>
      <c r="T326" s="3897" t="s">
        <v>1198</v>
      </c>
      <c r="U326" s="3897">
        <f>+'9.3_PA_Det'!$F$145</f>
        <v>51</v>
      </c>
      <c r="V326" s="3897"/>
      <c r="W326" s="97"/>
      <c r="X326" s="711" t="s">
        <v>1179</v>
      </c>
      <c r="Y326" s="712">
        <v>1</v>
      </c>
      <c r="Z326" s="179"/>
      <c r="AA326" s="179"/>
      <c r="AB326" s="1053">
        <v>200000</v>
      </c>
      <c r="AC326" s="1048">
        <f t="shared" si="35"/>
        <v>200000</v>
      </c>
      <c r="AD326" s="1054"/>
      <c r="AE326" s="97"/>
      <c r="AF326" s="1041">
        <f t="shared" si="33"/>
        <v>200000</v>
      </c>
      <c r="AG326" s="1048">
        <v>0</v>
      </c>
      <c r="AH326" s="1048">
        <f t="shared" si="34"/>
        <v>200000</v>
      </c>
      <c r="AI326" s="867"/>
      <c r="AJ326" s="1015"/>
      <c r="AK326" s="1015"/>
      <c r="AL326" s="1015">
        <f t="shared" si="36"/>
        <v>40000</v>
      </c>
      <c r="AM326" s="1015">
        <f t="shared" si="37"/>
        <v>80000</v>
      </c>
      <c r="AN326" s="1015">
        <f t="shared" si="38"/>
        <v>80000</v>
      </c>
      <c r="AO326" s="1044">
        <f t="shared" si="25"/>
        <v>200000</v>
      </c>
      <c r="AP326" s="148"/>
      <c r="AQ326" s="1027"/>
      <c r="AR326" s="148"/>
      <c r="AS326" s="148"/>
      <c r="AT326" s="148"/>
      <c r="AU326" s="148"/>
      <c r="AV326" s="148"/>
      <c r="AW326" s="148"/>
      <c r="AX326" s="148"/>
      <c r="AY326" s="148"/>
    </row>
    <row r="327" spans="1:51" s="84" customFormat="1" ht="25.25" customHeight="1" outlineLevel="4">
      <c r="A327" s="159"/>
      <c r="B327" s="702" t="s">
        <v>1035</v>
      </c>
      <c r="C327" s="702"/>
      <c r="D327" s="1152" t="s">
        <v>3567</v>
      </c>
      <c r="E327" s="1152"/>
      <c r="F327" s="177"/>
      <c r="G327" s="97"/>
      <c r="H327" s="363"/>
      <c r="I327" s="363"/>
      <c r="J327" s="367"/>
      <c r="K327" s="367"/>
      <c r="L327" s="367"/>
      <c r="M327" s="367"/>
      <c r="N327" s="367"/>
      <c r="O327" s="367"/>
      <c r="P327" s="367"/>
      <c r="Q327" s="97"/>
      <c r="R327" s="3898"/>
      <c r="S327" s="3898"/>
      <c r="T327" s="3898"/>
      <c r="U327" s="3898"/>
      <c r="V327" s="3898"/>
      <c r="W327" s="97"/>
      <c r="X327" s="711" t="s">
        <v>1179</v>
      </c>
      <c r="Y327" s="712">
        <v>1</v>
      </c>
      <c r="Z327" s="179"/>
      <c r="AA327" s="179"/>
      <c r="AB327" s="1053">
        <v>100000</v>
      </c>
      <c r="AC327" s="1048">
        <f t="shared" si="35"/>
        <v>100000</v>
      </c>
      <c r="AD327" s="1054"/>
      <c r="AE327" s="97"/>
      <c r="AF327" s="1041">
        <f t="shared" si="33"/>
        <v>100000</v>
      </c>
      <c r="AG327" s="1048">
        <v>0</v>
      </c>
      <c r="AH327" s="1048">
        <f t="shared" si="34"/>
        <v>100000</v>
      </c>
      <c r="AI327" s="867"/>
      <c r="AJ327" s="1015"/>
      <c r="AK327" s="1015"/>
      <c r="AL327" s="1015">
        <f t="shared" si="36"/>
        <v>20000</v>
      </c>
      <c r="AM327" s="1015">
        <f t="shared" si="37"/>
        <v>40000</v>
      </c>
      <c r="AN327" s="1015">
        <f t="shared" si="38"/>
        <v>40000</v>
      </c>
      <c r="AO327" s="1044">
        <f t="shared" si="25"/>
        <v>100000</v>
      </c>
      <c r="AP327" s="148"/>
      <c r="AQ327" s="1027"/>
      <c r="AR327" s="148"/>
      <c r="AS327" s="148"/>
      <c r="AT327" s="148"/>
      <c r="AU327" s="148"/>
      <c r="AV327" s="148"/>
      <c r="AW327" s="148"/>
      <c r="AX327" s="148"/>
      <c r="AY327" s="148"/>
    </row>
    <row r="328" spans="1:51" s="84" customFormat="1" ht="27.5" customHeight="1" outlineLevel="4">
      <c r="A328" s="159"/>
      <c r="B328" s="702" t="s">
        <v>1037</v>
      </c>
      <c r="C328" s="702"/>
      <c r="D328" s="533" t="s">
        <v>3530</v>
      </c>
      <c r="E328" s="533"/>
      <c r="F328" s="177"/>
      <c r="G328" s="97"/>
      <c r="H328" s="363"/>
      <c r="I328" s="363"/>
      <c r="J328" s="367"/>
      <c r="K328" s="367"/>
      <c r="L328" s="367"/>
      <c r="M328" s="367"/>
      <c r="N328" s="367"/>
      <c r="O328" s="367"/>
      <c r="P328" s="367"/>
      <c r="Q328" s="97"/>
      <c r="R328" s="3899"/>
      <c r="S328" s="3899"/>
      <c r="T328" s="3899"/>
      <c r="U328" s="3899"/>
      <c r="V328" s="3899"/>
      <c r="W328" s="97"/>
      <c r="X328" s="711" t="s">
        <v>1179</v>
      </c>
      <c r="Y328" s="712">
        <v>1</v>
      </c>
      <c r="Z328" s="179"/>
      <c r="AA328" s="179"/>
      <c r="AB328" s="1053">
        <v>100000</v>
      </c>
      <c r="AC328" s="1048">
        <f t="shared" si="35"/>
        <v>100000</v>
      </c>
      <c r="AD328" s="1054"/>
      <c r="AE328" s="97"/>
      <c r="AF328" s="1041">
        <f t="shared" si="33"/>
        <v>100000</v>
      </c>
      <c r="AG328" s="1048">
        <v>0</v>
      </c>
      <c r="AH328" s="1048">
        <f t="shared" si="34"/>
        <v>100000</v>
      </c>
      <c r="AI328" s="867"/>
      <c r="AJ328" s="1015"/>
      <c r="AK328" s="1015"/>
      <c r="AL328" s="1015">
        <f t="shared" si="36"/>
        <v>20000</v>
      </c>
      <c r="AM328" s="1015">
        <f t="shared" si="37"/>
        <v>40000</v>
      </c>
      <c r="AN328" s="1015">
        <f t="shared" si="38"/>
        <v>40000</v>
      </c>
      <c r="AO328" s="1044">
        <f t="shared" si="25"/>
        <v>100000</v>
      </c>
      <c r="AP328" s="148"/>
      <c r="AQ328" s="1027"/>
      <c r="AR328" s="148"/>
      <c r="AS328" s="148"/>
      <c r="AT328" s="148"/>
      <c r="AU328" s="148"/>
      <c r="AV328" s="148"/>
      <c r="AW328" s="148"/>
      <c r="AX328" s="148"/>
      <c r="AY328" s="148"/>
    </row>
    <row r="329" spans="1:51" s="84" customFormat="1" ht="14.5" customHeight="1" outlineLevel="4">
      <c r="A329" s="159"/>
      <c r="B329" s="702" t="s">
        <v>1039</v>
      </c>
      <c r="C329" s="702"/>
      <c r="D329" s="533" t="s">
        <v>3568</v>
      </c>
      <c r="E329" s="533"/>
      <c r="F329" s="177"/>
      <c r="G329" s="97"/>
      <c r="H329" s="363"/>
      <c r="I329" s="363"/>
      <c r="J329" s="367"/>
      <c r="K329" s="367"/>
      <c r="L329" s="367"/>
      <c r="M329" s="367"/>
      <c r="N329" s="367"/>
      <c r="O329" s="367"/>
      <c r="P329" s="367"/>
      <c r="Q329" s="97"/>
      <c r="R329" s="3897" t="str">
        <f>+'9.3_PA_Det'!$E$137</f>
        <v>Selección Basada en Calidad y Costo</v>
      </c>
      <c r="S329" s="3897" t="s">
        <v>1075</v>
      </c>
      <c r="T329" s="3897" t="s">
        <v>1198</v>
      </c>
      <c r="U329" s="3897">
        <f>+'9.3_PA_Det'!$F$137</f>
        <v>50</v>
      </c>
      <c r="V329" s="3897"/>
      <c r="W329" s="97"/>
      <c r="X329" s="711" t="s">
        <v>1179</v>
      </c>
      <c r="Y329" s="712">
        <v>1</v>
      </c>
      <c r="Z329" s="179"/>
      <c r="AA329" s="179"/>
      <c r="AB329" s="1053">
        <v>200000</v>
      </c>
      <c r="AC329" s="1048">
        <f t="shared" si="35"/>
        <v>200000</v>
      </c>
      <c r="AD329" s="714" t="s">
        <v>3569</v>
      </c>
      <c r="AE329" s="97"/>
      <c r="AF329" s="1041">
        <f t="shared" si="33"/>
        <v>200000</v>
      </c>
      <c r="AG329" s="1048">
        <v>0</v>
      </c>
      <c r="AH329" s="1048">
        <f t="shared" si="34"/>
        <v>200000</v>
      </c>
      <c r="AI329" s="867"/>
      <c r="AJ329" s="1015"/>
      <c r="AK329" s="1015"/>
      <c r="AL329" s="1015">
        <f t="shared" si="36"/>
        <v>40000</v>
      </c>
      <c r="AM329" s="1015">
        <f t="shared" si="37"/>
        <v>80000</v>
      </c>
      <c r="AN329" s="1015">
        <f t="shared" si="38"/>
        <v>80000</v>
      </c>
      <c r="AO329" s="1044">
        <f t="shared" si="25"/>
        <v>200000</v>
      </c>
      <c r="AP329" s="148"/>
      <c r="AQ329" s="1027"/>
      <c r="AR329" s="148"/>
      <c r="AS329" s="148"/>
      <c r="AT329" s="148"/>
      <c r="AU329" s="148"/>
      <c r="AV329" s="148"/>
      <c r="AW329" s="148"/>
      <c r="AX329" s="148"/>
      <c r="AY329" s="148"/>
    </row>
    <row r="330" spans="1:51" s="84" customFormat="1" ht="41.5" customHeight="1" outlineLevel="4">
      <c r="A330" s="159"/>
      <c r="B330" s="702" t="s">
        <v>1041</v>
      </c>
      <c r="C330" s="702"/>
      <c r="D330" s="703" t="s">
        <v>3570</v>
      </c>
      <c r="E330" s="703"/>
      <c r="F330" s="177"/>
      <c r="G330" s="97"/>
      <c r="H330" s="363"/>
      <c r="I330" s="363"/>
      <c r="J330" s="367"/>
      <c r="K330" s="367"/>
      <c r="L330" s="367"/>
      <c r="M330" s="367"/>
      <c r="N330" s="367"/>
      <c r="O330" s="367"/>
      <c r="P330" s="367"/>
      <c r="Q330" s="97"/>
      <c r="R330" s="3899"/>
      <c r="S330" s="3899"/>
      <c r="T330" s="3899"/>
      <c r="U330" s="3899"/>
      <c r="V330" s="3899"/>
      <c r="W330" s="97"/>
      <c r="X330" s="711" t="s">
        <v>1179</v>
      </c>
      <c r="Y330" s="712">
        <v>1</v>
      </c>
      <c r="Z330" s="179"/>
      <c r="AA330" s="179"/>
      <c r="AB330" s="1053">
        <v>200000</v>
      </c>
      <c r="AC330" s="1048">
        <f>+Y330*AB330</f>
        <v>200000</v>
      </c>
      <c r="AD330" s="942" t="s">
        <v>3571</v>
      </c>
      <c r="AE330" s="97"/>
      <c r="AF330" s="1041">
        <f>+AC330</f>
        <v>200000</v>
      </c>
      <c r="AG330" s="1048">
        <v>0</v>
      </c>
      <c r="AH330" s="1048">
        <f t="shared" si="34"/>
        <v>200000</v>
      </c>
      <c r="AI330" s="867"/>
      <c r="AJ330" s="1015"/>
      <c r="AK330" s="1015"/>
      <c r="AL330" s="1015">
        <f t="shared" si="36"/>
        <v>40000</v>
      </c>
      <c r="AM330" s="1015">
        <f t="shared" si="37"/>
        <v>80000</v>
      </c>
      <c r="AN330" s="1015">
        <f t="shared" si="38"/>
        <v>80000</v>
      </c>
      <c r="AO330" s="1044">
        <f t="shared" si="25"/>
        <v>200000</v>
      </c>
      <c r="AP330" s="148"/>
      <c r="AQ330" s="1027"/>
      <c r="AR330" s="148"/>
      <c r="AS330" s="148"/>
      <c r="AT330" s="148"/>
      <c r="AU330" s="148"/>
      <c r="AV330" s="148"/>
      <c r="AW330" s="148"/>
      <c r="AX330" s="148"/>
      <c r="AY330" s="148"/>
    </row>
    <row r="331" spans="1:51" s="153" customFormat="1" ht="58.25" customHeight="1" outlineLevel="3">
      <c r="A331" s="581"/>
      <c r="B331" s="400" t="s">
        <v>1047</v>
      </c>
      <c r="C331" s="400"/>
      <c r="D331" s="536" t="s">
        <v>3572</v>
      </c>
      <c r="E331" s="536"/>
      <c r="F331" s="399"/>
      <c r="G331" s="96"/>
      <c r="H331" s="401"/>
      <c r="I331" s="401"/>
      <c r="J331" s="402"/>
      <c r="K331" s="402"/>
      <c r="L331" s="402"/>
      <c r="M331" s="402"/>
      <c r="N331" s="402"/>
      <c r="O331" s="402"/>
      <c r="P331" s="402"/>
      <c r="Q331" s="96"/>
      <c r="R331" s="837"/>
      <c r="S331" s="851"/>
      <c r="T331" s="851"/>
      <c r="U331" s="851"/>
      <c r="V331" s="399"/>
      <c r="W331" s="96"/>
      <c r="X331" s="396"/>
      <c r="Y331" s="397"/>
      <c r="Z331" s="397"/>
      <c r="AA331" s="395"/>
      <c r="AB331" s="489"/>
      <c r="AC331" s="398">
        <f>SUM(AC332:AC335)</f>
        <v>325000</v>
      </c>
      <c r="AD331" s="691"/>
      <c r="AE331" s="96"/>
      <c r="AF331" s="398">
        <f>SUM(AF332:AF335)</f>
        <v>325000</v>
      </c>
      <c r="AG331" s="398">
        <f>SUM(AG332:AG335)</f>
        <v>0</v>
      </c>
      <c r="AH331" s="398">
        <f>SUM(AH332:AH335)</f>
        <v>325000</v>
      </c>
      <c r="AI331" s="865"/>
      <c r="AJ331" s="992">
        <f>SUM(AJ332:AJ335)</f>
        <v>0</v>
      </c>
      <c r="AK331" s="992">
        <f>SUM(AK332:AK335)</f>
        <v>0</v>
      </c>
      <c r="AL331" s="992">
        <f>SUM(AL332:AL335)</f>
        <v>325000</v>
      </c>
      <c r="AM331" s="993">
        <f>SUM(AM332:AM335)</f>
        <v>0</v>
      </c>
      <c r="AN331" s="1014">
        <f>SUM(AN332:AN335)</f>
        <v>0</v>
      </c>
      <c r="AO331" s="994">
        <f t="shared" si="25"/>
        <v>325000</v>
      </c>
      <c r="AQ331" s="1027"/>
    </row>
    <row r="332" spans="1:51" s="84" customFormat="1" ht="14" customHeight="1" outlineLevel="4">
      <c r="A332" s="159"/>
      <c r="B332" s="702" t="s">
        <v>3573</v>
      </c>
      <c r="C332" s="702"/>
      <c r="D332" s="533" t="s">
        <v>3525</v>
      </c>
      <c r="E332" s="533"/>
      <c r="F332" s="103"/>
      <c r="G332" s="97"/>
      <c r="H332" s="363"/>
      <c r="I332" s="363"/>
      <c r="J332" s="367"/>
      <c r="K332" s="367"/>
      <c r="L332" s="367"/>
      <c r="M332" s="367"/>
      <c r="N332" s="367"/>
      <c r="O332" s="367"/>
      <c r="P332" s="367"/>
      <c r="Q332" s="97"/>
      <c r="R332" s="3897" t="str">
        <f>+'9.3_PA_Det'!$E$137</f>
        <v>Selección Basada en Calidad y Costo</v>
      </c>
      <c r="S332" s="3897" t="s">
        <v>1075</v>
      </c>
      <c r="T332" s="3897" t="s">
        <v>1198</v>
      </c>
      <c r="U332" s="3897">
        <f>+'9.3_PA_Det'!$F$137</f>
        <v>50</v>
      </c>
      <c r="V332" s="3897"/>
      <c r="W332" s="97"/>
      <c r="X332" s="711" t="s">
        <v>1179</v>
      </c>
      <c r="Y332" s="712">
        <v>1</v>
      </c>
      <c r="Z332" s="179"/>
      <c r="AA332" s="179"/>
      <c r="AB332" s="1053">
        <v>75000</v>
      </c>
      <c r="AC332" s="1048">
        <f t="shared" si="35"/>
        <v>75000</v>
      </c>
      <c r="AD332" s="1054"/>
      <c r="AE332" s="97"/>
      <c r="AF332" s="1041">
        <f>+AC332</f>
        <v>75000</v>
      </c>
      <c r="AG332" s="1048">
        <v>0</v>
      </c>
      <c r="AH332" s="1053">
        <f>+AG332+AF332</f>
        <v>75000</v>
      </c>
      <c r="AI332" s="867"/>
      <c r="AJ332" s="986"/>
      <c r="AK332" s="986"/>
      <c r="AL332" s="986">
        <f>+AF332</f>
        <v>75000</v>
      </c>
      <c r="AM332" s="986"/>
      <c r="AN332" s="1055"/>
      <c r="AO332" s="1044">
        <f t="shared" si="25"/>
        <v>75000</v>
      </c>
      <c r="AP332" s="148"/>
      <c r="AQ332" s="1027"/>
      <c r="AR332" s="148"/>
      <c r="AS332" s="148"/>
      <c r="AT332" s="148"/>
      <c r="AU332" s="148"/>
      <c r="AV332" s="148"/>
      <c r="AW332" s="148"/>
      <c r="AX332" s="148"/>
      <c r="AY332" s="148"/>
    </row>
    <row r="333" spans="1:51" s="84" customFormat="1" ht="14" customHeight="1" outlineLevel="4">
      <c r="A333" s="159"/>
      <c r="B333" s="702" t="s">
        <v>3574</v>
      </c>
      <c r="C333" s="702"/>
      <c r="D333" s="533" t="s">
        <v>3526</v>
      </c>
      <c r="E333" s="533"/>
      <c r="F333" s="177"/>
      <c r="G333" s="97"/>
      <c r="H333" s="363"/>
      <c r="I333" s="363"/>
      <c r="J333" s="367"/>
      <c r="K333" s="367"/>
      <c r="L333" s="367"/>
      <c r="M333" s="367"/>
      <c r="N333" s="367"/>
      <c r="O333" s="367"/>
      <c r="P333" s="367"/>
      <c r="Q333" s="97"/>
      <c r="R333" s="3899"/>
      <c r="S333" s="3899"/>
      <c r="T333" s="3899"/>
      <c r="U333" s="3899"/>
      <c r="V333" s="3899"/>
      <c r="W333" s="97"/>
      <c r="X333" s="711" t="s">
        <v>1179</v>
      </c>
      <c r="Y333" s="712">
        <v>1</v>
      </c>
      <c r="Z333" s="179"/>
      <c r="AA333" s="179"/>
      <c r="AB333" s="1053">
        <v>100000</v>
      </c>
      <c r="AC333" s="1048">
        <f t="shared" si="35"/>
        <v>100000</v>
      </c>
      <c r="AD333" s="1054" t="s">
        <v>3575</v>
      </c>
      <c r="AE333" s="97"/>
      <c r="AF333" s="1041">
        <f>+AC333</f>
        <v>100000</v>
      </c>
      <c r="AG333" s="1048">
        <v>0</v>
      </c>
      <c r="AH333" s="1053">
        <f>+AG333+AF333</f>
        <v>100000</v>
      </c>
      <c r="AI333" s="867"/>
      <c r="AJ333" s="986"/>
      <c r="AK333" s="986"/>
      <c r="AL333" s="986">
        <f>+AF333</f>
        <v>100000</v>
      </c>
      <c r="AM333" s="986"/>
      <c r="AN333" s="1055"/>
      <c r="AO333" s="1044">
        <f t="shared" ref="AO333:AO396" si="39">SUM(AJ333:AN333)</f>
        <v>100000</v>
      </c>
      <c r="AP333" s="148"/>
      <c r="AQ333" s="1027"/>
      <c r="AR333" s="148"/>
      <c r="AS333" s="148"/>
      <c r="AT333" s="148"/>
      <c r="AU333" s="148"/>
      <c r="AV333" s="148"/>
      <c r="AW333" s="148"/>
      <c r="AX333" s="148"/>
      <c r="AY333" s="148"/>
    </row>
    <row r="334" spans="1:51" s="84" customFormat="1" ht="25.25" customHeight="1" outlineLevel="4">
      <c r="A334" s="159"/>
      <c r="B334" s="702" t="s">
        <v>3576</v>
      </c>
      <c r="C334" s="702"/>
      <c r="D334" s="1152" t="s">
        <v>3577</v>
      </c>
      <c r="E334" s="1152"/>
      <c r="F334" s="177"/>
      <c r="G334" s="97"/>
      <c r="H334" s="363"/>
      <c r="I334" s="363"/>
      <c r="J334" s="367"/>
      <c r="K334" s="367"/>
      <c r="L334" s="367"/>
      <c r="M334" s="367"/>
      <c r="N334" s="367"/>
      <c r="O334" s="367"/>
      <c r="P334" s="367"/>
      <c r="Q334" s="97"/>
      <c r="R334" s="3897" t="str">
        <f>+'9.3_PA_Det'!$E$145</f>
        <v>Selección Basada en Calidad y Costo</v>
      </c>
      <c r="S334" s="3897" t="s">
        <v>1075</v>
      </c>
      <c r="T334" s="3897" t="s">
        <v>1198</v>
      </c>
      <c r="U334" s="3897">
        <f>+'9.3_PA_Det'!$F$145</f>
        <v>51</v>
      </c>
      <c r="V334" s="3897"/>
      <c r="W334" s="97"/>
      <c r="X334" s="711" t="s">
        <v>1179</v>
      </c>
      <c r="Y334" s="712">
        <v>1</v>
      </c>
      <c r="Z334" s="179"/>
      <c r="AA334" s="179"/>
      <c r="AB334" s="1053">
        <v>50000</v>
      </c>
      <c r="AC334" s="1048">
        <f t="shared" si="35"/>
        <v>50000</v>
      </c>
      <c r="AD334" s="1054"/>
      <c r="AE334" s="97"/>
      <c r="AF334" s="1041">
        <f>+AC334</f>
        <v>50000</v>
      </c>
      <c r="AG334" s="1048">
        <v>0</v>
      </c>
      <c r="AH334" s="1053">
        <f>+AG334+AF334</f>
        <v>50000</v>
      </c>
      <c r="AI334" s="867"/>
      <c r="AJ334" s="986"/>
      <c r="AK334" s="986"/>
      <c r="AL334" s="986">
        <f>+AF334</f>
        <v>50000</v>
      </c>
      <c r="AM334" s="986"/>
      <c r="AN334" s="1055"/>
      <c r="AO334" s="1044">
        <f t="shared" si="39"/>
        <v>50000</v>
      </c>
      <c r="AP334" s="148"/>
      <c r="AQ334" s="1027"/>
      <c r="AR334" s="148"/>
      <c r="AS334" s="148"/>
      <c r="AT334" s="148"/>
      <c r="AU334" s="148"/>
      <c r="AV334" s="148"/>
      <c r="AW334" s="148"/>
      <c r="AX334" s="148"/>
      <c r="AY334" s="148"/>
    </row>
    <row r="335" spans="1:51" s="84" customFormat="1" ht="27.5" customHeight="1" outlineLevel="4">
      <c r="A335" s="159"/>
      <c r="B335" s="702" t="s">
        <v>3578</v>
      </c>
      <c r="C335" s="702"/>
      <c r="D335" s="533" t="s">
        <v>3530</v>
      </c>
      <c r="E335" s="533"/>
      <c r="F335" s="177"/>
      <c r="G335" s="97"/>
      <c r="H335" s="363"/>
      <c r="I335" s="363"/>
      <c r="J335" s="367"/>
      <c r="K335" s="367"/>
      <c r="L335" s="367"/>
      <c r="M335" s="367"/>
      <c r="N335" s="367"/>
      <c r="O335" s="367"/>
      <c r="P335" s="367"/>
      <c r="Q335" s="97"/>
      <c r="R335" s="3899"/>
      <c r="S335" s="3899"/>
      <c r="T335" s="3899"/>
      <c r="U335" s="3899"/>
      <c r="V335" s="3899"/>
      <c r="W335" s="97"/>
      <c r="X335" s="711" t="s">
        <v>1179</v>
      </c>
      <c r="Y335" s="712">
        <v>1</v>
      </c>
      <c r="Z335" s="179"/>
      <c r="AA335" s="179"/>
      <c r="AB335" s="1053">
        <v>100000</v>
      </c>
      <c r="AC335" s="1048">
        <f t="shared" si="35"/>
        <v>100000</v>
      </c>
      <c r="AD335" s="1054"/>
      <c r="AE335" s="97"/>
      <c r="AF335" s="1041">
        <f>+AC335</f>
        <v>100000</v>
      </c>
      <c r="AG335" s="1048">
        <v>0</v>
      </c>
      <c r="AH335" s="1053">
        <f>+AG335+AF335</f>
        <v>100000</v>
      </c>
      <c r="AI335" s="867"/>
      <c r="AJ335" s="986"/>
      <c r="AK335" s="986"/>
      <c r="AL335" s="986">
        <f>+AF335</f>
        <v>100000</v>
      </c>
      <c r="AM335" s="986"/>
      <c r="AN335" s="1055"/>
      <c r="AO335" s="1044">
        <f t="shared" si="39"/>
        <v>100000</v>
      </c>
      <c r="AP335" s="148"/>
      <c r="AQ335" s="1027"/>
      <c r="AR335" s="148"/>
      <c r="AS335" s="148"/>
      <c r="AT335" s="148"/>
      <c r="AU335" s="148"/>
      <c r="AV335" s="148"/>
      <c r="AW335" s="148"/>
      <c r="AX335" s="148"/>
      <c r="AY335" s="148"/>
    </row>
    <row r="336" spans="1:51" s="153" customFormat="1" ht="69" customHeight="1" outlineLevel="3">
      <c r="A336" s="581"/>
      <c r="B336" s="400" t="s">
        <v>1618</v>
      </c>
      <c r="C336" s="400"/>
      <c r="D336" s="536" t="s">
        <v>3579</v>
      </c>
      <c r="E336" s="536"/>
      <c r="F336" s="399"/>
      <c r="G336" s="96"/>
      <c r="H336" s="401"/>
      <c r="I336" s="401"/>
      <c r="J336" s="402"/>
      <c r="K336" s="402"/>
      <c r="L336" s="402"/>
      <c r="M336" s="402"/>
      <c r="N336" s="402"/>
      <c r="O336" s="402"/>
      <c r="P336" s="402"/>
      <c r="Q336" s="96"/>
      <c r="R336" s="837"/>
      <c r="S336" s="851"/>
      <c r="T336" s="851"/>
      <c r="U336" s="851"/>
      <c r="V336" s="399"/>
      <c r="W336" s="96"/>
      <c r="X336" s="396"/>
      <c r="Y336" s="397"/>
      <c r="Z336" s="397"/>
      <c r="AA336" s="395"/>
      <c r="AB336" s="489"/>
      <c r="AC336" s="398">
        <f>SUM(AC337:AC340)</f>
        <v>325000</v>
      </c>
      <c r="AD336" s="691"/>
      <c r="AE336" s="96"/>
      <c r="AF336" s="398">
        <f>SUM(AF337:AF340)</f>
        <v>325000</v>
      </c>
      <c r="AG336" s="398">
        <f>SUM(AG337:AG340)</f>
        <v>0</v>
      </c>
      <c r="AH336" s="398">
        <f>SUM(AH337:AH340)</f>
        <v>325000</v>
      </c>
      <c r="AI336" s="865"/>
      <c r="AJ336" s="992">
        <f>SUM(AJ337:AJ340)</f>
        <v>0</v>
      </c>
      <c r="AK336" s="992">
        <f>SUM(AK337:AK340)</f>
        <v>0</v>
      </c>
      <c r="AL336" s="992">
        <f>SUM(AL337:AL340)</f>
        <v>0</v>
      </c>
      <c r="AM336" s="993">
        <f>SUM(AM337:AM340)</f>
        <v>325000</v>
      </c>
      <c r="AN336" s="1014">
        <f>SUM(AN337:AN340)</f>
        <v>0</v>
      </c>
      <c r="AO336" s="994">
        <f t="shared" si="39"/>
        <v>325000</v>
      </c>
      <c r="AQ336" s="1027"/>
    </row>
    <row r="337" spans="1:51" s="84" customFormat="1" ht="14" customHeight="1" outlineLevel="4">
      <c r="A337" s="159"/>
      <c r="B337" s="702" t="s">
        <v>3580</v>
      </c>
      <c r="C337" s="702"/>
      <c r="D337" s="533" t="s">
        <v>3525</v>
      </c>
      <c r="E337" s="533"/>
      <c r="F337" s="103"/>
      <c r="G337" s="97"/>
      <c r="H337" s="363"/>
      <c r="I337" s="363"/>
      <c r="J337" s="367"/>
      <c r="K337" s="367"/>
      <c r="L337" s="367"/>
      <c r="M337" s="367"/>
      <c r="N337" s="367"/>
      <c r="O337" s="367"/>
      <c r="P337" s="367"/>
      <c r="Q337" s="97"/>
      <c r="R337" s="364" t="s">
        <v>723</v>
      </c>
      <c r="S337" s="364"/>
      <c r="T337" s="931"/>
      <c r="U337" s="364"/>
      <c r="V337" s="177"/>
      <c r="W337" s="97"/>
      <c r="X337" s="711" t="s">
        <v>3581</v>
      </c>
      <c r="Y337" s="712">
        <v>1</v>
      </c>
      <c r="Z337" s="179"/>
      <c r="AA337" s="179"/>
      <c r="AB337" s="1053">
        <v>75000</v>
      </c>
      <c r="AC337" s="1048">
        <f t="shared" si="35"/>
        <v>75000</v>
      </c>
      <c r="AD337" s="1054"/>
      <c r="AE337" s="97"/>
      <c r="AF337" s="1041">
        <f>+AC337</f>
        <v>75000</v>
      </c>
      <c r="AG337" s="1048">
        <v>0</v>
      </c>
      <c r="AH337" s="1053">
        <f>+AG337+AF337</f>
        <v>75000</v>
      </c>
      <c r="AI337" s="867"/>
      <c r="AJ337" s="986"/>
      <c r="AK337" s="986"/>
      <c r="AL337" s="986"/>
      <c r="AM337" s="986">
        <f>+AF337</f>
        <v>75000</v>
      </c>
      <c r="AN337" s="1055"/>
      <c r="AO337" s="1044">
        <f t="shared" si="39"/>
        <v>75000</v>
      </c>
      <c r="AP337" s="148"/>
      <c r="AQ337" s="1027"/>
      <c r="AR337" s="148"/>
      <c r="AS337" s="148"/>
      <c r="AT337" s="148"/>
      <c r="AU337" s="148"/>
      <c r="AV337" s="148"/>
      <c r="AW337" s="148"/>
      <c r="AX337" s="148"/>
      <c r="AY337" s="148"/>
    </row>
    <row r="338" spans="1:51" s="84" customFormat="1" ht="14" customHeight="1" outlineLevel="4">
      <c r="A338" s="159"/>
      <c r="B338" s="702" t="s">
        <v>3582</v>
      </c>
      <c r="C338" s="702"/>
      <c r="D338" s="533" t="s">
        <v>3526</v>
      </c>
      <c r="E338" s="533"/>
      <c r="F338" s="177"/>
      <c r="G338" s="97"/>
      <c r="H338" s="363"/>
      <c r="I338" s="363"/>
      <c r="J338" s="367"/>
      <c r="K338" s="367"/>
      <c r="L338" s="367"/>
      <c r="M338" s="367"/>
      <c r="N338" s="367"/>
      <c r="O338" s="367"/>
      <c r="P338" s="367"/>
      <c r="Q338" s="97"/>
      <c r="R338" s="364" t="s">
        <v>723</v>
      </c>
      <c r="S338" s="364"/>
      <c r="T338" s="931"/>
      <c r="U338" s="364"/>
      <c r="V338" s="177"/>
      <c r="W338" s="97"/>
      <c r="X338" s="711" t="s">
        <v>3581</v>
      </c>
      <c r="Y338" s="712">
        <v>1</v>
      </c>
      <c r="Z338" s="179"/>
      <c r="AA338" s="179"/>
      <c r="AB338" s="1053">
        <v>100000</v>
      </c>
      <c r="AC338" s="1048">
        <f t="shared" si="35"/>
        <v>100000</v>
      </c>
      <c r="AD338" s="1054"/>
      <c r="AE338" s="97"/>
      <c r="AF338" s="1041">
        <f>+AC338</f>
        <v>100000</v>
      </c>
      <c r="AG338" s="1048">
        <v>0</v>
      </c>
      <c r="AH338" s="1053">
        <f>+AG338+AF338</f>
        <v>100000</v>
      </c>
      <c r="AI338" s="867"/>
      <c r="AJ338" s="986"/>
      <c r="AK338" s="986"/>
      <c r="AL338" s="986"/>
      <c r="AM338" s="986">
        <f>+AF338</f>
        <v>100000</v>
      </c>
      <c r="AN338" s="1055"/>
      <c r="AO338" s="1044">
        <f t="shared" si="39"/>
        <v>100000</v>
      </c>
      <c r="AP338" s="148"/>
      <c r="AQ338" s="1027"/>
      <c r="AR338" s="148"/>
      <c r="AS338" s="148"/>
      <c r="AT338" s="148"/>
      <c r="AU338" s="148"/>
      <c r="AV338" s="148"/>
      <c r="AW338" s="148"/>
      <c r="AX338" s="148"/>
      <c r="AY338" s="148"/>
    </row>
    <row r="339" spans="1:51" s="84" customFormat="1" ht="25.25" customHeight="1" outlineLevel="4">
      <c r="A339" s="159"/>
      <c r="B339" s="702" t="s">
        <v>3583</v>
      </c>
      <c r="C339" s="702"/>
      <c r="D339" s="1152" t="s">
        <v>3584</v>
      </c>
      <c r="E339" s="1152"/>
      <c r="F339" s="177"/>
      <c r="G339" s="97"/>
      <c r="H339" s="363"/>
      <c r="I339" s="363"/>
      <c r="J339" s="367"/>
      <c r="K339" s="367"/>
      <c r="L339" s="367"/>
      <c r="M339" s="367"/>
      <c r="N339" s="367"/>
      <c r="O339" s="367"/>
      <c r="P339" s="367"/>
      <c r="Q339" s="97"/>
      <c r="R339" s="364" t="s">
        <v>723</v>
      </c>
      <c r="S339" s="364"/>
      <c r="T339" s="931"/>
      <c r="U339" s="364"/>
      <c r="V339" s="177"/>
      <c r="W339" s="97"/>
      <c r="X339" s="711" t="s">
        <v>3581</v>
      </c>
      <c r="Y339" s="712">
        <v>1</v>
      </c>
      <c r="Z339" s="179"/>
      <c r="AA339" s="179"/>
      <c r="AB339" s="1053">
        <v>50000</v>
      </c>
      <c r="AC339" s="1048">
        <f t="shared" si="35"/>
        <v>50000</v>
      </c>
      <c r="AD339" s="1054"/>
      <c r="AE339" s="97"/>
      <c r="AF339" s="1041">
        <f>+AC339</f>
        <v>50000</v>
      </c>
      <c r="AG339" s="1048">
        <v>0</v>
      </c>
      <c r="AH339" s="1053">
        <f>+AG339+AF339</f>
        <v>50000</v>
      </c>
      <c r="AI339" s="867"/>
      <c r="AJ339" s="986"/>
      <c r="AK339" s="986"/>
      <c r="AL339" s="986"/>
      <c r="AM339" s="986">
        <f>+AF339</f>
        <v>50000</v>
      </c>
      <c r="AN339" s="1055"/>
      <c r="AO339" s="1044">
        <f t="shared" si="39"/>
        <v>50000</v>
      </c>
      <c r="AP339" s="148"/>
      <c r="AQ339" s="1027"/>
      <c r="AR339" s="148"/>
      <c r="AS339" s="148"/>
      <c r="AT339" s="148"/>
      <c r="AU339" s="148"/>
      <c r="AV339" s="148"/>
      <c r="AW339" s="148"/>
      <c r="AX339" s="148"/>
      <c r="AY339" s="148"/>
    </row>
    <row r="340" spans="1:51" s="84" customFormat="1" ht="27.5" customHeight="1" outlineLevel="4">
      <c r="A340" s="159"/>
      <c r="B340" s="702" t="s">
        <v>3585</v>
      </c>
      <c r="C340" s="702"/>
      <c r="D340" s="533" t="s">
        <v>3530</v>
      </c>
      <c r="E340" s="533"/>
      <c r="F340" s="177"/>
      <c r="G340" s="97"/>
      <c r="H340" s="363"/>
      <c r="I340" s="363"/>
      <c r="J340" s="367"/>
      <c r="K340" s="367"/>
      <c r="L340" s="367"/>
      <c r="M340" s="367"/>
      <c r="N340" s="367"/>
      <c r="O340" s="367"/>
      <c r="P340" s="367"/>
      <c r="Q340" s="97"/>
      <c r="R340" s="364" t="s">
        <v>723</v>
      </c>
      <c r="S340" s="364"/>
      <c r="T340" s="931"/>
      <c r="U340" s="364"/>
      <c r="V340" s="177"/>
      <c r="W340" s="97"/>
      <c r="X340" s="711" t="s">
        <v>3581</v>
      </c>
      <c r="Y340" s="712">
        <v>1</v>
      </c>
      <c r="Z340" s="179"/>
      <c r="AA340" s="179"/>
      <c r="AB340" s="1053">
        <v>100000</v>
      </c>
      <c r="AC340" s="1048">
        <f t="shared" si="35"/>
        <v>100000</v>
      </c>
      <c r="AD340" s="1054"/>
      <c r="AE340" s="97"/>
      <c r="AF340" s="1041">
        <f>+AC340</f>
        <v>100000</v>
      </c>
      <c r="AG340" s="1048">
        <v>0</v>
      </c>
      <c r="AH340" s="1053">
        <f>+AG340+AF340</f>
        <v>100000</v>
      </c>
      <c r="AI340" s="867"/>
      <c r="AJ340" s="986"/>
      <c r="AK340" s="986"/>
      <c r="AL340" s="986"/>
      <c r="AM340" s="986">
        <f>+AF340</f>
        <v>100000</v>
      </c>
      <c r="AN340" s="1055"/>
      <c r="AO340" s="1044">
        <f t="shared" si="39"/>
        <v>100000</v>
      </c>
      <c r="AP340" s="148"/>
      <c r="AQ340" s="1027"/>
      <c r="AR340" s="148"/>
      <c r="AS340" s="148"/>
      <c r="AT340" s="148"/>
      <c r="AU340" s="148"/>
      <c r="AV340" s="148"/>
      <c r="AW340" s="148"/>
      <c r="AX340" s="148"/>
      <c r="AY340" s="148"/>
    </row>
    <row r="341" spans="1:51" s="153" customFormat="1" ht="26.5" customHeight="1" outlineLevel="3">
      <c r="A341" s="581"/>
      <c r="B341" s="400" t="s">
        <v>3586</v>
      </c>
      <c r="C341" s="400"/>
      <c r="D341" s="536" t="s">
        <v>3587</v>
      </c>
      <c r="E341" s="536"/>
      <c r="F341" s="399"/>
      <c r="G341" s="96"/>
      <c r="H341" s="401"/>
      <c r="I341" s="401"/>
      <c r="J341" s="402"/>
      <c r="K341" s="402"/>
      <c r="L341" s="402"/>
      <c r="M341" s="402"/>
      <c r="N341" s="402"/>
      <c r="O341" s="402"/>
      <c r="P341" s="402"/>
      <c r="Q341" s="96"/>
      <c r="R341" s="837"/>
      <c r="S341" s="851"/>
      <c r="T341" s="851"/>
      <c r="U341" s="851"/>
      <c r="V341" s="399"/>
      <c r="W341" s="96"/>
      <c r="X341" s="396"/>
      <c r="Y341" s="397"/>
      <c r="Z341" s="397"/>
      <c r="AA341" s="395"/>
      <c r="AB341" s="398"/>
      <c r="AC341" s="398">
        <f>SUM(AC342:AC345)</f>
        <v>375000</v>
      </c>
      <c r="AD341" s="691"/>
      <c r="AE341" s="96"/>
      <c r="AF341" s="398">
        <f>SUM(AF342:AF345)</f>
        <v>375000</v>
      </c>
      <c r="AG341" s="398">
        <f>SUM(AG342:AG345)</f>
        <v>0</v>
      </c>
      <c r="AH341" s="398">
        <f>SUM(AH342:AH345)</f>
        <v>375000</v>
      </c>
      <c r="AI341" s="865"/>
      <c r="AJ341" s="992">
        <f>SUM(AJ342:AJ345)</f>
        <v>0</v>
      </c>
      <c r="AK341" s="992">
        <f>SUM(AK342:AK345)</f>
        <v>0</v>
      </c>
      <c r="AL341" s="992">
        <f>SUM(AL342:AL345)</f>
        <v>0</v>
      </c>
      <c r="AM341" s="993">
        <f>SUM(AM342:AM345)</f>
        <v>0</v>
      </c>
      <c r="AN341" s="994">
        <f>SUM(AN342:AN345)</f>
        <v>375000</v>
      </c>
      <c r="AO341" s="994">
        <f t="shared" si="39"/>
        <v>375000</v>
      </c>
      <c r="AQ341" s="1027"/>
    </row>
    <row r="342" spans="1:51" s="84" customFormat="1" ht="14" customHeight="1" outlineLevel="4">
      <c r="A342" s="159"/>
      <c r="B342" s="702" t="s">
        <v>3588</v>
      </c>
      <c r="C342" s="702"/>
      <c r="D342" s="533" t="s">
        <v>3525</v>
      </c>
      <c r="E342" s="533"/>
      <c r="F342" s="103"/>
      <c r="G342" s="97"/>
      <c r="H342" s="363"/>
      <c r="I342" s="363"/>
      <c r="J342" s="367"/>
      <c r="K342" s="367"/>
      <c r="L342" s="367"/>
      <c r="M342" s="367"/>
      <c r="N342" s="367"/>
      <c r="O342" s="367"/>
      <c r="P342" s="367"/>
      <c r="Q342" s="97"/>
      <c r="R342" s="364" t="s">
        <v>723</v>
      </c>
      <c r="S342" s="364"/>
      <c r="T342" s="931"/>
      <c r="U342" s="364"/>
      <c r="V342" s="177"/>
      <c r="W342" s="97"/>
      <c r="X342" s="711" t="s">
        <v>3581</v>
      </c>
      <c r="Y342" s="712">
        <v>1</v>
      </c>
      <c r="Z342" s="179"/>
      <c r="AA342" s="179"/>
      <c r="AB342" s="1053">
        <v>75000</v>
      </c>
      <c r="AC342" s="1048">
        <v>75000</v>
      </c>
      <c r="AD342" s="1054"/>
      <c r="AE342" s="97"/>
      <c r="AF342" s="1041">
        <f>+AC342</f>
        <v>75000</v>
      </c>
      <c r="AG342" s="1048">
        <v>0</v>
      </c>
      <c r="AH342" s="1053">
        <f>+AG342+AF342</f>
        <v>75000</v>
      </c>
      <c r="AI342" s="867"/>
      <c r="AJ342" s="986"/>
      <c r="AK342" s="986"/>
      <c r="AL342" s="986"/>
      <c r="AM342" s="986"/>
      <c r="AN342" s="1055">
        <f>+AF342</f>
        <v>75000</v>
      </c>
      <c r="AO342" s="1044">
        <f t="shared" si="39"/>
        <v>75000</v>
      </c>
      <c r="AP342" s="148"/>
      <c r="AQ342" s="1027"/>
      <c r="AR342" s="148"/>
      <c r="AS342" s="148"/>
      <c r="AT342" s="148"/>
      <c r="AU342" s="148"/>
      <c r="AV342" s="148"/>
      <c r="AW342" s="148"/>
      <c r="AX342" s="148"/>
      <c r="AY342" s="148"/>
    </row>
    <row r="343" spans="1:51" s="84" customFormat="1" ht="14" customHeight="1" outlineLevel="4">
      <c r="A343" s="159"/>
      <c r="B343" s="702" t="s">
        <v>3589</v>
      </c>
      <c r="C343" s="702"/>
      <c r="D343" s="533" t="s">
        <v>3526</v>
      </c>
      <c r="E343" s="533"/>
      <c r="F343" s="177"/>
      <c r="G343" s="97"/>
      <c r="H343" s="363"/>
      <c r="I343" s="363"/>
      <c r="J343" s="367"/>
      <c r="K343" s="367"/>
      <c r="L343" s="367"/>
      <c r="M343" s="367"/>
      <c r="N343" s="367"/>
      <c r="O343" s="367"/>
      <c r="P343" s="367"/>
      <c r="Q343" s="97"/>
      <c r="R343" s="364" t="s">
        <v>723</v>
      </c>
      <c r="S343" s="364"/>
      <c r="T343" s="931"/>
      <c r="U343" s="364"/>
      <c r="V343" s="177"/>
      <c r="W343" s="97"/>
      <c r="X343" s="711" t="s">
        <v>3581</v>
      </c>
      <c r="Y343" s="712">
        <v>1</v>
      </c>
      <c r="Z343" s="179"/>
      <c r="AA343" s="179"/>
      <c r="AB343" s="1053">
        <v>100000</v>
      </c>
      <c r="AC343" s="1048">
        <v>100000</v>
      </c>
      <c r="AD343" s="1054"/>
      <c r="AE343" s="97"/>
      <c r="AF343" s="1041">
        <f>+AC343</f>
        <v>100000</v>
      </c>
      <c r="AG343" s="1048">
        <v>0</v>
      </c>
      <c r="AH343" s="1053">
        <f>+AG343+AF343</f>
        <v>100000</v>
      </c>
      <c r="AI343" s="867"/>
      <c r="AJ343" s="986"/>
      <c r="AK343" s="986"/>
      <c r="AL343" s="986"/>
      <c r="AM343" s="986"/>
      <c r="AN343" s="1055">
        <f>+AF343</f>
        <v>100000</v>
      </c>
      <c r="AO343" s="1044">
        <f t="shared" si="39"/>
        <v>100000</v>
      </c>
      <c r="AP343" s="148"/>
      <c r="AQ343" s="1027"/>
      <c r="AR343" s="148"/>
      <c r="AS343" s="148"/>
      <c r="AT343" s="148"/>
      <c r="AU343" s="148"/>
      <c r="AV343" s="148"/>
      <c r="AW343" s="148"/>
      <c r="AX343" s="148"/>
      <c r="AY343" s="148"/>
    </row>
    <row r="344" spans="1:51" s="84" customFormat="1" ht="25.25" customHeight="1" outlineLevel="4">
      <c r="A344" s="159"/>
      <c r="B344" s="702" t="s">
        <v>3590</v>
      </c>
      <c r="C344" s="702"/>
      <c r="D344" s="1152" t="s">
        <v>3591</v>
      </c>
      <c r="E344" s="1152"/>
      <c r="F344" s="177"/>
      <c r="G344" s="97"/>
      <c r="H344" s="363"/>
      <c r="I344" s="363"/>
      <c r="J344" s="367"/>
      <c r="K344" s="367"/>
      <c r="L344" s="367"/>
      <c r="M344" s="367"/>
      <c r="N344" s="367"/>
      <c r="O344" s="367"/>
      <c r="P344" s="367"/>
      <c r="Q344" s="97"/>
      <c r="R344" s="364" t="s">
        <v>723</v>
      </c>
      <c r="S344" s="364"/>
      <c r="T344" s="931"/>
      <c r="U344" s="364"/>
      <c r="V344" s="177"/>
      <c r="W344" s="97"/>
      <c r="X344" s="711" t="s">
        <v>3581</v>
      </c>
      <c r="Y344" s="712">
        <v>1</v>
      </c>
      <c r="Z344" s="179"/>
      <c r="AA344" s="179"/>
      <c r="AB344" s="1053">
        <v>100000</v>
      </c>
      <c r="AC344" s="1048">
        <v>100000</v>
      </c>
      <c r="AD344" s="1054"/>
      <c r="AE344" s="97"/>
      <c r="AF344" s="1041">
        <f>+AC344</f>
        <v>100000</v>
      </c>
      <c r="AG344" s="1048">
        <v>0</v>
      </c>
      <c r="AH344" s="1053">
        <f>+AG344+AF344</f>
        <v>100000</v>
      </c>
      <c r="AI344" s="867"/>
      <c r="AJ344" s="986"/>
      <c r="AK344" s="986"/>
      <c r="AL344" s="986"/>
      <c r="AM344" s="986"/>
      <c r="AN344" s="1055">
        <f>+AF344</f>
        <v>100000</v>
      </c>
      <c r="AO344" s="1044">
        <f t="shared" si="39"/>
        <v>100000</v>
      </c>
      <c r="AP344" s="148"/>
      <c r="AQ344" s="1027"/>
      <c r="AR344" s="148"/>
      <c r="AS344" s="148"/>
      <c r="AT344" s="148"/>
      <c r="AU344" s="148"/>
      <c r="AV344" s="148"/>
      <c r="AW344" s="148"/>
      <c r="AX344" s="148"/>
      <c r="AY344" s="148"/>
    </row>
    <row r="345" spans="1:51" s="84" customFormat="1" ht="27.5" customHeight="1" outlineLevel="4">
      <c r="A345" s="159"/>
      <c r="B345" s="702" t="s">
        <v>3592</v>
      </c>
      <c r="C345" s="702"/>
      <c r="D345" s="533" t="s">
        <v>3530</v>
      </c>
      <c r="E345" s="533"/>
      <c r="F345" s="177"/>
      <c r="G345" s="97"/>
      <c r="H345" s="363"/>
      <c r="I345" s="363"/>
      <c r="J345" s="367"/>
      <c r="K345" s="367"/>
      <c r="L345" s="367"/>
      <c r="M345" s="367"/>
      <c r="N345" s="367"/>
      <c r="O345" s="367"/>
      <c r="P345" s="367"/>
      <c r="Q345" s="97"/>
      <c r="R345" s="364" t="s">
        <v>723</v>
      </c>
      <c r="S345" s="364"/>
      <c r="T345" s="931"/>
      <c r="U345" s="364"/>
      <c r="V345" s="177"/>
      <c r="W345" s="97"/>
      <c r="X345" s="711" t="s">
        <v>3581</v>
      </c>
      <c r="Y345" s="712">
        <v>1</v>
      </c>
      <c r="Z345" s="179"/>
      <c r="AA345" s="179"/>
      <c r="AB345" s="1053">
        <v>100000</v>
      </c>
      <c r="AC345" s="1048">
        <v>100000</v>
      </c>
      <c r="AD345" s="1054"/>
      <c r="AE345" s="97"/>
      <c r="AF345" s="1041">
        <f>+AC345</f>
        <v>100000</v>
      </c>
      <c r="AG345" s="1048">
        <v>0</v>
      </c>
      <c r="AH345" s="1053">
        <f>+AG345+AF345</f>
        <v>100000</v>
      </c>
      <c r="AI345" s="867"/>
      <c r="AJ345" s="986"/>
      <c r="AK345" s="986"/>
      <c r="AL345" s="986"/>
      <c r="AM345" s="986"/>
      <c r="AN345" s="1055">
        <f>+AF345</f>
        <v>100000</v>
      </c>
      <c r="AO345" s="1044">
        <f t="shared" si="39"/>
        <v>100000</v>
      </c>
      <c r="AP345" s="148"/>
      <c r="AQ345" s="1027"/>
      <c r="AR345" s="148"/>
      <c r="AS345" s="148"/>
      <c r="AT345" s="148"/>
      <c r="AU345" s="148"/>
      <c r="AV345" s="148"/>
      <c r="AW345" s="148"/>
      <c r="AX345" s="148"/>
      <c r="AY345" s="148"/>
    </row>
    <row r="346" spans="1:51" s="84" customFormat="1" ht="14" customHeight="1" outlineLevel="3">
      <c r="A346" s="159"/>
      <c r="B346" s="702"/>
      <c r="C346" s="702"/>
      <c r="D346" s="533"/>
      <c r="E346" s="533"/>
      <c r="F346" s="177"/>
      <c r="G346" s="97"/>
      <c r="H346" s="363"/>
      <c r="I346" s="363"/>
      <c r="J346" s="367"/>
      <c r="K346" s="367"/>
      <c r="L346" s="367"/>
      <c r="M346" s="367"/>
      <c r="N346" s="367"/>
      <c r="O346" s="367"/>
      <c r="P346" s="367"/>
      <c r="Q346" s="97"/>
      <c r="R346" s="364"/>
      <c r="S346" s="364"/>
      <c r="T346" s="364"/>
      <c r="U346" s="364"/>
      <c r="V346" s="177"/>
      <c r="W346" s="97"/>
      <c r="X346" s="711"/>
      <c r="Y346" s="159"/>
      <c r="Z346" s="179"/>
      <c r="AA346" s="179"/>
      <c r="AB346" s="1053"/>
      <c r="AC346" s="1048"/>
      <c r="AD346" s="714"/>
      <c r="AE346" s="97"/>
      <c r="AF346" s="1041"/>
      <c r="AG346" s="1048"/>
      <c r="AH346" s="1053"/>
      <c r="AI346" s="867"/>
      <c r="AJ346" s="1001"/>
      <c r="AK346" s="1001"/>
      <c r="AL346" s="986"/>
      <c r="AM346" s="986"/>
      <c r="AN346" s="1055"/>
      <c r="AO346" s="1038">
        <f t="shared" si="39"/>
        <v>0</v>
      </c>
      <c r="AP346" s="148"/>
      <c r="AQ346" s="1027"/>
      <c r="AR346" s="148"/>
      <c r="AS346" s="148"/>
      <c r="AT346" s="148"/>
      <c r="AU346" s="148"/>
      <c r="AV346" s="148"/>
      <c r="AW346" s="148"/>
      <c r="AX346" s="148"/>
      <c r="AY346" s="148"/>
    </row>
    <row r="347" spans="1:51" s="108" customFormat="1" ht="14" customHeight="1" outlineLevel="2">
      <c r="A347" s="580"/>
      <c r="B347" s="107"/>
      <c r="C347" s="107"/>
      <c r="D347" s="533"/>
      <c r="E347" s="533"/>
      <c r="F347" s="103"/>
      <c r="G347" s="97"/>
      <c r="H347" s="363"/>
      <c r="I347" s="364"/>
      <c r="J347" s="365"/>
      <c r="K347" s="365"/>
      <c r="L347" s="365"/>
      <c r="M347" s="365"/>
      <c r="N347" s="365"/>
      <c r="O347" s="365"/>
      <c r="P347" s="365"/>
      <c r="Q347" s="97"/>
      <c r="R347" s="364"/>
      <c r="S347" s="364"/>
      <c r="T347" s="364"/>
      <c r="U347" s="364"/>
      <c r="V347" s="181"/>
      <c r="W347" s="97"/>
      <c r="X347" s="711"/>
      <c r="Y347" s="712"/>
      <c r="Z347" s="179"/>
      <c r="AA347" s="180"/>
      <c r="AB347" s="1032"/>
      <c r="AC347" s="1032"/>
      <c r="AD347" s="1042"/>
      <c r="AE347" s="97"/>
      <c r="AF347" s="1032"/>
      <c r="AG347" s="1032"/>
      <c r="AH347" s="1041"/>
      <c r="AI347" s="867"/>
      <c r="AJ347" s="986"/>
      <c r="AK347" s="986"/>
      <c r="AL347" s="986"/>
      <c r="AM347" s="987"/>
      <c r="AN347" s="1038"/>
      <c r="AO347" s="1038">
        <f t="shared" si="39"/>
        <v>0</v>
      </c>
      <c r="AQ347" s="1027"/>
    </row>
    <row r="348" spans="1:51" s="153" customFormat="1" ht="30" outlineLevel="1">
      <c r="A348" s="578"/>
      <c r="B348" s="428" t="s">
        <v>572</v>
      </c>
      <c r="C348" s="428"/>
      <c r="D348" s="545" t="s">
        <v>58</v>
      </c>
      <c r="E348" s="545"/>
      <c r="F348" s="427"/>
      <c r="G348" s="96"/>
      <c r="H348" s="429"/>
      <c r="I348" s="425"/>
      <c r="J348" s="430"/>
      <c r="K348" s="430"/>
      <c r="L348" s="430"/>
      <c r="M348" s="430"/>
      <c r="N348" s="430"/>
      <c r="O348" s="430"/>
      <c r="P348" s="430"/>
      <c r="Q348" s="96"/>
      <c r="R348" s="850"/>
      <c r="S348" s="850"/>
      <c r="T348" s="850"/>
      <c r="U348" s="850"/>
      <c r="V348" s="431"/>
      <c r="W348" s="96"/>
      <c r="X348" s="426"/>
      <c r="Y348" s="425"/>
      <c r="Z348" s="425"/>
      <c r="AA348" s="432"/>
      <c r="AB348" s="433"/>
      <c r="AC348" s="433">
        <f>+AC349+AC352</f>
        <v>580000</v>
      </c>
      <c r="AD348" s="685"/>
      <c r="AE348" s="96"/>
      <c r="AF348" s="433">
        <f>+AF349+AF352</f>
        <v>580000</v>
      </c>
      <c r="AG348" s="433">
        <f>+AG349+AG352</f>
        <v>0</v>
      </c>
      <c r="AH348" s="433">
        <f>+AH349+AH352</f>
        <v>580000</v>
      </c>
      <c r="AI348" s="865"/>
      <c r="AJ348" s="977">
        <f>+AJ349+AJ352</f>
        <v>0</v>
      </c>
      <c r="AK348" s="977">
        <f>+AK349+AK352</f>
        <v>254000</v>
      </c>
      <c r="AL348" s="977">
        <f>+AL349+AL352</f>
        <v>94000</v>
      </c>
      <c r="AM348" s="978">
        <f>+AM349+AM352</f>
        <v>116000</v>
      </c>
      <c r="AN348" s="976">
        <f>+AN349+AN352</f>
        <v>116000</v>
      </c>
      <c r="AO348" s="976">
        <f t="shared" si="39"/>
        <v>580000</v>
      </c>
      <c r="AQ348" s="1027"/>
    </row>
    <row r="349" spans="1:51" s="153" customFormat="1" ht="41.5" customHeight="1" outlineLevel="2">
      <c r="A349" s="172"/>
      <c r="B349" s="171" t="s">
        <v>573</v>
      </c>
      <c r="C349" s="171"/>
      <c r="D349" s="538" t="s">
        <v>60</v>
      </c>
      <c r="E349" s="538"/>
      <c r="F349" s="106" t="s">
        <v>1556</v>
      </c>
      <c r="G349" s="96"/>
      <c r="H349" s="357" t="str">
        <f>+'1_MdR_Limpia'!C104</f>
        <v>Número</v>
      </c>
      <c r="I349" s="357">
        <f>+'1_MdR_Limpia'!D104</f>
        <v>0</v>
      </c>
      <c r="J349" s="357">
        <f>+'1_MdR_Limpia'!E104</f>
        <v>2021</v>
      </c>
      <c r="K349" s="357" t="str">
        <f>+'1_MdR_Limpia'!F104</f>
        <v>-</v>
      </c>
      <c r="L349" s="357" t="str">
        <f>+'1_MdR_Limpia'!G104</f>
        <v>-</v>
      </c>
      <c r="M349" s="357" t="str">
        <f>+'1_MdR_Limpia'!H104</f>
        <v>-</v>
      </c>
      <c r="N349" s="357" t="str">
        <f>+'1_MdR_Limpia'!I104</f>
        <v>-</v>
      </c>
      <c r="O349" s="357">
        <f>+'1_MdR_Limpia'!J104</f>
        <v>1</v>
      </c>
      <c r="P349" s="357">
        <f>+'1_MdR_Limpia'!L104</f>
        <v>1</v>
      </c>
      <c r="Q349" s="96"/>
      <c r="R349" s="854"/>
      <c r="S349" s="358"/>
      <c r="T349" s="358"/>
      <c r="U349" s="358"/>
      <c r="V349" s="106"/>
      <c r="W349" s="96"/>
      <c r="X349" s="106"/>
      <c r="Y349" s="172"/>
      <c r="Z349" s="172"/>
      <c r="AA349" s="171"/>
      <c r="AB349" s="176"/>
      <c r="AC349" s="176">
        <f>SUM(AC350:AC351)</f>
        <v>130000</v>
      </c>
      <c r="AD349" s="686"/>
      <c r="AE349" s="96"/>
      <c r="AF349" s="176">
        <f>SUM(AF350:AF351)</f>
        <v>130000</v>
      </c>
      <c r="AG349" s="176">
        <f>SUM(AG350:AG351)</f>
        <v>0</v>
      </c>
      <c r="AH349" s="176">
        <f>SUM(AH350:AH351)</f>
        <v>130000</v>
      </c>
      <c r="AI349" s="865"/>
      <c r="AJ349" s="980">
        <f>SUM(AJ350:AJ351)</f>
        <v>0</v>
      </c>
      <c r="AK349" s="980">
        <f>SUM(AK350:AK351)</f>
        <v>130000</v>
      </c>
      <c r="AL349" s="980">
        <f>SUM(AL350:AL351)</f>
        <v>0</v>
      </c>
      <c r="AM349" s="981">
        <f>SUM(AM350:AM351)</f>
        <v>0</v>
      </c>
      <c r="AN349" s="979">
        <f>SUM(AN350:AN351)</f>
        <v>0</v>
      </c>
      <c r="AO349" s="979">
        <f t="shared" si="39"/>
        <v>130000</v>
      </c>
      <c r="AQ349" s="1027"/>
    </row>
    <row r="350" spans="1:51" s="108" customFormat="1" ht="27.5" customHeight="1" outlineLevel="3">
      <c r="A350" s="580"/>
      <c r="B350" s="107" t="s">
        <v>1049</v>
      </c>
      <c r="C350" s="107"/>
      <c r="D350" s="533" t="s">
        <v>3593</v>
      </c>
      <c r="E350" s="533"/>
      <c r="F350" s="103"/>
      <c r="G350" s="97"/>
      <c r="H350" s="363"/>
      <c r="I350" s="364"/>
      <c r="J350" s="364"/>
      <c r="K350" s="364"/>
      <c r="L350" s="364"/>
      <c r="M350" s="364"/>
      <c r="N350" s="364"/>
      <c r="O350" s="364"/>
      <c r="P350" s="364"/>
      <c r="Q350" s="97"/>
      <c r="R350" s="364" t="str">
        <f>+'9.3_PA_Det'!E191</f>
        <v>3CV</v>
      </c>
      <c r="S350" s="364" t="s">
        <v>1075</v>
      </c>
      <c r="T350" s="364" t="s">
        <v>1413</v>
      </c>
      <c r="U350" s="364">
        <f>+'9.3_PA_Det'!F191</f>
        <v>82</v>
      </c>
      <c r="V350" s="181"/>
      <c r="W350" s="97"/>
      <c r="X350" s="711" t="s">
        <v>1179</v>
      </c>
      <c r="Y350" s="712">
        <v>1</v>
      </c>
      <c r="Z350" s="179"/>
      <c r="AA350" s="180"/>
      <c r="AB350" s="1032">
        <v>30000</v>
      </c>
      <c r="AC350" s="1048">
        <f>+Y350*AB350</f>
        <v>30000</v>
      </c>
      <c r="AD350" s="1042"/>
      <c r="AE350" s="97"/>
      <c r="AF350" s="1032">
        <f>+AC350</f>
        <v>30000</v>
      </c>
      <c r="AG350" s="1032"/>
      <c r="AH350" s="355">
        <f>+AG350+AF350</f>
        <v>30000</v>
      </c>
      <c r="AI350" s="867"/>
      <c r="AJ350" s="986"/>
      <c r="AK350" s="986">
        <f>+AF350</f>
        <v>30000</v>
      </c>
      <c r="AL350" s="986"/>
      <c r="AM350" s="987"/>
      <c r="AN350" s="1038"/>
      <c r="AO350" s="1044">
        <f t="shared" si="39"/>
        <v>30000</v>
      </c>
      <c r="AQ350" s="1027"/>
    </row>
    <row r="351" spans="1:51" s="108" customFormat="1" ht="27.5" customHeight="1" outlineLevel="3">
      <c r="A351" s="580"/>
      <c r="B351" s="107" t="s">
        <v>1054</v>
      </c>
      <c r="C351" s="107"/>
      <c r="D351" s="533" t="s">
        <v>3594</v>
      </c>
      <c r="E351" s="533"/>
      <c r="F351" s="103"/>
      <c r="G351" s="97"/>
      <c r="H351" s="363"/>
      <c r="I351" s="364"/>
      <c r="J351" s="364"/>
      <c r="K351" s="364"/>
      <c r="L351" s="364"/>
      <c r="M351" s="364"/>
      <c r="N351" s="364"/>
      <c r="O351" s="364"/>
      <c r="P351" s="364"/>
      <c r="Q351" s="97"/>
      <c r="R351" s="364" t="str">
        <f>+'9.3_PA_Det'!E24</f>
        <v>Licitación Pública Nacional</v>
      </c>
      <c r="S351" s="364" t="s">
        <v>1075</v>
      </c>
      <c r="T351" s="364" t="s">
        <v>2989</v>
      </c>
      <c r="U351" s="364">
        <f>+'9.3_PA_Det'!G24</f>
        <v>6</v>
      </c>
      <c r="V351" s="181"/>
      <c r="W351" s="97"/>
      <c r="X351" s="711" t="s">
        <v>1179</v>
      </c>
      <c r="Y351" s="712">
        <v>1</v>
      </c>
      <c r="Z351" s="179"/>
      <c r="AA351" s="180"/>
      <c r="AB351" s="1032">
        <v>100000</v>
      </c>
      <c r="AC351" s="1048">
        <f>+Y351*AB351</f>
        <v>100000</v>
      </c>
      <c r="AD351" s="1042"/>
      <c r="AE351" s="97"/>
      <c r="AF351" s="1032">
        <f>+AC351</f>
        <v>100000</v>
      </c>
      <c r="AG351" s="1032"/>
      <c r="AH351" s="355">
        <f>+AG351+AF351</f>
        <v>100000</v>
      </c>
      <c r="AI351" s="867"/>
      <c r="AJ351" s="986"/>
      <c r="AK351" s="986">
        <f>+AF351</f>
        <v>100000</v>
      </c>
      <c r="AL351" s="986"/>
      <c r="AM351" s="987"/>
      <c r="AN351" s="1038"/>
      <c r="AO351" s="1044">
        <f t="shared" si="39"/>
        <v>100000</v>
      </c>
      <c r="AQ351" s="1027"/>
    </row>
    <row r="352" spans="1:51" s="153" customFormat="1" ht="47.5" customHeight="1" outlineLevel="2">
      <c r="A352" s="172"/>
      <c r="B352" s="171" t="s">
        <v>575</v>
      </c>
      <c r="C352" s="171"/>
      <c r="D352" s="538" t="s">
        <v>62</v>
      </c>
      <c r="E352" s="538"/>
      <c r="F352" s="106" t="s">
        <v>1556</v>
      </c>
      <c r="G352" s="96"/>
      <c r="H352" s="357" t="str">
        <f>+'1_MdR_Limpia'!C108</f>
        <v>Número</v>
      </c>
      <c r="I352" s="357">
        <f>+'1_MdR_Limpia'!D108</f>
        <v>0</v>
      </c>
      <c r="J352" s="357">
        <f>+'1_MdR_Limpia'!E108</f>
        <v>2021</v>
      </c>
      <c r="K352" s="357" t="str">
        <f>+'1_MdR_Limpia'!F108</f>
        <v>-</v>
      </c>
      <c r="L352" s="357" t="str">
        <f>+'1_MdR_Limpia'!G108</f>
        <v>-</v>
      </c>
      <c r="M352" s="357" t="str">
        <f>+'1_MdR_Limpia'!H108</f>
        <v>-</v>
      </c>
      <c r="N352" s="357" t="str">
        <f>+'1_MdR_Limpia'!I108</f>
        <v>-</v>
      </c>
      <c r="O352" s="357" t="str">
        <f>+'1_MdR_Limpia'!J108</f>
        <v>-</v>
      </c>
      <c r="P352" s="357">
        <f>+'1_MdR_Limpia'!L108</f>
        <v>1</v>
      </c>
      <c r="Q352" s="96"/>
      <c r="R352" s="854"/>
      <c r="S352" s="358"/>
      <c r="T352" s="358"/>
      <c r="U352" s="358"/>
      <c r="V352" s="106"/>
      <c r="W352" s="96"/>
      <c r="X352" s="106"/>
      <c r="Y352" s="172"/>
      <c r="Z352" s="172"/>
      <c r="AA352" s="171"/>
      <c r="AB352" s="176"/>
      <c r="AC352" s="176">
        <f>SUM(AC353:AC357)</f>
        <v>450000</v>
      </c>
      <c r="AD352" s="686"/>
      <c r="AE352" s="96"/>
      <c r="AF352" s="176">
        <f>SUM(AF353:AF357)</f>
        <v>450000</v>
      </c>
      <c r="AG352" s="176">
        <f>SUM(AG353:AG357)</f>
        <v>0</v>
      </c>
      <c r="AH352" s="176">
        <f>SUM(AH353:AH357)</f>
        <v>450000</v>
      </c>
      <c r="AI352" s="865"/>
      <c r="AJ352" s="980">
        <f>SUM(AJ353:AJ357)</f>
        <v>0</v>
      </c>
      <c r="AK352" s="980">
        <f>SUM(AK353:AK357)</f>
        <v>124000</v>
      </c>
      <c r="AL352" s="980">
        <f>SUM(AL353:AL357)</f>
        <v>94000</v>
      </c>
      <c r="AM352" s="981">
        <f>SUM(AM353:AM357)</f>
        <v>116000</v>
      </c>
      <c r="AN352" s="979">
        <f>SUM(AN353:AN357)</f>
        <v>116000</v>
      </c>
      <c r="AO352" s="979">
        <f t="shared" si="39"/>
        <v>450000</v>
      </c>
      <c r="AQ352" s="1027"/>
    </row>
    <row r="353" spans="1:51" s="108" customFormat="1" ht="27.5" customHeight="1" outlineLevel="3">
      <c r="A353" s="580"/>
      <c r="B353" s="107" t="s">
        <v>2625</v>
      </c>
      <c r="C353" s="107"/>
      <c r="D353" s="533" t="s">
        <v>3593</v>
      </c>
      <c r="E353" s="533"/>
      <c r="F353" s="103"/>
      <c r="G353" s="97"/>
      <c r="H353" s="363"/>
      <c r="I353" s="364"/>
      <c r="J353" s="364"/>
      <c r="K353" s="364"/>
      <c r="L353" s="364"/>
      <c r="M353" s="364"/>
      <c r="N353" s="364"/>
      <c r="O353" s="364"/>
      <c r="P353" s="364"/>
      <c r="Q353" s="97"/>
      <c r="R353" s="364" t="str">
        <f>+'9.3_PA_Det'!E192</f>
        <v>3CV</v>
      </c>
      <c r="S353" s="364" t="s">
        <v>1075</v>
      </c>
      <c r="T353" s="364" t="s">
        <v>1413</v>
      </c>
      <c r="U353" s="364">
        <f>+'9.3_PA_Det'!F192</f>
        <v>83</v>
      </c>
      <c r="V353" s="181"/>
      <c r="W353" s="97"/>
      <c r="X353" s="711" t="s">
        <v>1179</v>
      </c>
      <c r="Y353" s="712">
        <v>1</v>
      </c>
      <c r="Z353" s="179"/>
      <c r="AA353" s="180"/>
      <c r="AB353" s="1032">
        <v>30000</v>
      </c>
      <c r="AC353" s="1048">
        <f>+Y353*AB353</f>
        <v>30000</v>
      </c>
      <c r="AD353" s="1042" t="s">
        <v>3595</v>
      </c>
      <c r="AE353" s="97"/>
      <c r="AF353" s="1032">
        <f>+AC353</f>
        <v>30000</v>
      </c>
      <c r="AG353" s="1032">
        <v>0</v>
      </c>
      <c r="AH353" s="355">
        <f>+AG353+AF353</f>
        <v>30000</v>
      </c>
      <c r="AI353" s="867"/>
      <c r="AJ353" s="986"/>
      <c r="AK353" s="986">
        <f>+AF353</f>
        <v>30000</v>
      </c>
      <c r="AL353" s="986"/>
      <c r="AM353" s="987"/>
      <c r="AN353" s="1038"/>
      <c r="AO353" s="1044">
        <f t="shared" si="39"/>
        <v>30000</v>
      </c>
      <c r="AQ353" s="1027"/>
    </row>
    <row r="354" spans="1:51" s="108" customFormat="1" ht="27.5" customHeight="1" outlineLevel="3">
      <c r="A354" s="580"/>
      <c r="B354" s="107" t="s">
        <v>2626</v>
      </c>
      <c r="C354" s="107"/>
      <c r="D354" s="533" t="s">
        <v>3594</v>
      </c>
      <c r="E354" s="533"/>
      <c r="F354" s="103"/>
      <c r="G354" s="97"/>
      <c r="H354" s="363"/>
      <c r="I354" s="364"/>
      <c r="J354" s="364"/>
      <c r="K354" s="364"/>
      <c r="L354" s="364"/>
      <c r="M354" s="364"/>
      <c r="N354" s="364"/>
      <c r="O354" s="364"/>
      <c r="P354" s="364"/>
      <c r="Q354" s="97"/>
      <c r="R354" s="364" t="str">
        <f>+'9.3_PA_Det'!E25</f>
        <v>Licitación Pública Nacional</v>
      </c>
      <c r="S354" s="956" t="s">
        <v>1075</v>
      </c>
      <c r="T354" s="364" t="s">
        <v>2989</v>
      </c>
      <c r="U354" s="957">
        <f>+'9.3_PA_Det'!G25</f>
        <v>7</v>
      </c>
      <c r="V354" s="181"/>
      <c r="W354" s="97"/>
      <c r="X354" s="711" t="s">
        <v>1179</v>
      </c>
      <c r="Y354" s="712">
        <v>1</v>
      </c>
      <c r="Z354" s="179"/>
      <c r="AA354" s="180"/>
      <c r="AB354" s="1032">
        <v>200000</v>
      </c>
      <c r="AC354" s="1048">
        <f>+Y354*AB354</f>
        <v>200000</v>
      </c>
      <c r="AD354" s="1042"/>
      <c r="AE354" s="97"/>
      <c r="AF354" s="1032">
        <f>+AC354</f>
        <v>200000</v>
      </c>
      <c r="AG354" s="1032">
        <v>0</v>
      </c>
      <c r="AH354" s="355">
        <f>+AG354+AF354</f>
        <v>200000</v>
      </c>
      <c r="AI354" s="867"/>
      <c r="AJ354" s="986"/>
      <c r="AK354" s="986">
        <f>+$AF$354*25%</f>
        <v>50000</v>
      </c>
      <c r="AL354" s="986">
        <f>+$AF$354*25%</f>
        <v>50000</v>
      </c>
      <c r="AM354" s="986">
        <f>+$AF$354*25%</f>
        <v>50000</v>
      </c>
      <c r="AN354" s="986">
        <f>+$AF$354*25%</f>
        <v>50000</v>
      </c>
      <c r="AO354" s="1044">
        <f t="shared" si="39"/>
        <v>200000</v>
      </c>
      <c r="AQ354" s="1027"/>
    </row>
    <row r="355" spans="1:51" s="108" customFormat="1" ht="14.5" customHeight="1" outlineLevel="3">
      <c r="A355" s="580"/>
      <c r="B355" s="107" t="s">
        <v>2627</v>
      </c>
      <c r="C355" s="107"/>
      <c r="D355" s="533" t="s">
        <v>3596</v>
      </c>
      <c r="E355" s="533"/>
      <c r="F355" s="103"/>
      <c r="G355" s="97"/>
      <c r="H355" s="363"/>
      <c r="I355" s="364"/>
      <c r="J355" s="364"/>
      <c r="K355" s="364"/>
      <c r="L355" s="364"/>
      <c r="M355" s="364"/>
      <c r="N355" s="364"/>
      <c r="O355" s="364"/>
      <c r="P355" s="364"/>
      <c r="Q355" s="97"/>
      <c r="R355" s="3897" t="str">
        <f>+'9.3_PA_Det'!$E$150</f>
        <v>Selección Basada en Calidad y Costo</v>
      </c>
      <c r="S355" s="3897" t="s">
        <v>1075</v>
      </c>
      <c r="T355" s="4594" t="s">
        <v>1198</v>
      </c>
      <c r="U355" s="3897">
        <f>+'9.3_PA_Det'!$F$150</f>
        <v>52</v>
      </c>
      <c r="V355" s="3918"/>
      <c r="W355" s="97"/>
      <c r="X355" s="711" t="s">
        <v>1179</v>
      </c>
      <c r="Y355" s="712">
        <v>1</v>
      </c>
      <c r="Z355" s="179"/>
      <c r="AA355" s="180"/>
      <c r="AB355" s="1032">
        <v>50000</v>
      </c>
      <c r="AC355" s="1048">
        <f>+Y355*AB355</f>
        <v>50000</v>
      </c>
      <c r="AD355" s="1042"/>
      <c r="AE355" s="97"/>
      <c r="AF355" s="1032">
        <f>+AC355</f>
        <v>50000</v>
      </c>
      <c r="AG355" s="1032">
        <v>0</v>
      </c>
      <c r="AH355" s="355">
        <f>+AG355+AF355</f>
        <v>50000</v>
      </c>
      <c r="AI355" s="867"/>
      <c r="AJ355" s="986"/>
      <c r="AK355" s="986">
        <f>+$AF$355*20%</f>
        <v>10000</v>
      </c>
      <c r="AL355" s="986">
        <f>+$AF$355*20%</f>
        <v>10000</v>
      </c>
      <c r="AM355" s="986">
        <f>+$AF$355*30%</f>
        <v>15000</v>
      </c>
      <c r="AN355" s="986">
        <f>+$AF$355*30%</f>
        <v>15000</v>
      </c>
      <c r="AO355" s="1044">
        <f t="shared" si="39"/>
        <v>50000</v>
      </c>
      <c r="AQ355" s="1027"/>
    </row>
    <row r="356" spans="1:51" s="108" customFormat="1" ht="26.5" customHeight="1" outlineLevel="3">
      <c r="A356" s="580"/>
      <c r="B356" s="107" t="s">
        <v>2628</v>
      </c>
      <c r="C356" s="107"/>
      <c r="D356" s="537" t="s">
        <v>3597</v>
      </c>
      <c r="E356" s="537"/>
      <c r="F356" s="103"/>
      <c r="G356" s="97"/>
      <c r="H356" s="363"/>
      <c r="I356" s="364"/>
      <c r="J356" s="364"/>
      <c r="K356" s="364"/>
      <c r="L356" s="364"/>
      <c r="M356" s="364"/>
      <c r="N356" s="364"/>
      <c r="O356" s="364"/>
      <c r="P356" s="364"/>
      <c r="Q356" s="97"/>
      <c r="R356" s="3898"/>
      <c r="S356" s="3898"/>
      <c r="T356" s="4594"/>
      <c r="U356" s="3898"/>
      <c r="V356" s="3919"/>
      <c r="W356" s="97"/>
      <c r="X356" s="711" t="s">
        <v>1179</v>
      </c>
      <c r="Y356" s="712">
        <v>1</v>
      </c>
      <c r="Z356" s="179"/>
      <c r="AA356" s="180"/>
      <c r="AB356" s="1032">
        <v>120000</v>
      </c>
      <c r="AC356" s="1048">
        <f>+Y356*AB356</f>
        <v>120000</v>
      </c>
      <c r="AD356" s="1042" t="s">
        <v>3598</v>
      </c>
      <c r="AE356" s="97"/>
      <c r="AF356" s="1032">
        <f>+AC356</f>
        <v>120000</v>
      </c>
      <c r="AG356" s="1032">
        <v>0</v>
      </c>
      <c r="AH356" s="355">
        <f>+AG356+AF356</f>
        <v>120000</v>
      </c>
      <c r="AI356" s="867"/>
      <c r="AJ356" s="986"/>
      <c r="AK356" s="986">
        <f>+$AF$356*20%</f>
        <v>24000</v>
      </c>
      <c r="AL356" s="986">
        <f>+$AF$356*20%</f>
        <v>24000</v>
      </c>
      <c r="AM356" s="986">
        <f>+$AF$356*30%</f>
        <v>36000</v>
      </c>
      <c r="AN356" s="986">
        <f>+$AF$356*30%</f>
        <v>36000</v>
      </c>
      <c r="AO356" s="1044">
        <f t="shared" si="39"/>
        <v>120000</v>
      </c>
      <c r="AQ356" s="1027"/>
    </row>
    <row r="357" spans="1:51" s="108" customFormat="1" ht="14.5" customHeight="1" outlineLevel="3">
      <c r="A357" s="580"/>
      <c r="B357" s="107" t="s">
        <v>3599</v>
      </c>
      <c r="C357" s="107"/>
      <c r="D357" s="533" t="s">
        <v>1059</v>
      </c>
      <c r="E357" s="533"/>
      <c r="F357" s="103"/>
      <c r="G357" s="97"/>
      <c r="H357" s="363"/>
      <c r="I357" s="364"/>
      <c r="J357" s="364"/>
      <c r="K357" s="364"/>
      <c r="L357" s="364"/>
      <c r="M357" s="364"/>
      <c r="N357" s="364"/>
      <c r="O357" s="364"/>
      <c r="P357" s="364"/>
      <c r="Q357" s="97"/>
      <c r="R357" s="3899"/>
      <c r="S357" s="3899"/>
      <c r="T357" s="4594"/>
      <c r="U357" s="3899"/>
      <c r="V357" s="3920"/>
      <c r="W357" s="97"/>
      <c r="X357" s="711" t="s">
        <v>1179</v>
      </c>
      <c r="Y357" s="712">
        <v>1</v>
      </c>
      <c r="Z357" s="179"/>
      <c r="AA357" s="180"/>
      <c r="AB357" s="1032">
        <v>50000</v>
      </c>
      <c r="AC357" s="1048">
        <f>+Y357*AB357</f>
        <v>50000</v>
      </c>
      <c r="AD357" s="1042"/>
      <c r="AE357" s="97"/>
      <c r="AF357" s="1032">
        <f>+AC357</f>
        <v>50000</v>
      </c>
      <c r="AG357" s="1032">
        <v>0</v>
      </c>
      <c r="AH357" s="355">
        <f>+AG357+AF357</f>
        <v>50000</v>
      </c>
      <c r="AI357" s="867"/>
      <c r="AJ357" s="986"/>
      <c r="AK357" s="986">
        <f>+$AF$357*20%</f>
        <v>10000</v>
      </c>
      <c r="AL357" s="986">
        <f>+$AF$357*20%</f>
        <v>10000</v>
      </c>
      <c r="AM357" s="986">
        <f>+$AF$357*30%</f>
        <v>15000</v>
      </c>
      <c r="AN357" s="986">
        <f>+$AF$357*30%</f>
        <v>15000</v>
      </c>
      <c r="AO357" s="1044">
        <f t="shared" si="39"/>
        <v>50000</v>
      </c>
      <c r="AQ357" s="1027"/>
    </row>
    <row r="358" spans="1:51" s="108" customFormat="1" ht="14" customHeight="1" outlineLevel="2">
      <c r="A358" s="580"/>
      <c r="B358" s="107"/>
      <c r="C358" s="107"/>
      <c r="D358" s="533"/>
      <c r="E358" s="533"/>
      <c r="F358" s="103"/>
      <c r="G358" s="97"/>
      <c r="H358" s="363"/>
      <c r="I358" s="364"/>
      <c r="J358" s="364"/>
      <c r="K358" s="364"/>
      <c r="L358" s="364"/>
      <c r="M358" s="364"/>
      <c r="N358" s="364"/>
      <c r="O358" s="364"/>
      <c r="P358" s="364"/>
      <c r="Q358" s="97"/>
      <c r="R358" s="364"/>
      <c r="S358" s="364"/>
      <c r="T358" s="951"/>
      <c r="U358" s="364"/>
      <c r="V358" s="181"/>
      <c r="W358" s="97"/>
      <c r="X358" s="711"/>
      <c r="Y358" s="712"/>
      <c r="Z358" s="179"/>
      <c r="AA358" s="180"/>
      <c r="AB358" s="1032"/>
      <c r="AC358" s="1032"/>
      <c r="AD358" s="1042"/>
      <c r="AE358" s="97"/>
      <c r="AF358" s="1032"/>
      <c r="AG358" s="1032"/>
      <c r="AH358" s="485"/>
      <c r="AI358" s="867"/>
      <c r="AJ358" s="986"/>
      <c r="AK358" s="986"/>
      <c r="AL358" s="986"/>
      <c r="AM358" s="987"/>
      <c r="AN358" s="1038"/>
      <c r="AO358" s="1038">
        <f t="shared" si="39"/>
        <v>0</v>
      </c>
      <c r="AQ358" s="1027"/>
    </row>
    <row r="359" spans="1:51" s="108" customFormat="1" outlineLevel="1">
      <c r="A359" s="580"/>
      <c r="B359" s="107"/>
      <c r="C359" s="107"/>
      <c r="D359" s="533"/>
      <c r="E359" s="533"/>
      <c r="F359" s="103"/>
      <c r="G359" s="97"/>
      <c r="H359" s="363"/>
      <c r="I359" s="364"/>
      <c r="J359" s="364"/>
      <c r="K359" s="364"/>
      <c r="L359" s="364"/>
      <c r="M359" s="364"/>
      <c r="N359" s="364"/>
      <c r="O359" s="364"/>
      <c r="P359" s="364"/>
      <c r="Q359" s="97"/>
      <c r="R359" s="364"/>
      <c r="S359" s="364"/>
      <c r="T359" s="364"/>
      <c r="U359" s="364"/>
      <c r="V359" s="181"/>
      <c r="W359" s="97"/>
      <c r="X359" s="711"/>
      <c r="Y359" s="712"/>
      <c r="Z359" s="179"/>
      <c r="AA359" s="180"/>
      <c r="AB359" s="1032"/>
      <c r="AC359" s="1032"/>
      <c r="AD359" s="1042"/>
      <c r="AE359" s="97"/>
      <c r="AF359" s="1032"/>
      <c r="AG359" s="1032"/>
      <c r="AH359" s="485"/>
      <c r="AI359" s="867"/>
      <c r="AJ359" s="986"/>
      <c r="AK359" s="986"/>
      <c r="AL359" s="986"/>
      <c r="AM359" s="987"/>
      <c r="AN359" s="1038"/>
      <c r="AO359" s="1038">
        <f t="shared" si="39"/>
        <v>0</v>
      </c>
      <c r="AQ359" s="1027"/>
    </row>
    <row r="360" spans="1:51" s="878" customFormat="1" ht="21.5" customHeight="1">
      <c r="A360" s="577"/>
      <c r="B360" s="67" t="s">
        <v>576</v>
      </c>
      <c r="C360" s="67"/>
      <c r="D360" s="546" t="s">
        <v>577</v>
      </c>
      <c r="E360" s="546"/>
      <c r="F360" s="68"/>
      <c r="G360" s="95"/>
      <c r="H360" s="369"/>
      <c r="I360" s="370"/>
      <c r="J360" s="371"/>
      <c r="K360" s="371"/>
      <c r="L360" s="371"/>
      <c r="M360" s="371"/>
      <c r="N360" s="371"/>
      <c r="O360" s="371"/>
      <c r="P360" s="371"/>
      <c r="Q360" s="95"/>
      <c r="R360" s="370"/>
      <c r="S360" s="370"/>
      <c r="T360" s="370"/>
      <c r="U360" s="370"/>
      <c r="V360" s="169"/>
      <c r="W360" s="95"/>
      <c r="X360" s="68"/>
      <c r="Y360" s="166"/>
      <c r="Z360" s="166"/>
      <c r="AA360" s="170"/>
      <c r="AB360" s="69"/>
      <c r="AC360" s="69">
        <f>+AC361+AC388+AC390</f>
        <v>5448000</v>
      </c>
      <c r="AD360" s="69">
        <v>3900000</v>
      </c>
      <c r="AE360" s="95"/>
      <c r="AF360" s="69">
        <f>+AF361+AF388+AF390</f>
        <v>5448000</v>
      </c>
      <c r="AG360" s="69">
        <f>+AG361+AG388+AG390</f>
        <v>0</v>
      </c>
      <c r="AH360" s="69">
        <f>+AH361+AH388+AH390</f>
        <v>5448000</v>
      </c>
      <c r="AI360" s="864"/>
      <c r="AJ360" s="69">
        <f>+AJ361+AJ388+AJ390</f>
        <v>1149000</v>
      </c>
      <c r="AK360" s="69">
        <f>+AK361+AK388+AK390</f>
        <v>1149000</v>
      </c>
      <c r="AL360" s="69">
        <f>+AL361+AL388+AL390</f>
        <v>1179000</v>
      </c>
      <c r="AM360" s="69">
        <f>+AM361+AM388+AM390</f>
        <v>1149000</v>
      </c>
      <c r="AN360" s="69">
        <f>+AN361+AN388+AN390</f>
        <v>822000</v>
      </c>
      <c r="AO360" s="973">
        <f t="shared" si="39"/>
        <v>5448000</v>
      </c>
      <c r="AP360" s="153"/>
      <c r="AQ360" s="1027"/>
      <c r="AR360" s="153"/>
      <c r="AS360" s="153"/>
      <c r="AT360" s="153"/>
      <c r="AU360" s="153"/>
      <c r="AV360" s="153"/>
      <c r="AW360" s="153"/>
      <c r="AX360" s="153"/>
      <c r="AY360" s="153"/>
    </row>
    <row r="361" spans="1:51" s="878" customFormat="1" ht="21.5" customHeight="1" outlineLevel="1" collapsed="1">
      <c r="A361" s="584"/>
      <c r="B361" s="188" t="s">
        <v>578</v>
      </c>
      <c r="C361" s="188"/>
      <c r="D361" s="538" t="s">
        <v>579</v>
      </c>
      <c r="E361" s="538"/>
      <c r="F361" s="106"/>
      <c r="G361" s="96"/>
      <c r="H361" s="372"/>
      <c r="I361" s="358"/>
      <c r="J361" s="359"/>
      <c r="K361" s="359"/>
      <c r="L361" s="359"/>
      <c r="M361" s="359"/>
      <c r="N361" s="359"/>
      <c r="O361" s="359"/>
      <c r="P361" s="359"/>
      <c r="Q361" s="96"/>
      <c r="R361" s="358"/>
      <c r="S361" s="358"/>
      <c r="T361" s="358"/>
      <c r="U361" s="358"/>
      <c r="V361" s="174"/>
      <c r="W361" s="96"/>
      <c r="X361" s="106"/>
      <c r="Y361" s="172"/>
      <c r="Z361" s="172"/>
      <c r="AA361" s="171"/>
      <c r="AB361" s="176">
        <f>+AB364+AB376+AB388+AB390</f>
        <v>0</v>
      </c>
      <c r="AC361" s="176">
        <f>+AC362+AC379</f>
        <v>5048000</v>
      </c>
      <c r="AD361" s="692"/>
      <c r="AE361" s="96"/>
      <c r="AF361" s="176">
        <f>+AF362+AF379</f>
        <v>5048000</v>
      </c>
      <c r="AG361" s="176">
        <f>+AG362+AG379</f>
        <v>0</v>
      </c>
      <c r="AH361" s="176">
        <f>+AH362+AH379</f>
        <v>5048000</v>
      </c>
      <c r="AI361" s="865"/>
      <c r="AJ361" s="176">
        <f t="shared" ref="AJ361:AO361" si="40">+AJ362+AJ379</f>
        <v>1099000</v>
      </c>
      <c r="AK361" s="176">
        <f t="shared" si="40"/>
        <v>1099000</v>
      </c>
      <c r="AL361" s="176">
        <f t="shared" si="40"/>
        <v>1099000</v>
      </c>
      <c r="AM361" s="176">
        <f t="shared" si="40"/>
        <v>1099000</v>
      </c>
      <c r="AN361" s="176">
        <f t="shared" si="40"/>
        <v>652000</v>
      </c>
      <c r="AO361" s="176">
        <f t="shared" si="40"/>
        <v>5048000</v>
      </c>
      <c r="AP361" s="153"/>
      <c r="AQ361" s="1027"/>
      <c r="AR361" s="153"/>
      <c r="AS361" s="153"/>
      <c r="AT361" s="153"/>
      <c r="AU361" s="153"/>
      <c r="AV361" s="153"/>
      <c r="AW361" s="153"/>
      <c r="AX361" s="153"/>
      <c r="AY361" s="153"/>
    </row>
    <row r="362" spans="1:51" s="878" customFormat="1" ht="21.5" customHeight="1" outlineLevel="1">
      <c r="A362" s="1113"/>
      <c r="B362" s="1114" t="s">
        <v>1630</v>
      </c>
      <c r="C362" s="1114"/>
      <c r="D362" s="1115" t="s">
        <v>1631</v>
      </c>
      <c r="E362" s="1115"/>
      <c r="F362" s="106"/>
      <c r="G362" s="96"/>
      <c r="H362" s="372"/>
      <c r="I362" s="358"/>
      <c r="J362" s="359"/>
      <c r="K362" s="359"/>
      <c r="L362" s="359"/>
      <c r="M362" s="359"/>
      <c r="N362" s="359"/>
      <c r="O362" s="359"/>
      <c r="P362" s="359"/>
      <c r="Q362" s="96"/>
      <c r="R362" s="358"/>
      <c r="S362" s="358"/>
      <c r="T362" s="358"/>
      <c r="U362" s="358"/>
      <c r="V362" s="174"/>
      <c r="W362" s="96"/>
      <c r="X362" s="1116"/>
      <c r="Y362" s="1117"/>
      <c r="Z362" s="1117"/>
      <c r="AA362" s="1118"/>
      <c r="AB362" s="1119"/>
      <c r="AC362" s="1119">
        <f>+AC363+AC364+AC372+AC376</f>
        <v>3598000</v>
      </c>
      <c r="AD362" s="1120"/>
      <c r="AE362" s="96"/>
      <c r="AF362" s="1119">
        <f>+AF363+AF364+AF372+AF376</f>
        <v>3598000</v>
      </c>
      <c r="AG362" s="1119">
        <f>+AG363+AG364+AG372+AG376</f>
        <v>0</v>
      </c>
      <c r="AH362" s="1119">
        <f>+AH363+AH364+AH372+AH376</f>
        <v>3598000</v>
      </c>
      <c r="AI362" s="865"/>
      <c r="AJ362" s="1119">
        <f>+AJ363+AJ364+AJ372+AJ376</f>
        <v>797000</v>
      </c>
      <c r="AK362" s="1119">
        <f>+AK363+AK364+AK372+AK376</f>
        <v>797000</v>
      </c>
      <c r="AL362" s="1119">
        <f>+AL363+AL364+AL372+AL376</f>
        <v>797000</v>
      </c>
      <c r="AM362" s="1119">
        <f>+AM363+AM364+AM372+AM376</f>
        <v>797000</v>
      </c>
      <c r="AN362" s="1119">
        <f>+AN363+AN364+AN372+AN376</f>
        <v>410000</v>
      </c>
      <c r="AO362" s="1119">
        <f>SUM(AJ362:AN362)</f>
        <v>3598000</v>
      </c>
      <c r="AP362" s="153"/>
      <c r="AQ362" s="1027"/>
      <c r="AR362" s="153"/>
      <c r="AS362" s="153"/>
      <c r="AT362" s="153"/>
      <c r="AU362" s="153"/>
      <c r="AV362" s="153"/>
      <c r="AW362" s="153"/>
      <c r="AX362" s="153"/>
      <c r="AY362" s="153"/>
    </row>
    <row r="363" spans="1:51" s="558" customFormat="1" ht="36.5" customHeight="1" outlineLevel="2">
      <c r="A363" s="585" t="s">
        <v>2629</v>
      </c>
      <c r="B363" s="551" t="s">
        <v>1632</v>
      </c>
      <c r="C363" s="551"/>
      <c r="D363" s="1149" t="s">
        <v>2630</v>
      </c>
      <c r="E363" s="1149"/>
      <c r="F363" s="491"/>
      <c r="G363" s="571"/>
      <c r="H363" s="552"/>
      <c r="I363" s="552"/>
      <c r="J363" s="553"/>
      <c r="K363" s="553"/>
      <c r="L363" s="553"/>
      <c r="M363" s="553"/>
      <c r="N363" s="553"/>
      <c r="O363" s="553"/>
      <c r="P363" s="553"/>
      <c r="Q363" s="571"/>
      <c r="R363" s="855"/>
      <c r="S363" s="494"/>
      <c r="T363" s="855"/>
      <c r="U363" s="855"/>
      <c r="V363" s="554"/>
      <c r="W363" s="571"/>
      <c r="X363" s="555"/>
      <c r="Y363" s="572"/>
      <c r="Z363" s="572"/>
      <c r="AA363" s="556"/>
      <c r="AB363" s="573"/>
      <c r="AC363" s="557"/>
      <c r="AD363" s="713" t="s">
        <v>3600</v>
      </c>
      <c r="AE363" s="571"/>
      <c r="AF363" s="502"/>
      <c r="AG363" s="502"/>
      <c r="AH363" s="503"/>
      <c r="AI363" s="871"/>
      <c r="AJ363" s="985"/>
      <c r="AK363" s="985"/>
      <c r="AL363" s="985"/>
      <c r="AM363" s="1016"/>
      <c r="AN363" s="985"/>
      <c r="AO363" s="1017">
        <f t="shared" si="39"/>
        <v>0</v>
      </c>
      <c r="AP363" s="879"/>
      <c r="AQ363" s="1027"/>
    </row>
    <row r="364" spans="1:51" s="153" customFormat="1" ht="14" customHeight="1" outlineLevel="2">
      <c r="A364" s="586"/>
      <c r="B364" s="189" t="s">
        <v>1634</v>
      </c>
      <c r="C364" s="189"/>
      <c r="D364" s="559" t="s">
        <v>1635</v>
      </c>
      <c r="E364" s="559"/>
      <c r="F364" s="125"/>
      <c r="G364" s="173"/>
      <c r="H364" s="374"/>
      <c r="I364" s="374"/>
      <c r="J364" s="375"/>
      <c r="K364" s="375"/>
      <c r="L364" s="375"/>
      <c r="M364" s="375"/>
      <c r="N364" s="375"/>
      <c r="O364" s="375"/>
      <c r="P364" s="375"/>
      <c r="Q364" s="173"/>
      <c r="R364" s="374"/>
      <c r="S364" s="374"/>
      <c r="T364" s="374"/>
      <c r="U364" s="374"/>
      <c r="V364" s="191"/>
      <c r="W364" s="173"/>
      <c r="X364" s="125"/>
      <c r="Y364" s="190"/>
      <c r="Z364" s="190"/>
      <c r="AA364" s="192"/>
      <c r="AB364" s="193"/>
      <c r="AC364" s="193">
        <f>SUM(AC365:AC371)</f>
        <v>1800000</v>
      </c>
      <c r="AD364" s="695"/>
      <c r="AE364" s="173"/>
      <c r="AF364" s="193">
        <f>SUM(AF365:AF371)</f>
        <v>1800000</v>
      </c>
      <c r="AG364" s="193">
        <f>SUM(AG365:AG371)</f>
        <v>0</v>
      </c>
      <c r="AH364" s="193">
        <f>SUM(AH365:AH371)</f>
        <v>1800000</v>
      </c>
      <c r="AI364" s="872"/>
      <c r="AJ364" s="1019">
        <f>SUM(AJ365:AJ371)</f>
        <v>360000</v>
      </c>
      <c r="AK364" s="1019">
        <f>SUM(AK365:AK371)</f>
        <v>360000</v>
      </c>
      <c r="AL364" s="1019">
        <f>SUM(AL365:AL371)</f>
        <v>360000</v>
      </c>
      <c r="AM364" s="1020">
        <f>SUM(AM365:AM371)</f>
        <v>360000</v>
      </c>
      <c r="AN364" s="1018">
        <f>SUM(AN365:AN371)</f>
        <v>360000</v>
      </c>
      <c r="AO364" s="1018">
        <f t="shared" si="39"/>
        <v>1800000</v>
      </c>
      <c r="AQ364" s="1027"/>
    </row>
    <row r="365" spans="1:51" s="881" customFormat="1" ht="27.5" customHeight="1" outlineLevel="3">
      <c r="A365" s="587"/>
      <c r="B365" s="183" t="s">
        <v>1636</v>
      </c>
      <c r="C365" s="183"/>
      <c r="D365" s="1060" t="s">
        <v>3016</v>
      </c>
      <c r="E365" s="1060"/>
      <c r="F365" s="103"/>
      <c r="G365" s="574"/>
      <c r="H365" s="376"/>
      <c r="I365" s="376"/>
      <c r="J365" s="361"/>
      <c r="K365" s="361"/>
      <c r="L365" s="361"/>
      <c r="M365" s="361"/>
      <c r="N365" s="361"/>
      <c r="O365" s="361"/>
      <c r="P365" s="361"/>
      <c r="Q365" s="574"/>
      <c r="R365" s="362" t="str">
        <f>+'9.3_PA_Det'!E193</f>
        <v>3CV</v>
      </c>
      <c r="S365" s="362" t="s">
        <v>1075</v>
      </c>
      <c r="T365" s="362" t="s">
        <v>1430</v>
      </c>
      <c r="U365" s="362">
        <f>+'9.3_PA_Det'!$F$193</f>
        <v>84</v>
      </c>
      <c r="V365" s="178"/>
      <c r="W365" s="574"/>
      <c r="X365" s="126" t="s">
        <v>1267</v>
      </c>
      <c r="Y365" s="1046">
        <v>1</v>
      </c>
      <c r="Z365" s="1046">
        <v>60</v>
      </c>
      <c r="AA365" s="186"/>
      <c r="AB365" s="1047">
        <v>4500</v>
      </c>
      <c r="AC365" s="187">
        <f t="shared" ref="AC365:AC371" si="41">Y365*Z365*AB365</f>
        <v>270000</v>
      </c>
      <c r="AD365" s="1043"/>
      <c r="AE365" s="574"/>
      <c r="AF365" s="1032">
        <f>+AC365</f>
        <v>270000</v>
      </c>
      <c r="AG365" s="1032"/>
      <c r="AH365" s="1041">
        <f t="shared" ref="AH365:AH371" si="42">+AG365+AF365</f>
        <v>270000</v>
      </c>
      <c r="AI365" s="869"/>
      <c r="AJ365" s="1002">
        <f>+$AB$365*12</f>
        <v>54000</v>
      </c>
      <c r="AK365" s="1002">
        <f>+$AB$365*12</f>
        <v>54000</v>
      </c>
      <c r="AL365" s="1002">
        <f>+$AB$365*12</f>
        <v>54000</v>
      </c>
      <c r="AM365" s="1002">
        <f>+$AB$365*12</f>
        <v>54000</v>
      </c>
      <c r="AN365" s="1002">
        <f>+$AB$365*12</f>
        <v>54000</v>
      </c>
      <c r="AO365" s="1003">
        <f t="shared" si="39"/>
        <v>270000</v>
      </c>
      <c r="AP365" s="108"/>
      <c r="AQ365" s="1027"/>
    </row>
    <row r="366" spans="1:51" s="881" customFormat="1" ht="27.5" customHeight="1" outlineLevel="3">
      <c r="A366" s="587"/>
      <c r="B366" s="183" t="s">
        <v>1638</v>
      </c>
      <c r="C366" s="183"/>
      <c r="D366" s="1060" t="s">
        <v>3017</v>
      </c>
      <c r="E366" s="1060"/>
      <c r="F366" s="103"/>
      <c r="G366" s="574"/>
      <c r="H366" s="376"/>
      <c r="I366" s="376"/>
      <c r="J366" s="361"/>
      <c r="K366" s="361"/>
      <c r="L366" s="361"/>
      <c r="M366" s="361"/>
      <c r="N366" s="361"/>
      <c r="O366" s="361"/>
      <c r="P366" s="361"/>
      <c r="Q366" s="574"/>
      <c r="R366" s="362" t="str">
        <f>+'9.3_PA_Det'!E194</f>
        <v>3CV</v>
      </c>
      <c r="S366" s="362" t="s">
        <v>1075</v>
      </c>
      <c r="T366" s="362" t="s">
        <v>1430</v>
      </c>
      <c r="U366" s="362">
        <f>+'9.3_PA_Det'!$F$194</f>
        <v>85</v>
      </c>
      <c r="V366" s="178"/>
      <c r="W366" s="574"/>
      <c r="X366" s="126" t="s">
        <v>1267</v>
      </c>
      <c r="Y366" s="1046">
        <v>1</v>
      </c>
      <c r="Z366" s="1046">
        <v>60</v>
      </c>
      <c r="AA366" s="186"/>
      <c r="AB366" s="1047">
        <v>3500</v>
      </c>
      <c r="AC366" s="187">
        <f t="shared" si="41"/>
        <v>210000</v>
      </c>
      <c r="AD366" s="1043"/>
      <c r="AE366" s="574"/>
      <c r="AF366" s="1032">
        <f t="shared" ref="AF366:AF371" si="43">+AC366</f>
        <v>210000</v>
      </c>
      <c r="AG366" s="1032"/>
      <c r="AH366" s="1041">
        <f t="shared" si="42"/>
        <v>210000</v>
      </c>
      <c r="AI366" s="869"/>
      <c r="AJ366" s="1002">
        <f>+$AB$366*12</f>
        <v>42000</v>
      </c>
      <c r="AK366" s="1002">
        <f>+$AB$366*12</f>
        <v>42000</v>
      </c>
      <c r="AL366" s="1002">
        <f>+$AB$366*12</f>
        <v>42000</v>
      </c>
      <c r="AM366" s="1002">
        <f>+$AB$366*12</f>
        <v>42000</v>
      </c>
      <c r="AN366" s="1002">
        <f>+$AB$366*12</f>
        <v>42000</v>
      </c>
      <c r="AO366" s="1003">
        <f t="shared" si="39"/>
        <v>210000</v>
      </c>
      <c r="AP366" s="108"/>
      <c r="AQ366" s="1027"/>
    </row>
    <row r="367" spans="1:51" s="881" customFormat="1" ht="27.5" customHeight="1" outlineLevel="3">
      <c r="A367" s="587"/>
      <c r="B367" s="183" t="s">
        <v>1640</v>
      </c>
      <c r="C367" s="183"/>
      <c r="D367" s="1060" t="s">
        <v>3019</v>
      </c>
      <c r="E367" s="1060"/>
      <c r="F367" s="103"/>
      <c r="G367" s="574"/>
      <c r="H367" s="376"/>
      <c r="I367" s="376"/>
      <c r="J367" s="361"/>
      <c r="K367" s="361"/>
      <c r="L367" s="361"/>
      <c r="M367" s="361"/>
      <c r="N367" s="361"/>
      <c r="O367" s="361"/>
      <c r="P367" s="361"/>
      <c r="Q367" s="574"/>
      <c r="R367" s="362" t="str">
        <f>+'9.3_PA_Det'!E195</f>
        <v>3CV</v>
      </c>
      <c r="S367" s="362" t="s">
        <v>1075</v>
      </c>
      <c r="T367" s="362" t="s">
        <v>1430</v>
      </c>
      <c r="U367" s="362">
        <f>+'9.3_PA_Det'!$F$195</f>
        <v>86</v>
      </c>
      <c r="V367" s="178"/>
      <c r="W367" s="574"/>
      <c r="X367" s="126" t="s">
        <v>1267</v>
      </c>
      <c r="Y367" s="1046">
        <v>1</v>
      </c>
      <c r="Z367" s="1046">
        <v>60</v>
      </c>
      <c r="AA367" s="186"/>
      <c r="AB367" s="1047">
        <v>3500</v>
      </c>
      <c r="AC367" s="187">
        <f t="shared" si="41"/>
        <v>210000</v>
      </c>
      <c r="AD367" s="1043"/>
      <c r="AE367" s="574"/>
      <c r="AF367" s="1032">
        <f t="shared" si="43"/>
        <v>210000</v>
      </c>
      <c r="AG367" s="1032"/>
      <c r="AH367" s="1041">
        <f t="shared" si="42"/>
        <v>210000</v>
      </c>
      <c r="AI367" s="869"/>
      <c r="AJ367" s="1002">
        <f>+$AB$367*12</f>
        <v>42000</v>
      </c>
      <c r="AK367" s="1002">
        <f>+$AB$367*12</f>
        <v>42000</v>
      </c>
      <c r="AL367" s="1002">
        <f>+$AB$367*12</f>
        <v>42000</v>
      </c>
      <c r="AM367" s="1002">
        <f>+$AB$367*12</f>
        <v>42000</v>
      </c>
      <c r="AN367" s="1002">
        <f>+$AB$367*12</f>
        <v>42000</v>
      </c>
      <c r="AO367" s="1003">
        <f t="shared" si="39"/>
        <v>210000</v>
      </c>
      <c r="AP367" s="108"/>
      <c r="AQ367" s="1027"/>
    </row>
    <row r="368" spans="1:51" s="881" customFormat="1" ht="27.5" customHeight="1" outlineLevel="3">
      <c r="A368" s="587"/>
      <c r="B368" s="183" t="s">
        <v>1642</v>
      </c>
      <c r="C368" s="183"/>
      <c r="D368" s="1060" t="s">
        <v>3021</v>
      </c>
      <c r="E368" s="1060"/>
      <c r="F368" s="103"/>
      <c r="G368" s="574"/>
      <c r="H368" s="376"/>
      <c r="I368" s="376"/>
      <c r="J368" s="361"/>
      <c r="K368" s="361"/>
      <c r="L368" s="361"/>
      <c r="M368" s="361"/>
      <c r="N368" s="361"/>
      <c r="O368" s="361"/>
      <c r="P368" s="361"/>
      <c r="Q368" s="574"/>
      <c r="R368" s="362" t="str">
        <f>+'9.3_PA_Det'!E196</f>
        <v>3CV</v>
      </c>
      <c r="S368" s="362" t="s">
        <v>1075</v>
      </c>
      <c r="T368" s="362" t="s">
        <v>1430</v>
      </c>
      <c r="U368" s="362">
        <f>+'9.3_PA_Det'!$F$196</f>
        <v>87</v>
      </c>
      <c r="V368" s="178"/>
      <c r="W368" s="574"/>
      <c r="X368" s="126" t="s">
        <v>1267</v>
      </c>
      <c r="Y368" s="1046">
        <v>1</v>
      </c>
      <c r="Z368" s="1046">
        <v>60</v>
      </c>
      <c r="AA368" s="186"/>
      <c r="AB368" s="1047">
        <v>3500</v>
      </c>
      <c r="AC368" s="187">
        <f t="shared" si="41"/>
        <v>210000</v>
      </c>
      <c r="AD368" s="1043"/>
      <c r="AE368" s="574"/>
      <c r="AF368" s="1032">
        <f t="shared" si="43"/>
        <v>210000</v>
      </c>
      <c r="AG368" s="1032"/>
      <c r="AH368" s="1041">
        <f t="shared" si="42"/>
        <v>210000</v>
      </c>
      <c r="AI368" s="869"/>
      <c r="AJ368" s="1002">
        <f>+$AB$368*12</f>
        <v>42000</v>
      </c>
      <c r="AK368" s="1002">
        <f>+$AB$368*12</f>
        <v>42000</v>
      </c>
      <c r="AL368" s="1002">
        <f>+$AB$368*12</f>
        <v>42000</v>
      </c>
      <c r="AM368" s="1002">
        <f>+$AB$368*12</f>
        <v>42000</v>
      </c>
      <c r="AN368" s="1002">
        <f>+$AB$368*12</f>
        <v>42000</v>
      </c>
      <c r="AO368" s="1003">
        <f t="shared" si="39"/>
        <v>210000</v>
      </c>
      <c r="AP368" s="108"/>
      <c r="AQ368" s="1027"/>
    </row>
    <row r="369" spans="1:51" s="881" customFormat="1" ht="27.5" customHeight="1" outlineLevel="3">
      <c r="A369" s="587"/>
      <c r="B369" s="183" t="s">
        <v>1644</v>
      </c>
      <c r="C369" s="183"/>
      <c r="D369" s="1060" t="s">
        <v>1645</v>
      </c>
      <c r="E369" s="1060"/>
      <c r="F369" s="103"/>
      <c r="G369" s="574"/>
      <c r="H369" s="376"/>
      <c r="I369" s="376"/>
      <c r="J369" s="361"/>
      <c r="K369" s="361"/>
      <c r="L369" s="361"/>
      <c r="M369" s="361"/>
      <c r="N369" s="361"/>
      <c r="O369" s="361"/>
      <c r="P369" s="361"/>
      <c r="Q369" s="574"/>
      <c r="R369" s="362" t="str">
        <f>+'9.3_PA_Det'!E197</f>
        <v>3CV</v>
      </c>
      <c r="S369" s="362" t="s">
        <v>1075</v>
      </c>
      <c r="T369" s="362" t="s">
        <v>1430</v>
      </c>
      <c r="U369" s="362">
        <f>+'9.3_PA_Det'!$F$197</f>
        <v>88</v>
      </c>
      <c r="V369" s="178"/>
      <c r="W369" s="574"/>
      <c r="X369" s="126" t="s">
        <v>1267</v>
      </c>
      <c r="Y369" s="1046">
        <v>2</v>
      </c>
      <c r="Z369" s="1046">
        <v>60</v>
      </c>
      <c r="AA369" s="186"/>
      <c r="AB369" s="1047">
        <v>4000</v>
      </c>
      <c r="AC369" s="187">
        <f t="shared" si="41"/>
        <v>480000</v>
      </c>
      <c r="AD369" s="1043"/>
      <c r="AE369" s="574"/>
      <c r="AF369" s="1032">
        <f t="shared" si="43"/>
        <v>480000</v>
      </c>
      <c r="AG369" s="1032"/>
      <c r="AH369" s="1041">
        <f t="shared" si="42"/>
        <v>480000</v>
      </c>
      <c r="AI369" s="869"/>
      <c r="AJ369" s="1002">
        <f>+$AB$369*12*2</f>
        <v>96000</v>
      </c>
      <c r="AK369" s="1002">
        <f>+$AB$369*12*2</f>
        <v>96000</v>
      </c>
      <c r="AL369" s="1002">
        <f>+$AB$369*12*2</f>
        <v>96000</v>
      </c>
      <c r="AM369" s="1002">
        <f>+$AB$369*12*2</f>
        <v>96000</v>
      </c>
      <c r="AN369" s="1002">
        <f>+$AB$369*12*2</f>
        <v>96000</v>
      </c>
      <c r="AO369" s="1003">
        <f t="shared" si="39"/>
        <v>480000</v>
      </c>
      <c r="AP369" s="108"/>
      <c r="AQ369" s="1027"/>
    </row>
    <row r="370" spans="1:51" s="881" customFormat="1" ht="27.5" customHeight="1" outlineLevel="3">
      <c r="A370" s="587"/>
      <c r="B370" s="183" t="s">
        <v>1646</v>
      </c>
      <c r="C370" s="183"/>
      <c r="D370" s="1060" t="s">
        <v>3029</v>
      </c>
      <c r="E370" s="1060"/>
      <c r="F370" s="103"/>
      <c r="G370" s="574"/>
      <c r="H370" s="376"/>
      <c r="I370" s="376"/>
      <c r="J370" s="361"/>
      <c r="K370" s="361"/>
      <c r="L370" s="361"/>
      <c r="M370" s="361"/>
      <c r="N370" s="361"/>
      <c r="O370" s="361"/>
      <c r="P370" s="361"/>
      <c r="Q370" s="574"/>
      <c r="R370" s="362" t="str">
        <f>+'9.3_PA_Det'!E198</f>
        <v>3CV</v>
      </c>
      <c r="S370" s="362" t="s">
        <v>1075</v>
      </c>
      <c r="T370" s="362" t="s">
        <v>1430</v>
      </c>
      <c r="U370" s="362">
        <f>+'9.3_PA_Det'!$F$198</f>
        <v>89</v>
      </c>
      <c r="V370" s="178"/>
      <c r="W370" s="574"/>
      <c r="X370" s="126" t="s">
        <v>1267</v>
      </c>
      <c r="Y370" s="1046">
        <v>2</v>
      </c>
      <c r="Z370" s="1046">
        <v>60</v>
      </c>
      <c r="AA370" s="186"/>
      <c r="AB370" s="1047">
        <v>2500</v>
      </c>
      <c r="AC370" s="187">
        <f t="shared" si="41"/>
        <v>300000</v>
      </c>
      <c r="AD370" s="1043"/>
      <c r="AE370" s="574"/>
      <c r="AF370" s="1032">
        <f t="shared" si="43"/>
        <v>300000</v>
      </c>
      <c r="AG370" s="1032"/>
      <c r="AH370" s="1041">
        <f t="shared" si="42"/>
        <v>300000</v>
      </c>
      <c r="AI370" s="869"/>
      <c r="AJ370" s="1002">
        <f>+$AB$370*12*2</f>
        <v>60000</v>
      </c>
      <c r="AK370" s="1002">
        <f>+$AB$370*12*2</f>
        <v>60000</v>
      </c>
      <c r="AL370" s="1002">
        <f>+$AB$370*12*2</f>
        <v>60000</v>
      </c>
      <c r="AM370" s="1002">
        <f>+$AB$370*12*2</f>
        <v>60000</v>
      </c>
      <c r="AN370" s="1002">
        <f>+$AB$370*12*2</f>
        <v>60000</v>
      </c>
      <c r="AO370" s="1003">
        <f t="shared" si="39"/>
        <v>300000</v>
      </c>
      <c r="AP370" s="108"/>
      <c r="AQ370" s="1027"/>
    </row>
    <row r="371" spans="1:51" s="881" customFormat="1" ht="27.5" customHeight="1" outlineLevel="3">
      <c r="A371" s="587"/>
      <c r="B371" s="183" t="s">
        <v>1648</v>
      </c>
      <c r="C371" s="183"/>
      <c r="D371" s="1060" t="s">
        <v>1649</v>
      </c>
      <c r="E371" s="1060"/>
      <c r="F371" s="103"/>
      <c r="G371" s="103"/>
      <c r="H371" s="362"/>
      <c r="I371" s="362"/>
      <c r="J371" s="361"/>
      <c r="K371" s="361"/>
      <c r="L371" s="361"/>
      <c r="M371" s="361"/>
      <c r="N371" s="361"/>
      <c r="O371" s="361"/>
      <c r="P371" s="361"/>
      <c r="Q371" s="103"/>
      <c r="R371" s="362" t="str">
        <f>+'9.3_PA_Det'!$E$199</f>
        <v>3CV</v>
      </c>
      <c r="S371" s="362" t="s">
        <v>1075</v>
      </c>
      <c r="T371" s="362" t="s">
        <v>1430</v>
      </c>
      <c r="U371" s="362">
        <f>+'9.3_PA_Det'!$F$199</f>
        <v>90</v>
      </c>
      <c r="V371" s="178"/>
      <c r="W371" s="103"/>
      <c r="X371" s="126" t="s">
        <v>1267</v>
      </c>
      <c r="Y371" s="1046">
        <v>1</v>
      </c>
      <c r="Z371" s="1046">
        <v>60</v>
      </c>
      <c r="AA371" s="186"/>
      <c r="AB371" s="1047">
        <v>2000</v>
      </c>
      <c r="AC371" s="187">
        <f t="shared" si="41"/>
        <v>120000</v>
      </c>
      <c r="AD371" s="1043"/>
      <c r="AE371" s="103"/>
      <c r="AF371" s="1032">
        <f t="shared" si="43"/>
        <v>120000</v>
      </c>
      <c r="AG371" s="1032"/>
      <c r="AH371" s="1041">
        <f t="shared" si="42"/>
        <v>120000</v>
      </c>
      <c r="AI371" s="873"/>
      <c r="AJ371" s="1002">
        <f>+$AB$371*12</f>
        <v>24000</v>
      </c>
      <c r="AK371" s="1002">
        <f>+$AB$371*12</f>
        <v>24000</v>
      </c>
      <c r="AL371" s="1002">
        <f>+$AB$371*12</f>
        <v>24000</v>
      </c>
      <c r="AM371" s="1002">
        <f>+$AB$371*12</f>
        <v>24000</v>
      </c>
      <c r="AN371" s="1002">
        <f>+$AB$371*12</f>
        <v>24000</v>
      </c>
      <c r="AO371" s="1003">
        <f t="shared" si="39"/>
        <v>120000</v>
      </c>
      <c r="AP371" s="108"/>
      <c r="AQ371" s="1027"/>
    </row>
    <row r="372" spans="1:51" s="153" customFormat="1" ht="14" customHeight="1" outlineLevel="2">
      <c r="A372" s="586"/>
      <c r="B372" s="189" t="s">
        <v>1653</v>
      </c>
      <c r="C372" s="189"/>
      <c r="D372" s="559" t="s">
        <v>1654</v>
      </c>
      <c r="E372" s="559"/>
      <c r="F372" s="125"/>
      <c r="G372" s="96"/>
      <c r="H372" s="373"/>
      <c r="I372" s="374"/>
      <c r="J372" s="375"/>
      <c r="K372" s="375"/>
      <c r="L372" s="375"/>
      <c r="M372" s="375"/>
      <c r="N372" s="375"/>
      <c r="O372" s="375"/>
      <c r="P372" s="375"/>
      <c r="Q372" s="96"/>
      <c r="R372" s="374"/>
      <c r="S372" s="374"/>
      <c r="T372" s="374"/>
      <c r="U372" s="374"/>
      <c r="V372" s="191"/>
      <c r="W372" s="96"/>
      <c r="X372" s="125"/>
      <c r="Y372" s="190"/>
      <c r="Z372" s="190"/>
      <c r="AA372" s="192"/>
      <c r="AB372" s="193"/>
      <c r="AC372" s="193">
        <f>+AC374+AC375+AC373</f>
        <v>1548000</v>
      </c>
      <c r="AD372" s="695"/>
      <c r="AE372" s="96"/>
      <c r="AF372" s="193">
        <f>+AF374+AF375+AF373</f>
        <v>1548000</v>
      </c>
      <c r="AG372" s="193">
        <f>+AG374+AG375+AG373</f>
        <v>0</v>
      </c>
      <c r="AH372" s="193">
        <f>+AH374+AH375+AH373</f>
        <v>1548000</v>
      </c>
      <c r="AI372" s="865"/>
      <c r="AJ372" s="193">
        <f>+AJ374+AJ375+AJ373</f>
        <v>387000</v>
      </c>
      <c r="AK372" s="193">
        <f>+AK374+AK375+AK373</f>
        <v>387000</v>
      </c>
      <c r="AL372" s="193">
        <f>+AL374+AL375+AL373</f>
        <v>387000</v>
      </c>
      <c r="AM372" s="193">
        <f>+AM374+AM375+AM373</f>
        <v>387000</v>
      </c>
      <c r="AN372" s="193">
        <f>+AN374+AN375+AN373</f>
        <v>0</v>
      </c>
      <c r="AO372" s="1018">
        <f t="shared" si="39"/>
        <v>1548000</v>
      </c>
      <c r="AQ372" s="1027"/>
    </row>
    <row r="373" spans="1:51" s="558" customFormat="1" ht="29.5" customHeight="1" outlineLevel="3">
      <c r="A373" s="585" t="s">
        <v>2629</v>
      </c>
      <c r="B373" s="551" t="s">
        <v>1655</v>
      </c>
      <c r="C373" s="551"/>
      <c r="D373" s="537" t="s">
        <v>1656</v>
      </c>
      <c r="E373" s="537"/>
      <c r="F373" s="491"/>
      <c r="G373" s="571"/>
      <c r="H373" s="552"/>
      <c r="I373" s="552"/>
      <c r="J373" s="553"/>
      <c r="K373" s="553"/>
      <c r="L373" s="553"/>
      <c r="M373" s="553"/>
      <c r="N373" s="553"/>
      <c r="O373" s="553"/>
      <c r="P373" s="553"/>
      <c r="Q373" s="571"/>
      <c r="R373" s="855"/>
      <c r="S373" s="494"/>
      <c r="T373" s="855"/>
      <c r="U373" s="855"/>
      <c r="V373" s="554"/>
      <c r="W373" s="571"/>
      <c r="X373" s="555"/>
      <c r="Y373" s="572"/>
      <c r="Z373" s="572"/>
      <c r="AA373" s="556"/>
      <c r="AB373" s="573"/>
      <c r="AC373" s="557">
        <f>+Y373*AB373</f>
        <v>0</v>
      </c>
      <c r="AD373" s="943" t="s">
        <v>3601</v>
      </c>
      <c r="AE373" s="571"/>
      <c r="AF373" s="502"/>
      <c r="AG373" s="502"/>
      <c r="AH373" s="1041">
        <f>+AG373+AF373</f>
        <v>0</v>
      </c>
      <c r="AI373" s="871"/>
      <c r="AJ373" s="985"/>
      <c r="AK373" s="985"/>
      <c r="AL373" s="985"/>
      <c r="AM373" s="1016"/>
      <c r="AN373" s="985"/>
      <c r="AO373" s="1017">
        <f t="shared" si="39"/>
        <v>0</v>
      </c>
      <c r="AP373" s="879"/>
      <c r="AQ373" s="1027"/>
    </row>
    <row r="374" spans="1:51" s="881" customFormat="1" ht="25.25" customHeight="1" outlineLevel="3">
      <c r="A374" s="587"/>
      <c r="B374" s="183" t="s">
        <v>3602</v>
      </c>
      <c r="C374" s="183"/>
      <c r="D374" s="1060" t="s">
        <v>3603</v>
      </c>
      <c r="E374" s="1060"/>
      <c r="F374" s="103"/>
      <c r="G374" s="574"/>
      <c r="H374" s="376"/>
      <c r="I374" s="376"/>
      <c r="J374" s="361"/>
      <c r="K374" s="361"/>
      <c r="L374" s="361"/>
      <c r="M374" s="361"/>
      <c r="N374" s="361"/>
      <c r="O374" s="361"/>
      <c r="P374" s="361"/>
      <c r="Q374" s="574"/>
      <c r="R374" s="3897" t="str">
        <f>+'9.3_PA_Det'!E153</f>
        <v>Selección Basada en Calidad y Costo</v>
      </c>
      <c r="S374" s="3897" t="s">
        <v>1075</v>
      </c>
      <c r="T374" s="3897" t="s">
        <v>1667</v>
      </c>
      <c r="U374" s="3897">
        <f>+'9.3_PA_Det'!F153</f>
        <v>53</v>
      </c>
      <c r="V374" s="3897"/>
      <c r="W374" s="574"/>
      <c r="X374" s="126" t="s">
        <v>1652</v>
      </c>
      <c r="Y374" s="1046">
        <v>1</v>
      </c>
      <c r="Z374" s="1046">
        <v>48</v>
      </c>
      <c r="AA374" s="186">
        <v>1.5</v>
      </c>
      <c r="AB374" s="1047">
        <v>4000</v>
      </c>
      <c r="AC374" s="187">
        <f>Y374*Z374*AA374*AB374</f>
        <v>288000</v>
      </c>
      <c r="AD374" s="1043"/>
      <c r="AE374" s="574"/>
      <c r="AF374" s="1032">
        <f>+AC374</f>
        <v>288000</v>
      </c>
      <c r="AG374" s="1032"/>
      <c r="AH374" s="1041">
        <f>+AG374+AF374</f>
        <v>288000</v>
      </c>
      <c r="AI374" s="869"/>
      <c r="AJ374" s="1002">
        <f>+$AF$374/4</f>
        <v>72000</v>
      </c>
      <c r="AK374" s="1002">
        <f>+$AF$374/4</f>
        <v>72000</v>
      </c>
      <c r="AL374" s="1002">
        <f>+$AF$374/4</f>
        <v>72000</v>
      </c>
      <c r="AM374" s="1002">
        <f>+$AF$374/4</f>
        <v>72000</v>
      </c>
      <c r="AN374" s="1038"/>
      <c r="AO374" s="1003">
        <f t="shared" si="39"/>
        <v>288000</v>
      </c>
      <c r="AP374" s="108"/>
      <c r="AQ374" s="1027"/>
    </row>
    <row r="375" spans="1:51" s="881" customFormat="1" ht="25.25" customHeight="1" outlineLevel="3">
      <c r="A375" s="587"/>
      <c r="B375" s="183" t="s">
        <v>1657</v>
      </c>
      <c r="C375" s="183"/>
      <c r="D375" s="1060" t="s">
        <v>1658</v>
      </c>
      <c r="E375" s="1060"/>
      <c r="F375" s="103"/>
      <c r="G375" s="574"/>
      <c r="H375" s="376"/>
      <c r="I375" s="376"/>
      <c r="J375" s="361"/>
      <c r="K375" s="361"/>
      <c r="L375" s="361"/>
      <c r="M375" s="361"/>
      <c r="N375" s="361"/>
      <c r="O375" s="361"/>
      <c r="P375" s="361"/>
      <c r="Q375" s="574"/>
      <c r="R375" s="3899"/>
      <c r="S375" s="3899"/>
      <c r="T375" s="3899"/>
      <c r="U375" s="3899"/>
      <c r="V375" s="3899"/>
      <c r="W375" s="574"/>
      <c r="X375" s="126" t="s">
        <v>1652</v>
      </c>
      <c r="Y375" s="1046">
        <v>5</v>
      </c>
      <c r="Z375" s="1046">
        <v>48</v>
      </c>
      <c r="AA375" s="186">
        <v>1.5</v>
      </c>
      <c r="AB375" s="1047">
        <v>3500</v>
      </c>
      <c r="AC375" s="187">
        <f>Y375*Z375*AA375*AB375</f>
        <v>1260000</v>
      </c>
      <c r="AD375" s="1043"/>
      <c r="AE375" s="574"/>
      <c r="AF375" s="1032">
        <f>+AC375</f>
        <v>1260000</v>
      </c>
      <c r="AG375" s="1032"/>
      <c r="AH375" s="1041">
        <f>+AG375+AF375</f>
        <v>1260000</v>
      </c>
      <c r="AI375" s="869"/>
      <c r="AJ375" s="1002">
        <f>+$AF$375/4</f>
        <v>315000</v>
      </c>
      <c r="AK375" s="1002">
        <f>+$AF$375/4</f>
        <v>315000</v>
      </c>
      <c r="AL375" s="1002">
        <f>+$AF$375/4</f>
        <v>315000</v>
      </c>
      <c r="AM375" s="1002">
        <f>+$AF$375/4</f>
        <v>315000</v>
      </c>
      <c r="AN375" s="1038"/>
      <c r="AO375" s="1003">
        <f t="shared" si="39"/>
        <v>1260000</v>
      </c>
      <c r="AP375" s="108"/>
      <c r="AQ375" s="1027"/>
    </row>
    <row r="376" spans="1:51" s="878" customFormat="1" ht="13.25" customHeight="1" outlineLevel="2">
      <c r="A376" s="586"/>
      <c r="B376" s="189" t="s">
        <v>1660</v>
      </c>
      <c r="C376" s="189"/>
      <c r="D376" s="559" t="s">
        <v>1661</v>
      </c>
      <c r="E376" s="559"/>
      <c r="F376" s="125"/>
      <c r="G376" s="96"/>
      <c r="H376" s="373"/>
      <c r="I376" s="374"/>
      <c r="J376" s="375"/>
      <c r="K376" s="375"/>
      <c r="L376" s="375"/>
      <c r="M376" s="375"/>
      <c r="N376" s="375"/>
      <c r="O376" s="375"/>
      <c r="P376" s="375"/>
      <c r="Q376" s="96"/>
      <c r="R376" s="374"/>
      <c r="S376" s="374"/>
      <c r="T376" s="374"/>
      <c r="U376" s="374"/>
      <c r="V376" s="191"/>
      <c r="W376" s="96"/>
      <c r="X376" s="125"/>
      <c r="Y376" s="190"/>
      <c r="Z376" s="190"/>
      <c r="AA376" s="192"/>
      <c r="AB376" s="193"/>
      <c r="AC376" s="193">
        <f>SUM(AC377:AC377)</f>
        <v>250000</v>
      </c>
      <c r="AD376" s="695"/>
      <c r="AE376" s="96"/>
      <c r="AF376" s="193">
        <f>SUM(AF377:AF377)</f>
        <v>250000</v>
      </c>
      <c r="AG376" s="193">
        <f>SUM(AG377:AG377)</f>
        <v>0</v>
      </c>
      <c r="AH376" s="193">
        <f>SUM(AH377:AH377)</f>
        <v>250000</v>
      </c>
      <c r="AI376" s="865"/>
      <c r="AJ376" s="1021">
        <f>SUM(AJ377:AJ377)</f>
        <v>50000</v>
      </c>
      <c r="AK376" s="1021">
        <f>SUM(AK377:AK377)</f>
        <v>50000</v>
      </c>
      <c r="AL376" s="1021">
        <f>SUM(AL377:AL377)</f>
        <v>50000</v>
      </c>
      <c r="AM376" s="1021">
        <f>SUM(AM377:AM377)</f>
        <v>50000</v>
      </c>
      <c r="AN376" s="1021">
        <f>SUM(AN377:AN377)</f>
        <v>50000</v>
      </c>
      <c r="AO376" s="1018">
        <f t="shared" si="39"/>
        <v>250000</v>
      </c>
      <c r="AP376" s="153"/>
      <c r="AQ376" s="1027"/>
      <c r="AR376" s="153"/>
      <c r="AS376" s="153"/>
      <c r="AT376" s="153"/>
      <c r="AU376" s="153"/>
      <c r="AV376" s="153"/>
      <c r="AW376" s="153"/>
      <c r="AX376" s="153"/>
      <c r="AY376" s="153"/>
    </row>
    <row r="377" spans="1:51" s="882" customFormat="1" ht="14" customHeight="1" outlineLevel="3">
      <c r="A377" s="587"/>
      <c r="B377" s="183" t="s">
        <v>1662</v>
      </c>
      <c r="C377" s="183"/>
      <c r="D377" s="944" t="s">
        <v>1663</v>
      </c>
      <c r="E377" s="944"/>
      <c r="F377" s="103"/>
      <c r="G377" s="97"/>
      <c r="H377" s="360"/>
      <c r="I377" s="362"/>
      <c r="J377" s="361"/>
      <c r="K377" s="361"/>
      <c r="L377" s="361"/>
      <c r="M377" s="361"/>
      <c r="N377" s="361"/>
      <c r="O377" s="361"/>
      <c r="P377" s="361"/>
      <c r="Q377" s="97"/>
      <c r="R377" s="362" t="s">
        <v>723</v>
      </c>
      <c r="S377" s="364"/>
      <c r="T377" s="362"/>
      <c r="U377" s="362"/>
      <c r="V377" s="178"/>
      <c r="W377" s="97"/>
      <c r="X377" s="126" t="s">
        <v>1664</v>
      </c>
      <c r="Y377" s="522">
        <v>5</v>
      </c>
      <c r="Z377" s="522">
        <v>1</v>
      </c>
      <c r="AA377" s="186"/>
      <c r="AB377" s="523">
        <v>50000</v>
      </c>
      <c r="AC377" s="187">
        <f>Y377*Z377*AB377</f>
        <v>250000</v>
      </c>
      <c r="AD377" s="1043"/>
      <c r="AE377" s="97"/>
      <c r="AF377" s="1032">
        <f>+AC377</f>
        <v>250000</v>
      </c>
      <c r="AG377" s="1032"/>
      <c r="AH377" s="1041">
        <f>+AG377+AF377</f>
        <v>250000</v>
      </c>
      <c r="AI377" s="867"/>
      <c r="AJ377" s="1022">
        <f>+$AB$377</f>
        <v>50000</v>
      </c>
      <c r="AK377" s="1022">
        <f>+$AB$377</f>
        <v>50000</v>
      </c>
      <c r="AL377" s="1022">
        <f>+$AB$377</f>
        <v>50000</v>
      </c>
      <c r="AM377" s="1022">
        <f>+$AB$377</f>
        <v>50000</v>
      </c>
      <c r="AN377" s="1022">
        <f>+$AB$377</f>
        <v>50000</v>
      </c>
      <c r="AO377" s="1003">
        <f t="shared" si="39"/>
        <v>250000</v>
      </c>
      <c r="AP377" s="108"/>
      <c r="AQ377" s="1027"/>
      <c r="AR377" s="881"/>
      <c r="AS377" s="881"/>
      <c r="AT377" s="881"/>
      <c r="AU377" s="881"/>
      <c r="AV377" s="881"/>
      <c r="AW377" s="881"/>
      <c r="AX377" s="881"/>
      <c r="AY377" s="881"/>
    </row>
    <row r="378" spans="1:51" s="882" customFormat="1" ht="14" customHeight="1" outlineLevel="2">
      <c r="A378" s="587"/>
      <c r="B378" s="183"/>
      <c r="C378" s="183"/>
      <c r="D378" s="944"/>
      <c r="E378" s="944"/>
      <c r="F378" s="103"/>
      <c r="G378" s="97"/>
      <c r="H378" s="360"/>
      <c r="I378" s="362"/>
      <c r="J378" s="361"/>
      <c r="K378" s="361"/>
      <c r="L378" s="361"/>
      <c r="M378" s="361"/>
      <c r="N378" s="361"/>
      <c r="O378" s="361"/>
      <c r="P378" s="361"/>
      <c r="Q378" s="97"/>
      <c r="R378" s="362"/>
      <c r="S378" s="364"/>
      <c r="T378" s="362"/>
      <c r="U378" s="362"/>
      <c r="V378" s="178"/>
      <c r="W378" s="97"/>
      <c r="X378" s="126"/>
      <c r="Y378" s="522"/>
      <c r="Z378" s="522"/>
      <c r="AA378" s="186"/>
      <c r="AB378" s="523"/>
      <c r="AC378" s="187"/>
      <c r="AD378" s="1043"/>
      <c r="AE378" s="97"/>
      <c r="AF378" s="1032"/>
      <c r="AG378" s="1032"/>
      <c r="AH378" s="1041"/>
      <c r="AI378" s="867"/>
      <c r="AJ378" s="1022"/>
      <c r="AK378" s="1022"/>
      <c r="AL378" s="1022"/>
      <c r="AM378" s="1022"/>
      <c r="AN378" s="1022"/>
      <c r="AO378" s="1003"/>
      <c r="AP378" s="108"/>
      <c r="AQ378" s="1027"/>
      <c r="AR378" s="881"/>
      <c r="AS378" s="881"/>
      <c r="AT378" s="881"/>
      <c r="AU378" s="881"/>
      <c r="AV378" s="881"/>
      <c r="AW378" s="881"/>
      <c r="AX378" s="881"/>
      <c r="AY378" s="881"/>
    </row>
    <row r="379" spans="1:51" s="878" customFormat="1" ht="21.5" customHeight="1" outlineLevel="1">
      <c r="A379" s="1113"/>
      <c r="B379" s="1114" t="s">
        <v>2631</v>
      </c>
      <c r="C379" s="1114"/>
      <c r="D379" s="1115" t="s">
        <v>2632</v>
      </c>
      <c r="E379" s="1115"/>
      <c r="F379" s="106"/>
      <c r="G379" s="96"/>
      <c r="H379" s="372"/>
      <c r="I379" s="358"/>
      <c r="J379" s="359"/>
      <c r="K379" s="359"/>
      <c r="L379" s="359"/>
      <c r="M379" s="359"/>
      <c r="N379" s="359"/>
      <c r="O379" s="359"/>
      <c r="P379" s="359"/>
      <c r="Q379" s="96"/>
      <c r="R379" s="358"/>
      <c r="S379" s="358"/>
      <c r="T379" s="358"/>
      <c r="U379" s="358"/>
      <c r="V379" s="174"/>
      <c r="W379" s="96"/>
      <c r="X379" s="1116"/>
      <c r="Y379" s="1117"/>
      <c r="Z379" s="1117"/>
      <c r="AA379" s="1118"/>
      <c r="AB379" s="1119"/>
      <c r="AC379" s="1119">
        <f>SUM(AC380:AC387)</f>
        <v>1450000</v>
      </c>
      <c r="AD379" s="1120"/>
      <c r="AE379" s="96"/>
      <c r="AF379" s="1119">
        <f>SUM(AF380:AF387)</f>
        <v>1450000</v>
      </c>
      <c r="AG379" s="1119">
        <f>SUM(AG380:AG387)</f>
        <v>0</v>
      </c>
      <c r="AH379" s="1119">
        <f>SUM(AH380:AH387)</f>
        <v>1450000</v>
      </c>
      <c r="AI379" s="865"/>
      <c r="AJ379" s="1119">
        <f>SUM(AJ380:AJ387)</f>
        <v>302000</v>
      </c>
      <c r="AK379" s="1119">
        <f>SUM(AK380:AK387)</f>
        <v>302000</v>
      </c>
      <c r="AL379" s="1119">
        <f>SUM(AL380:AL387)</f>
        <v>302000</v>
      </c>
      <c r="AM379" s="1121">
        <f>SUM(AM380:AM387)</f>
        <v>302000</v>
      </c>
      <c r="AN379" s="1121">
        <f>SUM(AN380:AN387)</f>
        <v>242000</v>
      </c>
      <c r="AO379" s="1121">
        <f t="shared" ref="AO379:AO387" si="44">SUM(AJ379:AN379)</f>
        <v>1450000</v>
      </c>
      <c r="AP379" s="153"/>
      <c r="AQ379" s="1027"/>
      <c r="AR379" s="153"/>
      <c r="AS379" s="153"/>
      <c r="AT379" s="153"/>
      <c r="AU379" s="153"/>
      <c r="AV379" s="153"/>
      <c r="AW379" s="153"/>
      <c r="AX379" s="153"/>
      <c r="AY379" s="153"/>
    </row>
    <row r="380" spans="1:51" s="885" customFormat="1" ht="14" customHeight="1" outlineLevel="2">
      <c r="A380" s="580"/>
      <c r="B380" s="107" t="s">
        <v>2633</v>
      </c>
      <c r="C380" s="107"/>
      <c r="D380" s="944" t="s">
        <v>2634</v>
      </c>
      <c r="E380" s="944"/>
      <c r="F380" s="177"/>
      <c r="G380" s="98"/>
      <c r="H380" s="363"/>
      <c r="I380" s="377"/>
      <c r="J380" s="377"/>
      <c r="K380" s="377"/>
      <c r="L380" s="377"/>
      <c r="M380" s="377"/>
      <c r="N380" s="377"/>
      <c r="O380" s="377"/>
      <c r="P380" s="377"/>
      <c r="Q380" s="98"/>
      <c r="R380" s="364" t="str">
        <f>+'9.3_PA_Det'!E200</f>
        <v>3CV</v>
      </c>
      <c r="S380" s="362" t="s">
        <v>1075</v>
      </c>
      <c r="T380" s="362" t="s">
        <v>1430</v>
      </c>
      <c r="U380" s="364">
        <f>+'9.3_PA_Det'!F200</f>
        <v>91</v>
      </c>
      <c r="V380" s="195"/>
      <c r="W380" s="98"/>
      <c r="X380" s="711" t="s">
        <v>1267</v>
      </c>
      <c r="Y380" s="522">
        <v>1</v>
      </c>
      <c r="Z380" s="522">
        <v>60</v>
      </c>
      <c r="AA380" s="180"/>
      <c r="AB380" s="523">
        <v>4000</v>
      </c>
      <c r="AC380" s="187">
        <f t="shared" ref="AC380:AC387" si="45">+Y380*Z380*AB380</f>
        <v>240000</v>
      </c>
      <c r="AD380" s="696"/>
      <c r="AE380" s="98"/>
      <c r="AF380" s="1032">
        <f>+AC380</f>
        <v>240000</v>
      </c>
      <c r="AG380" s="1032"/>
      <c r="AH380" s="1041">
        <f t="shared" ref="AH380:AH387" si="46">+AG380+AF380</f>
        <v>240000</v>
      </c>
      <c r="AI380" s="874"/>
      <c r="AJ380" s="728">
        <f>+$AB$380*12</f>
        <v>48000</v>
      </c>
      <c r="AK380" s="728">
        <f>+$AB$380*12</f>
        <v>48000</v>
      </c>
      <c r="AL380" s="728">
        <f>+$AB$380*12</f>
        <v>48000</v>
      </c>
      <c r="AM380" s="728">
        <f>+$AB$380*12</f>
        <v>48000</v>
      </c>
      <c r="AN380" s="728">
        <f>+$AB$380*12</f>
        <v>48000</v>
      </c>
      <c r="AO380" s="1003">
        <f t="shared" si="44"/>
        <v>240000</v>
      </c>
      <c r="AP380" s="884"/>
      <c r="AQ380" s="1027"/>
      <c r="AR380" s="884"/>
      <c r="AS380" s="884"/>
      <c r="AT380" s="884"/>
      <c r="AU380" s="884"/>
      <c r="AV380" s="884"/>
      <c r="AW380" s="884"/>
      <c r="AX380" s="884"/>
      <c r="AY380" s="884"/>
    </row>
    <row r="381" spans="1:51" s="885" customFormat="1" ht="14" customHeight="1" outlineLevel="2">
      <c r="A381" s="580"/>
      <c r="B381" s="107" t="s">
        <v>2635</v>
      </c>
      <c r="C381" s="107"/>
      <c r="D381" s="944" t="s">
        <v>2636</v>
      </c>
      <c r="E381" s="944"/>
      <c r="F381" s="196"/>
      <c r="G381" s="99"/>
      <c r="H381" s="378"/>
      <c r="I381" s="379"/>
      <c r="J381" s="377"/>
      <c r="K381" s="361"/>
      <c r="L381" s="361"/>
      <c r="M381" s="361"/>
      <c r="N381" s="361"/>
      <c r="O381" s="361"/>
      <c r="P381" s="361"/>
      <c r="Q381" s="99"/>
      <c r="R381" s="364" t="str">
        <f>+'9.3_PA_Det'!E201</f>
        <v>3CV</v>
      </c>
      <c r="S381" s="362" t="s">
        <v>1075</v>
      </c>
      <c r="T381" s="362" t="s">
        <v>1430</v>
      </c>
      <c r="U381" s="364">
        <f>+'9.3_PA_Det'!F201</f>
        <v>92</v>
      </c>
      <c r="V381" s="197"/>
      <c r="W381" s="99"/>
      <c r="X381" s="711" t="s">
        <v>1267</v>
      </c>
      <c r="Y381" s="522">
        <v>1</v>
      </c>
      <c r="Z381" s="522">
        <v>60</v>
      </c>
      <c r="AA381" s="180"/>
      <c r="AB381" s="523">
        <v>3000</v>
      </c>
      <c r="AC381" s="187">
        <f t="shared" si="45"/>
        <v>180000</v>
      </c>
      <c r="AD381" s="696"/>
      <c r="AE381" s="99"/>
      <c r="AF381" s="1032">
        <f t="shared" ref="AF381:AF387" si="47">+AC381</f>
        <v>180000</v>
      </c>
      <c r="AG381" s="1032"/>
      <c r="AH381" s="1041">
        <f t="shared" si="46"/>
        <v>180000</v>
      </c>
      <c r="AI381" s="875"/>
      <c r="AJ381" s="728">
        <f>+$AB$381*12</f>
        <v>36000</v>
      </c>
      <c r="AK381" s="728">
        <f>+$AB$381*12</f>
        <v>36000</v>
      </c>
      <c r="AL381" s="728">
        <f>+$AB$381*12</f>
        <v>36000</v>
      </c>
      <c r="AM381" s="728">
        <f>+$AB$381*12</f>
        <v>36000</v>
      </c>
      <c r="AN381" s="728">
        <f>+$AB$381*12</f>
        <v>36000</v>
      </c>
      <c r="AO381" s="1003">
        <f t="shared" si="44"/>
        <v>180000</v>
      </c>
      <c r="AP381" s="884"/>
      <c r="AQ381" s="1027"/>
      <c r="AR381" s="884"/>
      <c r="AS381" s="884"/>
      <c r="AT381" s="884"/>
      <c r="AU381" s="884"/>
      <c r="AV381" s="884"/>
      <c r="AW381" s="884"/>
      <c r="AX381" s="884"/>
      <c r="AY381" s="884"/>
    </row>
    <row r="382" spans="1:51" s="885" customFormat="1" ht="14" customHeight="1" outlineLevel="2">
      <c r="A382" s="580"/>
      <c r="B382" s="107" t="s">
        <v>2637</v>
      </c>
      <c r="C382" s="107"/>
      <c r="D382" s="944" t="s">
        <v>2638</v>
      </c>
      <c r="E382" s="944"/>
      <c r="F382" s="196"/>
      <c r="G382" s="99"/>
      <c r="H382" s="378"/>
      <c r="I382" s="379"/>
      <c r="J382" s="377"/>
      <c r="K382" s="361"/>
      <c r="L382" s="361"/>
      <c r="M382" s="361"/>
      <c r="N382" s="361"/>
      <c r="O382" s="361"/>
      <c r="P382" s="361"/>
      <c r="Q382" s="99"/>
      <c r="R382" s="364" t="str">
        <f>+'9.3_PA_Det'!E202</f>
        <v>3CV</v>
      </c>
      <c r="S382" s="362" t="s">
        <v>1075</v>
      </c>
      <c r="T382" s="362" t="s">
        <v>1430</v>
      </c>
      <c r="U382" s="364">
        <f>+'9.3_PA_Det'!F202</f>
        <v>93</v>
      </c>
      <c r="V382" s="197"/>
      <c r="W382" s="99"/>
      <c r="X382" s="711" t="s">
        <v>1267</v>
      </c>
      <c r="Y382" s="522">
        <v>1</v>
      </c>
      <c r="Z382" s="522">
        <v>60</v>
      </c>
      <c r="AA382" s="180"/>
      <c r="AB382" s="523">
        <v>3500</v>
      </c>
      <c r="AC382" s="187">
        <f t="shared" si="45"/>
        <v>210000</v>
      </c>
      <c r="AD382" s="696"/>
      <c r="AE382" s="99"/>
      <c r="AF382" s="1032">
        <f t="shared" si="47"/>
        <v>210000</v>
      </c>
      <c r="AG382" s="1032"/>
      <c r="AH382" s="1041">
        <f t="shared" si="46"/>
        <v>210000</v>
      </c>
      <c r="AI382" s="875"/>
      <c r="AJ382" s="728">
        <f>+$AB$382*12</f>
        <v>42000</v>
      </c>
      <c r="AK382" s="728">
        <f>+$AB$382*12</f>
        <v>42000</v>
      </c>
      <c r="AL382" s="728">
        <f>+$AB$382*12</f>
        <v>42000</v>
      </c>
      <c r="AM382" s="728">
        <f>+$AB$382*12</f>
        <v>42000</v>
      </c>
      <c r="AN382" s="728">
        <f>+$AB$382*12</f>
        <v>42000</v>
      </c>
      <c r="AO382" s="1003">
        <f t="shared" si="44"/>
        <v>210000</v>
      </c>
      <c r="AP382" s="884"/>
      <c r="AQ382" s="1027"/>
      <c r="AR382" s="884"/>
      <c r="AS382" s="884"/>
      <c r="AT382" s="884"/>
      <c r="AU382" s="884"/>
      <c r="AV382" s="884"/>
      <c r="AW382" s="884"/>
      <c r="AX382" s="884"/>
      <c r="AY382" s="884"/>
    </row>
    <row r="383" spans="1:51" s="885" customFormat="1" ht="14" customHeight="1" outlineLevel="2">
      <c r="A383" s="580"/>
      <c r="B383" s="107" t="s">
        <v>2639</v>
      </c>
      <c r="C383" s="107"/>
      <c r="D383" s="944" t="s">
        <v>2640</v>
      </c>
      <c r="E383" s="944"/>
      <c r="F383" s="196"/>
      <c r="G383" s="99"/>
      <c r="H383" s="378"/>
      <c r="I383" s="379"/>
      <c r="J383" s="377"/>
      <c r="K383" s="361"/>
      <c r="L383" s="361"/>
      <c r="M383" s="361"/>
      <c r="N383" s="361"/>
      <c r="O383" s="361"/>
      <c r="P383" s="361"/>
      <c r="Q383" s="99"/>
      <c r="R383" s="364" t="str">
        <f>+'9.3_PA_Det'!E203</f>
        <v>3CV</v>
      </c>
      <c r="S383" s="362" t="s">
        <v>1075</v>
      </c>
      <c r="T383" s="362" t="s">
        <v>1430</v>
      </c>
      <c r="U383" s="364">
        <f>+'9.3_PA_Det'!F203</f>
        <v>94</v>
      </c>
      <c r="V383" s="197"/>
      <c r="W383" s="99"/>
      <c r="X383" s="711" t="s">
        <v>1267</v>
      </c>
      <c r="Y383" s="522">
        <v>1</v>
      </c>
      <c r="Z383" s="522">
        <v>60</v>
      </c>
      <c r="AA383" s="180"/>
      <c r="AB383" s="523">
        <v>3500</v>
      </c>
      <c r="AC383" s="187">
        <f t="shared" si="45"/>
        <v>210000</v>
      </c>
      <c r="AD383" s="696"/>
      <c r="AE383" s="99"/>
      <c r="AF383" s="1032">
        <f t="shared" si="47"/>
        <v>210000</v>
      </c>
      <c r="AG383" s="1032"/>
      <c r="AH383" s="1041">
        <f t="shared" si="46"/>
        <v>210000</v>
      </c>
      <c r="AI383" s="875"/>
      <c r="AJ383" s="728">
        <f>+$AB$383*12</f>
        <v>42000</v>
      </c>
      <c r="AK383" s="728">
        <f>+$AB$383*12</f>
        <v>42000</v>
      </c>
      <c r="AL383" s="728">
        <f>+$AB$383*12</f>
        <v>42000</v>
      </c>
      <c r="AM383" s="728">
        <f>+$AB$383*12</f>
        <v>42000</v>
      </c>
      <c r="AN383" s="728">
        <f>+$AB$383*12</f>
        <v>42000</v>
      </c>
      <c r="AO383" s="1003">
        <f t="shared" si="44"/>
        <v>210000</v>
      </c>
      <c r="AP383" s="884"/>
      <c r="AQ383" s="1027"/>
      <c r="AR383" s="884"/>
      <c r="AS383" s="884"/>
      <c r="AT383" s="884"/>
      <c r="AU383" s="884"/>
      <c r="AV383" s="884"/>
      <c r="AW383" s="884"/>
      <c r="AX383" s="884"/>
      <c r="AY383" s="884"/>
    </row>
    <row r="384" spans="1:51" s="885" customFormat="1" ht="14" customHeight="1" outlineLevel="2">
      <c r="A384" s="580"/>
      <c r="B384" s="107" t="s">
        <v>2641</v>
      </c>
      <c r="C384" s="107"/>
      <c r="D384" s="944" t="s">
        <v>2642</v>
      </c>
      <c r="E384" s="944"/>
      <c r="F384" s="196"/>
      <c r="G384" s="99"/>
      <c r="H384" s="378"/>
      <c r="I384" s="379"/>
      <c r="J384" s="377"/>
      <c r="K384" s="361"/>
      <c r="L384" s="361"/>
      <c r="M384" s="361"/>
      <c r="N384" s="361"/>
      <c r="O384" s="361"/>
      <c r="P384" s="361"/>
      <c r="Q384" s="99"/>
      <c r="R384" s="364" t="str">
        <f>+'9.3_PA_Det'!E204</f>
        <v>3CV</v>
      </c>
      <c r="S384" s="362" t="s">
        <v>1075</v>
      </c>
      <c r="T384" s="362" t="s">
        <v>1430</v>
      </c>
      <c r="U384" s="364">
        <f>+'9.3_PA_Det'!F204</f>
        <v>95</v>
      </c>
      <c r="V384" s="197"/>
      <c r="W384" s="99"/>
      <c r="X384" s="711" t="s">
        <v>1267</v>
      </c>
      <c r="Y384" s="522">
        <v>1</v>
      </c>
      <c r="Z384" s="522">
        <v>60</v>
      </c>
      <c r="AA384" s="180"/>
      <c r="AB384" s="523">
        <v>2500</v>
      </c>
      <c r="AC384" s="187">
        <f t="shared" si="45"/>
        <v>150000</v>
      </c>
      <c r="AD384" s="696"/>
      <c r="AE384" s="99"/>
      <c r="AF384" s="1032">
        <f t="shared" si="47"/>
        <v>150000</v>
      </c>
      <c r="AG384" s="1032"/>
      <c r="AH384" s="1041">
        <f t="shared" si="46"/>
        <v>150000</v>
      </c>
      <c r="AI384" s="875"/>
      <c r="AJ384" s="728">
        <f>+$AB$384*12</f>
        <v>30000</v>
      </c>
      <c r="AK384" s="728">
        <f>+$AB$384*12</f>
        <v>30000</v>
      </c>
      <c r="AL384" s="728">
        <f>+$AB$384*12</f>
        <v>30000</v>
      </c>
      <c r="AM384" s="728">
        <f>+$AB$384*12</f>
        <v>30000</v>
      </c>
      <c r="AN384" s="728">
        <f>+$AB$384*12</f>
        <v>30000</v>
      </c>
      <c r="AO384" s="1003">
        <f t="shared" si="44"/>
        <v>150000</v>
      </c>
      <c r="AP384" s="884"/>
      <c r="AQ384" s="1027"/>
      <c r="AR384" s="884"/>
      <c r="AS384" s="884"/>
      <c r="AT384" s="884"/>
      <c r="AU384" s="884"/>
      <c r="AV384" s="884"/>
      <c r="AW384" s="884"/>
      <c r="AX384" s="884"/>
      <c r="AY384" s="884"/>
    </row>
    <row r="385" spans="1:51" s="885" customFormat="1" ht="14" customHeight="1" outlineLevel="2">
      <c r="A385" s="580"/>
      <c r="B385" s="107" t="s">
        <v>2643</v>
      </c>
      <c r="C385" s="107"/>
      <c r="D385" s="944" t="s">
        <v>3029</v>
      </c>
      <c r="E385" s="944"/>
      <c r="F385" s="196"/>
      <c r="G385" s="99"/>
      <c r="H385" s="378"/>
      <c r="I385" s="379"/>
      <c r="J385" s="377"/>
      <c r="K385" s="361"/>
      <c r="L385" s="361"/>
      <c r="M385" s="361"/>
      <c r="N385" s="361"/>
      <c r="O385" s="361"/>
      <c r="P385" s="361"/>
      <c r="Q385" s="99"/>
      <c r="R385" s="364" t="str">
        <f>+'9.3_PA_Det'!E205</f>
        <v>3CV</v>
      </c>
      <c r="S385" s="362" t="s">
        <v>1075</v>
      </c>
      <c r="T385" s="362" t="s">
        <v>1430</v>
      </c>
      <c r="U385" s="364">
        <f>+'9.3_PA_Det'!F205</f>
        <v>96</v>
      </c>
      <c r="V385" s="197"/>
      <c r="W385" s="99"/>
      <c r="X385" s="711" t="s">
        <v>1267</v>
      </c>
      <c r="Y385" s="522">
        <v>2</v>
      </c>
      <c r="Z385" s="522">
        <v>48</v>
      </c>
      <c r="AA385" s="180"/>
      <c r="AB385" s="523">
        <v>2500</v>
      </c>
      <c r="AC385" s="187">
        <f t="shared" si="45"/>
        <v>240000</v>
      </c>
      <c r="AD385" s="696"/>
      <c r="AE385" s="99"/>
      <c r="AF385" s="1032">
        <f t="shared" si="47"/>
        <v>240000</v>
      </c>
      <c r="AG385" s="1032"/>
      <c r="AH385" s="1041">
        <f t="shared" si="46"/>
        <v>240000</v>
      </c>
      <c r="AI385" s="875"/>
      <c r="AJ385" s="728">
        <f>+$AB$385*12*2</f>
        <v>60000</v>
      </c>
      <c r="AK385" s="728">
        <f>+$AB$385*12*2</f>
        <v>60000</v>
      </c>
      <c r="AL385" s="728">
        <f>+$AB$385*12*2</f>
        <v>60000</v>
      </c>
      <c r="AM385" s="728">
        <f>+$AB$385*12*2</f>
        <v>60000</v>
      </c>
      <c r="AN385" s="728"/>
      <c r="AO385" s="1003">
        <f t="shared" si="44"/>
        <v>240000</v>
      </c>
      <c r="AP385" s="884"/>
      <c r="AQ385" s="1027"/>
      <c r="AR385" s="884"/>
      <c r="AS385" s="884"/>
      <c r="AT385" s="884"/>
      <c r="AU385" s="884"/>
      <c r="AV385" s="884"/>
      <c r="AW385" s="884"/>
      <c r="AX385" s="884"/>
      <c r="AY385" s="884"/>
    </row>
    <row r="386" spans="1:51" s="885" customFormat="1" ht="14" customHeight="1" outlineLevel="2">
      <c r="A386" s="580"/>
      <c r="B386" s="107" t="s">
        <v>2645</v>
      </c>
      <c r="C386" s="107"/>
      <c r="D386" s="944" t="s">
        <v>2646</v>
      </c>
      <c r="E386" s="944"/>
      <c r="F386" s="196"/>
      <c r="G386" s="99"/>
      <c r="H386" s="378"/>
      <c r="I386" s="379"/>
      <c r="J386" s="377"/>
      <c r="K386" s="361"/>
      <c r="L386" s="361"/>
      <c r="M386" s="361"/>
      <c r="N386" s="361"/>
      <c r="O386" s="361"/>
      <c r="P386" s="361"/>
      <c r="Q386" s="99"/>
      <c r="R386" s="364" t="str">
        <f>+'9.3_PA_Det'!E206</f>
        <v>3CV</v>
      </c>
      <c r="S386" s="362" t="s">
        <v>1075</v>
      </c>
      <c r="T386" s="362" t="s">
        <v>1430</v>
      </c>
      <c r="U386" s="364">
        <f>+'9.3_PA_Det'!F206</f>
        <v>97</v>
      </c>
      <c r="V386" s="197"/>
      <c r="W386" s="99"/>
      <c r="X386" s="711" t="s">
        <v>1267</v>
      </c>
      <c r="Y386" s="522">
        <v>1</v>
      </c>
      <c r="Z386" s="522">
        <v>60</v>
      </c>
      <c r="AA386" s="180"/>
      <c r="AB386" s="523">
        <v>2000</v>
      </c>
      <c r="AC386" s="187">
        <f t="shared" si="45"/>
        <v>120000</v>
      </c>
      <c r="AD386" s="696"/>
      <c r="AE386" s="99"/>
      <c r="AF386" s="1032">
        <f t="shared" si="47"/>
        <v>120000</v>
      </c>
      <c r="AG386" s="1032"/>
      <c r="AH386" s="1041">
        <f t="shared" si="46"/>
        <v>120000</v>
      </c>
      <c r="AI386" s="875"/>
      <c r="AJ386" s="728">
        <f>+$AB$386*12</f>
        <v>24000</v>
      </c>
      <c r="AK386" s="728">
        <f>+$AB$386*12</f>
        <v>24000</v>
      </c>
      <c r="AL386" s="728">
        <f>+$AB$386*12</f>
        <v>24000</v>
      </c>
      <c r="AM386" s="728">
        <f>+$AB$386*12</f>
        <v>24000</v>
      </c>
      <c r="AN386" s="728">
        <f>+$AB$386*12</f>
        <v>24000</v>
      </c>
      <c r="AO386" s="1003">
        <f t="shared" si="44"/>
        <v>120000</v>
      </c>
      <c r="AP386" s="884"/>
      <c r="AQ386" s="1027"/>
      <c r="AR386" s="884"/>
      <c r="AS386" s="884"/>
      <c r="AT386" s="884"/>
      <c r="AU386" s="884"/>
      <c r="AV386" s="884"/>
      <c r="AW386" s="884"/>
      <c r="AX386" s="884"/>
      <c r="AY386" s="884"/>
    </row>
    <row r="387" spans="1:51" s="885" customFormat="1" ht="14" customHeight="1" outlineLevel="2">
      <c r="A387" s="580"/>
      <c r="B387" s="107" t="s">
        <v>2647</v>
      </c>
      <c r="C387" s="107"/>
      <c r="D387" s="944" t="s">
        <v>1663</v>
      </c>
      <c r="E387" s="944"/>
      <c r="F387" s="196"/>
      <c r="G387" s="99"/>
      <c r="H387" s="378"/>
      <c r="I387" s="379"/>
      <c r="J387" s="377"/>
      <c r="K387" s="361"/>
      <c r="L387" s="361"/>
      <c r="M387" s="361"/>
      <c r="N387" s="361"/>
      <c r="O387" s="361"/>
      <c r="P387" s="361"/>
      <c r="Q387" s="99"/>
      <c r="R387" s="364" t="s">
        <v>723</v>
      </c>
      <c r="S387" s="362"/>
      <c r="T387" s="362"/>
      <c r="U387" s="364"/>
      <c r="V387" s="197"/>
      <c r="W387" s="99"/>
      <c r="X387" s="194" t="s">
        <v>3604</v>
      </c>
      <c r="Y387" s="522">
        <v>5</v>
      </c>
      <c r="Z387" s="522">
        <v>1</v>
      </c>
      <c r="AA387" s="180"/>
      <c r="AB387" s="523">
        <v>20000</v>
      </c>
      <c r="AC387" s="187">
        <f t="shared" si="45"/>
        <v>100000</v>
      </c>
      <c r="AD387" s="696"/>
      <c r="AE387" s="99"/>
      <c r="AF387" s="1032">
        <f t="shared" si="47"/>
        <v>100000</v>
      </c>
      <c r="AG387" s="1032"/>
      <c r="AH387" s="1041">
        <f t="shared" si="46"/>
        <v>100000</v>
      </c>
      <c r="AI387" s="875"/>
      <c r="AJ387" s="1002">
        <f>+$AH$387/5</f>
        <v>20000</v>
      </c>
      <c r="AK387" s="1002">
        <f>+$AH$387/5</f>
        <v>20000</v>
      </c>
      <c r="AL387" s="1002">
        <f>+$AH$387/5</f>
        <v>20000</v>
      </c>
      <c r="AM387" s="1002">
        <f>+$AH$387/5</f>
        <v>20000</v>
      </c>
      <c r="AN387" s="1002">
        <f>+$AH$387/5</f>
        <v>20000</v>
      </c>
      <c r="AO387" s="1003">
        <f t="shared" si="44"/>
        <v>100000</v>
      </c>
      <c r="AP387" s="884"/>
      <c r="AQ387" s="1027"/>
      <c r="AR387" s="884"/>
      <c r="AS387" s="884"/>
      <c r="AT387" s="884"/>
      <c r="AU387" s="884"/>
      <c r="AV387" s="884"/>
      <c r="AW387" s="884"/>
      <c r="AX387" s="884"/>
      <c r="AY387" s="884"/>
    </row>
    <row r="388" spans="1:51" s="878" customFormat="1" ht="21.5" customHeight="1" outlineLevel="1">
      <c r="A388" s="584"/>
      <c r="B388" s="188" t="s">
        <v>580</v>
      </c>
      <c r="C388" s="188"/>
      <c r="D388" s="538" t="s">
        <v>581</v>
      </c>
      <c r="E388" s="538"/>
      <c r="F388" s="106"/>
      <c r="G388" s="96"/>
      <c r="H388" s="372"/>
      <c r="I388" s="358"/>
      <c r="J388" s="359"/>
      <c r="K388" s="359"/>
      <c r="L388" s="359"/>
      <c r="M388" s="359"/>
      <c r="N388" s="359"/>
      <c r="O388" s="359"/>
      <c r="P388" s="359"/>
      <c r="Q388" s="96"/>
      <c r="R388" s="358"/>
      <c r="S388" s="358"/>
      <c r="T388" s="358"/>
      <c r="U388" s="358"/>
      <c r="V388" s="174"/>
      <c r="W388" s="96"/>
      <c r="X388" s="106"/>
      <c r="Y388" s="172"/>
      <c r="Z388" s="172"/>
      <c r="AA388" s="171"/>
      <c r="AB388" s="176"/>
      <c r="AC388" s="176">
        <f>+AC389</f>
        <v>250000</v>
      </c>
      <c r="AD388" s="692"/>
      <c r="AE388" s="96"/>
      <c r="AF388" s="176">
        <f>+AF389</f>
        <v>250000</v>
      </c>
      <c r="AG388" s="176">
        <f>+AG389</f>
        <v>0</v>
      </c>
      <c r="AH388" s="176">
        <f>+AH389</f>
        <v>250000</v>
      </c>
      <c r="AI388" s="865"/>
      <c r="AJ388" s="980">
        <f>+AJ389</f>
        <v>50000</v>
      </c>
      <c r="AK388" s="980">
        <f>+AK389</f>
        <v>50000</v>
      </c>
      <c r="AL388" s="980">
        <f>+AL389</f>
        <v>50000</v>
      </c>
      <c r="AM388" s="981">
        <f>+AM389</f>
        <v>50000</v>
      </c>
      <c r="AN388" s="979">
        <f>+AN389</f>
        <v>50000</v>
      </c>
      <c r="AO388" s="979">
        <f t="shared" si="39"/>
        <v>250000</v>
      </c>
      <c r="AP388" s="153"/>
      <c r="AQ388" s="1027"/>
      <c r="AR388" s="153"/>
      <c r="AS388" s="153"/>
      <c r="AT388" s="153"/>
      <c r="AU388" s="153"/>
      <c r="AV388" s="153"/>
      <c r="AW388" s="153"/>
      <c r="AX388" s="153"/>
      <c r="AY388" s="153"/>
    </row>
    <row r="389" spans="1:51" s="882" customFormat="1" ht="41.5" customHeight="1" outlineLevel="3">
      <c r="A389" s="587"/>
      <c r="B389" s="183" t="s">
        <v>1665</v>
      </c>
      <c r="C389" s="183"/>
      <c r="D389" s="944" t="s">
        <v>1666</v>
      </c>
      <c r="E389" s="944"/>
      <c r="F389" s="126"/>
      <c r="G389" s="97"/>
      <c r="H389" s="360"/>
      <c r="I389" s="362"/>
      <c r="J389" s="361"/>
      <c r="K389" s="361"/>
      <c r="L389" s="361"/>
      <c r="M389" s="361"/>
      <c r="N389" s="361"/>
      <c r="O389" s="361"/>
      <c r="P389" s="361"/>
      <c r="Q389" s="97"/>
      <c r="R389" s="362" t="str">
        <f>'9.3_PA_Det'!$E$155</f>
        <v>Selección Basada en Calidad y Costo</v>
      </c>
      <c r="S389" s="362" t="s">
        <v>1075</v>
      </c>
      <c r="T389" s="362" t="s">
        <v>1667</v>
      </c>
      <c r="U389" s="362">
        <f>'9.3_PA_Det'!$F$155</f>
        <v>54</v>
      </c>
      <c r="V389" s="178"/>
      <c r="W389" s="97"/>
      <c r="X389" s="523" t="s">
        <v>1668</v>
      </c>
      <c r="Y389" s="523">
        <v>5</v>
      </c>
      <c r="Z389" s="523">
        <v>1</v>
      </c>
      <c r="AA389" s="523"/>
      <c r="AB389" s="523">
        <v>50000</v>
      </c>
      <c r="AC389" s="187">
        <f>Y389*Z389*AB389</f>
        <v>250000</v>
      </c>
      <c r="AD389" s="1043"/>
      <c r="AE389" s="97"/>
      <c r="AF389" s="1032">
        <f>+AC389</f>
        <v>250000</v>
      </c>
      <c r="AG389" s="1032"/>
      <c r="AH389" s="1041">
        <f>+AG389+AF389</f>
        <v>250000</v>
      </c>
      <c r="AI389" s="867"/>
      <c r="AJ389" s="1022">
        <f>+$AB$389</f>
        <v>50000</v>
      </c>
      <c r="AK389" s="1022">
        <f>+$AB$389</f>
        <v>50000</v>
      </c>
      <c r="AL389" s="1022">
        <f>+$AB$389</f>
        <v>50000</v>
      </c>
      <c r="AM389" s="1022">
        <f>+$AB$389</f>
        <v>50000</v>
      </c>
      <c r="AN389" s="1022">
        <f>+$AB$389</f>
        <v>50000</v>
      </c>
      <c r="AO389" s="1003">
        <f t="shared" si="39"/>
        <v>250000</v>
      </c>
      <c r="AP389" s="108"/>
      <c r="AQ389" s="1027"/>
      <c r="AR389" s="881"/>
      <c r="AS389" s="881"/>
      <c r="AT389" s="881"/>
      <c r="AU389" s="881"/>
      <c r="AV389" s="881"/>
      <c r="AW389" s="881"/>
      <c r="AX389" s="881"/>
      <c r="AY389" s="881"/>
    </row>
    <row r="390" spans="1:51" s="878" customFormat="1" ht="21.5" customHeight="1" outlineLevel="1">
      <c r="A390" s="584"/>
      <c r="B390" s="188" t="s">
        <v>582</v>
      </c>
      <c r="C390" s="188"/>
      <c r="D390" s="538" t="s">
        <v>583</v>
      </c>
      <c r="E390" s="538"/>
      <c r="F390" s="106"/>
      <c r="G390" s="96"/>
      <c r="H390" s="372"/>
      <c r="I390" s="358"/>
      <c r="J390" s="359"/>
      <c r="K390" s="359"/>
      <c r="L390" s="359"/>
      <c r="M390" s="359"/>
      <c r="N390" s="359"/>
      <c r="O390" s="359"/>
      <c r="P390" s="359"/>
      <c r="Q390" s="96"/>
      <c r="R390" s="358"/>
      <c r="S390" s="358"/>
      <c r="T390" s="358"/>
      <c r="U390" s="358"/>
      <c r="V390" s="174"/>
      <c r="W390" s="96"/>
      <c r="X390" s="106"/>
      <c r="Y390" s="172"/>
      <c r="Z390" s="172"/>
      <c r="AA390" s="171"/>
      <c r="AB390" s="176"/>
      <c r="AC390" s="176">
        <f>SUM(AC391:AC394)</f>
        <v>150000</v>
      </c>
      <c r="AD390" s="692"/>
      <c r="AE390" s="96"/>
      <c r="AF390" s="176">
        <f>SUM(AF391:AF394)</f>
        <v>150000</v>
      </c>
      <c r="AG390" s="176">
        <f>SUM(AG391:AG394)</f>
        <v>0</v>
      </c>
      <c r="AH390" s="176">
        <f>SUM(AH391:AH394)</f>
        <v>150000</v>
      </c>
      <c r="AI390" s="865"/>
      <c r="AJ390" s="980">
        <f>SUM(AJ391:AJ394)</f>
        <v>0</v>
      </c>
      <c r="AK390" s="980">
        <f>SUM(AK391:AK394)</f>
        <v>0</v>
      </c>
      <c r="AL390" s="980">
        <f>SUM(AL391:AL394)</f>
        <v>30000</v>
      </c>
      <c r="AM390" s="981">
        <f>SUM(AM391:AM394)</f>
        <v>0</v>
      </c>
      <c r="AN390" s="979">
        <f>SUM(AN391:AN394)</f>
        <v>120000</v>
      </c>
      <c r="AO390" s="979">
        <f t="shared" si="39"/>
        <v>150000</v>
      </c>
      <c r="AP390" s="153"/>
      <c r="AQ390" s="1027"/>
      <c r="AR390" s="153"/>
      <c r="AS390" s="153"/>
      <c r="AT390" s="153"/>
      <c r="AU390" s="153"/>
      <c r="AV390" s="153"/>
      <c r="AW390" s="153"/>
      <c r="AX390" s="153"/>
      <c r="AY390" s="153"/>
    </row>
    <row r="391" spans="1:51" s="882" customFormat="1" ht="14" customHeight="1" outlineLevel="3">
      <c r="A391" s="587"/>
      <c r="B391" s="183" t="s">
        <v>1672</v>
      </c>
      <c r="C391" s="183"/>
      <c r="D391" s="944" t="s">
        <v>1673</v>
      </c>
      <c r="E391" s="944"/>
      <c r="F391" s="126"/>
      <c r="G391" s="97"/>
      <c r="H391" s="360"/>
      <c r="I391" s="362"/>
      <c r="J391" s="361"/>
      <c r="K391" s="361"/>
      <c r="L391" s="361"/>
      <c r="M391" s="361"/>
      <c r="N391" s="361"/>
      <c r="O391" s="361"/>
      <c r="P391" s="361"/>
      <c r="Q391" s="97"/>
      <c r="R391" s="362"/>
      <c r="S391" s="362"/>
      <c r="T391" s="362"/>
      <c r="U391" s="362"/>
      <c r="V391" s="178"/>
      <c r="W391" s="97"/>
      <c r="X391" s="126" t="s">
        <v>1179</v>
      </c>
      <c r="Y391" s="522">
        <v>1</v>
      </c>
      <c r="Z391" s="185"/>
      <c r="AA391" s="186"/>
      <c r="AB391" s="523">
        <v>0</v>
      </c>
      <c r="AC391" s="187">
        <f>+AB391*Y391</f>
        <v>0</v>
      </c>
      <c r="AD391" s="1043"/>
      <c r="AE391" s="97"/>
      <c r="AF391" s="1032">
        <f>+AC391</f>
        <v>0</v>
      </c>
      <c r="AG391" s="1032"/>
      <c r="AH391" s="1041">
        <f>+AG391+AF391</f>
        <v>0</v>
      </c>
      <c r="AI391" s="867"/>
      <c r="AJ391" s="1023"/>
      <c r="AK391" s="1023"/>
      <c r="AL391" s="1003"/>
      <c r="AM391" s="1004"/>
      <c r="AN391" s="1023"/>
      <c r="AO391" s="1003">
        <f t="shared" si="39"/>
        <v>0</v>
      </c>
      <c r="AP391" s="108"/>
      <c r="AQ391" s="1027"/>
      <c r="AR391" s="881"/>
      <c r="AS391" s="881"/>
      <c r="AT391" s="881"/>
      <c r="AU391" s="881"/>
      <c r="AV391" s="881"/>
      <c r="AW391" s="881"/>
      <c r="AX391" s="881"/>
      <c r="AY391" s="881"/>
    </row>
    <row r="392" spans="1:51" s="882" customFormat="1" ht="55.25" customHeight="1" outlineLevel="3">
      <c r="A392" s="587"/>
      <c r="B392" s="183" t="s">
        <v>1674</v>
      </c>
      <c r="C392" s="183"/>
      <c r="D392" s="944" t="s">
        <v>1675</v>
      </c>
      <c r="E392" s="944"/>
      <c r="F392" s="126"/>
      <c r="G392" s="97"/>
      <c r="H392" s="360"/>
      <c r="I392" s="362"/>
      <c r="J392" s="361"/>
      <c r="K392" s="361"/>
      <c r="L392" s="361"/>
      <c r="M392" s="361"/>
      <c r="N392" s="361"/>
      <c r="O392" s="361"/>
      <c r="P392" s="361"/>
      <c r="Q392" s="97"/>
      <c r="R392" s="362" t="str">
        <f>'9.3_PA_Det'!$E$156</f>
        <v>Selección Basada en Calificación de Consultores</v>
      </c>
      <c r="S392" s="362" t="s">
        <v>1075</v>
      </c>
      <c r="T392" s="362" t="s">
        <v>1667</v>
      </c>
      <c r="U392" s="362">
        <f>'9.3_PA_Det'!$F$156</f>
        <v>55</v>
      </c>
      <c r="V392" s="178"/>
      <c r="W392" s="97"/>
      <c r="X392" s="126" t="s">
        <v>1179</v>
      </c>
      <c r="Y392" s="522">
        <v>1</v>
      </c>
      <c r="Z392" s="185"/>
      <c r="AA392" s="186"/>
      <c r="AB392" s="523">
        <v>30000</v>
      </c>
      <c r="AC392" s="187">
        <f>+AB392*Y392</f>
        <v>30000</v>
      </c>
      <c r="AD392" s="1043"/>
      <c r="AE392" s="97"/>
      <c r="AF392" s="1032">
        <f>+AC392</f>
        <v>30000</v>
      </c>
      <c r="AG392" s="1032"/>
      <c r="AH392" s="1041">
        <f>+AG392+AF392</f>
        <v>30000</v>
      </c>
      <c r="AI392" s="867"/>
      <c r="AJ392" s="1023"/>
      <c r="AK392" s="1023"/>
      <c r="AL392" s="1003">
        <f>+AH392</f>
        <v>30000</v>
      </c>
      <c r="AM392" s="1004"/>
      <c r="AN392" s="1023"/>
      <c r="AO392" s="1003">
        <f t="shared" si="39"/>
        <v>30000</v>
      </c>
      <c r="AP392" s="108"/>
      <c r="AQ392" s="1027"/>
      <c r="AR392" s="881"/>
      <c r="AS392" s="881"/>
      <c r="AT392" s="881"/>
      <c r="AU392" s="881"/>
      <c r="AV392" s="881"/>
      <c r="AW392" s="881"/>
      <c r="AX392" s="881"/>
      <c r="AY392" s="881"/>
    </row>
    <row r="393" spans="1:51" s="882" customFormat="1" ht="14" customHeight="1" outlineLevel="3">
      <c r="A393" s="587"/>
      <c r="B393" s="183" t="s">
        <v>1676</v>
      </c>
      <c r="C393" s="183"/>
      <c r="D393" s="944" t="s">
        <v>1677</v>
      </c>
      <c r="E393" s="944"/>
      <c r="F393" s="126"/>
      <c r="G393" s="97"/>
      <c r="H393" s="360"/>
      <c r="I393" s="362"/>
      <c r="J393" s="361"/>
      <c r="K393" s="361"/>
      <c r="L393" s="361"/>
      <c r="M393" s="361"/>
      <c r="N393" s="361"/>
      <c r="O393" s="361"/>
      <c r="P393" s="361"/>
      <c r="Q393" s="97"/>
      <c r="R393" s="362" t="s">
        <v>723</v>
      </c>
      <c r="S393" s="362"/>
      <c r="T393" s="362"/>
      <c r="U393" s="362"/>
      <c r="V393" s="178"/>
      <c r="W393" s="97"/>
      <c r="X393" s="126" t="s">
        <v>1179</v>
      </c>
      <c r="Y393" s="522">
        <v>1</v>
      </c>
      <c r="Z393" s="185"/>
      <c r="AA393" s="186"/>
      <c r="AB393" s="523">
        <v>50000</v>
      </c>
      <c r="AC393" s="187">
        <f>+AB393*Y393</f>
        <v>50000</v>
      </c>
      <c r="AD393" s="1043"/>
      <c r="AE393" s="97"/>
      <c r="AF393" s="1032">
        <f>+AC393</f>
        <v>50000</v>
      </c>
      <c r="AG393" s="1032"/>
      <c r="AH393" s="1041">
        <f>+AG393+AF393</f>
        <v>50000</v>
      </c>
      <c r="AI393" s="867"/>
      <c r="AJ393" s="1023"/>
      <c r="AK393" s="1023"/>
      <c r="AL393" s="1003"/>
      <c r="AM393" s="1004"/>
      <c r="AN393" s="1023">
        <f>+AH393</f>
        <v>50000</v>
      </c>
      <c r="AO393" s="1003">
        <f t="shared" si="39"/>
        <v>50000</v>
      </c>
      <c r="AP393" s="108"/>
      <c r="AQ393" s="1027"/>
      <c r="AR393" s="881"/>
      <c r="AS393" s="881"/>
      <c r="AT393" s="881"/>
      <c r="AU393" s="881"/>
      <c r="AV393" s="881"/>
      <c r="AW393" s="881"/>
      <c r="AX393" s="881"/>
      <c r="AY393" s="881"/>
    </row>
    <row r="394" spans="1:51" s="882" customFormat="1" ht="14" customHeight="1" outlineLevel="3">
      <c r="A394" s="587"/>
      <c r="B394" s="183" t="s">
        <v>1678</v>
      </c>
      <c r="C394" s="183"/>
      <c r="D394" s="944" t="s">
        <v>1679</v>
      </c>
      <c r="E394" s="944"/>
      <c r="F394" s="126"/>
      <c r="G394" s="97"/>
      <c r="H394" s="360"/>
      <c r="I394" s="362"/>
      <c r="J394" s="361"/>
      <c r="K394" s="361"/>
      <c r="L394" s="361"/>
      <c r="M394" s="361"/>
      <c r="N394" s="361"/>
      <c r="O394" s="361"/>
      <c r="P394" s="361"/>
      <c r="Q394" s="97"/>
      <c r="R394" s="362" t="s">
        <v>723</v>
      </c>
      <c r="S394" s="362"/>
      <c r="T394" s="362"/>
      <c r="U394" s="362"/>
      <c r="V394" s="178"/>
      <c r="W394" s="97"/>
      <c r="X394" s="126" t="s">
        <v>1179</v>
      </c>
      <c r="Y394" s="522">
        <v>1</v>
      </c>
      <c r="Z394" s="185"/>
      <c r="AA394" s="186"/>
      <c r="AB394" s="523">
        <v>70000</v>
      </c>
      <c r="AC394" s="187">
        <f>+AB394*Y394</f>
        <v>70000</v>
      </c>
      <c r="AD394" s="1043"/>
      <c r="AE394" s="97"/>
      <c r="AF394" s="1032">
        <f>+AC394</f>
        <v>70000</v>
      </c>
      <c r="AG394" s="1032"/>
      <c r="AH394" s="1041">
        <f>+AG394+AF394</f>
        <v>70000</v>
      </c>
      <c r="AI394" s="867"/>
      <c r="AJ394" s="1023"/>
      <c r="AK394" s="1023"/>
      <c r="AL394" s="1003"/>
      <c r="AM394" s="1004"/>
      <c r="AN394" s="1023">
        <f>+AH394</f>
        <v>70000</v>
      </c>
      <c r="AO394" s="1003">
        <f t="shared" si="39"/>
        <v>70000</v>
      </c>
      <c r="AP394" s="108"/>
      <c r="AQ394" s="1027"/>
      <c r="AR394" s="881"/>
      <c r="AS394" s="881"/>
      <c r="AT394" s="881"/>
      <c r="AU394" s="881"/>
      <c r="AV394" s="881"/>
      <c r="AW394" s="881"/>
      <c r="AX394" s="881"/>
      <c r="AY394" s="881"/>
    </row>
    <row r="395" spans="1:51" s="882" customFormat="1" ht="14" customHeight="1" outlineLevel="2">
      <c r="A395" s="587"/>
      <c r="B395" s="183"/>
      <c r="C395" s="183"/>
      <c r="D395" s="944"/>
      <c r="E395" s="944"/>
      <c r="F395" s="126"/>
      <c r="G395" s="97"/>
      <c r="H395" s="360"/>
      <c r="I395" s="362"/>
      <c r="J395" s="361"/>
      <c r="K395" s="361"/>
      <c r="L395" s="361"/>
      <c r="M395" s="361"/>
      <c r="N395" s="361"/>
      <c r="O395" s="361"/>
      <c r="P395" s="361"/>
      <c r="Q395" s="97"/>
      <c r="R395" s="362"/>
      <c r="S395" s="362"/>
      <c r="T395" s="362"/>
      <c r="U395" s="362"/>
      <c r="V395" s="178"/>
      <c r="W395" s="97"/>
      <c r="X395" s="126"/>
      <c r="Y395" s="522"/>
      <c r="Z395" s="185"/>
      <c r="AA395" s="186"/>
      <c r="AB395" s="523"/>
      <c r="AC395" s="187"/>
      <c r="AD395" s="1043"/>
      <c r="AE395" s="97"/>
      <c r="AF395" s="1032"/>
      <c r="AG395" s="1032"/>
      <c r="AH395" s="1041"/>
      <c r="AI395" s="867"/>
      <c r="AJ395" s="1023"/>
      <c r="AK395" s="1023"/>
      <c r="AL395" s="1003"/>
      <c r="AM395" s="1004"/>
      <c r="AN395" s="1023"/>
      <c r="AO395" s="1003">
        <f t="shared" si="39"/>
        <v>0</v>
      </c>
      <c r="AP395" s="108"/>
      <c r="AQ395" s="1027"/>
      <c r="AR395" s="881"/>
      <c r="AS395" s="881"/>
      <c r="AT395" s="881"/>
      <c r="AU395" s="881"/>
      <c r="AV395" s="881"/>
      <c r="AW395" s="881"/>
      <c r="AX395" s="881"/>
      <c r="AY395" s="881"/>
    </row>
    <row r="396" spans="1:51" s="885" customFormat="1" ht="14" customHeight="1" outlineLevel="1">
      <c r="A396" s="580"/>
      <c r="B396" s="107"/>
      <c r="C396" s="107"/>
      <c r="D396" s="945"/>
      <c r="E396" s="945"/>
      <c r="F396" s="196"/>
      <c r="G396" s="99"/>
      <c r="H396" s="378"/>
      <c r="I396" s="379"/>
      <c r="J396" s="377"/>
      <c r="K396" s="361"/>
      <c r="L396" s="361"/>
      <c r="M396" s="361"/>
      <c r="N396" s="361"/>
      <c r="O396" s="361"/>
      <c r="P396" s="361"/>
      <c r="Q396" s="99"/>
      <c r="R396" s="364"/>
      <c r="S396" s="364"/>
      <c r="T396" s="364"/>
      <c r="U396" s="364"/>
      <c r="V396" s="197"/>
      <c r="W396" s="99"/>
      <c r="X396" s="194"/>
      <c r="Y396" s="522"/>
      <c r="Z396" s="522"/>
      <c r="AA396" s="180"/>
      <c r="AB396" s="523"/>
      <c r="AC396" s="187"/>
      <c r="AD396" s="696"/>
      <c r="AE396" s="99"/>
      <c r="AF396" s="1032"/>
      <c r="AG396" s="1032"/>
      <c r="AH396" s="1041"/>
      <c r="AI396" s="875"/>
      <c r="AJ396" s="1023"/>
      <c r="AK396" s="1023"/>
      <c r="AL396" s="1023"/>
      <c r="AM396" s="987"/>
      <c r="AN396" s="1023"/>
      <c r="AO396" s="1003">
        <f t="shared" si="39"/>
        <v>0</v>
      </c>
      <c r="AP396" s="884"/>
      <c r="AQ396" s="1027"/>
      <c r="AR396" s="884"/>
      <c r="AS396" s="884"/>
      <c r="AT396" s="884"/>
      <c r="AU396" s="884"/>
      <c r="AV396" s="884"/>
      <c r="AW396" s="884"/>
      <c r="AX396" s="884"/>
      <c r="AY396" s="884"/>
    </row>
    <row r="397" spans="1:51" s="885" customFormat="1" ht="15.5" customHeight="1">
      <c r="A397" s="946"/>
      <c r="B397" s="947" t="s">
        <v>1680</v>
      </c>
      <c r="C397" s="947"/>
      <c r="D397" s="948" t="s">
        <v>1681</v>
      </c>
      <c r="E397" s="948"/>
      <c r="F397" s="949"/>
      <c r="G397" s="100"/>
      <c r="H397" s="380"/>
      <c r="I397" s="381"/>
      <c r="J397" s="382"/>
      <c r="K397" s="383"/>
      <c r="L397" s="383"/>
      <c r="M397" s="383"/>
      <c r="N397" s="383"/>
      <c r="O397" s="383"/>
      <c r="P397" s="383"/>
      <c r="Q397" s="100"/>
      <c r="R397" s="859"/>
      <c r="S397" s="859"/>
      <c r="T397" s="859"/>
      <c r="U397" s="859"/>
      <c r="V397" s="198"/>
      <c r="W397" s="100"/>
      <c r="X397" s="199"/>
      <c r="Y397" s="200"/>
      <c r="Z397" s="200"/>
      <c r="AA397" s="201"/>
      <c r="AB397" s="202"/>
      <c r="AC397" s="202"/>
      <c r="AD397" s="697"/>
      <c r="AE397" s="100"/>
      <c r="AF397" s="70"/>
      <c r="AG397" s="70"/>
      <c r="AH397" s="70">
        <f>+AG397+AF397</f>
        <v>0</v>
      </c>
      <c r="AI397" s="876"/>
      <c r="AJ397" s="1024"/>
      <c r="AK397" s="1024"/>
      <c r="AL397" s="1024"/>
      <c r="AM397" s="1025"/>
      <c r="AN397" s="1024"/>
      <c r="AO397" s="1024">
        <f>SUM(AJ397:AN397)</f>
        <v>0</v>
      </c>
      <c r="AP397" s="884"/>
      <c r="AQ397" s="1027"/>
      <c r="AR397" s="884"/>
      <c r="AS397" s="884"/>
      <c r="AT397" s="884"/>
      <c r="AU397" s="884"/>
      <c r="AV397" s="884"/>
      <c r="AW397" s="884"/>
      <c r="AX397" s="884"/>
      <c r="AY397" s="884"/>
    </row>
    <row r="398" spans="1:51" s="878" customFormat="1" ht="15.5" customHeight="1">
      <c r="A398" s="577"/>
      <c r="B398" s="67" t="s">
        <v>1682</v>
      </c>
      <c r="C398" s="67"/>
      <c r="D398" s="546" t="s">
        <v>1683</v>
      </c>
      <c r="E398" s="546"/>
      <c r="F398" s="68"/>
      <c r="G398" s="95"/>
      <c r="H398" s="384"/>
      <c r="I398" s="370"/>
      <c r="J398" s="371"/>
      <c r="K398" s="371"/>
      <c r="L398" s="371"/>
      <c r="M398" s="371"/>
      <c r="N398" s="371"/>
      <c r="O398" s="371"/>
      <c r="P398" s="371"/>
      <c r="Q398" s="95"/>
      <c r="R398" s="370"/>
      <c r="S398" s="370"/>
      <c r="T398" s="370"/>
      <c r="U398" s="370"/>
      <c r="V398" s="169"/>
      <c r="W398" s="95"/>
      <c r="X398" s="68"/>
      <c r="Y398" s="166"/>
      <c r="Z398" s="166"/>
      <c r="AA398" s="170"/>
      <c r="AB398" s="69"/>
      <c r="AC398" s="69"/>
      <c r="AD398" s="684"/>
      <c r="AE398" s="95"/>
      <c r="AF398" s="69">
        <f>+AC398</f>
        <v>0</v>
      </c>
      <c r="AG398" s="69"/>
      <c r="AH398" s="69">
        <f>+AG398+AF398</f>
        <v>0</v>
      </c>
      <c r="AI398" s="864"/>
      <c r="AJ398" s="974"/>
      <c r="AK398" s="974"/>
      <c r="AL398" s="974"/>
      <c r="AM398" s="975"/>
      <c r="AN398" s="973"/>
      <c r="AO398" s="973">
        <f>SUM(AJ398:AN398)</f>
        <v>0</v>
      </c>
      <c r="AP398" s="153"/>
      <c r="AQ398" s="1027"/>
      <c r="AR398" s="153"/>
      <c r="AS398" s="153"/>
      <c r="AT398" s="153"/>
      <c r="AU398" s="153"/>
      <c r="AV398" s="153"/>
      <c r="AW398" s="153"/>
      <c r="AX398" s="153"/>
      <c r="AY398" s="153"/>
    </row>
    <row r="399" spans="1:51" s="885" customFormat="1">
      <c r="A399" s="588"/>
      <c r="B399" s="203"/>
      <c r="C399" s="203"/>
      <c r="D399" s="547"/>
      <c r="E399" s="547"/>
      <c r="F399" s="204"/>
      <c r="G399" s="101"/>
      <c r="H399" s="205"/>
      <c r="I399" s="206"/>
      <c r="J399" s="157"/>
      <c r="K399" s="157"/>
      <c r="L399" s="157"/>
      <c r="M399" s="157"/>
      <c r="N399" s="157"/>
      <c r="O399" s="157"/>
      <c r="P399" s="157"/>
      <c r="Q399" s="101"/>
      <c r="R399" s="848"/>
      <c r="S399" s="848"/>
      <c r="T399" s="848"/>
      <c r="U399" s="848"/>
      <c r="V399" s="207"/>
      <c r="W399" s="101"/>
      <c r="X399" s="127"/>
      <c r="Y399" s="152"/>
      <c r="Z399" s="152"/>
      <c r="AA399" s="109"/>
      <c r="AB399" s="109"/>
      <c r="AC399" s="109"/>
      <c r="AD399" s="203"/>
      <c r="AE399" s="101"/>
      <c r="AF399" s="109"/>
      <c r="AG399" s="109"/>
      <c r="AH399" s="109"/>
      <c r="AI399" s="101"/>
      <c r="AJ399" s="966"/>
      <c r="AK399" s="966"/>
      <c r="AL399" s="966"/>
      <c r="AM399" s="967"/>
      <c r="AN399" s="967"/>
      <c r="AO399" s="967"/>
      <c r="AP399" s="884"/>
      <c r="AQ399" s="1027"/>
      <c r="AR399" s="884"/>
      <c r="AS399" s="884"/>
      <c r="AT399" s="884"/>
      <c r="AU399" s="884"/>
      <c r="AV399" s="884"/>
      <c r="AW399" s="884"/>
      <c r="AX399" s="884"/>
      <c r="AY399" s="884"/>
    </row>
    <row r="400" spans="1:51" s="885" customFormat="1">
      <c r="A400" s="588"/>
      <c r="B400" s="203"/>
      <c r="C400" s="203"/>
      <c r="D400" s="547"/>
      <c r="E400" s="547"/>
      <c r="F400" s="204"/>
      <c r="G400" s="101"/>
      <c r="H400" s="205"/>
      <c r="I400" s="206"/>
      <c r="J400" s="157"/>
      <c r="K400" s="157"/>
      <c r="L400" s="157"/>
      <c r="M400" s="157"/>
      <c r="N400" s="157"/>
      <c r="O400" s="157"/>
      <c r="P400" s="157"/>
      <c r="Q400" s="101"/>
      <c r="R400" s="848"/>
      <c r="S400" s="848"/>
      <c r="T400" s="848"/>
      <c r="U400" s="848"/>
      <c r="V400" s="207"/>
      <c r="W400" s="101"/>
      <c r="X400" s="208"/>
      <c r="Y400" s="152"/>
      <c r="Z400" s="152"/>
      <c r="AA400" s="109"/>
      <c r="AB400" s="109"/>
      <c r="AC400" s="109"/>
      <c r="AD400" s="203"/>
      <c r="AE400" s="101"/>
      <c r="AF400" s="109"/>
      <c r="AG400" s="109"/>
      <c r="AH400" s="109"/>
      <c r="AI400" s="101"/>
      <c r="AJ400" s="966"/>
      <c r="AK400" s="966"/>
      <c r="AL400" s="966"/>
      <c r="AM400" s="967"/>
      <c r="AN400" s="967"/>
      <c r="AO400" s="967"/>
      <c r="AP400" s="884"/>
      <c r="AQ400" s="1027"/>
      <c r="AR400" s="884"/>
      <c r="AS400" s="884"/>
      <c r="AT400" s="884"/>
      <c r="AU400" s="884"/>
      <c r="AV400" s="884"/>
      <c r="AW400" s="884"/>
      <c r="AX400" s="884"/>
      <c r="AY400" s="884"/>
    </row>
    <row r="401" spans="1:51">
      <c r="A401" s="589"/>
      <c r="B401" s="1081" t="s">
        <v>1684</v>
      </c>
      <c r="C401" s="1081"/>
      <c r="D401" s="541"/>
      <c r="E401" s="541"/>
      <c r="F401" s="127"/>
      <c r="H401" s="156"/>
      <c r="I401" s="152"/>
      <c r="J401" s="157"/>
      <c r="K401" s="157"/>
      <c r="L401" s="157"/>
      <c r="M401" s="157"/>
      <c r="N401" s="157"/>
      <c r="O401" s="157"/>
      <c r="P401" s="157"/>
      <c r="R401" s="847"/>
      <c r="S401" s="847"/>
      <c r="T401" s="848"/>
      <c r="U401" s="847"/>
      <c r="V401" s="108"/>
      <c r="X401" s="208"/>
      <c r="Y401" s="152"/>
      <c r="Z401" s="152"/>
      <c r="AA401" s="109"/>
      <c r="AB401" s="102"/>
      <c r="AC401" s="209"/>
      <c r="AD401" s="203"/>
      <c r="AF401" s="109"/>
      <c r="AG401" s="109"/>
      <c r="AH401" s="109"/>
      <c r="AJ401" s="966"/>
      <c r="AK401" s="966"/>
      <c r="AL401" s="966"/>
      <c r="AM401" s="967"/>
      <c r="AN401" s="1026"/>
      <c r="AO401" s="967"/>
      <c r="AP401" s="108"/>
      <c r="AQ401" s="1027"/>
      <c r="AR401" s="108"/>
      <c r="AS401" s="108"/>
      <c r="AT401" s="108"/>
      <c r="AU401" s="108"/>
      <c r="AV401" s="108"/>
      <c r="AW401" s="108"/>
      <c r="AX401" s="108"/>
      <c r="AY401" s="108"/>
    </row>
    <row r="402" spans="1:51" ht="15">
      <c r="A402" s="576"/>
      <c r="B402" s="65"/>
      <c r="C402" s="1171"/>
      <c r="D402" s="541" t="s">
        <v>1685</v>
      </c>
      <c r="E402" s="541"/>
      <c r="F402" s="127"/>
      <c r="H402" s="156"/>
      <c r="I402" s="152"/>
      <c r="J402" s="157"/>
      <c r="K402" s="157"/>
      <c r="L402" s="157"/>
      <c r="M402" s="157"/>
      <c r="N402" s="157"/>
      <c r="O402" s="157"/>
      <c r="P402" s="157"/>
      <c r="R402" s="847"/>
      <c r="S402" s="847"/>
      <c r="T402" s="848"/>
      <c r="U402" s="847"/>
      <c r="V402" s="108"/>
      <c r="X402" s="210"/>
      <c r="Y402" s="152"/>
      <c r="Z402" s="152"/>
      <c r="AA402" s="109"/>
      <c r="AB402" s="109"/>
      <c r="AC402" s="109"/>
      <c r="AD402" s="203"/>
      <c r="AF402" s="109"/>
      <c r="AG402" s="109"/>
      <c r="AH402" s="109"/>
      <c r="AJ402" s="966"/>
      <c r="AK402" s="966"/>
      <c r="AL402" s="966"/>
      <c r="AM402" s="967"/>
      <c r="AN402" s="967"/>
      <c r="AO402" s="967"/>
      <c r="AP402" s="108"/>
      <c r="AQ402" s="1027"/>
      <c r="AR402" s="108"/>
      <c r="AS402" s="108"/>
      <c r="AT402" s="108"/>
      <c r="AU402" s="108"/>
      <c r="AV402" s="108"/>
      <c r="AW402" s="108"/>
      <c r="AX402" s="108"/>
      <c r="AY402" s="108"/>
    </row>
    <row r="403" spans="1:51" ht="15">
      <c r="A403" s="577"/>
      <c r="B403" s="67"/>
      <c r="C403" s="1172"/>
      <c r="D403" s="541" t="s">
        <v>1686</v>
      </c>
      <c r="E403" s="541"/>
      <c r="F403" s="127"/>
      <c r="H403" s="156"/>
      <c r="I403" s="152"/>
      <c r="J403" s="157"/>
      <c r="K403" s="157"/>
      <c r="L403" s="157"/>
      <c r="M403" s="157"/>
      <c r="N403" s="157"/>
      <c r="O403" s="157"/>
      <c r="P403" s="157"/>
      <c r="R403" s="847"/>
      <c r="S403" s="847"/>
      <c r="T403" s="848"/>
      <c r="U403" s="847"/>
      <c r="V403" s="108"/>
      <c r="X403" s="127"/>
      <c r="Y403" s="152"/>
      <c r="Z403" s="152"/>
      <c r="AA403" s="109"/>
      <c r="AB403" s="108"/>
      <c r="AC403" s="155"/>
      <c r="AD403" s="698"/>
      <c r="AF403" s="155"/>
      <c r="AG403" s="155"/>
      <c r="AH403" s="108"/>
      <c r="AJ403" s="966"/>
      <c r="AK403" s="966"/>
      <c r="AL403" s="966"/>
      <c r="AM403" s="967"/>
      <c r="AN403" s="1027"/>
      <c r="AO403" s="1027"/>
      <c r="AP403" s="108"/>
      <c r="AQ403" s="1027"/>
      <c r="AR403" s="108"/>
      <c r="AS403" s="108"/>
      <c r="AT403" s="108"/>
      <c r="AU403" s="108"/>
      <c r="AV403" s="108"/>
      <c r="AW403" s="108"/>
      <c r="AX403" s="108"/>
      <c r="AY403" s="108"/>
    </row>
    <row r="404" spans="1:51" ht="15">
      <c r="A404" s="584"/>
      <c r="B404" s="188"/>
      <c r="C404" s="1173"/>
      <c r="D404" s="541" t="s">
        <v>184</v>
      </c>
      <c r="E404" s="541"/>
      <c r="F404" s="127"/>
      <c r="H404" s="156"/>
      <c r="I404" s="152"/>
      <c r="J404" s="157"/>
      <c r="K404" s="157"/>
      <c r="L404" s="157"/>
      <c r="M404" s="157"/>
      <c r="N404" s="157"/>
      <c r="O404" s="157"/>
      <c r="P404" s="157"/>
      <c r="R404" s="847"/>
      <c r="S404" s="847"/>
      <c r="T404" s="848"/>
      <c r="U404" s="847"/>
      <c r="V404" s="108"/>
      <c r="X404" s="127"/>
      <c r="Y404" s="152"/>
      <c r="Z404" s="152"/>
      <c r="AA404" s="109"/>
      <c r="AB404" s="108"/>
      <c r="AC404" s="155"/>
      <c r="AD404" s="698"/>
      <c r="AF404" s="155"/>
      <c r="AG404" s="155"/>
      <c r="AH404" s="108"/>
      <c r="AJ404" s="966"/>
      <c r="AK404" s="966"/>
      <c r="AL404" s="966"/>
      <c r="AM404" s="967"/>
      <c r="AN404" s="1027"/>
      <c r="AO404" s="1027"/>
      <c r="AP404" s="108"/>
      <c r="AQ404" s="1027"/>
      <c r="AR404" s="108"/>
      <c r="AS404" s="108"/>
      <c r="AT404" s="108"/>
      <c r="AU404" s="108"/>
      <c r="AV404" s="108"/>
      <c r="AW404" s="108"/>
      <c r="AX404" s="108"/>
      <c r="AY404" s="108"/>
    </row>
    <row r="405" spans="1:51" ht="15">
      <c r="A405" s="590"/>
      <c r="B405" s="449"/>
      <c r="C405" s="1174"/>
      <c r="D405" s="541" t="s">
        <v>1694</v>
      </c>
      <c r="E405" s="541"/>
      <c r="F405" s="127"/>
      <c r="H405" s="205"/>
      <c r="I405" s="152"/>
      <c r="J405" s="157"/>
      <c r="K405" s="157"/>
      <c r="L405" s="157"/>
      <c r="M405" s="157"/>
      <c r="N405" s="157"/>
      <c r="O405" s="157"/>
      <c r="P405" s="157"/>
      <c r="R405" s="847"/>
      <c r="S405" s="847"/>
      <c r="T405" s="848"/>
      <c r="U405" s="847"/>
      <c r="V405" s="108"/>
      <c r="X405" s="127"/>
      <c r="Y405" s="152"/>
      <c r="Z405" s="152"/>
      <c r="AA405" s="109"/>
      <c r="AB405" s="108"/>
      <c r="AC405" s="155"/>
      <c r="AD405" s="698"/>
      <c r="AF405" s="155"/>
      <c r="AG405" s="155"/>
      <c r="AH405" s="108"/>
      <c r="AJ405" s="966"/>
      <c r="AK405" s="966"/>
      <c r="AL405" s="966"/>
      <c r="AM405" s="967"/>
      <c r="AN405" s="1027"/>
      <c r="AO405" s="1027"/>
      <c r="AP405" s="108"/>
      <c r="AQ405" s="1027"/>
      <c r="AR405" s="108"/>
      <c r="AS405" s="108"/>
      <c r="AT405" s="108"/>
      <c r="AU405" s="108"/>
      <c r="AV405" s="108"/>
      <c r="AW405" s="108"/>
      <c r="AX405" s="108"/>
      <c r="AY405" s="108"/>
    </row>
    <row r="406" spans="1:51" ht="15">
      <c r="A406" s="946"/>
      <c r="B406" s="947"/>
      <c r="C406" s="1175"/>
      <c r="D406" s="541" t="s">
        <v>1704</v>
      </c>
      <c r="E406" s="541"/>
      <c r="F406" s="127"/>
      <c r="H406" s="205"/>
      <c r="I406" s="152"/>
      <c r="J406" s="157"/>
      <c r="K406" s="157"/>
      <c r="L406" s="157"/>
      <c r="M406" s="157"/>
      <c r="N406" s="157"/>
      <c r="O406" s="157"/>
      <c r="P406" s="157"/>
      <c r="R406" s="847"/>
      <c r="S406" s="847"/>
      <c r="T406" s="848"/>
      <c r="U406" s="847"/>
      <c r="V406" s="108"/>
      <c r="X406" s="127"/>
      <c r="Y406" s="152"/>
      <c r="Z406" s="152"/>
      <c r="AA406" s="109"/>
      <c r="AB406" s="108"/>
      <c r="AC406" s="155"/>
      <c r="AD406" s="698"/>
      <c r="AF406" s="108"/>
      <c r="AG406" s="108"/>
      <c r="AH406" s="108"/>
      <c r="AJ406" s="966"/>
      <c r="AK406" s="966"/>
      <c r="AL406" s="966"/>
      <c r="AM406" s="967"/>
      <c r="AN406" s="1027"/>
      <c r="AO406" s="1027"/>
      <c r="AP406" s="108"/>
      <c r="AQ406" s="1027"/>
      <c r="AR406" s="108"/>
      <c r="AS406" s="108"/>
      <c r="AT406" s="108"/>
      <c r="AU406" s="108"/>
      <c r="AV406" s="108"/>
      <c r="AW406" s="108"/>
      <c r="AX406" s="108"/>
      <c r="AY406" s="108"/>
    </row>
    <row r="407" spans="1:51">
      <c r="B407" s="109"/>
      <c r="C407" s="109"/>
      <c r="D407" s="541"/>
      <c r="E407" s="541"/>
      <c r="F407" s="127"/>
      <c r="H407" s="205"/>
      <c r="I407" s="152"/>
      <c r="J407" s="157"/>
      <c r="K407" s="157"/>
      <c r="L407" s="157"/>
      <c r="M407" s="157"/>
      <c r="N407" s="157"/>
      <c r="O407" s="157"/>
      <c r="P407" s="157"/>
      <c r="R407" s="847"/>
      <c r="S407" s="847"/>
      <c r="T407" s="848"/>
      <c r="U407" s="847"/>
      <c r="V407" s="108"/>
      <c r="X407" s="127"/>
      <c r="Y407" s="152"/>
      <c r="Z407" s="152"/>
      <c r="AA407" s="109"/>
      <c r="AB407" s="108"/>
      <c r="AC407" s="155"/>
      <c r="AD407" s="698"/>
      <c r="AF407" s="108"/>
      <c r="AG407" s="108"/>
      <c r="AH407" s="108"/>
      <c r="AJ407" s="966"/>
      <c r="AK407" s="966"/>
      <c r="AL407" s="966"/>
      <c r="AM407" s="967"/>
      <c r="AN407" s="1027"/>
      <c r="AO407" s="1027"/>
      <c r="AP407" s="108"/>
      <c r="AQ407" s="1027"/>
      <c r="AR407" s="108"/>
      <c r="AS407" s="108"/>
      <c r="AT407" s="108"/>
      <c r="AU407" s="108"/>
      <c r="AV407" s="108"/>
      <c r="AW407" s="108"/>
      <c r="AX407" s="108"/>
      <c r="AY407" s="108"/>
    </row>
    <row r="408" spans="1:51">
      <c r="B408" s="109"/>
      <c r="C408" s="109"/>
      <c r="D408" s="541"/>
      <c r="E408" s="541"/>
      <c r="F408" s="127"/>
      <c r="H408" s="205"/>
      <c r="I408" s="152"/>
      <c r="J408" s="157"/>
      <c r="K408" s="157"/>
      <c r="L408" s="157"/>
      <c r="M408" s="157"/>
      <c r="N408" s="157"/>
      <c r="O408" s="157"/>
      <c r="P408" s="157"/>
      <c r="R408" s="847"/>
      <c r="S408" s="847"/>
      <c r="T408" s="848"/>
      <c r="U408" s="847"/>
      <c r="V408" s="108"/>
      <c r="X408" s="127"/>
      <c r="Y408" s="152"/>
      <c r="Z408" s="152"/>
      <c r="AA408" s="109"/>
      <c r="AB408" s="108"/>
      <c r="AC408" s="155"/>
      <c r="AD408" s="698"/>
      <c r="AF408" s="108"/>
      <c r="AG408" s="108"/>
      <c r="AH408" s="108"/>
      <c r="AJ408" s="966"/>
      <c r="AK408" s="966"/>
      <c r="AL408" s="966"/>
      <c r="AM408" s="967"/>
      <c r="AN408" s="1027"/>
      <c r="AO408" s="1027"/>
      <c r="AP408" s="108"/>
      <c r="AQ408" s="1027"/>
      <c r="AR408" s="108"/>
      <c r="AS408" s="108"/>
      <c r="AT408" s="108"/>
      <c r="AU408" s="108"/>
      <c r="AV408" s="108"/>
      <c r="AW408" s="108"/>
      <c r="AX408" s="108"/>
      <c r="AY408" s="108"/>
    </row>
    <row r="409" spans="1:51">
      <c r="B409" s="109"/>
      <c r="C409" s="109"/>
      <c r="D409" s="541"/>
      <c r="E409" s="541"/>
      <c r="F409" s="127"/>
      <c r="H409" s="156"/>
      <c r="I409" s="152"/>
      <c r="J409" s="157"/>
      <c r="K409" s="157"/>
      <c r="L409" s="157"/>
      <c r="M409" s="157"/>
      <c r="N409" s="157"/>
      <c r="O409" s="157"/>
      <c r="P409" s="157"/>
      <c r="R409" s="847"/>
      <c r="S409" s="847"/>
      <c r="T409" s="848"/>
      <c r="U409" s="847"/>
      <c r="V409" s="108"/>
      <c r="X409" s="127"/>
      <c r="Y409" s="152"/>
      <c r="Z409" s="152"/>
      <c r="AA409" s="109"/>
      <c r="AB409" s="108"/>
      <c r="AC409" s="155"/>
      <c r="AD409" s="698"/>
      <c r="AF409" s="108"/>
      <c r="AG409" s="108"/>
      <c r="AH409" s="108"/>
      <c r="AJ409" s="966"/>
      <c r="AK409" s="966"/>
      <c r="AL409" s="966"/>
      <c r="AM409" s="967"/>
      <c r="AN409" s="1027"/>
      <c r="AO409" s="1027"/>
      <c r="AP409" s="108"/>
      <c r="AQ409" s="1027"/>
      <c r="AR409" s="108"/>
      <c r="AS409" s="108"/>
      <c r="AT409" s="108"/>
      <c r="AU409" s="108"/>
      <c r="AV409" s="108"/>
      <c r="AW409" s="108"/>
      <c r="AX409" s="108"/>
      <c r="AY409" s="108"/>
    </row>
    <row r="410" spans="1:51">
      <c r="B410" s="109"/>
      <c r="C410" s="109"/>
      <c r="D410" s="541"/>
      <c r="E410" s="541"/>
      <c r="F410" s="127"/>
      <c r="H410" s="156"/>
      <c r="I410" s="152"/>
      <c r="J410" s="157"/>
      <c r="K410" s="157"/>
      <c r="L410" s="157"/>
      <c r="M410" s="157"/>
      <c r="N410" s="157"/>
      <c r="O410" s="157"/>
      <c r="P410" s="157"/>
      <c r="R410" s="847"/>
      <c r="S410" s="847"/>
      <c r="T410" s="848"/>
      <c r="U410" s="847"/>
      <c r="V410" s="108"/>
      <c r="X410" s="127"/>
      <c r="Y410" s="152"/>
      <c r="Z410" s="152"/>
      <c r="AA410" s="109"/>
      <c r="AB410" s="108"/>
      <c r="AC410" s="155"/>
      <c r="AD410" s="698"/>
      <c r="AF410" s="108"/>
      <c r="AG410" s="108"/>
      <c r="AH410" s="108"/>
      <c r="AJ410" s="966"/>
      <c r="AK410" s="966"/>
      <c r="AL410" s="966"/>
      <c r="AM410" s="967"/>
      <c r="AN410" s="1027"/>
      <c r="AO410" s="1027"/>
      <c r="AP410" s="108"/>
      <c r="AQ410" s="1027"/>
      <c r="AR410" s="108"/>
      <c r="AS410" s="108"/>
      <c r="AT410" s="108"/>
      <c r="AU410" s="108"/>
      <c r="AV410" s="108"/>
      <c r="AW410" s="108"/>
      <c r="AX410" s="108"/>
      <c r="AY410" s="108"/>
    </row>
    <row r="411" spans="1:51">
      <c r="B411" s="109"/>
      <c r="C411" s="109"/>
      <c r="D411" s="541"/>
      <c r="E411" s="541"/>
      <c r="F411" s="127"/>
      <c r="H411" s="156"/>
      <c r="I411" s="152"/>
      <c r="J411" s="157"/>
      <c r="K411" s="157"/>
      <c r="L411" s="157"/>
      <c r="M411" s="157"/>
      <c r="N411" s="157"/>
      <c r="O411" s="157"/>
      <c r="P411" s="157"/>
      <c r="R411" s="847"/>
      <c r="S411" s="847"/>
      <c r="T411" s="848"/>
      <c r="U411" s="847"/>
      <c r="V411" s="108"/>
      <c r="X411" s="127"/>
      <c r="Y411" s="152"/>
      <c r="Z411" s="152"/>
      <c r="AA411" s="109"/>
      <c r="AB411" s="108"/>
      <c r="AC411" s="155"/>
      <c r="AD411" s="698"/>
      <c r="AF411" s="108"/>
      <c r="AG411" s="108"/>
      <c r="AH411" s="108"/>
      <c r="AJ411" s="966"/>
      <c r="AK411" s="966"/>
      <c r="AL411" s="966"/>
      <c r="AM411" s="967"/>
      <c r="AN411" s="1027"/>
      <c r="AO411" s="1027"/>
      <c r="AP411" s="108"/>
      <c r="AQ411" s="1027"/>
      <c r="AR411" s="108"/>
      <c r="AS411" s="108"/>
      <c r="AT411" s="108"/>
      <c r="AU411" s="108"/>
      <c r="AV411" s="108"/>
      <c r="AW411" s="108"/>
      <c r="AX411" s="108"/>
      <c r="AY411" s="108"/>
    </row>
    <row r="412" spans="1:51">
      <c r="B412" s="109"/>
      <c r="C412" s="109"/>
      <c r="D412" s="541"/>
      <c r="E412" s="541"/>
      <c r="F412" s="127"/>
      <c r="H412" s="156"/>
      <c r="I412" s="152"/>
      <c r="J412" s="157"/>
      <c r="K412" s="157"/>
      <c r="L412" s="157"/>
      <c r="M412" s="157"/>
      <c r="N412" s="157"/>
      <c r="O412" s="157"/>
      <c r="P412" s="157"/>
      <c r="R412" s="847"/>
      <c r="S412" s="847"/>
      <c r="T412" s="848"/>
      <c r="U412" s="847"/>
      <c r="V412" s="108"/>
      <c r="X412" s="127"/>
      <c r="Y412" s="152"/>
      <c r="Z412" s="152"/>
      <c r="AA412" s="109"/>
      <c r="AB412" s="108"/>
      <c r="AC412" s="155"/>
      <c r="AD412" s="698"/>
      <c r="AF412" s="108"/>
      <c r="AG412" s="108"/>
      <c r="AH412" s="108"/>
      <c r="AJ412" s="966"/>
      <c r="AK412" s="966"/>
      <c r="AL412" s="966"/>
      <c r="AM412" s="967"/>
      <c r="AN412" s="1027"/>
      <c r="AO412" s="1027"/>
      <c r="AP412" s="108"/>
      <c r="AQ412" s="1027"/>
      <c r="AR412" s="108"/>
      <c r="AS412" s="108"/>
      <c r="AT412" s="108"/>
      <c r="AU412" s="108"/>
      <c r="AV412" s="108"/>
      <c r="AW412" s="108"/>
      <c r="AX412" s="108"/>
      <c r="AY412" s="108"/>
    </row>
    <row r="413" spans="1:51">
      <c r="B413" s="109"/>
      <c r="C413" s="109"/>
      <c r="D413" s="541"/>
      <c r="E413" s="541"/>
      <c r="F413" s="127"/>
      <c r="H413" s="156"/>
      <c r="I413" s="152"/>
      <c r="J413" s="157"/>
      <c r="K413" s="157"/>
      <c r="L413" s="157"/>
      <c r="M413" s="157"/>
      <c r="N413" s="157"/>
      <c r="O413" s="157"/>
      <c r="P413" s="157"/>
      <c r="R413" s="847"/>
      <c r="S413" s="847"/>
      <c r="T413" s="848"/>
      <c r="U413" s="847"/>
      <c r="V413" s="108"/>
      <c r="X413" s="127"/>
      <c r="Y413" s="152"/>
      <c r="Z413" s="152"/>
      <c r="AA413" s="109"/>
      <c r="AB413" s="108"/>
      <c r="AC413" s="155"/>
      <c r="AD413" s="698"/>
      <c r="AF413" s="108"/>
      <c r="AG413" s="108"/>
      <c r="AH413" s="108"/>
      <c r="AJ413" s="966"/>
      <c r="AK413" s="966"/>
      <c r="AL413" s="966"/>
      <c r="AM413" s="967"/>
      <c r="AN413" s="1027"/>
      <c r="AO413" s="1027"/>
      <c r="AP413" s="108"/>
      <c r="AQ413" s="1027"/>
      <c r="AR413" s="108"/>
      <c r="AS413" s="108"/>
      <c r="AT413" s="108"/>
      <c r="AU413" s="108"/>
      <c r="AV413" s="108"/>
      <c r="AW413" s="108"/>
      <c r="AX413" s="108"/>
      <c r="AY413" s="108"/>
    </row>
    <row r="414" spans="1:51">
      <c r="B414" s="109"/>
      <c r="C414" s="109"/>
      <c r="D414" s="541"/>
      <c r="E414" s="541"/>
      <c r="F414" s="127"/>
      <c r="H414" s="156"/>
      <c r="I414" s="152"/>
      <c r="J414" s="157"/>
      <c r="K414" s="157"/>
      <c r="L414" s="157"/>
      <c r="M414" s="157"/>
      <c r="N414" s="157"/>
      <c r="O414" s="157"/>
      <c r="P414" s="157"/>
      <c r="R414" s="847"/>
      <c r="S414" s="847"/>
      <c r="T414" s="848"/>
      <c r="U414" s="847"/>
      <c r="V414" s="108"/>
      <c r="X414" s="127"/>
      <c r="Y414" s="152"/>
      <c r="Z414" s="152"/>
      <c r="AA414" s="109"/>
      <c r="AB414" s="108"/>
      <c r="AC414" s="155"/>
      <c r="AD414" s="698"/>
      <c r="AF414" s="108"/>
      <c r="AG414" s="108"/>
      <c r="AH414" s="108"/>
      <c r="AJ414" s="966"/>
      <c r="AK414" s="966"/>
      <c r="AL414" s="966"/>
      <c r="AM414" s="967"/>
      <c r="AN414" s="1027"/>
      <c r="AO414" s="1027"/>
      <c r="AP414" s="108"/>
      <c r="AQ414" s="1027"/>
      <c r="AR414" s="108"/>
      <c r="AS414" s="108"/>
      <c r="AT414" s="108"/>
      <c r="AU414" s="108"/>
      <c r="AV414" s="108"/>
      <c r="AW414" s="108"/>
      <c r="AX414" s="108"/>
      <c r="AY414" s="108"/>
    </row>
    <row r="415" spans="1:51">
      <c r="B415" s="109"/>
      <c r="C415" s="109"/>
      <c r="D415" s="541"/>
      <c r="E415" s="541"/>
      <c r="F415" s="127"/>
      <c r="H415" s="156"/>
      <c r="I415" s="152"/>
      <c r="J415" s="157"/>
      <c r="K415" s="157"/>
      <c r="L415" s="157"/>
      <c r="M415" s="157"/>
      <c r="N415" s="157"/>
      <c r="O415" s="157"/>
      <c r="P415" s="157"/>
      <c r="R415" s="847"/>
      <c r="S415" s="847"/>
      <c r="T415" s="848"/>
      <c r="U415" s="847"/>
      <c r="V415" s="108"/>
      <c r="X415" s="127"/>
      <c r="Y415" s="152"/>
      <c r="Z415" s="152"/>
      <c r="AA415" s="109"/>
      <c r="AB415" s="108"/>
      <c r="AC415" s="155"/>
      <c r="AD415" s="698"/>
      <c r="AF415" s="108"/>
      <c r="AG415" s="108"/>
      <c r="AH415" s="108"/>
      <c r="AJ415" s="966"/>
      <c r="AK415" s="966"/>
      <c r="AL415" s="966"/>
      <c r="AM415" s="967"/>
      <c r="AN415" s="1027"/>
      <c r="AO415" s="1027"/>
      <c r="AP415" s="108"/>
      <c r="AQ415" s="1027"/>
      <c r="AR415" s="108"/>
      <c r="AS415" s="108"/>
      <c r="AT415" s="108"/>
      <c r="AU415" s="108"/>
      <c r="AV415" s="108"/>
      <c r="AW415" s="108"/>
      <c r="AX415" s="108"/>
      <c r="AY415" s="108"/>
    </row>
    <row r="416" spans="1:51">
      <c r="B416" s="109"/>
      <c r="C416" s="109"/>
      <c r="D416" s="541"/>
      <c r="E416" s="541"/>
      <c r="F416" s="127"/>
      <c r="H416" s="156"/>
      <c r="I416" s="152"/>
      <c r="J416" s="157"/>
      <c r="K416" s="157"/>
      <c r="L416" s="157"/>
      <c r="M416" s="157"/>
      <c r="N416" s="157"/>
      <c r="O416" s="157"/>
      <c r="P416" s="157"/>
      <c r="R416" s="847"/>
      <c r="S416" s="847"/>
      <c r="T416" s="848"/>
      <c r="U416" s="847"/>
      <c r="V416" s="108"/>
      <c r="X416" s="127"/>
      <c r="Y416" s="152"/>
      <c r="Z416" s="152"/>
      <c r="AA416" s="109"/>
      <c r="AB416" s="108"/>
      <c r="AC416" s="155"/>
      <c r="AD416" s="698"/>
      <c r="AF416" s="108"/>
      <c r="AG416" s="108"/>
      <c r="AH416" s="108"/>
      <c r="AJ416" s="966"/>
      <c r="AK416" s="966"/>
      <c r="AL416" s="966"/>
      <c r="AM416" s="967"/>
      <c r="AN416" s="1027"/>
      <c r="AO416" s="1027"/>
      <c r="AP416" s="108"/>
      <c r="AQ416" s="1027"/>
      <c r="AR416" s="108"/>
      <c r="AS416" s="108"/>
      <c r="AT416" s="108"/>
      <c r="AU416" s="108"/>
      <c r="AV416" s="108"/>
      <c r="AW416" s="108"/>
      <c r="AX416" s="108"/>
      <c r="AY416" s="108"/>
    </row>
    <row r="417" spans="2:51">
      <c r="B417" s="109"/>
      <c r="C417" s="109"/>
      <c r="D417" s="541"/>
      <c r="E417" s="541"/>
      <c r="F417" s="127"/>
      <c r="H417" s="156"/>
      <c r="I417" s="152"/>
      <c r="J417" s="157"/>
      <c r="K417" s="157"/>
      <c r="L417" s="157"/>
      <c r="M417" s="157"/>
      <c r="N417" s="157"/>
      <c r="O417" s="157"/>
      <c r="P417" s="157"/>
      <c r="R417" s="847"/>
      <c r="S417" s="847"/>
      <c r="T417" s="848"/>
      <c r="U417" s="847"/>
      <c r="V417" s="108"/>
      <c r="X417" s="127"/>
      <c r="Y417" s="152"/>
      <c r="Z417" s="152"/>
      <c r="AA417" s="109"/>
      <c r="AB417" s="108"/>
      <c r="AC417" s="155"/>
      <c r="AD417" s="698"/>
      <c r="AF417" s="108"/>
      <c r="AG417" s="108"/>
      <c r="AH417" s="108"/>
      <c r="AJ417" s="966"/>
      <c r="AK417" s="966"/>
      <c r="AL417" s="966"/>
      <c r="AM417" s="967"/>
      <c r="AN417" s="1027"/>
      <c r="AO417" s="1027"/>
      <c r="AP417" s="108"/>
      <c r="AQ417" s="1027"/>
      <c r="AR417" s="108"/>
      <c r="AS417" s="108"/>
      <c r="AT417" s="108"/>
      <c r="AU417" s="108"/>
      <c r="AV417" s="108"/>
      <c r="AW417" s="108"/>
      <c r="AX417" s="108"/>
      <c r="AY417" s="108"/>
    </row>
    <row r="418" spans="2:51">
      <c r="B418" s="109"/>
      <c r="C418" s="109"/>
      <c r="D418" s="541"/>
      <c r="E418" s="541"/>
      <c r="F418" s="127"/>
      <c r="H418" s="156"/>
      <c r="I418" s="152"/>
      <c r="J418" s="157"/>
      <c r="K418" s="157"/>
      <c r="L418" s="157"/>
      <c r="M418" s="157"/>
      <c r="N418" s="157"/>
      <c r="O418" s="157"/>
      <c r="P418" s="157"/>
      <c r="R418" s="847"/>
      <c r="S418" s="847"/>
      <c r="T418" s="848"/>
      <c r="U418" s="847"/>
      <c r="V418" s="108"/>
      <c r="X418" s="127"/>
      <c r="Y418" s="152"/>
      <c r="Z418" s="152"/>
      <c r="AA418" s="109"/>
      <c r="AB418" s="108"/>
      <c r="AC418" s="155"/>
      <c r="AD418" s="698"/>
      <c r="AF418" s="108"/>
      <c r="AG418" s="108"/>
      <c r="AH418" s="108"/>
      <c r="AJ418" s="966"/>
      <c r="AK418" s="966"/>
      <c r="AL418" s="966"/>
      <c r="AM418" s="967"/>
      <c r="AN418" s="1027"/>
      <c r="AO418" s="1027"/>
      <c r="AP418" s="108"/>
      <c r="AQ418" s="1027"/>
      <c r="AR418" s="108"/>
      <c r="AS418" s="108"/>
      <c r="AT418" s="108"/>
      <c r="AU418" s="108"/>
      <c r="AV418" s="108"/>
      <c r="AW418" s="108"/>
      <c r="AX418" s="108"/>
      <c r="AY418" s="108"/>
    </row>
    <row r="419" spans="2:51">
      <c r="B419" s="109"/>
      <c r="C419" s="109"/>
      <c r="D419" s="541"/>
      <c r="E419" s="541"/>
      <c r="F419" s="127"/>
      <c r="H419" s="156"/>
      <c r="I419" s="152"/>
      <c r="J419" s="157"/>
      <c r="K419" s="157"/>
      <c r="L419" s="157"/>
      <c r="M419" s="157"/>
      <c r="N419" s="157"/>
      <c r="O419" s="157"/>
      <c r="P419" s="157"/>
      <c r="R419" s="847"/>
      <c r="S419" s="847"/>
      <c r="T419" s="848"/>
      <c r="U419" s="847"/>
      <c r="V419" s="108"/>
      <c r="X419" s="127"/>
      <c r="Y419" s="152"/>
      <c r="Z419" s="152"/>
      <c r="AA419" s="109"/>
      <c r="AB419" s="108"/>
      <c r="AC419" s="155"/>
      <c r="AD419" s="698"/>
      <c r="AF419" s="108"/>
      <c r="AG419" s="108"/>
      <c r="AH419" s="108"/>
      <c r="AJ419" s="966"/>
      <c r="AK419" s="966"/>
      <c r="AL419" s="966"/>
      <c r="AM419" s="967"/>
      <c r="AN419" s="1027"/>
      <c r="AO419" s="1027"/>
      <c r="AP419" s="108"/>
      <c r="AQ419" s="1027"/>
      <c r="AR419" s="108"/>
      <c r="AS419" s="108"/>
      <c r="AT419" s="108"/>
      <c r="AU419" s="108"/>
      <c r="AV419" s="108"/>
      <c r="AW419" s="108"/>
      <c r="AX419" s="108"/>
      <c r="AY419" s="108"/>
    </row>
    <row r="420" spans="2:51">
      <c r="B420" s="109"/>
      <c r="C420" s="109"/>
      <c r="D420" s="541"/>
      <c r="E420" s="541"/>
      <c r="F420" s="127"/>
      <c r="H420" s="156"/>
      <c r="I420" s="152"/>
      <c r="J420" s="157"/>
      <c r="K420" s="157"/>
      <c r="L420" s="157"/>
      <c r="M420" s="157"/>
      <c r="N420" s="157"/>
      <c r="O420" s="157"/>
      <c r="P420" s="157"/>
      <c r="R420" s="847"/>
      <c r="S420" s="847"/>
      <c r="T420" s="848"/>
      <c r="U420" s="847"/>
      <c r="V420" s="108"/>
      <c r="X420" s="127"/>
      <c r="Y420" s="152"/>
      <c r="Z420" s="152"/>
      <c r="AA420" s="109"/>
      <c r="AB420" s="108"/>
      <c r="AC420" s="155"/>
      <c r="AD420" s="698"/>
      <c r="AF420" s="108"/>
      <c r="AG420" s="108"/>
      <c r="AH420" s="108"/>
      <c r="AJ420" s="966"/>
      <c r="AK420" s="966"/>
      <c r="AL420" s="966"/>
      <c r="AM420" s="967"/>
      <c r="AN420" s="1027"/>
      <c r="AO420" s="1027"/>
      <c r="AP420" s="108"/>
      <c r="AQ420" s="1027"/>
      <c r="AR420" s="108"/>
      <c r="AS420" s="108"/>
      <c r="AT420" s="108"/>
      <c r="AU420" s="108"/>
      <c r="AV420" s="108"/>
      <c r="AW420" s="108"/>
      <c r="AX420" s="108"/>
      <c r="AY420" s="108"/>
    </row>
    <row r="421" spans="2:51">
      <c r="B421" s="109"/>
      <c r="C421" s="109"/>
      <c r="D421" s="541"/>
      <c r="E421" s="541"/>
      <c r="F421" s="127"/>
      <c r="H421" s="156"/>
      <c r="I421" s="152"/>
      <c r="J421" s="157"/>
      <c r="K421" s="157"/>
      <c r="L421" s="157"/>
      <c r="M421" s="157"/>
      <c r="N421" s="157"/>
      <c r="O421" s="157"/>
      <c r="P421" s="157"/>
      <c r="R421" s="847"/>
      <c r="S421" s="847"/>
      <c r="T421" s="848"/>
      <c r="U421" s="847"/>
      <c r="V421" s="108"/>
      <c r="X421" s="127"/>
      <c r="Y421" s="152"/>
      <c r="Z421" s="152"/>
      <c r="AA421" s="109"/>
      <c r="AB421" s="108"/>
      <c r="AC421" s="155"/>
      <c r="AD421" s="698"/>
      <c r="AF421" s="108"/>
      <c r="AG421" s="108"/>
      <c r="AH421" s="108"/>
      <c r="AJ421" s="966"/>
      <c r="AK421" s="966"/>
      <c r="AL421" s="966"/>
      <c r="AM421" s="967"/>
      <c r="AN421" s="1027"/>
      <c r="AO421" s="1027"/>
      <c r="AP421" s="108"/>
      <c r="AQ421" s="1027"/>
      <c r="AR421" s="108"/>
      <c r="AS421" s="108"/>
      <c r="AT421" s="108"/>
      <c r="AU421" s="108"/>
      <c r="AV421" s="108"/>
      <c r="AW421" s="108"/>
      <c r="AX421" s="108"/>
      <c r="AY421" s="108"/>
    </row>
    <row r="422" spans="2:51">
      <c r="B422" s="109"/>
      <c r="C422" s="109"/>
      <c r="D422" s="541"/>
      <c r="E422" s="541"/>
      <c r="F422" s="127"/>
      <c r="H422" s="156"/>
      <c r="I422" s="152"/>
      <c r="J422" s="157"/>
      <c r="K422" s="157"/>
      <c r="L422" s="157"/>
      <c r="M422" s="157"/>
      <c r="N422" s="157"/>
      <c r="O422" s="157"/>
      <c r="P422" s="157"/>
      <c r="R422" s="847"/>
      <c r="S422" s="847"/>
      <c r="T422" s="848"/>
      <c r="U422" s="847"/>
      <c r="V422" s="108"/>
      <c r="X422" s="127"/>
      <c r="Y422" s="152"/>
      <c r="Z422" s="152"/>
      <c r="AA422" s="109"/>
      <c r="AB422" s="108"/>
      <c r="AC422" s="155"/>
      <c r="AD422" s="698"/>
      <c r="AF422" s="108"/>
      <c r="AG422" s="108"/>
      <c r="AH422" s="108"/>
      <c r="AJ422" s="966"/>
      <c r="AK422" s="966"/>
      <c r="AL422" s="966"/>
      <c r="AM422" s="967"/>
      <c r="AN422" s="1027"/>
      <c r="AO422" s="1027"/>
      <c r="AP422" s="108"/>
      <c r="AQ422" s="1027"/>
      <c r="AR422" s="108"/>
      <c r="AS422" s="108"/>
      <c r="AT422" s="108"/>
      <c r="AU422" s="108"/>
      <c r="AV422" s="108"/>
      <c r="AW422" s="108"/>
      <c r="AX422" s="108"/>
      <c r="AY422" s="108"/>
    </row>
    <row r="423" spans="2:51">
      <c r="B423" s="109"/>
      <c r="C423" s="109"/>
      <c r="D423" s="541"/>
      <c r="E423" s="541"/>
      <c r="F423" s="127"/>
      <c r="H423" s="156"/>
      <c r="I423" s="152"/>
      <c r="J423" s="157"/>
      <c r="K423" s="157"/>
      <c r="L423" s="157"/>
      <c r="M423" s="157"/>
      <c r="N423" s="157"/>
      <c r="O423" s="157"/>
      <c r="P423" s="157"/>
      <c r="R423" s="847"/>
      <c r="S423" s="847"/>
      <c r="T423" s="848"/>
      <c r="U423" s="847"/>
      <c r="V423" s="108"/>
      <c r="X423" s="127"/>
      <c r="Y423" s="152"/>
      <c r="Z423" s="152"/>
      <c r="AA423" s="109"/>
      <c r="AB423" s="108"/>
      <c r="AC423" s="155"/>
      <c r="AD423" s="698"/>
      <c r="AF423" s="108"/>
      <c r="AG423" s="108"/>
      <c r="AH423" s="108"/>
      <c r="AJ423" s="966"/>
      <c r="AK423" s="966"/>
      <c r="AL423" s="966"/>
      <c r="AM423" s="967"/>
      <c r="AN423" s="1027"/>
      <c r="AO423" s="1027"/>
      <c r="AP423" s="108"/>
      <c r="AQ423" s="1027"/>
      <c r="AR423" s="108"/>
      <c r="AS423" s="108"/>
      <c r="AT423" s="108"/>
      <c r="AU423" s="108"/>
      <c r="AV423" s="108"/>
      <c r="AW423" s="108"/>
      <c r="AX423" s="108"/>
      <c r="AY423" s="108"/>
    </row>
    <row r="424" spans="2:51">
      <c r="B424" s="109"/>
      <c r="C424" s="109"/>
      <c r="D424" s="541"/>
      <c r="E424" s="541"/>
      <c r="F424" s="127"/>
      <c r="H424" s="156"/>
      <c r="I424" s="152"/>
      <c r="J424" s="157"/>
      <c r="K424" s="157"/>
      <c r="L424" s="157"/>
      <c r="M424" s="157"/>
      <c r="N424" s="157"/>
      <c r="O424" s="157"/>
      <c r="P424" s="157"/>
      <c r="R424" s="847"/>
      <c r="S424" s="847"/>
      <c r="T424" s="848"/>
      <c r="U424" s="847"/>
      <c r="V424" s="108"/>
      <c r="X424" s="127"/>
      <c r="Y424" s="152"/>
      <c r="Z424" s="152"/>
      <c r="AA424" s="109"/>
      <c r="AB424" s="108"/>
      <c r="AC424" s="155"/>
      <c r="AD424" s="698"/>
      <c r="AF424" s="108"/>
      <c r="AG424" s="108"/>
      <c r="AH424" s="108"/>
      <c r="AJ424" s="966"/>
      <c r="AK424" s="966"/>
      <c r="AL424" s="966"/>
      <c r="AM424" s="967"/>
      <c r="AN424" s="1027"/>
      <c r="AO424" s="1027"/>
      <c r="AP424" s="108"/>
      <c r="AQ424" s="1027"/>
      <c r="AR424" s="108"/>
      <c r="AS424" s="108"/>
      <c r="AT424" s="108"/>
      <c r="AU424" s="108"/>
      <c r="AV424" s="108"/>
      <c r="AW424" s="108"/>
      <c r="AX424" s="108"/>
      <c r="AY424" s="108"/>
    </row>
    <row r="425" spans="2:51">
      <c r="B425" s="109"/>
      <c r="C425" s="109"/>
      <c r="D425" s="548"/>
      <c r="E425" s="548"/>
      <c r="F425" s="148"/>
      <c r="H425" s="156"/>
      <c r="I425" s="152"/>
      <c r="J425" s="157"/>
      <c r="K425" s="157"/>
      <c r="L425" s="157"/>
      <c r="M425" s="211"/>
      <c r="N425" s="157"/>
      <c r="O425" s="157"/>
      <c r="P425" s="157"/>
      <c r="R425" s="847"/>
      <c r="S425" s="847"/>
      <c r="T425" s="848"/>
      <c r="U425" s="847"/>
      <c r="V425" s="108"/>
      <c r="X425" s="127"/>
      <c r="Y425" s="152"/>
      <c r="Z425" s="152"/>
      <c r="AA425" s="109"/>
      <c r="AB425" s="108"/>
      <c r="AC425" s="155"/>
      <c r="AD425" s="698"/>
      <c r="AF425" s="108"/>
      <c r="AG425" s="108"/>
      <c r="AH425" s="108"/>
      <c r="AJ425" s="966"/>
      <c r="AK425" s="966"/>
      <c r="AL425" s="966"/>
      <c r="AM425" s="967"/>
      <c r="AN425" s="1027"/>
      <c r="AO425" s="1027"/>
      <c r="AP425" s="108"/>
      <c r="AQ425" s="1027"/>
      <c r="AR425" s="108"/>
      <c r="AS425" s="108"/>
      <c r="AT425" s="108"/>
      <c r="AU425" s="108"/>
      <c r="AV425" s="108"/>
      <c r="AW425" s="108"/>
      <c r="AX425" s="108"/>
      <c r="AY425" s="108"/>
    </row>
    <row r="426" spans="2:51">
      <c r="B426" s="109"/>
      <c r="C426" s="109"/>
      <c r="D426" s="541"/>
      <c r="E426" s="541"/>
      <c r="F426" s="127"/>
      <c r="H426" s="156"/>
      <c r="I426" s="152"/>
      <c r="J426" s="157"/>
      <c r="K426" s="157"/>
      <c r="L426" s="157"/>
      <c r="M426" s="157"/>
      <c r="N426" s="157"/>
      <c r="O426" s="157"/>
      <c r="P426" s="157"/>
      <c r="R426" s="847"/>
      <c r="S426" s="847"/>
      <c r="T426" s="848"/>
      <c r="U426" s="847"/>
      <c r="V426" s="108"/>
      <c r="X426" s="127"/>
      <c r="Y426" s="152"/>
      <c r="Z426" s="152"/>
      <c r="AA426" s="109"/>
      <c r="AB426" s="108"/>
      <c r="AC426" s="155"/>
      <c r="AD426" s="698"/>
      <c r="AF426" s="108"/>
      <c r="AG426" s="108"/>
      <c r="AH426" s="108"/>
      <c r="AJ426" s="966"/>
      <c r="AK426" s="966"/>
      <c r="AL426" s="966"/>
      <c r="AM426" s="967"/>
      <c r="AN426" s="1027"/>
      <c r="AO426" s="1027"/>
      <c r="AP426" s="108"/>
      <c r="AQ426" s="1027"/>
      <c r="AR426" s="108"/>
      <c r="AS426" s="108"/>
      <c r="AT426" s="108"/>
      <c r="AU426" s="108"/>
      <c r="AV426" s="108"/>
      <c r="AW426" s="108"/>
      <c r="AX426" s="108"/>
      <c r="AY426" s="108"/>
    </row>
    <row r="427" spans="2:51">
      <c r="B427" s="109"/>
      <c r="C427" s="109"/>
      <c r="D427" s="541"/>
      <c r="E427" s="541"/>
      <c r="F427" s="127"/>
      <c r="H427" s="156"/>
      <c r="I427" s="152"/>
      <c r="J427" s="157"/>
      <c r="K427" s="157"/>
      <c r="L427" s="157"/>
      <c r="M427" s="157"/>
      <c r="N427" s="157"/>
      <c r="O427" s="157"/>
      <c r="P427" s="157"/>
      <c r="R427" s="847"/>
      <c r="S427" s="847"/>
      <c r="T427" s="848"/>
      <c r="U427" s="847"/>
      <c r="V427" s="108"/>
      <c r="X427" s="127"/>
      <c r="Y427" s="152"/>
      <c r="Z427" s="152"/>
      <c r="AA427" s="109"/>
      <c r="AB427" s="108"/>
      <c r="AC427" s="155"/>
      <c r="AD427" s="698"/>
      <c r="AF427" s="108"/>
      <c r="AG427" s="108"/>
      <c r="AH427" s="108"/>
      <c r="AJ427" s="966"/>
      <c r="AK427" s="966"/>
      <c r="AL427" s="966"/>
      <c r="AM427" s="967"/>
      <c r="AN427" s="1027"/>
      <c r="AO427" s="1027"/>
      <c r="AP427" s="108"/>
      <c r="AQ427" s="1027"/>
      <c r="AR427" s="108"/>
      <c r="AS427" s="108"/>
      <c r="AT427" s="108"/>
      <c r="AU427" s="108"/>
      <c r="AV427" s="108"/>
      <c r="AW427" s="108"/>
      <c r="AX427" s="108"/>
      <c r="AY427" s="108"/>
    </row>
    <row r="428" spans="2:51">
      <c r="B428" s="109"/>
      <c r="C428" s="109"/>
      <c r="D428" s="541"/>
      <c r="E428" s="541"/>
      <c r="F428" s="127"/>
      <c r="H428" s="156"/>
      <c r="I428" s="152"/>
      <c r="J428" s="157"/>
      <c r="K428" s="157"/>
      <c r="L428" s="157"/>
      <c r="M428" s="157"/>
      <c r="N428" s="157"/>
      <c r="O428" s="157"/>
      <c r="P428" s="157"/>
      <c r="R428" s="847"/>
      <c r="S428" s="847"/>
      <c r="T428" s="848"/>
      <c r="U428" s="847"/>
      <c r="V428" s="108"/>
      <c r="X428" s="127"/>
      <c r="Y428" s="152"/>
      <c r="Z428" s="152"/>
      <c r="AA428" s="109"/>
      <c r="AB428" s="108"/>
      <c r="AC428" s="155"/>
      <c r="AD428" s="698"/>
      <c r="AF428" s="108"/>
      <c r="AG428" s="108"/>
      <c r="AH428" s="108"/>
      <c r="AJ428" s="966"/>
      <c r="AK428" s="966"/>
      <c r="AL428" s="966"/>
      <c r="AM428" s="967"/>
      <c r="AN428" s="1027"/>
      <c r="AO428" s="1027"/>
      <c r="AP428" s="108"/>
      <c r="AQ428" s="1027"/>
      <c r="AR428" s="108"/>
      <c r="AS428" s="108"/>
      <c r="AT428" s="108"/>
      <c r="AU428" s="108"/>
      <c r="AV428" s="108"/>
      <c r="AW428" s="108"/>
      <c r="AX428" s="108"/>
      <c r="AY428" s="108"/>
    </row>
    <row r="429" spans="2:51">
      <c r="B429" s="109"/>
      <c r="C429" s="109"/>
      <c r="D429" s="541"/>
      <c r="E429" s="541"/>
      <c r="F429" s="127"/>
      <c r="H429" s="156"/>
      <c r="I429" s="152"/>
      <c r="J429" s="157"/>
      <c r="K429" s="157"/>
      <c r="L429" s="157"/>
      <c r="M429" s="157"/>
      <c r="N429" s="157"/>
      <c r="O429" s="157"/>
      <c r="P429" s="157"/>
      <c r="R429" s="847"/>
      <c r="S429" s="847"/>
      <c r="T429" s="848"/>
      <c r="U429" s="847"/>
      <c r="V429" s="108"/>
      <c r="X429" s="127"/>
      <c r="Y429" s="152"/>
      <c r="Z429" s="152"/>
      <c r="AA429" s="109"/>
      <c r="AB429" s="108"/>
      <c r="AC429" s="155"/>
      <c r="AD429" s="698"/>
      <c r="AF429" s="108"/>
      <c r="AG429" s="108"/>
      <c r="AH429" s="108"/>
      <c r="AJ429" s="966"/>
      <c r="AK429" s="966"/>
      <c r="AL429" s="966"/>
      <c r="AM429" s="967"/>
      <c r="AN429" s="1027"/>
      <c r="AO429" s="1027"/>
      <c r="AP429" s="108"/>
      <c r="AQ429" s="1027"/>
      <c r="AR429" s="108"/>
      <c r="AS429" s="108"/>
      <c r="AT429" s="108"/>
      <c r="AU429" s="108"/>
      <c r="AV429" s="108"/>
      <c r="AW429" s="108"/>
      <c r="AX429" s="108"/>
      <c r="AY429" s="108"/>
    </row>
    <row r="430" spans="2:51">
      <c r="B430" s="109"/>
      <c r="C430" s="109"/>
      <c r="D430" s="541"/>
      <c r="E430" s="541"/>
      <c r="F430" s="127"/>
      <c r="H430" s="156"/>
      <c r="I430" s="152"/>
      <c r="J430" s="157"/>
      <c r="K430" s="157"/>
      <c r="L430" s="157"/>
      <c r="M430" s="157"/>
      <c r="N430" s="157"/>
      <c r="O430" s="157"/>
      <c r="P430" s="157"/>
      <c r="R430" s="847"/>
      <c r="S430" s="847"/>
      <c r="T430" s="848"/>
      <c r="U430" s="847"/>
      <c r="V430" s="108"/>
      <c r="X430" s="127"/>
      <c r="Y430" s="152"/>
      <c r="Z430" s="152"/>
      <c r="AA430" s="109"/>
      <c r="AB430" s="108"/>
      <c r="AC430" s="155"/>
      <c r="AD430" s="698"/>
      <c r="AF430" s="108"/>
      <c r="AG430" s="108"/>
      <c r="AH430" s="108"/>
      <c r="AJ430" s="966"/>
      <c r="AK430" s="966"/>
      <c r="AL430" s="966"/>
      <c r="AM430" s="967"/>
      <c r="AN430" s="1027"/>
      <c r="AO430" s="1027"/>
      <c r="AP430" s="108"/>
      <c r="AQ430" s="1027"/>
      <c r="AR430" s="108"/>
      <c r="AS430" s="108"/>
      <c r="AT430" s="108"/>
      <c r="AU430" s="108"/>
      <c r="AV430" s="108"/>
      <c r="AW430" s="108"/>
      <c r="AX430" s="108"/>
      <c r="AY430" s="108"/>
    </row>
    <row r="431" spans="2:51">
      <c r="B431" s="109"/>
      <c r="C431" s="109"/>
      <c r="D431" s="541"/>
      <c r="E431" s="541"/>
      <c r="F431" s="127"/>
      <c r="H431" s="156"/>
      <c r="I431" s="152"/>
      <c r="J431" s="157"/>
      <c r="K431" s="157"/>
      <c r="L431" s="157"/>
      <c r="M431" s="157"/>
      <c r="N431" s="157"/>
      <c r="O431" s="157"/>
      <c r="P431" s="157"/>
      <c r="R431" s="847"/>
      <c r="S431" s="847"/>
      <c r="T431" s="848"/>
      <c r="U431" s="847"/>
      <c r="V431" s="108"/>
      <c r="X431" s="127"/>
      <c r="Y431" s="152"/>
      <c r="Z431" s="152"/>
      <c r="AA431" s="109"/>
      <c r="AB431" s="108"/>
      <c r="AC431" s="155"/>
      <c r="AD431" s="698"/>
      <c r="AF431" s="108"/>
      <c r="AG431" s="108"/>
      <c r="AH431" s="108"/>
      <c r="AJ431" s="966"/>
      <c r="AK431" s="966"/>
      <c r="AL431" s="966"/>
      <c r="AM431" s="967"/>
      <c r="AN431" s="1027"/>
      <c r="AO431" s="1027"/>
      <c r="AP431" s="108"/>
      <c r="AQ431" s="1027"/>
      <c r="AR431" s="108"/>
      <c r="AS431" s="108"/>
      <c r="AT431" s="108"/>
      <c r="AU431" s="108"/>
      <c r="AV431" s="108"/>
      <c r="AW431" s="108"/>
      <c r="AX431" s="108"/>
      <c r="AY431" s="108"/>
    </row>
    <row r="432" spans="2:51">
      <c r="B432" s="109"/>
      <c r="C432" s="109"/>
      <c r="D432" s="541"/>
      <c r="E432" s="541"/>
      <c r="F432" s="127"/>
      <c r="H432" s="156"/>
      <c r="I432" s="152"/>
      <c r="J432" s="157"/>
      <c r="K432" s="157"/>
      <c r="L432" s="157"/>
      <c r="M432" s="157"/>
      <c r="N432" s="157"/>
      <c r="O432" s="157"/>
      <c r="P432" s="157"/>
      <c r="R432" s="847"/>
      <c r="S432" s="847"/>
      <c r="T432" s="848"/>
      <c r="U432" s="847"/>
      <c r="V432" s="108"/>
      <c r="X432" s="127"/>
      <c r="Y432" s="152"/>
      <c r="Z432" s="152"/>
      <c r="AA432" s="109"/>
      <c r="AB432" s="108"/>
      <c r="AC432" s="155"/>
      <c r="AD432" s="698"/>
      <c r="AF432" s="108"/>
      <c r="AG432" s="108"/>
      <c r="AH432" s="108"/>
      <c r="AJ432" s="966"/>
      <c r="AK432" s="966"/>
      <c r="AL432" s="966"/>
      <c r="AM432" s="967"/>
      <c r="AN432" s="1027"/>
      <c r="AO432" s="1027"/>
      <c r="AP432" s="108"/>
      <c r="AQ432" s="1027"/>
      <c r="AR432" s="108"/>
      <c r="AS432" s="108"/>
      <c r="AT432" s="108"/>
      <c r="AU432" s="108"/>
      <c r="AV432" s="108"/>
      <c r="AW432" s="108"/>
      <c r="AX432" s="108"/>
      <c r="AY432" s="108"/>
    </row>
    <row r="433" spans="2:51">
      <c r="B433" s="109"/>
      <c r="C433" s="109"/>
      <c r="D433" s="541"/>
      <c r="E433" s="541"/>
      <c r="F433" s="127"/>
      <c r="H433" s="156"/>
      <c r="I433" s="152"/>
      <c r="J433" s="157"/>
      <c r="K433" s="157"/>
      <c r="L433" s="157"/>
      <c r="M433" s="157"/>
      <c r="N433" s="157"/>
      <c r="O433" s="157"/>
      <c r="P433" s="157"/>
      <c r="R433" s="847"/>
      <c r="S433" s="847"/>
      <c r="T433" s="848"/>
      <c r="U433" s="847"/>
      <c r="V433" s="108"/>
      <c r="X433" s="127"/>
      <c r="Y433" s="152"/>
      <c r="Z433" s="152"/>
      <c r="AA433" s="109"/>
      <c r="AB433" s="108"/>
      <c r="AC433" s="155"/>
      <c r="AD433" s="698"/>
      <c r="AF433" s="108"/>
      <c r="AG433" s="108"/>
      <c r="AH433" s="108"/>
      <c r="AJ433" s="966"/>
      <c r="AK433" s="966"/>
      <c r="AL433" s="966"/>
      <c r="AM433" s="967"/>
      <c r="AN433" s="1027"/>
      <c r="AO433" s="1027"/>
      <c r="AP433" s="108"/>
      <c r="AQ433" s="1027"/>
      <c r="AR433" s="108"/>
      <c r="AS433" s="108"/>
      <c r="AT433" s="108"/>
      <c r="AU433" s="108"/>
      <c r="AV433" s="108"/>
      <c r="AW433" s="108"/>
      <c r="AX433" s="108"/>
      <c r="AY433" s="108"/>
    </row>
    <row r="434" spans="2:51">
      <c r="B434" s="109"/>
      <c r="C434" s="109"/>
      <c r="D434" s="541"/>
      <c r="E434" s="541"/>
      <c r="F434" s="127"/>
      <c r="H434" s="156"/>
      <c r="I434" s="152"/>
      <c r="J434" s="157"/>
      <c r="K434" s="157"/>
      <c r="L434" s="157"/>
      <c r="M434" s="157"/>
      <c r="N434" s="157"/>
      <c r="O434" s="157"/>
      <c r="P434" s="157"/>
      <c r="R434" s="847"/>
      <c r="S434" s="847"/>
      <c r="T434" s="848"/>
      <c r="U434" s="847"/>
      <c r="V434" s="108"/>
      <c r="X434" s="127"/>
      <c r="Y434" s="152"/>
      <c r="Z434" s="152"/>
      <c r="AA434" s="109"/>
      <c r="AB434" s="108"/>
      <c r="AC434" s="155"/>
      <c r="AD434" s="698"/>
      <c r="AF434" s="108"/>
      <c r="AG434" s="108"/>
      <c r="AH434" s="108"/>
      <c r="AJ434" s="966"/>
      <c r="AK434" s="966"/>
      <c r="AL434" s="966"/>
      <c r="AM434" s="967"/>
      <c r="AN434" s="1027"/>
      <c r="AO434" s="1027"/>
      <c r="AP434" s="108"/>
      <c r="AQ434" s="1027"/>
      <c r="AR434" s="108"/>
      <c r="AS434" s="108"/>
      <c r="AT434" s="108"/>
      <c r="AU434" s="108"/>
      <c r="AV434" s="108"/>
      <c r="AW434" s="108"/>
      <c r="AX434" s="108"/>
      <c r="AY434" s="108"/>
    </row>
    <row r="435" spans="2:51">
      <c r="B435" s="109"/>
      <c r="C435" s="109"/>
      <c r="D435" s="541"/>
      <c r="E435" s="541"/>
      <c r="F435" s="127"/>
      <c r="H435" s="156"/>
      <c r="I435" s="152"/>
      <c r="J435" s="157"/>
      <c r="K435" s="157"/>
      <c r="L435" s="157"/>
      <c r="M435" s="157"/>
      <c r="N435" s="157"/>
      <c r="O435" s="157"/>
      <c r="P435" s="157"/>
      <c r="R435" s="847"/>
      <c r="S435" s="847"/>
      <c r="T435" s="848"/>
      <c r="U435" s="847"/>
      <c r="V435" s="108"/>
      <c r="X435" s="127"/>
      <c r="Y435" s="152"/>
      <c r="Z435" s="152"/>
      <c r="AA435" s="109"/>
      <c r="AB435" s="108"/>
      <c r="AC435" s="155"/>
      <c r="AD435" s="698"/>
      <c r="AF435" s="108"/>
      <c r="AG435" s="108"/>
      <c r="AH435" s="108"/>
      <c r="AJ435" s="966"/>
      <c r="AK435" s="966"/>
      <c r="AL435" s="966"/>
      <c r="AM435" s="967"/>
      <c r="AN435" s="1027"/>
      <c r="AO435" s="1027"/>
      <c r="AP435" s="108"/>
      <c r="AQ435" s="1027"/>
      <c r="AR435" s="108"/>
      <c r="AS435" s="108"/>
      <c r="AT435" s="108"/>
      <c r="AU435" s="108"/>
      <c r="AV435" s="108"/>
      <c r="AW435" s="108"/>
      <c r="AX435" s="108"/>
      <c r="AY435" s="108"/>
    </row>
    <row r="436" spans="2:51">
      <c r="B436" s="109"/>
      <c r="C436" s="109"/>
      <c r="D436" s="541"/>
      <c r="E436" s="541"/>
      <c r="F436" s="127"/>
      <c r="H436" s="156"/>
      <c r="I436" s="152"/>
      <c r="J436" s="157"/>
      <c r="K436" s="157"/>
      <c r="L436" s="157"/>
      <c r="M436" s="157"/>
      <c r="N436" s="157"/>
      <c r="O436" s="157"/>
      <c r="P436" s="157"/>
      <c r="R436" s="847"/>
      <c r="S436" s="847"/>
      <c r="T436" s="848"/>
      <c r="U436" s="847"/>
      <c r="V436" s="108"/>
      <c r="X436" s="127"/>
      <c r="Y436" s="152"/>
      <c r="Z436" s="152"/>
      <c r="AA436" s="109"/>
      <c r="AB436" s="108"/>
      <c r="AC436" s="155"/>
      <c r="AD436" s="698"/>
      <c r="AF436" s="108"/>
      <c r="AG436" s="108"/>
      <c r="AH436" s="108"/>
      <c r="AJ436" s="966"/>
      <c r="AK436" s="966"/>
      <c r="AL436" s="966"/>
      <c r="AM436" s="967"/>
      <c r="AN436" s="1027"/>
      <c r="AO436" s="1027"/>
      <c r="AP436" s="108"/>
      <c r="AQ436" s="1027"/>
      <c r="AR436" s="108"/>
      <c r="AS436" s="108"/>
      <c r="AT436" s="108"/>
      <c r="AU436" s="108"/>
      <c r="AV436" s="108"/>
      <c r="AW436" s="108"/>
      <c r="AX436" s="108"/>
      <c r="AY436" s="108"/>
    </row>
    <row r="437" spans="2:51">
      <c r="B437" s="109"/>
      <c r="C437" s="109"/>
      <c r="D437" s="541"/>
      <c r="E437" s="541"/>
      <c r="F437" s="127"/>
      <c r="H437" s="156"/>
      <c r="I437" s="152"/>
      <c r="J437" s="157"/>
      <c r="K437" s="157"/>
      <c r="L437" s="157"/>
      <c r="M437" s="157"/>
      <c r="N437" s="157"/>
      <c r="O437" s="157"/>
      <c r="P437" s="157"/>
      <c r="R437" s="847"/>
      <c r="S437" s="847"/>
      <c r="T437" s="848"/>
      <c r="U437" s="847"/>
      <c r="V437" s="108"/>
      <c r="X437" s="127"/>
      <c r="Y437" s="152"/>
      <c r="Z437" s="152"/>
      <c r="AA437" s="109"/>
      <c r="AB437" s="108"/>
      <c r="AC437" s="155"/>
      <c r="AD437" s="698"/>
      <c r="AF437" s="108"/>
      <c r="AG437" s="108"/>
      <c r="AH437" s="108"/>
      <c r="AJ437" s="966"/>
      <c r="AK437" s="966"/>
      <c r="AL437" s="966"/>
      <c r="AM437" s="967"/>
      <c r="AN437" s="1027"/>
      <c r="AO437" s="1027"/>
      <c r="AP437" s="108"/>
      <c r="AQ437" s="1027"/>
      <c r="AR437" s="108"/>
      <c r="AS437" s="108"/>
      <c r="AT437" s="108"/>
      <c r="AU437" s="108"/>
      <c r="AV437" s="108"/>
      <c r="AW437" s="108"/>
      <c r="AX437" s="108"/>
      <c r="AY437" s="108"/>
    </row>
    <row r="438" spans="2:51">
      <c r="B438" s="109"/>
      <c r="C438" s="109"/>
      <c r="D438" s="541"/>
      <c r="E438" s="541"/>
      <c r="F438" s="127"/>
      <c r="H438" s="156"/>
      <c r="I438" s="152"/>
      <c r="J438" s="157"/>
      <c r="K438" s="157"/>
      <c r="L438" s="157"/>
      <c r="M438" s="157"/>
      <c r="N438" s="157"/>
      <c r="O438" s="157"/>
      <c r="P438" s="157"/>
      <c r="R438" s="847"/>
      <c r="S438" s="847"/>
      <c r="T438" s="848"/>
      <c r="U438" s="847"/>
      <c r="V438" s="108"/>
      <c r="X438" s="127"/>
      <c r="Y438" s="152"/>
      <c r="Z438" s="152"/>
      <c r="AA438" s="109"/>
      <c r="AB438" s="108"/>
      <c r="AC438" s="155"/>
      <c r="AD438" s="698"/>
      <c r="AF438" s="108"/>
      <c r="AG438" s="108"/>
      <c r="AH438" s="108"/>
      <c r="AJ438" s="966"/>
      <c r="AK438" s="966"/>
      <c r="AL438" s="966"/>
      <c r="AM438" s="967"/>
      <c r="AN438" s="1027"/>
      <c r="AO438" s="1027"/>
      <c r="AP438" s="108"/>
      <c r="AQ438" s="1027"/>
      <c r="AR438" s="108"/>
      <c r="AS438" s="108"/>
      <c r="AT438" s="108"/>
      <c r="AU438" s="108"/>
      <c r="AV438" s="108"/>
      <c r="AW438" s="108"/>
      <c r="AX438" s="108"/>
      <c r="AY438" s="108"/>
    </row>
    <row r="439" spans="2:51">
      <c r="B439" s="109"/>
      <c r="C439" s="109"/>
      <c r="D439" s="541"/>
      <c r="E439" s="541"/>
      <c r="F439" s="127"/>
      <c r="H439" s="156"/>
      <c r="I439" s="152"/>
      <c r="J439" s="157"/>
      <c r="K439" s="157"/>
      <c r="L439" s="157"/>
      <c r="M439" s="157"/>
      <c r="N439" s="157"/>
      <c r="O439" s="157"/>
      <c r="P439" s="157"/>
      <c r="R439" s="847"/>
      <c r="S439" s="847"/>
      <c r="T439" s="848"/>
      <c r="U439" s="847"/>
      <c r="V439" s="108"/>
      <c r="X439" s="127"/>
      <c r="Y439" s="152"/>
      <c r="Z439" s="152"/>
      <c r="AA439" s="109"/>
      <c r="AB439" s="108"/>
      <c r="AC439" s="155"/>
      <c r="AD439" s="698"/>
      <c r="AF439" s="108"/>
      <c r="AG439" s="108"/>
      <c r="AH439" s="108"/>
      <c r="AJ439" s="966"/>
      <c r="AK439" s="966"/>
      <c r="AL439" s="966"/>
      <c r="AM439" s="967"/>
      <c r="AN439" s="1027"/>
      <c r="AO439" s="1027"/>
      <c r="AP439" s="108"/>
      <c r="AQ439" s="1027"/>
      <c r="AR439" s="108"/>
      <c r="AS439" s="108"/>
      <c r="AT439" s="108"/>
      <c r="AU439" s="108"/>
      <c r="AV439" s="108"/>
      <c r="AW439" s="108"/>
      <c r="AX439" s="108"/>
      <c r="AY439" s="108"/>
    </row>
    <row r="440" spans="2:51">
      <c r="B440" s="109"/>
      <c r="C440" s="109"/>
      <c r="D440" s="541"/>
      <c r="E440" s="541"/>
      <c r="F440" s="127"/>
      <c r="H440" s="156"/>
      <c r="I440" s="152"/>
      <c r="J440" s="157"/>
      <c r="K440" s="157"/>
      <c r="L440" s="157"/>
      <c r="M440" s="157"/>
      <c r="N440" s="157"/>
      <c r="O440" s="157"/>
      <c r="P440" s="157"/>
      <c r="R440" s="847"/>
      <c r="S440" s="847"/>
      <c r="T440" s="848"/>
      <c r="U440" s="847"/>
      <c r="V440" s="108"/>
      <c r="X440" s="127"/>
      <c r="Y440" s="152"/>
      <c r="Z440" s="152"/>
      <c r="AA440" s="109"/>
      <c r="AB440" s="108"/>
      <c r="AC440" s="155"/>
      <c r="AD440" s="698"/>
      <c r="AF440" s="108"/>
      <c r="AG440" s="108"/>
      <c r="AH440" s="108"/>
      <c r="AJ440" s="966"/>
      <c r="AK440" s="966"/>
      <c r="AL440" s="966"/>
      <c r="AM440" s="967"/>
      <c r="AN440" s="1027"/>
      <c r="AO440" s="1027"/>
      <c r="AP440" s="108"/>
      <c r="AQ440" s="1027"/>
      <c r="AR440" s="108"/>
      <c r="AS440" s="108"/>
      <c r="AT440" s="108"/>
      <c r="AU440" s="108"/>
      <c r="AV440" s="108"/>
      <c r="AW440" s="108"/>
      <c r="AX440" s="108"/>
      <c r="AY440" s="108"/>
    </row>
    <row r="441" spans="2:51">
      <c r="B441" s="109"/>
      <c r="C441" s="109"/>
      <c r="D441" s="541"/>
      <c r="E441" s="541"/>
      <c r="F441" s="127"/>
      <c r="H441" s="156"/>
      <c r="I441" s="152"/>
      <c r="J441" s="157"/>
      <c r="K441" s="157"/>
      <c r="L441" s="157"/>
      <c r="M441" s="157"/>
      <c r="N441" s="157"/>
      <c r="O441" s="157"/>
      <c r="P441" s="157"/>
      <c r="R441" s="847"/>
      <c r="S441" s="847"/>
      <c r="T441" s="848"/>
      <c r="U441" s="847"/>
      <c r="V441" s="108"/>
      <c r="X441" s="127"/>
      <c r="Y441" s="152"/>
      <c r="Z441" s="152"/>
      <c r="AA441" s="109"/>
      <c r="AB441" s="108"/>
      <c r="AC441" s="155"/>
      <c r="AD441" s="698"/>
      <c r="AF441" s="108"/>
      <c r="AG441" s="108"/>
      <c r="AH441" s="108"/>
      <c r="AJ441" s="966"/>
      <c r="AK441" s="966"/>
      <c r="AL441" s="966"/>
      <c r="AM441" s="967"/>
      <c r="AN441" s="1027"/>
      <c r="AO441" s="1027"/>
      <c r="AP441" s="108"/>
      <c r="AQ441" s="1027"/>
      <c r="AR441" s="108"/>
      <c r="AS441" s="108"/>
      <c r="AT441" s="108"/>
      <c r="AU441" s="108"/>
      <c r="AV441" s="108"/>
      <c r="AW441" s="108"/>
      <c r="AX441" s="108"/>
      <c r="AY441" s="108"/>
    </row>
    <row r="442" spans="2:51">
      <c r="B442" s="109"/>
      <c r="C442" s="109"/>
      <c r="D442" s="541"/>
      <c r="E442" s="541"/>
      <c r="F442" s="127"/>
      <c r="H442" s="156"/>
      <c r="I442" s="152"/>
      <c r="J442" s="157"/>
      <c r="K442" s="157"/>
      <c r="L442" s="157"/>
      <c r="M442" s="157"/>
      <c r="N442" s="157"/>
      <c r="O442" s="157"/>
      <c r="P442" s="157"/>
      <c r="R442" s="847"/>
      <c r="S442" s="847"/>
      <c r="T442" s="848"/>
      <c r="U442" s="847"/>
      <c r="V442" s="108"/>
      <c r="X442" s="127"/>
      <c r="Y442" s="152"/>
      <c r="Z442" s="152"/>
      <c r="AA442" s="109"/>
      <c r="AB442" s="108"/>
      <c r="AC442" s="155"/>
      <c r="AD442" s="698"/>
      <c r="AF442" s="108"/>
      <c r="AG442" s="108"/>
      <c r="AH442" s="108"/>
      <c r="AJ442" s="966"/>
      <c r="AK442" s="966"/>
      <c r="AL442" s="966"/>
      <c r="AM442" s="967"/>
      <c r="AN442" s="1027"/>
      <c r="AO442" s="1027"/>
      <c r="AP442" s="108"/>
      <c r="AQ442" s="1027"/>
      <c r="AR442" s="108"/>
      <c r="AS442" s="108"/>
      <c r="AT442" s="108"/>
      <c r="AU442" s="108"/>
      <c r="AV442" s="108"/>
      <c r="AW442" s="108"/>
      <c r="AX442" s="108"/>
      <c r="AY442" s="108"/>
    </row>
    <row r="443" spans="2:51">
      <c r="B443" s="109"/>
      <c r="C443" s="109"/>
      <c r="D443" s="541"/>
      <c r="E443" s="541"/>
      <c r="F443" s="127"/>
      <c r="H443" s="156"/>
      <c r="I443" s="152"/>
      <c r="J443" s="157"/>
      <c r="K443" s="157"/>
      <c r="L443" s="157"/>
      <c r="M443" s="157"/>
      <c r="N443" s="157"/>
      <c r="O443" s="157"/>
      <c r="P443" s="157"/>
      <c r="R443" s="847"/>
      <c r="S443" s="847"/>
      <c r="T443" s="848"/>
      <c r="U443" s="847"/>
      <c r="V443" s="108"/>
      <c r="X443" s="127"/>
      <c r="Y443" s="152"/>
      <c r="Z443" s="152"/>
      <c r="AA443" s="109"/>
      <c r="AB443" s="108"/>
      <c r="AC443" s="155"/>
      <c r="AD443" s="698"/>
      <c r="AF443" s="108"/>
      <c r="AG443" s="108"/>
      <c r="AH443" s="108"/>
      <c r="AJ443" s="966"/>
      <c r="AK443" s="966"/>
      <c r="AL443" s="966"/>
      <c r="AM443" s="967"/>
      <c r="AN443" s="1027"/>
      <c r="AO443" s="1027"/>
      <c r="AP443" s="108"/>
      <c r="AQ443" s="1027"/>
      <c r="AR443" s="108"/>
      <c r="AS443" s="108"/>
      <c r="AT443" s="108"/>
      <c r="AU443" s="108"/>
      <c r="AV443" s="108"/>
      <c r="AW443" s="108"/>
      <c r="AX443" s="108"/>
      <c r="AY443" s="108"/>
    </row>
    <row r="444" spans="2:51">
      <c r="B444" s="109"/>
      <c r="C444" s="109"/>
      <c r="D444" s="541"/>
      <c r="E444" s="541"/>
      <c r="F444" s="127"/>
      <c r="H444" s="156"/>
      <c r="I444" s="152"/>
      <c r="J444" s="157"/>
      <c r="K444" s="157"/>
      <c r="L444" s="157"/>
      <c r="M444" s="157"/>
      <c r="N444" s="157"/>
      <c r="O444" s="157"/>
      <c r="P444" s="157"/>
      <c r="R444" s="847"/>
      <c r="S444" s="847"/>
      <c r="T444" s="848"/>
      <c r="U444" s="847"/>
      <c r="V444" s="108"/>
      <c r="X444" s="127"/>
      <c r="Y444" s="152"/>
      <c r="Z444" s="152"/>
      <c r="AA444" s="109"/>
      <c r="AB444" s="108"/>
      <c r="AC444" s="155"/>
      <c r="AD444" s="698"/>
      <c r="AF444" s="108"/>
      <c r="AG444" s="108"/>
      <c r="AH444" s="108"/>
      <c r="AJ444" s="966"/>
      <c r="AK444" s="966"/>
      <c r="AL444" s="966"/>
      <c r="AM444" s="967"/>
      <c r="AN444" s="1027"/>
      <c r="AO444" s="1027"/>
      <c r="AP444" s="108"/>
      <c r="AQ444" s="1027"/>
      <c r="AR444" s="108"/>
      <c r="AS444" s="108"/>
      <c r="AT444" s="108"/>
      <c r="AU444" s="108"/>
      <c r="AV444" s="108"/>
      <c r="AW444" s="108"/>
      <c r="AX444" s="108"/>
      <c r="AY444" s="108"/>
    </row>
    <row r="445" spans="2:51">
      <c r="B445" s="109"/>
      <c r="C445" s="109"/>
      <c r="D445" s="541"/>
      <c r="E445" s="541"/>
      <c r="F445" s="127"/>
      <c r="H445" s="156"/>
      <c r="I445" s="152"/>
      <c r="J445" s="157"/>
      <c r="K445" s="157"/>
      <c r="L445" s="157"/>
      <c r="M445" s="157"/>
      <c r="N445" s="157"/>
      <c r="O445" s="157"/>
      <c r="P445" s="157"/>
      <c r="R445" s="847"/>
      <c r="S445" s="847"/>
      <c r="T445" s="848"/>
      <c r="U445" s="847"/>
      <c r="V445" s="108"/>
      <c r="X445" s="127"/>
      <c r="Y445" s="152"/>
      <c r="Z445" s="152"/>
      <c r="AA445" s="109"/>
      <c r="AB445" s="108"/>
      <c r="AC445" s="155"/>
      <c r="AD445" s="698"/>
      <c r="AF445" s="108"/>
      <c r="AG445" s="108"/>
      <c r="AH445" s="108"/>
      <c r="AJ445" s="966"/>
      <c r="AK445" s="966"/>
      <c r="AL445" s="966"/>
      <c r="AM445" s="967"/>
      <c r="AN445" s="1027"/>
      <c r="AO445" s="1027"/>
      <c r="AP445" s="108"/>
      <c r="AQ445" s="1027"/>
      <c r="AR445" s="108"/>
      <c r="AS445" s="108"/>
      <c r="AT445" s="108"/>
      <c r="AU445" s="108"/>
      <c r="AV445" s="108"/>
      <c r="AW445" s="108"/>
      <c r="AX445" s="108"/>
      <c r="AY445" s="108"/>
    </row>
    <row r="446" spans="2:51">
      <c r="B446" s="109"/>
      <c r="C446" s="109"/>
      <c r="D446" s="541"/>
      <c r="E446" s="541"/>
      <c r="F446" s="127"/>
      <c r="H446" s="156"/>
      <c r="I446" s="152"/>
      <c r="J446" s="157"/>
      <c r="K446" s="157"/>
      <c r="L446" s="157"/>
      <c r="M446" s="157"/>
      <c r="N446" s="157"/>
      <c r="O446" s="157"/>
      <c r="P446" s="157"/>
      <c r="R446" s="847"/>
      <c r="S446" s="847"/>
      <c r="T446" s="848"/>
      <c r="U446" s="847"/>
      <c r="V446" s="108"/>
      <c r="X446" s="127"/>
      <c r="Y446" s="152"/>
      <c r="Z446" s="152"/>
      <c r="AA446" s="109"/>
      <c r="AB446" s="108"/>
      <c r="AC446" s="155"/>
      <c r="AD446" s="698"/>
      <c r="AF446" s="108"/>
      <c r="AG446" s="108"/>
      <c r="AH446" s="108"/>
      <c r="AJ446" s="966"/>
      <c r="AK446" s="966"/>
      <c r="AL446" s="966"/>
      <c r="AM446" s="967"/>
      <c r="AN446" s="1027"/>
      <c r="AO446" s="1027"/>
      <c r="AP446" s="108"/>
      <c r="AQ446" s="1027"/>
      <c r="AR446" s="108"/>
      <c r="AS446" s="108"/>
      <c r="AT446" s="108"/>
      <c r="AU446" s="108"/>
      <c r="AV446" s="108"/>
      <c r="AW446" s="108"/>
      <c r="AX446" s="108"/>
      <c r="AY446" s="108"/>
    </row>
    <row r="447" spans="2:51">
      <c r="B447" s="109"/>
      <c r="C447" s="109"/>
      <c r="D447" s="541"/>
      <c r="E447" s="541"/>
      <c r="F447" s="127"/>
      <c r="H447" s="156"/>
      <c r="I447" s="152"/>
      <c r="J447" s="157"/>
      <c r="K447" s="157"/>
      <c r="L447" s="157"/>
      <c r="M447" s="157"/>
      <c r="N447" s="157"/>
      <c r="O447" s="157"/>
      <c r="P447" s="157"/>
      <c r="R447" s="847"/>
      <c r="S447" s="847"/>
      <c r="T447" s="848"/>
      <c r="U447" s="847"/>
      <c r="V447" s="108"/>
      <c r="X447" s="127"/>
      <c r="Y447" s="152"/>
      <c r="Z447" s="152"/>
      <c r="AA447" s="109"/>
      <c r="AB447" s="108"/>
      <c r="AC447" s="155"/>
      <c r="AD447" s="698"/>
      <c r="AF447" s="108"/>
      <c r="AG447" s="108"/>
      <c r="AH447" s="108"/>
      <c r="AJ447" s="966"/>
      <c r="AK447" s="966"/>
      <c r="AL447" s="966"/>
      <c r="AM447" s="967"/>
      <c r="AN447" s="1027"/>
      <c r="AO447" s="1027"/>
      <c r="AP447" s="108"/>
      <c r="AQ447" s="1027"/>
      <c r="AR447" s="108"/>
      <c r="AS447" s="108"/>
      <c r="AT447" s="108"/>
      <c r="AU447" s="108"/>
      <c r="AV447" s="108"/>
      <c r="AW447" s="108"/>
      <c r="AX447" s="108"/>
      <c r="AY447" s="108"/>
    </row>
    <row r="448" spans="2:51">
      <c r="B448" s="109"/>
      <c r="C448" s="109"/>
      <c r="D448" s="541"/>
      <c r="E448" s="541"/>
      <c r="F448" s="127"/>
      <c r="H448" s="156"/>
      <c r="I448" s="152"/>
      <c r="J448" s="157"/>
      <c r="K448" s="157"/>
      <c r="L448" s="157"/>
      <c r="M448" s="157"/>
      <c r="N448" s="157"/>
      <c r="O448" s="157"/>
      <c r="P448" s="157"/>
      <c r="R448" s="847"/>
      <c r="S448" s="847"/>
      <c r="T448" s="848"/>
      <c r="U448" s="847"/>
      <c r="V448" s="108"/>
      <c r="X448" s="127"/>
      <c r="Y448" s="152"/>
      <c r="Z448" s="152"/>
      <c r="AA448" s="109"/>
      <c r="AB448" s="108"/>
      <c r="AC448" s="155"/>
      <c r="AD448" s="698"/>
      <c r="AF448" s="108"/>
      <c r="AG448" s="108"/>
      <c r="AH448" s="108"/>
      <c r="AJ448" s="966"/>
      <c r="AK448" s="966"/>
      <c r="AL448" s="966"/>
      <c r="AM448" s="967"/>
      <c r="AN448" s="1027"/>
      <c r="AO448" s="1027"/>
      <c r="AP448" s="108"/>
      <c r="AQ448" s="108"/>
      <c r="AR448" s="108"/>
      <c r="AS448" s="108"/>
      <c r="AT448" s="108"/>
      <c r="AU448" s="108"/>
      <c r="AV448" s="108"/>
      <c r="AW448" s="108"/>
      <c r="AX448" s="108"/>
      <c r="AY448" s="108"/>
    </row>
    <row r="449" spans="2:51">
      <c r="B449" s="109"/>
      <c r="C449" s="109"/>
      <c r="D449" s="541"/>
      <c r="E449" s="541"/>
      <c r="F449" s="127"/>
      <c r="H449" s="156"/>
      <c r="I449" s="152"/>
      <c r="J449" s="157"/>
      <c r="K449" s="157"/>
      <c r="L449" s="157"/>
      <c r="M449" s="157"/>
      <c r="N449" s="157"/>
      <c r="O449" s="157"/>
      <c r="P449" s="157"/>
      <c r="R449" s="847"/>
      <c r="S449" s="847"/>
      <c r="T449" s="848"/>
      <c r="U449" s="847"/>
      <c r="V449" s="108"/>
      <c r="X449" s="127"/>
      <c r="Y449" s="152"/>
      <c r="Z449" s="152"/>
      <c r="AA449" s="109"/>
      <c r="AB449" s="108"/>
      <c r="AC449" s="155"/>
      <c r="AD449" s="698"/>
      <c r="AF449" s="108"/>
      <c r="AG449" s="108"/>
      <c r="AH449" s="108"/>
      <c r="AJ449" s="966"/>
      <c r="AK449" s="966"/>
      <c r="AL449" s="966"/>
      <c r="AM449" s="967"/>
      <c r="AN449" s="1027"/>
      <c r="AO449" s="1027"/>
      <c r="AP449" s="108"/>
      <c r="AQ449" s="108"/>
      <c r="AR449" s="108"/>
      <c r="AS449" s="108"/>
      <c r="AT449" s="108"/>
      <c r="AU449" s="108"/>
      <c r="AV449" s="108"/>
      <c r="AW449" s="108"/>
      <c r="AX449" s="108"/>
      <c r="AY449" s="108"/>
    </row>
    <row r="450" spans="2:51">
      <c r="B450" s="109"/>
      <c r="C450" s="109"/>
      <c r="D450" s="541"/>
      <c r="E450" s="541"/>
      <c r="F450" s="127"/>
      <c r="H450" s="156"/>
      <c r="I450" s="152"/>
      <c r="J450" s="157"/>
      <c r="K450" s="157"/>
      <c r="L450" s="157"/>
      <c r="M450" s="157"/>
      <c r="N450" s="157"/>
      <c r="O450" s="157"/>
      <c r="P450" s="157"/>
      <c r="R450" s="847"/>
      <c r="S450" s="847"/>
      <c r="T450" s="848"/>
      <c r="U450" s="847"/>
      <c r="V450" s="108"/>
      <c r="X450" s="127"/>
      <c r="Y450" s="152"/>
      <c r="Z450" s="152"/>
      <c r="AA450" s="109"/>
      <c r="AB450" s="108"/>
      <c r="AC450" s="155"/>
      <c r="AD450" s="698"/>
      <c r="AF450" s="108"/>
      <c r="AG450" s="108"/>
      <c r="AH450" s="108"/>
      <c r="AJ450" s="966"/>
      <c r="AK450" s="966"/>
      <c r="AL450" s="966"/>
      <c r="AM450" s="967"/>
      <c r="AN450" s="1027"/>
      <c r="AO450" s="1027"/>
      <c r="AP450" s="108"/>
      <c r="AQ450" s="108"/>
      <c r="AR450" s="108"/>
      <c r="AS450" s="108"/>
      <c r="AT450" s="108"/>
      <c r="AU450" s="108"/>
      <c r="AV450" s="108"/>
      <c r="AW450" s="108"/>
      <c r="AX450" s="108"/>
      <c r="AY450" s="108"/>
    </row>
    <row r="451" spans="2:51">
      <c r="B451" s="109"/>
      <c r="C451" s="109"/>
      <c r="D451" s="541"/>
      <c r="E451" s="541"/>
      <c r="F451" s="127"/>
      <c r="H451" s="156"/>
      <c r="I451" s="152"/>
      <c r="J451" s="157"/>
      <c r="K451" s="157"/>
      <c r="L451" s="157"/>
      <c r="M451" s="157"/>
      <c r="N451" s="157"/>
      <c r="O451" s="157"/>
      <c r="P451" s="157"/>
      <c r="R451" s="847"/>
      <c r="S451" s="847"/>
      <c r="T451" s="848"/>
      <c r="U451" s="847"/>
      <c r="V451" s="108"/>
      <c r="X451" s="127"/>
      <c r="Y451" s="152"/>
      <c r="Z451" s="152"/>
      <c r="AA451" s="109"/>
      <c r="AB451" s="108"/>
      <c r="AC451" s="155"/>
      <c r="AD451" s="698"/>
      <c r="AF451" s="108"/>
      <c r="AG451" s="108"/>
      <c r="AH451" s="108"/>
      <c r="AJ451" s="966"/>
      <c r="AK451" s="966"/>
      <c r="AL451" s="966"/>
      <c r="AM451" s="967"/>
      <c r="AN451" s="1027"/>
      <c r="AO451" s="1027"/>
      <c r="AP451" s="108"/>
      <c r="AQ451" s="108"/>
      <c r="AR451" s="108"/>
      <c r="AS451" s="108"/>
      <c r="AT451" s="108"/>
      <c r="AU451" s="108"/>
      <c r="AV451" s="108"/>
      <c r="AW451" s="108"/>
      <c r="AX451" s="108"/>
      <c r="AY451" s="108"/>
    </row>
    <row r="452" spans="2:51">
      <c r="B452" s="109"/>
      <c r="C452" s="109"/>
      <c r="D452" s="541"/>
      <c r="E452" s="541"/>
      <c r="F452" s="127"/>
      <c r="H452" s="156"/>
      <c r="I452" s="152"/>
      <c r="J452" s="157"/>
      <c r="K452" s="157"/>
      <c r="L452" s="157"/>
      <c r="M452" s="157"/>
      <c r="N452" s="157"/>
      <c r="O452" s="157"/>
      <c r="P452" s="157"/>
      <c r="R452" s="847"/>
      <c r="S452" s="847"/>
      <c r="T452" s="848"/>
      <c r="U452" s="847"/>
      <c r="V452" s="108"/>
      <c r="X452" s="127"/>
      <c r="Y452" s="152"/>
      <c r="Z452" s="152"/>
      <c r="AA452" s="109"/>
      <c r="AB452" s="108"/>
      <c r="AC452" s="155"/>
      <c r="AD452" s="698"/>
      <c r="AF452" s="108"/>
      <c r="AG452" s="108"/>
      <c r="AH452" s="108"/>
      <c r="AJ452" s="966"/>
      <c r="AK452" s="966"/>
      <c r="AL452" s="966"/>
      <c r="AM452" s="967"/>
      <c r="AN452" s="1027"/>
      <c r="AO452" s="1027"/>
      <c r="AP452" s="108"/>
      <c r="AQ452" s="108"/>
      <c r="AR452" s="108"/>
      <c r="AS452" s="108"/>
      <c r="AT452" s="108"/>
      <c r="AU452" s="108"/>
      <c r="AV452" s="108"/>
      <c r="AW452" s="108"/>
      <c r="AX452" s="108"/>
      <c r="AY452" s="108"/>
    </row>
    <row r="453" spans="2:51">
      <c r="B453" s="109"/>
      <c r="C453" s="109"/>
      <c r="D453" s="541"/>
      <c r="E453" s="541"/>
      <c r="F453" s="127"/>
      <c r="H453" s="156"/>
      <c r="I453" s="152"/>
      <c r="J453" s="157"/>
      <c r="K453" s="157"/>
      <c r="L453" s="157"/>
      <c r="M453" s="157"/>
      <c r="N453" s="157"/>
      <c r="O453" s="157"/>
      <c r="P453" s="157"/>
      <c r="R453" s="847"/>
      <c r="S453" s="847"/>
      <c r="T453" s="848"/>
      <c r="U453" s="847"/>
      <c r="V453" s="108"/>
      <c r="X453" s="127"/>
      <c r="Y453" s="152"/>
      <c r="Z453" s="152"/>
      <c r="AA453" s="109"/>
      <c r="AB453" s="108"/>
      <c r="AC453" s="155"/>
      <c r="AD453" s="698"/>
      <c r="AF453" s="108"/>
      <c r="AG453" s="108"/>
      <c r="AH453" s="108"/>
      <c r="AJ453" s="966"/>
      <c r="AK453" s="966"/>
      <c r="AL453" s="966"/>
      <c r="AM453" s="967"/>
      <c r="AN453" s="1027"/>
      <c r="AO453" s="1027"/>
      <c r="AP453" s="108"/>
      <c r="AQ453" s="108"/>
      <c r="AR453" s="108"/>
      <c r="AS453" s="108"/>
      <c r="AT453" s="108"/>
      <c r="AU453" s="108"/>
      <c r="AV453" s="108"/>
      <c r="AW453" s="108"/>
      <c r="AX453" s="108"/>
      <c r="AY453" s="108"/>
    </row>
    <row r="454" spans="2:51">
      <c r="B454" s="109"/>
      <c r="C454" s="109"/>
      <c r="D454" s="541"/>
      <c r="E454" s="541"/>
      <c r="F454" s="127"/>
      <c r="H454" s="156"/>
      <c r="I454" s="152"/>
      <c r="J454" s="157"/>
      <c r="K454" s="157"/>
      <c r="L454" s="157"/>
      <c r="M454" s="157"/>
      <c r="N454" s="157"/>
      <c r="O454" s="157"/>
      <c r="P454" s="157"/>
      <c r="R454" s="847"/>
      <c r="S454" s="847"/>
      <c r="T454" s="848"/>
      <c r="U454" s="847"/>
      <c r="V454" s="108"/>
      <c r="X454" s="127"/>
      <c r="Y454" s="152"/>
      <c r="Z454" s="152"/>
      <c r="AA454" s="109"/>
      <c r="AB454" s="108"/>
      <c r="AC454" s="155"/>
      <c r="AD454" s="698"/>
      <c r="AF454" s="108"/>
      <c r="AG454" s="108"/>
      <c r="AH454" s="108"/>
      <c r="AJ454" s="966"/>
      <c r="AK454" s="966"/>
      <c r="AL454" s="966"/>
      <c r="AM454" s="967"/>
      <c r="AN454" s="1027"/>
      <c r="AO454" s="1027"/>
      <c r="AP454" s="108"/>
      <c r="AQ454" s="108"/>
      <c r="AR454" s="108"/>
      <c r="AS454" s="108"/>
      <c r="AT454" s="108"/>
      <c r="AU454" s="108"/>
      <c r="AV454" s="108"/>
      <c r="AW454" s="108"/>
      <c r="AX454" s="108"/>
      <c r="AY454" s="108"/>
    </row>
    <row r="455" spans="2:51">
      <c r="B455" s="109"/>
      <c r="C455" s="109"/>
      <c r="D455" s="541"/>
      <c r="E455" s="541"/>
      <c r="F455" s="127"/>
      <c r="H455" s="156"/>
      <c r="I455" s="152"/>
      <c r="J455" s="157"/>
      <c r="K455" s="157"/>
      <c r="L455" s="157"/>
      <c r="M455" s="157"/>
      <c r="N455" s="157"/>
      <c r="O455" s="157"/>
      <c r="P455" s="157"/>
      <c r="R455" s="847"/>
      <c r="S455" s="847"/>
      <c r="T455" s="848"/>
      <c r="U455" s="847"/>
      <c r="V455" s="108"/>
      <c r="X455" s="127"/>
      <c r="Y455" s="152"/>
      <c r="Z455" s="152"/>
      <c r="AA455" s="109"/>
      <c r="AB455" s="108"/>
      <c r="AC455" s="155"/>
      <c r="AD455" s="698"/>
      <c r="AF455" s="108"/>
      <c r="AG455" s="108"/>
      <c r="AH455" s="108"/>
      <c r="AJ455" s="966"/>
      <c r="AK455" s="966"/>
      <c r="AL455" s="966"/>
      <c r="AM455" s="967"/>
      <c r="AN455" s="1027"/>
      <c r="AO455" s="1027"/>
      <c r="AP455" s="108"/>
      <c r="AQ455" s="108"/>
      <c r="AR455" s="108"/>
      <c r="AS455" s="108"/>
      <c r="AT455" s="108"/>
      <c r="AU455" s="108"/>
      <c r="AV455" s="108"/>
      <c r="AW455" s="108"/>
      <c r="AX455" s="108"/>
      <c r="AY455" s="108"/>
    </row>
    <row r="456" spans="2:51">
      <c r="B456" s="109"/>
      <c r="C456" s="109"/>
      <c r="D456" s="541"/>
      <c r="E456" s="541"/>
      <c r="F456" s="127"/>
      <c r="H456" s="156"/>
      <c r="I456" s="152"/>
      <c r="J456" s="157"/>
      <c r="K456" s="157"/>
      <c r="L456" s="157"/>
      <c r="M456" s="157"/>
      <c r="N456" s="157"/>
      <c r="O456" s="157"/>
      <c r="P456" s="157"/>
      <c r="R456" s="847"/>
      <c r="S456" s="847"/>
      <c r="T456" s="848"/>
      <c r="U456" s="847"/>
      <c r="V456" s="108"/>
      <c r="X456" s="127"/>
      <c r="Y456" s="152"/>
      <c r="Z456" s="152"/>
      <c r="AA456" s="109"/>
      <c r="AB456" s="108"/>
      <c r="AC456" s="155"/>
      <c r="AD456" s="698"/>
      <c r="AF456" s="108"/>
      <c r="AG456" s="108"/>
      <c r="AH456" s="108"/>
      <c r="AJ456" s="966"/>
      <c r="AK456" s="966"/>
      <c r="AL456" s="966"/>
      <c r="AM456" s="967"/>
      <c r="AN456" s="1027"/>
      <c r="AO456" s="1027"/>
      <c r="AP456" s="108"/>
      <c r="AQ456" s="108"/>
      <c r="AR456" s="108"/>
      <c r="AS456" s="108"/>
      <c r="AT456" s="108"/>
      <c r="AU456" s="108"/>
      <c r="AV456" s="108"/>
      <c r="AW456" s="108"/>
      <c r="AX456" s="108"/>
      <c r="AY456" s="108"/>
    </row>
    <row r="457" spans="2:51">
      <c r="B457" s="109"/>
      <c r="C457" s="109"/>
      <c r="D457" s="541"/>
      <c r="E457" s="541"/>
      <c r="F457" s="127"/>
      <c r="H457" s="156"/>
      <c r="I457" s="152"/>
      <c r="J457" s="157"/>
      <c r="K457" s="157"/>
      <c r="L457" s="157"/>
      <c r="M457" s="157"/>
      <c r="N457" s="157"/>
      <c r="O457" s="157"/>
      <c r="P457" s="157"/>
      <c r="R457" s="847"/>
      <c r="S457" s="847"/>
      <c r="T457" s="848"/>
      <c r="U457" s="847"/>
      <c r="V457" s="108"/>
      <c r="X457" s="127"/>
      <c r="Y457" s="152"/>
      <c r="Z457" s="152"/>
      <c r="AA457" s="109"/>
      <c r="AB457" s="108"/>
      <c r="AC457" s="155"/>
      <c r="AD457" s="698"/>
      <c r="AF457" s="108"/>
      <c r="AG457" s="108"/>
      <c r="AH457" s="108"/>
      <c r="AJ457" s="966"/>
      <c r="AK457" s="966"/>
      <c r="AL457" s="966"/>
      <c r="AM457" s="967"/>
      <c r="AN457" s="1027"/>
      <c r="AO457" s="1027"/>
      <c r="AP457" s="108"/>
      <c r="AQ457" s="108"/>
      <c r="AR457" s="108"/>
      <c r="AS457" s="108"/>
      <c r="AT457" s="108"/>
      <c r="AU457" s="108"/>
      <c r="AV457" s="108"/>
      <c r="AW457" s="108"/>
      <c r="AX457" s="108"/>
      <c r="AY457" s="108"/>
    </row>
    <row r="458" spans="2:51">
      <c r="B458" s="109"/>
      <c r="C458" s="109"/>
      <c r="D458" s="541"/>
      <c r="E458" s="541"/>
      <c r="F458" s="127"/>
      <c r="H458" s="156"/>
      <c r="I458" s="152"/>
      <c r="J458" s="157"/>
      <c r="K458" s="157"/>
      <c r="L458" s="157"/>
      <c r="M458" s="157"/>
      <c r="N458" s="157"/>
      <c r="O458" s="157"/>
      <c r="P458" s="157"/>
      <c r="R458" s="847"/>
      <c r="S458" s="847"/>
      <c r="T458" s="848"/>
      <c r="U458" s="847"/>
      <c r="V458" s="108"/>
      <c r="X458" s="127"/>
      <c r="Y458" s="152"/>
      <c r="Z458" s="152"/>
      <c r="AA458" s="109"/>
      <c r="AB458" s="108"/>
      <c r="AC458" s="155"/>
      <c r="AD458" s="698"/>
      <c r="AF458" s="108"/>
      <c r="AG458" s="108"/>
      <c r="AH458" s="108"/>
      <c r="AJ458" s="966"/>
      <c r="AK458" s="966"/>
      <c r="AL458" s="966"/>
      <c r="AM458" s="967"/>
      <c r="AN458" s="1027"/>
      <c r="AO458" s="1027"/>
      <c r="AP458" s="108"/>
      <c r="AQ458" s="108"/>
      <c r="AR458" s="108"/>
      <c r="AS458" s="108"/>
      <c r="AT458" s="108"/>
      <c r="AU458" s="108"/>
      <c r="AV458" s="108"/>
      <c r="AW458" s="108"/>
      <c r="AX458" s="108"/>
      <c r="AY458" s="108"/>
    </row>
    <row r="459" spans="2:51">
      <c r="B459" s="109"/>
      <c r="C459" s="109"/>
      <c r="D459" s="541"/>
      <c r="E459" s="541"/>
      <c r="F459" s="127"/>
      <c r="H459" s="156"/>
      <c r="I459" s="152"/>
      <c r="J459" s="157"/>
      <c r="K459" s="157"/>
      <c r="L459" s="157"/>
      <c r="M459" s="157"/>
      <c r="N459" s="157"/>
      <c r="O459" s="157"/>
      <c r="P459" s="157"/>
      <c r="R459" s="847"/>
      <c r="S459" s="847"/>
      <c r="T459" s="848"/>
      <c r="U459" s="847"/>
      <c r="V459" s="108"/>
      <c r="X459" s="127"/>
      <c r="Y459" s="152"/>
      <c r="Z459" s="152"/>
      <c r="AA459" s="109"/>
      <c r="AB459" s="108"/>
      <c r="AC459" s="155"/>
      <c r="AD459" s="698"/>
      <c r="AF459" s="108"/>
      <c r="AG459" s="108"/>
      <c r="AH459" s="108"/>
      <c r="AJ459" s="966"/>
      <c r="AK459" s="966"/>
      <c r="AL459" s="966"/>
      <c r="AM459" s="967"/>
      <c r="AN459" s="1027"/>
      <c r="AO459" s="1027"/>
      <c r="AP459" s="108"/>
      <c r="AQ459" s="108"/>
      <c r="AR459" s="108"/>
      <c r="AS459" s="108"/>
      <c r="AT459" s="108"/>
      <c r="AU459" s="108"/>
      <c r="AV459" s="108"/>
      <c r="AW459" s="108"/>
      <c r="AX459" s="108"/>
      <c r="AY459" s="108"/>
    </row>
    <row r="460" spans="2:51">
      <c r="B460" s="109"/>
      <c r="C460" s="109"/>
      <c r="D460" s="541"/>
      <c r="E460" s="541"/>
      <c r="F460" s="127"/>
      <c r="H460" s="156"/>
      <c r="I460" s="152"/>
      <c r="J460" s="157"/>
      <c r="K460" s="157"/>
      <c r="L460" s="157"/>
      <c r="M460" s="157"/>
      <c r="N460" s="157"/>
      <c r="O460" s="157"/>
      <c r="P460" s="157"/>
      <c r="R460" s="847"/>
      <c r="S460" s="847"/>
      <c r="T460" s="848"/>
      <c r="U460" s="847"/>
      <c r="V460" s="108"/>
      <c r="X460" s="127"/>
      <c r="Y460" s="152"/>
      <c r="Z460" s="152"/>
      <c r="AA460" s="109"/>
      <c r="AB460" s="108"/>
      <c r="AC460" s="155"/>
      <c r="AD460" s="698"/>
      <c r="AF460" s="108"/>
      <c r="AG460" s="108"/>
      <c r="AH460" s="108"/>
      <c r="AJ460" s="966"/>
      <c r="AK460" s="966"/>
      <c r="AL460" s="966"/>
      <c r="AM460" s="967"/>
      <c r="AN460" s="1027"/>
      <c r="AO460" s="1027"/>
      <c r="AP460" s="108"/>
      <c r="AQ460" s="108"/>
      <c r="AR460" s="108"/>
      <c r="AS460" s="108"/>
      <c r="AT460" s="108"/>
      <c r="AU460" s="108"/>
      <c r="AV460" s="108"/>
      <c r="AW460" s="108"/>
      <c r="AX460" s="108"/>
      <c r="AY460" s="108"/>
    </row>
    <row r="461" spans="2:51">
      <c r="B461" s="109"/>
      <c r="C461" s="109"/>
      <c r="D461" s="541"/>
      <c r="E461" s="541"/>
      <c r="F461" s="127"/>
      <c r="H461" s="156"/>
      <c r="I461" s="152"/>
      <c r="J461" s="157"/>
      <c r="K461" s="157"/>
      <c r="L461" s="157"/>
      <c r="M461" s="157"/>
      <c r="N461" s="157"/>
      <c r="O461" s="157"/>
      <c r="P461" s="157"/>
      <c r="R461" s="847"/>
      <c r="S461" s="847"/>
      <c r="T461" s="848"/>
      <c r="U461" s="847"/>
      <c r="V461" s="108"/>
      <c r="X461" s="127"/>
      <c r="Y461" s="152"/>
      <c r="Z461" s="152"/>
      <c r="AA461" s="109"/>
      <c r="AB461" s="108"/>
      <c r="AC461" s="155"/>
      <c r="AD461" s="698"/>
      <c r="AF461" s="108"/>
      <c r="AG461" s="108"/>
      <c r="AH461" s="108"/>
      <c r="AJ461" s="966"/>
      <c r="AK461" s="966"/>
      <c r="AL461" s="966"/>
      <c r="AM461" s="967"/>
      <c r="AN461" s="1027"/>
      <c r="AO461" s="1027"/>
      <c r="AP461" s="108"/>
      <c r="AQ461" s="108"/>
      <c r="AR461" s="108"/>
      <c r="AS461" s="108"/>
      <c r="AT461" s="108"/>
      <c r="AU461" s="108"/>
      <c r="AV461" s="108"/>
      <c r="AW461" s="108"/>
      <c r="AX461" s="108"/>
      <c r="AY461" s="108"/>
    </row>
    <row r="462" spans="2:51">
      <c r="B462" s="109"/>
      <c r="C462" s="109"/>
      <c r="D462" s="541"/>
      <c r="E462" s="541"/>
      <c r="F462" s="127"/>
      <c r="H462" s="156"/>
      <c r="I462" s="152"/>
      <c r="J462" s="157"/>
      <c r="K462" s="157"/>
      <c r="L462" s="157"/>
      <c r="M462" s="157"/>
      <c r="N462" s="157"/>
      <c r="O462" s="157"/>
      <c r="P462" s="157"/>
      <c r="R462" s="847"/>
      <c r="S462" s="847"/>
      <c r="T462" s="848"/>
      <c r="U462" s="847"/>
      <c r="V462" s="108"/>
      <c r="X462" s="127"/>
      <c r="Y462" s="152"/>
      <c r="Z462" s="152"/>
      <c r="AA462" s="109"/>
      <c r="AB462" s="108"/>
      <c r="AC462" s="155"/>
      <c r="AD462" s="698"/>
      <c r="AF462" s="108"/>
      <c r="AG462" s="108"/>
      <c r="AH462" s="108"/>
      <c r="AJ462" s="966"/>
      <c r="AK462" s="966"/>
      <c r="AL462" s="966"/>
      <c r="AM462" s="967"/>
      <c r="AN462" s="1027"/>
      <c r="AO462" s="1027"/>
      <c r="AP462" s="108"/>
      <c r="AQ462" s="108"/>
      <c r="AR462" s="108"/>
      <c r="AS462" s="108"/>
      <c r="AT462" s="108"/>
      <c r="AU462" s="108"/>
      <c r="AV462" s="108"/>
      <c r="AW462" s="108"/>
      <c r="AX462" s="108"/>
      <c r="AY462" s="108"/>
    </row>
    <row r="463" spans="2:51">
      <c r="B463" s="109"/>
      <c r="C463" s="109"/>
      <c r="D463" s="541"/>
      <c r="E463" s="541"/>
      <c r="F463" s="127"/>
      <c r="H463" s="156"/>
      <c r="I463" s="152"/>
      <c r="J463" s="157"/>
      <c r="K463" s="157"/>
      <c r="L463" s="157"/>
      <c r="M463" s="157"/>
      <c r="N463" s="157"/>
      <c r="O463" s="157"/>
      <c r="P463" s="157"/>
      <c r="R463" s="847"/>
      <c r="S463" s="847"/>
      <c r="T463" s="848"/>
      <c r="U463" s="847"/>
      <c r="V463" s="108"/>
      <c r="X463" s="127"/>
      <c r="Y463" s="152"/>
      <c r="Z463" s="152"/>
      <c r="AA463" s="109"/>
      <c r="AB463" s="108"/>
      <c r="AC463" s="155"/>
      <c r="AD463" s="698"/>
      <c r="AF463" s="108"/>
      <c r="AG463" s="108"/>
      <c r="AH463" s="108"/>
      <c r="AJ463" s="966"/>
      <c r="AK463" s="966"/>
      <c r="AL463" s="966"/>
      <c r="AM463" s="967"/>
      <c r="AN463" s="1027"/>
      <c r="AO463" s="1027"/>
      <c r="AP463" s="108"/>
      <c r="AQ463" s="108"/>
      <c r="AR463" s="108"/>
      <c r="AS463" s="108"/>
      <c r="AT463" s="108"/>
      <c r="AU463" s="108"/>
      <c r="AV463" s="108"/>
      <c r="AW463" s="108"/>
      <c r="AX463" s="108"/>
      <c r="AY463" s="108"/>
    </row>
    <row r="464" spans="2:51">
      <c r="B464" s="109"/>
      <c r="C464" s="109"/>
      <c r="D464" s="541"/>
      <c r="E464" s="541"/>
      <c r="F464" s="127"/>
      <c r="H464" s="156"/>
      <c r="I464" s="152"/>
      <c r="J464" s="157"/>
      <c r="K464" s="157"/>
      <c r="L464" s="157"/>
      <c r="M464" s="157"/>
      <c r="N464" s="157"/>
      <c r="O464" s="157"/>
      <c r="P464" s="157"/>
      <c r="R464" s="847"/>
      <c r="S464" s="847"/>
      <c r="T464" s="848"/>
      <c r="U464" s="847"/>
      <c r="V464" s="108"/>
      <c r="X464" s="127"/>
      <c r="Y464" s="152"/>
      <c r="Z464" s="152"/>
      <c r="AA464" s="109"/>
      <c r="AB464" s="108"/>
      <c r="AC464" s="155"/>
      <c r="AD464" s="698"/>
      <c r="AF464" s="108"/>
      <c r="AG464" s="108"/>
      <c r="AH464" s="108"/>
      <c r="AJ464" s="966"/>
      <c r="AK464" s="966"/>
      <c r="AL464" s="966"/>
      <c r="AM464" s="967"/>
      <c r="AN464" s="1027"/>
      <c r="AO464" s="1027"/>
      <c r="AP464" s="108"/>
      <c r="AQ464" s="108"/>
      <c r="AR464" s="108"/>
      <c r="AS464" s="108"/>
      <c r="AT464" s="108"/>
      <c r="AU464" s="108"/>
      <c r="AV464" s="108"/>
      <c r="AW464" s="108"/>
      <c r="AX464" s="108"/>
      <c r="AY464" s="108"/>
    </row>
    <row r="465" spans="2:51">
      <c r="B465" s="109"/>
      <c r="C465" s="109"/>
      <c r="D465" s="541"/>
      <c r="E465" s="541"/>
      <c r="F465" s="127"/>
      <c r="H465" s="156"/>
      <c r="I465" s="152"/>
      <c r="J465" s="157"/>
      <c r="K465" s="157"/>
      <c r="L465" s="157"/>
      <c r="M465" s="157"/>
      <c r="N465" s="157"/>
      <c r="O465" s="157"/>
      <c r="P465" s="157"/>
      <c r="R465" s="847"/>
      <c r="S465" s="847"/>
      <c r="T465" s="848"/>
      <c r="U465" s="847"/>
      <c r="V465" s="108"/>
      <c r="X465" s="127"/>
      <c r="Y465" s="152"/>
      <c r="Z465" s="152"/>
      <c r="AA465" s="109"/>
      <c r="AB465" s="108"/>
      <c r="AC465" s="155"/>
      <c r="AD465" s="698"/>
      <c r="AF465" s="108"/>
      <c r="AG465" s="108"/>
      <c r="AH465" s="108"/>
      <c r="AJ465" s="966"/>
      <c r="AK465" s="966"/>
      <c r="AL465" s="966"/>
      <c r="AM465" s="967"/>
      <c r="AN465" s="1027"/>
      <c r="AO465" s="1027"/>
      <c r="AP465" s="108"/>
      <c r="AQ465" s="108"/>
      <c r="AR465" s="108"/>
      <c r="AS465" s="108"/>
      <c r="AT465" s="108"/>
      <c r="AU465" s="108"/>
      <c r="AV465" s="108"/>
      <c r="AW465" s="108"/>
      <c r="AX465" s="108"/>
      <c r="AY465" s="108"/>
    </row>
    <row r="466" spans="2:51">
      <c r="B466" s="109"/>
      <c r="C466" s="109"/>
      <c r="D466" s="541"/>
      <c r="E466" s="541"/>
      <c r="F466" s="127"/>
      <c r="H466" s="156"/>
      <c r="I466" s="152"/>
      <c r="J466" s="157"/>
      <c r="K466" s="157"/>
      <c r="L466" s="157"/>
      <c r="M466" s="157"/>
      <c r="N466" s="157"/>
      <c r="O466" s="157"/>
      <c r="P466" s="157"/>
      <c r="R466" s="847"/>
      <c r="S466" s="847"/>
      <c r="T466" s="848"/>
      <c r="U466" s="847"/>
      <c r="V466" s="108"/>
      <c r="X466" s="127"/>
      <c r="Y466" s="152"/>
      <c r="Z466" s="152"/>
      <c r="AA466" s="109"/>
      <c r="AB466" s="108"/>
      <c r="AC466" s="155"/>
      <c r="AD466" s="698"/>
      <c r="AF466" s="108"/>
      <c r="AG466" s="108"/>
      <c r="AH466" s="108"/>
      <c r="AJ466" s="966"/>
      <c r="AK466" s="966"/>
      <c r="AL466" s="966"/>
      <c r="AM466" s="967"/>
      <c r="AN466" s="1027"/>
      <c r="AO466" s="1027"/>
      <c r="AP466" s="108"/>
      <c r="AQ466" s="108"/>
      <c r="AR466" s="108"/>
      <c r="AS466" s="108"/>
      <c r="AT466" s="108"/>
      <c r="AU466" s="108"/>
      <c r="AV466" s="108"/>
      <c r="AW466" s="108"/>
      <c r="AX466" s="108"/>
      <c r="AY466" s="108"/>
    </row>
    <row r="467" spans="2:51">
      <c r="B467" s="109"/>
      <c r="C467" s="109"/>
      <c r="D467" s="541"/>
      <c r="E467" s="541"/>
      <c r="F467" s="127"/>
      <c r="H467" s="156"/>
      <c r="I467" s="152"/>
      <c r="J467" s="157"/>
      <c r="K467" s="157"/>
      <c r="L467" s="157"/>
      <c r="M467" s="157"/>
      <c r="N467" s="157"/>
      <c r="O467" s="157"/>
      <c r="P467" s="157"/>
      <c r="R467" s="847"/>
      <c r="S467" s="847"/>
      <c r="T467" s="848"/>
      <c r="U467" s="847"/>
      <c r="V467" s="108"/>
      <c r="X467" s="127"/>
      <c r="Y467" s="152"/>
      <c r="Z467" s="152"/>
      <c r="AA467" s="109"/>
      <c r="AB467" s="108"/>
      <c r="AC467" s="155"/>
      <c r="AD467" s="698"/>
      <c r="AF467" s="108"/>
      <c r="AG467" s="108"/>
      <c r="AH467" s="108"/>
      <c r="AJ467" s="966"/>
      <c r="AK467" s="966"/>
      <c r="AL467" s="966"/>
      <c r="AM467" s="967"/>
      <c r="AN467" s="1027"/>
      <c r="AO467" s="1027"/>
      <c r="AP467" s="108"/>
      <c r="AQ467" s="108"/>
      <c r="AR467" s="108"/>
      <c r="AS467" s="108"/>
      <c r="AT467" s="108"/>
      <c r="AU467" s="108"/>
      <c r="AV467" s="108"/>
      <c r="AW467" s="108"/>
      <c r="AX467" s="108"/>
      <c r="AY467" s="108"/>
    </row>
    <row r="468" spans="2:51">
      <c r="B468" s="109"/>
      <c r="C468" s="109"/>
      <c r="D468" s="541"/>
      <c r="E468" s="541"/>
      <c r="F468" s="127"/>
      <c r="H468" s="156"/>
      <c r="I468" s="152"/>
      <c r="J468" s="157"/>
      <c r="K468" s="157"/>
      <c r="L468" s="157"/>
      <c r="M468" s="157"/>
      <c r="N468" s="157"/>
      <c r="O468" s="157"/>
      <c r="P468" s="157"/>
      <c r="R468" s="847"/>
      <c r="S468" s="847"/>
      <c r="T468" s="848"/>
      <c r="U468" s="847"/>
      <c r="V468" s="108"/>
      <c r="X468" s="127"/>
      <c r="Y468" s="152"/>
      <c r="Z468" s="152"/>
      <c r="AA468" s="109"/>
      <c r="AB468" s="108"/>
      <c r="AC468" s="155"/>
      <c r="AD468" s="698"/>
      <c r="AF468" s="108"/>
      <c r="AG468" s="108"/>
      <c r="AH468" s="108"/>
      <c r="AJ468" s="966"/>
      <c r="AK468" s="966"/>
      <c r="AL468" s="966"/>
      <c r="AM468" s="967"/>
      <c r="AN468" s="1027"/>
      <c r="AO468" s="1027"/>
      <c r="AP468" s="108"/>
      <c r="AQ468" s="108"/>
      <c r="AR468" s="108"/>
      <c r="AS468" s="108"/>
      <c r="AT468" s="108"/>
      <c r="AU468" s="108"/>
      <c r="AV468" s="108"/>
      <c r="AW468" s="108"/>
      <c r="AX468" s="108"/>
      <c r="AY468" s="108"/>
    </row>
    <row r="469" spans="2:51">
      <c r="B469" s="109"/>
      <c r="C469" s="109"/>
      <c r="D469" s="541"/>
      <c r="E469" s="541"/>
      <c r="F469" s="127"/>
      <c r="H469" s="156"/>
      <c r="I469" s="152"/>
      <c r="J469" s="157"/>
      <c r="K469" s="157"/>
      <c r="L469" s="157"/>
      <c r="M469" s="157"/>
      <c r="N469" s="157"/>
      <c r="O469" s="157"/>
      <c r="P469" s="157"/>
      <c r="R469" s="847"/>
      <c r="S469" s="847"/>
      <c r="T469" s="848"/>
      <c r="U469" s="847"/>
      <c r="V469" s="108"/>
      <c r="X469" s="127"/>
      <c r="Y469" s="152"/>
      <c r="Z469" s="152"/>
      <c r="AA469" s="109"/>
      <c r="AB469" s="108"/>
      <c r="AC469" s="155"/>
      <c r="AD469" s="698"/>
      <c r="AF469" s="108"/>
      <c r="AG469" s="108"/>
      <c r="AH469" s="108"/>
      <c r="AJ469" s="966"/>
      <c r="AK469" s="966"/>
      <c r="AL469" s="966"/>
      <c r="AM469" s="967"/>
      <c r="AN469" s="1027"/>
      <c r="AO469" s="1027"/>
      <c r="AP469" s="108"/>
      <c r="AQ469" s="108"/>
      <c r="AR469" s="108"/>
      <c r="AS469" s="108"/>
      <c r="AT469" s="108"/>
      <c r="AU469" s="108"/>
      <c r="AV469" s="108"/>
      <c r="AW469" s="108"/>
      <c r="AX469" s="108"/>
      <c r="AY469" s="108"/>
    </row>
    <row r="470" spans="2:51">
      <c r="B470" s="109"/>
      <c r="C470" s="109"/>
      <c r="D470" s="541"/>
      <c r="E470" s="541"/>
      <c r="F470" s="127"/>
      <c r="H470" s="156"/>
      <c r="I470" s="152"/>
      <c r="J470" s="157"/>
      <c r="K470" s="157"/>
      <c r="L470" s="157"/>
      <c r="M470" s="157"/>
      <c r="N470" s="157"/>
      <c r="O470" s="157"/>
      <c r="P470" s="157"/>
      <c r="R470" s="847"/>
      <c r="S470" s="847"/>
      <c r="T470" s="848"/>
      <c r="U470" s="847"/>
      <c r="V470" s="108"/>
      <c r="X470" s="127"/>
      <c r="Y470" s="152"/>
      <c r="Z470" s="152"/>
      <c r="AA470" s="109"/>
      <c r="AB470" s="108"/>
      <c r="AC470" s="155"/>
      <c r="AD470" s="698"/>
      <c r="AF470" s="108"/>
      <c r="AG470" s="108"/>
      <c r="AH470" s="108"/>
      <c r="AJ470" s="966"/>
      <c r="AK470" s="966"/>
      <c r="AL470" s="966"/>
      <c r="AM470" s="967"/>
      <c r="AN470" s="1027"/>
      <c r="AO470" s="1027"/>
      <c r="AP470" s="108"/>
      <c r="AQ470" s="108"/>
      <c r="AR470" s="108"/>
      <c r="AS470" s="108"/>
      <c r="AT470" s="108"/>
      <c r="AU470" s="108"/>
      <c r="AV470" s="108"/>
      <c r="AW470" s="108"/>
      <c r="AX470" s="108"/>
      <c r="AY470" s="108"/>
    </row>
    <row r="471" spans="2:51">
      <c r="B471" s="109"/>
      <c r="C471" s="109"/>
      <c r="D471" s="541"/>
      <c r="E471" s="541"/>
      <c r="F471" s="127"/>
      <c r="H471" s="156"/>
      <c r="I471" s="152"/>
      <c r="J471" s="157"/>
      <c r="K471" s="157"/>
      <c r="L471" s="157"/>
      <c r="M471" s="157"/>
      <c r="N471" s="157"/>
      <c r="O471" s="157"/>
      <c r="P471" s="157"/>
      <c r="R471" s="847"/>
      <c r="S471" s="847"/>
      <c r="T471" s="848"/>
      <c r="U471" s="847"/>
      <c r="V471" s="108"/>
      <c r="X471" s="127"/>
      <c r="Y471" s="152"/>
      <c r="Z471" s="152"/>
      <c r="AA471" s="109"/>
      <c r="AB471" s="108"/>
      <c r="AC471" s="155"/>
      <c r="AD471" s="698"/>
      <c r="AF471" s="108"/>
      <c r="AG471" s="108"/>
      <c r="AH471" s="108"/>
      <c r="AJ471" s="966"/>
      <c r="AK471" s="966"/>
      <c r="AL471" s="966"/>
      <c r="AM471" s="967"/>
      <c r="AN471" s="1027"/>
      <c r="AO471" s="1027"/>
      <c r="AP471" s="108"/>
      <c r="AQ471" s="108"/>
      <c r="AR471" s="108"/>
      <c r="AS471" s="108"/>
      <c r="AT471" s="108"/>
      <c r="AU471" s="108"/>
      <c r="AV471" s="108"/>
      <c r="AW471" s="108"/>
      <c r="AX471" s="108"/>
      <c r="AY471" s="108"/>
    </row>
    <row r="472" spans="2:51">
      <c r="B472" s="109"/>
      <c r="C472" s="109"/>
      <c r="D472" s="541"/>
      <c r="E472" s="541"/>
      <c r="F472" s="127"/>
      <c r="H472" s="156"/>
      <c r="I472" s="152"/>
      <c r="J472" s="157"/>
      <c r="K472" s="157"/>
      <c r="L472" s="157"/>
      <c r="M472" s="157"/>
      <c r="N472" s="157"/>
      <c r="O472" s="157"/>
      <c r="P472" s="157"/>
      <c r="R472" s="847"/>
      <c r="S472" s="847"/>
      <c r="T472" s="848"/>
      <c r="U472" s="847"/>
      <c r="V472" s="108"/>
      <c r="X472" s="127"/>
      <c r="Y472" s="152"/>
      <c r="Z472" s="152"/>
      <c r="AA472" s="109"/>
      <c r="AB472" s="108"/>
      <c r="AC472" s="155"/>
      <c r="AD472" s="698"/>
      <c r="AF472" s="108"/>
      <c r="AG472" s="108"/>
      <c r="AH472" s="108"/>
      <c r="AJ472" s="966"/>
      <c r="AK472" s="966"/>
      <c r="AL472" s="966"/>
      <c r="AM472" s="967"/>
      <c r="AN472" s="1027"/>
      <c r="AO472" s="1027"/>
      <c r="AP472" s="108"/>
      <c r="AQ472" s="108"/>
      <c r="AR472" s="108"/>
      <c r="AS472" s="108"/>
      <c r="AT472" s="108"/>
      <c r="AU472" s="108"/>
      <c r="AV472" s="108"/>
      <c r="AW472" s="108"/>
      <c r="AX472" s="108"/>
      <c r="AY472" s="108"/>
    </row>
    <row r="473" spans="2:51">
      <c r="B473" s="109"/>
      <c r="C473" s="109"/>
      <c r="D473" s="541"/>
      <c r="E473" s="541"/>
      <c r="F473" s="127"/>
      <c r="H473" s="156"/>
      <c r="I473" s="152"/>
      <c r="J473" s="157"/>
      <c r="K473" s="157"/>
      <c r="L473" s="157"/>
      <c r="M473" s="157"/>
      <c r="N473" s="157"/>
      <c r="O473" s="157"/>
      <c r="P473" s="157"/>
      <c r="R473" s="847"/>
      <c r="S473" s="847"/>
      <c r="T473" s="848"/>
      <c r="U473" s="847"/>
      <c r="V473" s="108"/>
      <c r="X473" s="127"/>
      <c r="Y473" s="152"/>
      <c r="Z473" s="152"/>
      <c r="AA473" s="109"/>
      <c r="AB473" s="108"/>
      <c r="AC473" s="155"/>
      <c r="AD473" s="698"/>
      <c r="AF473" s="108"/>
      <c r="AG473" s="108"/>
      <c r="AH473" s="108"/>
      <c r="AJ473" s="966"/>
      <c r="AK473" s="966"/>
      <c r="AL473" s="966"/>
      <c r="AM473" s="967"/>
      <c r="AN473" s="1027"/>
      <c r="AO473" s="1027"/>
      <c r="AP473" s="108"/>
      <c r="AQ473" s="108"/>
      <c r="AR473" s="108"/>
      <c r="AS473" s="108"/>
      <c r="AT473" s="108"/>
      <c r="AU473" s="108"/>
      <c r="AV473" s="108"/>
      <c r="AW473" s="108"/>
      <c r="AX473" s="108"/>
      <c r="AY473" s="108"/>
    </row>
    <row r="474" spans="2:51">
      <c r="B474" s="109"/>
      <c r="C474" s="109"/>
      <c r="D474" s="541"/>
      <c r="E474" s="541"/>
      <c r="F474" s="127"/>
      <c r="H474" s="156"/>
      <c r="I474" s="152"/>
      <c r="J474" s="157"/>
      <c r="K474" s="157"/>
      <c r="L474" s="157"/>
      <c r="M474" s="157"/>
      <c r="N474" s="157"/>
      <c r="O474" s="157"/>
      <c r="P474" s="157"/>
      <c r="R474" s="847"/>
      <c r="S474" s="847"/>
      <c r="T474" s="848"/>
      <c r="U474" s="847"/>
      <c r="V474" s="108"/>
      <c r="X474" s="127"/>
      <c r="Y474" s="152"/>
      <c r="Z474" s="152"/>
      <c r="AA474" s="109"/>
      <c r="AB474" s="108"/>
      <c r="AC474" s="155"/>
      <c r="AD474" s="698"/>
      <c r="AF474" s="108"/>
      <c r="AG474" s="108"/>
      <c r="AH474" s="108"/>
      <c r="AJ474" s="966"/>
      <c r="AK474" s="966"/>
      <c r="AL474" s="966"/>
      <c r="AM474" s="967"/>
      <c r="AN474" s="1027"/>
      <c r="AO474" s="1027"/>
      <c r="AP474" s="108"/>
      <c r="AQ474" s="108"/>
      <c r="AR474" s="108"/>
      <c r="AS474" s="108"/>
      <c r="AT474" s="108"/>
      <c r="AU474" s="108"/>
      <c r="AV474" s="108"/>
      <c r="AW474" s="108"/>
      <c r="AX474" s="108"/>
      <c r="AY474" s="108"/>
    </row>
    <row r="475" spans="2:51">
      <c r="B475" s="109"/>
      <c r="C475" s="109"/>
      <c r="D475" s="541"/>
      <c r="E475" s="541"/>
      <c r="F475" s="127"/>
      <c r="H475" s="156"/>
      <c r="I475" s="152"/>
      <c r="J475" s="157"/>
      <c r="K475" s="157"/>
      <c r="L475" s="157"/>
      <c r="M475" s="157"/>
      <c r="N475" s="157"/>
      <c r="O475" s="157"/>
      <c r="P475" s="157"/>
      <c r="R475" s="847"/>
      <c r="S475" s="847"/>
      <c r="T475" s="848"/>
      <c r="U475" s="847"/>
      <c r="V475" s="108"/>
      <c r="X475" s="127"/>
      <c r="Y475" s="152"/>
      <c r="Z475" s="152"/>
      <c r="AA475" s="109"/>
      <c r="AB475" s="108"/>
      <c r="AC475" s="155"/>
      <c r="AD475" s="698"/>
      <c r="AF475" s="108"/>
      <c r="AG475" s="108"/>
      <c r="AH475" s="108"/>
      <c r="AJ475" s="966"/>
      <c r="AK475" s="966"/>
      <c r="AL475" s="966"/>
      <c r="AM475" s="967"/>
      <c r="AN475" s="1027"/>
      <c r="AO475" s="1027"/>
      <c r="AP475" s="108"/>
      <c r="AQ475" s="108"/>
      <c r="AR475" s="108"/>
      <c r="AS475" s="108"/>
      <c r="AT475" s="108"/>
      <c r="AU475" s="108"/>
      <c r="AV475" s="108"/>
      <c r="AW475" s="108"/>
      <c r="AX475" s="108"/>
      <c r="AY475" s="108"/>
    </row>
    <row r="476" spans="2:51">
      <c r="B476" s="109"/>
      <c r="C476" s="109"/>
      <c r="D476" s="541"/>
      <c r="E476" s="541"/>
      <c r="F476" s="127"/>
      <c r="H476" s="156"/>
      <c r="I476" s="152"/>
      <c r="J476" s="157"/>
      <c r="K476" s="157"/>
      <c r="L476" s="157"/>
      <c r="M476" s="157"/>
      <c r="N476" s="157"/>
      <c r="O476" s="157"/>
      <c r="P476" s="157"/>
      <c r="R476" s="847"/>
      <c r="S476" s="847"/>
      <c r="T476" s="848"/>
      <c r="U476" s="847"/>
      <c r="V476" s="108"/>
      <c r="X476" s="127"/>
      <c r="Y476" s="152"/>
      <c r="Z476" s="152"/>
      <c r="AA476" s="109"/>
      <c r="AB476" s="108"/>
      <c r="AC476" s="155"/>
      <c r="AD476" s="698"/>
      <c r="AF476" s="108"/>
      <c r="AG476" s="108"/>
      <c r="AH476" s="108"/>
      <c r="AJ476" s="966"/>
      <c r="AK476" s="966"/>
      <c r="AL476" s="966"/>
      <c r="AM476" s="967"/>
      <c r="AN476" s="1027"/>
      <c r="AO476" s="1027"/>
      <c r="AP476" s="108"/>
      <c r="AQ476" s="108"/>
      <c r="AR476" s="108"/>
      <c r="AS476" s="108"/>
      <c r="AT476" s="108"/>
      <c r="AU476" s="108"/>
      <c r="AV476" s="108"/>
      <c r="AW476" s="108"/>
      <c r="AX476" s="108"/>
      <c r="AY476" s="108"/>
    </row>
    <row r="477" spans="2:51">
      <c r="B477" s="109"/>
      <c r="C477" s="109"/>
      <c r="D477" s="541"/>
      <c r="E477" s="541"/>
      <c r="F477" s="127"/>
      <c r="H477" s="156"/>
      <c r="I477" s="152"/>
      <c r="J477" s="157"/>
      <c r="K477" s="157"/>
      <c r="L477" s="157"/>
      <c r="M477" s="157"/>
      <c r="N477" s="157"/>
      <c r="O477" s="157"/>
      <c r="P477" s="157"/>
      <c r="R477" s="847"/>
      <c r="S477" s="847"/>
      <c r="T477" s="848"/>
      <c r="U477" s="847"/>
      <c r="V477" s="108"/>
      <c r="X477" s="127"/>
      <c r="Y477" s="152"/>
      <c r="Z477" s="152"/>
      <c r="AA477" s="109"/>
      <c r="AB477" s="108"/>
      <c r="AC477" s="155"/>
      <c r="AD477" s="698"/>
      <c r="AF477" s="108"/>
      <c r="AG477" s="108"/>
      <c r="AH477" s="108"/>
      <c r="AJ477" s="966"/>
      <c r="AK477" s="966"/>
      <c r="AL477" s="966"/>
      <c r="AM477" s="967"/>
      <c r="AN477" s="1027"/>
      <c r="AO477" s="1027"/>
      <c r="AP477" s="108"/>
      <c r="AQ477" s="108"/>
      <c r="AR477" s="108"/>
      <c r="AS477" s="108"/>
      <c r="AT477" s="108"/>
      <c r="AU477" s="108"/>
      <c r="AV477" s="108"/>
      <c r="AW477" s="108"/>
      <c r="AX477" s="108"/>
      <c r="AY477" s="108"/>
    </row>
    <row r="478" spans="2:51">
      <c r="B478" s="109"/>
      <c r="C478" s="109"/>
      <c r="D478" s="541"/>
      <c r="E478" s="541"/>
      <c r="F478" s="127"/>
      <c r="H478" s="156"/>
      <c r="I478" s="152"/>
      <c r="J478" s="157"/>
      <c r="K478" s="157"/>
      <c r="L478" s="157"/>
      <c r="M478" s="157"/>
      <c r="N478" s="157"/>
      <c r="O478" s="157"/>
      <c r="P478" s="157"/>
      <c r="R478" s="847"/>
      <c r="S478" s="847"/>
      <c r="T478" s="848"/>
      <c r="U478" s="847"/>
      <c r="V478" s="108"/>
      <c r="X478" s="127"/>
      <c r="Y478" s="152"/>
      <c r="Z478" s="152"/>
      <c r="AA478" s="109"/>
      <c r="AB478" s="108"/>
      <c r="AC478" s="155"/>
      <c r="AD478" s="698"/>
      <c r="AF478" s="108"/>
      <c r="AG478" s="108"/>
      <c r="AH478" s="108"/>
      <c r="AJ478" s="966"/>
      <c r="AK478" s="966"/>
      <c r="AL478" s="966"/>
      <c r="AM478" s="967"/>
      <c r="AN478" s="1027"/>
      <c r="AO478" s="1027"/>
      <c r="AP478" s="108"/>
      <c r="AQ478" s="108"/>
      <c r="AR478" s="108"/>
      <c r="AS478" s="108"/>
      <c r="AT478" s="108"/>
      <c r="AU478" s="108"/>
      <c r="AV478" s="108"/>
      <c r="AW478" s="108"/>
      <c r="AX478" s="108"/>
      <c r="AY478" s="108"/>
    </row>
    <row r="479" spans="2:51">
      <c r="B479" s="109"/>
      <c r="C479" s="109"/>
      <c r="D479" s="541"/>
      <c r="E479" s="541"/>
      <c r="F479" s="127"/>
      <c r="H479" s="156"/>
      <c r="I479" s="152"/>
      <c r="J479" s="157"/>
      <c r="K479" s="157"/>
      <c r="L479" s="157"/>
      <c r="M479" s="157"/>
      <c r="N479" s="157"/>
      <c r="O479" s="157"/>
      <c r="P479" s="157"/>
      <c r="R479" s="847"/>
      <c r="S479" s="847"/>
      <c r="T479" s="848"/>
      <c r="U479" s="847"/>
      <c r="V479" s="108"/>
      <c r="X479" s="127"/>
      <c r="Y479" s="152"/>
      <c r="Z479" s="152"/>
      <c r="AA479" s="109"/>
      <c r="AB479" s="108"/>
      <c r="AC479" s="155"/>
      <c r="AD479" s="698"/>
      <c r="AF479" s="108"/>
      <c r="AG479" s="108"/>
      <c r="AH479" s="108"/>
      <c r="AJ479" s="966"/>
      <c r="AK479" s="966"/>
      <c r="AL479" s="966"/>
      <c r="AM479" s="967"/>
      <c r="AN479" s="1027"/>
      <c r="AO479" s="1027"/>
      <c r="AP479" s="108"/>
      <c r="AQ479" s="108"/>
      <c r="AR479" s="108"/>
      <c r="AS479" s="108"/>
      <c r="AT479" s="108"/>
      <c r="AU479" s="108"/>
      <c r="AV479" s="108"/>
      <c r="AW479" s="108"/>
      <c r="AX479" s="108"/>
      <c r="AY479" s="108"/>
    </row>
    <row r="480" spans="2:51">
      <c r="B480" s="109"/>
      <c r="C480" s="109"/>
      <c r="D480" s="541"/>
      <c r="E480" s="541"/>
      <c r="F480" s="127"/>
      <c r="H480" s="156"/>
      <c r="I480" s="152"/>
      <c r="J480" s="157"/>
      <c r="K480" s="157"/>
      <c r="L480" s="157"/>
      <c r="M480" s="157"/>
      <c r="N480" s="157"/>
      <c r="O480" s="157"/>
      <c r="P480" s="157"/>
      <c r="R480" s="847"/>
      <c r="S480" s="847"/>
      <c r="T480" s="848"/>
      <c r="U480" s="847"/>
      <c r="V480" s="108"/>
      <c r="X480" s="127"/>
      <c r="Y480" s="152"/>
      <c r="Z480" s="152"/>
      <c r="AA480" s="109"/>
      <c r="AB480" s="108"/>
      <c r="AC480" s="155"/>
      <c r="AD480" s="698"/>
      <c r="AF480" s="108"/>
      <c r="AG480" s="108"/>
      <c r="AH480" s="108"/>
      <c r="AJ480" s="966"/>
      <c r="AK480" s="966"/>
      <c r="AL480" s="966"/>
      <c r="AM480" s="967"/>
      <c r="AN480" s="1027"/>
      <c r="AO480" s="1027"/>
      <c r="AP480" s="108"/>
      <c r="AQ480" s="108"/>
      <c r="AR480" s="108"/>
      <c r="AS480" s="108"/>
      <c r="AT480" s="108"/>
      <c r="AU480" s="108"/>
      <c r="AV480" s="108"/>
      <c r="AW480" s="108"/>
      <c r="AX480" s="108"/>
      <c r="AY480" s="108"/>
    </row>
    <row r="481" spans="2:51">
      <c r="B481" s="109"/>
      <c r="C481" s="109"/>
      <c r="D481" s="541"/>
      <c r="E481" s="541"/>
      <c r="F481" s="127"/>
      <c r="H481" s="156"/>
      <c r="I481" s="152"/>
      <c r="J481" s="157"/>
      <c r="K481" s="157"/>
      <c r="L481" s="157"/>
      <c r="M481" s="157"/>
      <c r="N481" s="157"/>
      <c r="O481" s="157"/>
      <c r="P481" s="157"/>
      <c r="R481" s="847"/>
      <c r="S481" s="847"/>
      <c r="T481" s="848"/>
      <c r="U481" s="847"/>
      <c r="V481" s="108"/>
      <c r="X481" s="127"/>
      <c r="Y481" s="152"/>
      <c r="Z481" s="152"/>
      <c r="AA481" s="109"/>
      <c r="AB481" s="108"/>
      <c r="AC481" s="155"/>
      <c r="AD481" s="698"/>
      <c r="AF481" s="108"/>
      <c r="AG481" s="108"/>
      <c r="AH481" s="108"/>
      <c r="AJ481" s="966"/>
      <c r="AK481" s="966"/>
      <c r="AL481" s="966"/>
      <c r="AM481" s="967"/>
      <c r="AN481" s="1027"/>
      <c r="AO481" s="1027"/>
      <c r="AP481" s="108"/>
      <c r="AQ481" s="108"/>
      <c r="AR481" s="108"/>
      <c r="AS481" s="108"/>
      <c r="AT481" s="108"/>
      <c r="AU481" s="108"/>
      <c r="AV481" s="108"/>
      <c r="AW481" s="108"/>
      <c r="AX481" s="108"/>
      <c r="AY481" s="108"/>
    </row>
    <row r="482" spans="2:51">
      <c r="B482" s="109"/>
      <c r="C482" s="109"/>
      <c r="D482" s="541"/>
      <c r="E482" s="541"/>
      <c r="F482" s="127"/>
      <c r="H482" s="156"/>
      <c r="I482" s="152"/>
      <c r="J482" s="157"/>
      <c r="K482" s="157"/>
      <c r="L482" s="157"/>
      <c r="M482" s="157"/>
      <c r="N482" s="157"/>
      <c r="O482" s="157"/>
      <c r="P482" s="157"/>
      <c r="R482" s="847"/>
      <c r="S482" s="847"/>
      <c r="T482" s="848"/>
      <c r="U482" s="847"/>
      <c r="V482" s="108"/>
      <c r="X482" s="127"/>
      <c r="Y482" s="152"/>
      <c r="Z482" s="152"/>
      <c r="AA482" s="109"/>
      <c r="AB482" s="108"/>
      <c r="AC482" s="155"/>
      <c r="AD482" s="698"/>
      <c r="AF482" s="108"/>
      <c r="AG482" s="108"/>
      <c r="AH482" s="108"/>
      <c r="AJ482" s="966"/>
      <c r="AK482" s="966"/>
      <c r="AL482" s="966"/>
      <c r="AM482" s="967"/>
      <c r="AN482" s="1027"/>
      <c r="AO482" s="1027"/>
      <c r="AP482" s="108"/>
      <c r="AQ482" s="108"/>
      <c r="AR482" s="108"/>
      <c r="AS482" s="108"/>
      <c r="AT482" s="108"/>
      <c r="AU482" s="108"/>
      <c r="AV482" s="108"/>
      <c r="AW482" s="108"/>
      <c r="AX482" s="108"/>
      <c r="AY482" s="108"/>
    </row>
    <row r="483" spans="2:51">
      <c r="B483" s="109"/>
      <c r="C483" s="109"/>
      <c r="D483" s="541"/>
      <c r="E483" s="541"/>
      <c r="F483" s="127"/>
      <c r="H483" s="156"/>
      <c r="I483" s="152"/>
      <c r="J483" s="157"/>
      <c r="K483" s="157"/>
      <c r="L483" s="157"/>
      <c r="M483" s="157"/>
      <c r="N483" s="157"/>
      <c r="O483" s="157"/>
      <c r="P483" s="157"/>
      <c r="R483" s="847"/>
      <c r="S483" s="847"/>
      <c r="T483" s="848"/>
      <c r="U483" s="847"/>
      <c r="V483" s="108"/>
      <c r="X483" s="127"/>
      <c r="Y483" s="152"/>
      <c r="Z483" s="152"/>
      <c r="AA483" s="109"/>
      <c r="AB483" s="108"/>
      <c r="AC483" s="155"/>
      <c r="AD483" s="698"/>
      <c r="AF483" s="108"/>
      <c r="AG483" s="108"/>
      <c r="AH483" s="108"/>
      <c r="AJ483" s="966"/>
      <c r="AK483" s="966"/>
      <c r="AL483" s="966"/>
      <c r="AM483" s="967"/>
      <c r="AN483" s="1027"/>
      <c r="AO483" s="1027"/>
      <c r="AP483" s="108"/>
      <c r="AQ483" s="108"/>
      <c r="AR483" s="108"/>
      <c r="AS483" s="108"/>
      <c r="AT483" s="108"/>
      <c r="AU483" s="108"/>
      <c r="AV483" s="108"/>
      <c r="AW483" s="108"/>
      <c r="AX483" s="108"/>
      <c r="AY483" s="108"/>
    </row>
    <row r="484" spans="2:51">
      <c r="B484" s="109"/>
      <c r="C484" s="109"/>
      <c r="D484" s="541"/>
      <c r="E484" s="541"/>
      <c r="F484" s="127"/>
      <c r="H484" s="156"/>
      <c r="I484" s="152"/>
      <c r="J484" s="157"/>
      <c r="K484" s="157"/>
      <c r="L484" s="157"/>
      <c r="M484" s="157"/>
      <c r="N484" s="157"/>
      <c r="O484" s="157"/>
      <c r="P484" s="157"/>
      <c r="R484" s="847"/>
      <c r="S484" s="847"/>
      <c r="T484" s="848"/>
      <c r="U484" s="847"/>
      <c r="V484" s="108"/>
      <c r="X484" s="127"/>
      <c r="Y484" s="152"/>
      <c r="Z484" s="152"/>
      <c r="AA484" s="109"/>
      <c r="AB484" s="108"/>
      <c r="AC484" s="155"/>
      <c r="AD484" s="698"/>
      <c r="AF484" s="108"/>
      <c r="AG484" s="108"/>
      <c r="AH484" s="108"/>
      <c r="AJ484" s="966"/>
      <c r="AK484" s="966"/>
      <c r="AL484" s="966"/>
      <c r="AM484" s="967"/>
      <c r="AN484" s="1027"/>
      <c r="AO484" s="1027"/>
      <c r="AP484" s="108"/>
      <c r="AQ484" s="108"/>
      <c r="AR484" s="108"/>
      <c r="AS484" s="108"/>
      <c r="AT484" s="108"/>
      <c r="AU484" s="108"/>
      <c r="AV484" s="108"/>
      <c r="AW484" s="108"/>
      <c r="AX484" s="108"/>
      <c r="AY484" s="108"/>
    </row>
    <row r="485" spans="2:51">
      <c r="B485" s="109"/>
      <c r="C485" s="109"/>
      <c r="D485" s="541"/>
      <c r="E485" s="541"/>
      <c r="F485" s="127"/>
      <c r="H485" s="156"/>
      <c r="I485" s="152"/>
      <c r="J485" s="157"/>
      <c r="K485" s="157"/>
      <c r="L485" s="157"/>
      <c r="M485" s="157"/>
      <c r="N485" s="157"/>
      <c r="O485" s="157"/>
      <c r="P485" s="157"/>
      <c r="R485" s="847"/>
      <c r="S485" s="847"/>
      <c r="T485" s="848"/>
      <c r="U485" s="847"/>
      <c r="V485" s="108"/>
      <c r="X485" s="127"/>
      <c r="Y485" s="152"/>
      <c r="Z485" s="152"/>
      <c r="AA485" s="109"/>
      <c r="AB485" s="108"/>
      <c r="AC485" s="155"/>
      <c r="AD485" s="698"/>
      <c r="AF485" s="108"/>
      <c r="AG485" s="108"/>
      <c r="AH485" s="108"/>
      <c r="AJ485" s="966"/>
      <c r="AK485" s="966"/>
      <c r="AL485" s="966"/>
      <c r="AM485" s="967"/>
      <c r="AN485" s="1027"/>
      <c r="AO485" s="1027"/>
      <c r="AP485" s="108"/>
      <c r="AQ485" s="108"/>
      <c r="AR485" s="108"/>
      <c r="AS485" s="108"/>
      <c r="AT485" s="108"/>
      <c r="AU485" s="108"/>
      <c r="AV485" s="108"/>
      <c r="AW485" s="108"/>
      <c r="AX485" s="108"/>
      <c r="AY485" s="108"/>
    </row>
    <row r="486" spans="2:51">
      <c r="B486" s="109"/>
      <c r="C486" s="109"/>
      <c r="D486" s="541"/>
      <c r="E486" s="541"/>
      <c r="F486" s="127"/>
      <c r="H486" s="156"/>
      <c r="I486" s="152"/>
      <c r="J486" s="157"/>
      <c r="K486" s="157"/>
      <c r="L486" s="157"/>
      <c r="M486" s="157"/>
      <c r="N486" s="157"/>
      <c r="O486" s="157"/>
      <c r="P486" s="157"/>
      <c r="R486" s="847"/>
      <c r="S486" s="847"/>
      <c r="T486" s="848"/>
      <c r="U486" s="847"/>
      <c r="V486" s="108"/>
      <c r="X486" s="127"/>
      <c r="Y486" s="152"/>
      <c r="Z486" s="152"/>
      <c r="AA486" s="109"/>
      <c r="AB486" s="108"/>
      <c r="AC486" s="155"/>
      <c r="AD486" s="698"/>
      <c r="AF486" s="108"/>
      <c r="AG486" s="108"/>
      <c r="AH486" s="108"/>
      <c r="AJ486" s="966"/>
      <c r="AK486" s="966"/>
      <c r="AL486" s="966"/>
      <c r="AM486" s="967"/>
      <c r="AN486" s="1027"/>
      <c r="AO486" s="1027"/>
      <c r="AP486" s="108"/>
      <c r="AQ486" s="108"/>
      <c r="AR486" s="108"/>
      <c r="AS486" s="108"/>
      <c r="AT486" s="108"/>
      <c r="AU486" s="108"/>
      <c r="AV486" s="108"/>
      <c r="AW486" s="108"/>
      <c r="AX486" s="108"/>
      <c r="AY486" s="108"/>
    </row>
    <row r="487" spans="2:51">
      <c r="B487" s="109"/>
      <c r="C487" s="109"/>
      <c r="D487" s="541"/>
      <c r="E487" s="541"/>
      <c r="F487" s="127"/>
      <c r="H487" s="156"/>
      <c r="I487" s="152"/>
      <c r="J487" s="157"/>
      <c r="K487" s="157"/>
      <c r="L487" s="157"/>
      <c r="M487" s="157"/>
      <c r="N487" s="157"/>
      <c r="O487" s="157"/>
      <c r="P487" s="157"/>
      <c r="R487" s="847"/>
      <c r="S487" s="847"/>
      <c r="T487" s="848"/>
      <c r="U487" s="847"/>
      <c r="V487" s="108"/>
      <c r="X487" s="127"/>
      <c r="Y487" s="152"/>
      <c r="Z487" s="152"/>
      <c r="AA487" s="109"/>
      <c r="AB487" s="108"/>
      <c r="AC487" s="155"/>
      <c r="AD487" s="698"/>
      <c r="AF487" s="108"/>
      <c r="AG487" s="108"/>
      <c r="AH487" s="108"/>
      <c r="AJ487" s="966"/>
      <c r="AK487" s="966"/>
      <c r="AL487" s="966"/>
      <c r="AM487" s="967"/>
      <c r="AN487" s="1027"/>
      <c r="AO487" s="1027"/>
      <c r="AP487" s="108"/>
      <c r="AQ487" s="108"/>
      <c r="AR487" s="108"/>
      <c r="AS487" s="108"/>
      <c r="AT487" s="108"/>
      <c r="AU487" s="108"/>
      <c r="AV487" s="108"/>
      <c r="AW487" s="108"/>
      <c r="AX487" s="108"/>
      <c r="AY487" s="108"/>
    </row>
    <row r="488" spans="2:51">
      <c r="B488" s="109"/>
      <c r="C488" s="109"/>
      <c r="D488" s="541"/>
      <c r="E488" s="541"/>
      <c r="F488" s="127"/>
      <c r="H488" s="156"/>
      <c r="I488" s="152"/>
      <c r="J488" s="157"/>
      <c r="K488" s="157"/>
      <c r="L488" s="157"/>
      <c r="M488" s="157"/>
      <c r="N488" s="157"/>
      <c r="O488" s="157"/>
      <c r="P488" s="157"/>
      <c r="R488" s="847"/>
      <c r="S488" s="847"/>
      <c r="T488" s="848"/>
      <c r="U488" s="847"/>
      <c r="V488" s="108"/>
      <c r="X488" s="127"/>
      <c r="Y488" s="152"/>
      <c r="Z488" s="152"/>
      <c r="AA488" s="109"/>
      <c r="AB488" s="108"/>
      <c r="AC488" s="155"/>
      <c r="AD488" s="698"/>
      <c r="AF488" s="108"/>
      <c r="AG488" s="108"/>
      <c r="AH488" s="108"/>
      <c r="AJ488" s="966"/>
      <c r="AK488" s="966"/>
      <c r="AL488" s="966"/>
      <c r="AM488" s="967"/>
      <c r="AN488" s="1027"/>
      <c r="AO488" s="1027"/>
      <c r="AP488" s="108"/>
      <c r="AQ488" s="108"/>
      <c r="AR488" s="108"/>
      <c r="AS488" s="108"/>
      <c r="AT488" s="108"/>
      <c r="AU488" s="108"/>
      <c r="AV488" s="108"/>
      <c r="AW488" s="108"/>
      <c r="AX488" s="108"/>
      <c r="AY488" s="108"/>
    </row>
    <row r="489" spans="2:51">
      <c r="B489" s="109"/>
      <c r="C489" s="109"/>
      <c r="D489" s="541"/>
      <c r="E489" s="541"/>
      <c r="F489" s="127"/>
      <c r="H489" s="156"/>
      <c r="I489" s="152"/>
      <c r="J489" s="157"/>
      <c r="K489" s="157"/>
      <c r="L489" s="157"/>
      <c r="M489" s="157"/>
      <c r="N489" s="157"/>
      <c r="O489" s="157"/>
      <c r="P489" s="157"/>
      <c r="R489" s="847"/>
      <c r="S489" s="847"/>
      <c r="T489" s="848"/>
      <c r="U489" s="847"/>
      <c r="V489" s="108"/>
      <c r="X489" s="127"/>
      <c r="Y489" s="152"/>
      <c r="Z489" s="152"/>
      <c r="AA489" s="109"/>
      <c r="AB489" s="108"/>
      <c r="AC489" s="155"/>
      <c r="AD489" s="698"/>
      <c r="AF489" s="108"/>
      <c r="AG489" s="108"/>
      <c r="AH489" s="108"/>
      <c r="AJ489" s="966"/>
      <c r="AK489" s="966"/>
      <c r="AL489" s="966"/>
      <c r="AM489" s="967"/>
      <c r="AN489" s="1027"/>
      <c r="AO489" s="1027"/>
      <c r="AP489" s="108"/>
      <c r="AQ489" s="108"/>
      <c r="AR489" s="108"/>
      <c r="AS489" s="108"/>
      <c r="AT489" s="108"/>
      <c r="AU489" s="108"/>
      <c r="AV489" s="108"/>
      <c r="AW489" s="108"/>
      <c r="AX489" s="108"/>
      <c r="AY489" s="108"/>
    </row>
    <row r="490" spans="2:51">
      <c r="B490" s="109"/>
      <c r="C490" s="109"/>
      <c r="D490" s="541"/>
      <c r="E490" s="541"/>
      <c r="F490" s="127"/>
      <c r="H490" s="156"/>
      <c r="I490" s="152"/>
      <c r="J490" s="157"/>
      <c r="K490" s="157"/>
      <c r="L490" s="157"/>
      <c r="M490" s="157"/>
      <c r="N490" s="157"/>
      <c r="O490" s="157"/>
      <c r="P490" s="157"/>
      <c r="R490" s="847"/>
      <c r="S490" s="847"/>
      <c r="T490" s="848"/>
      <c r="U490" s="847"/>
      <c r="V490" s="108"/>
      <c r="X490" s="127"/>
      <c r="Y490" s="152"/>
      <c r="Z490" s="152"/>
      <c r="AA490" s="109"/>
      <c r="AB490" s="108"/>
      <c r="AC490" s="155"/>
      <c r="AD490" s="698"/>
      <c r="AF490" s="108"/>
      <c r="AG490" s="108"/>
      <c r="AH490" s="108"/>
      <c r="AJ490" s="966"/>
      <c r="AK490" s="966"/>
      <c r="AL490" s="966"/>
      <c r="AM490" s="967"/>
      <c r="AN490" s="1027"/>
      <c r="AO490" s="1027"/>
      <c r="AP490" s="108"/>
      <c r="AQ490" s="108"/>
      <c r="AR490" s="108"/>
      <c r="AS490" s="108"/>
      <c r="AT490" s="108"/>
      <c r="AU490" s="108"/>
      <c r="AV490" s="108"/>
      <c r="AW490" s="108"/>
      <c r="AX490" s="108"/>
      <c r="AY490" s="108"/>
    </row>
    <row r="491" spans="2:51">
      <c r="B491" s="109"/>
      <c r="C491" s="109"/>
      <c r="D491" s="541"/>
      <c r="E491" s="541"/>
      <c r="F491" s="127"/>
      <c r="H491" s="156"/>
      <c r="I491" s="152"/>
      <c r="J491" s="157"/>
      <c r="K491" s="157"/>
      <c r="L491" s="157"/>
      <c r="M491" s="157"/>
      <c r="N491" s="157"/>
      <c r="O491" s="157"/>
      <c r="P491" s="157"/>
      <c r="R491" s="847"/>
      <c r="S491" s="847"/>
      <c r="T491" s="848"/>
      <c r="U491" s="847"/>
      <c r="V491" s="108"/>
      <c r="X491" s="127"/>
      <c r="Y491" s="152"/>
      <c r="Z491" s="152"/>
      <c r="AA491" s="109"/>
      <c r="AB491" s="108"/>
      <c r="AC491" s="155"/>
      <c r="AD491" s="698"/>
      <c r="AF491" s="108"/>
      <c r="AG491" s="108"/>
      <c r="AH491" s="108"/>
      <c r="AJ491" s="966"/>
      <c r="AK491" s="966"/>
      <c r="AL491" s="966"/>
      <c r="AM491" s="967"/>
      <c r="AN491" s="1027"/>
      <c r="AO491" s="1027"/>
      <c r="AP491" s="108"/>
      <c r="AQ491" s="108"/>
      <c r="AR491" s="108"/>
      <c r="AS491" s="108"/>
      <c r="AT491" s="108"/>
      <c r="AU491" s="108"/>
      <c r="AV491" s="108"/>
      <c r="AW491" s="108"/>
      <c r="AX491" s="108"/>
      <c r="AY491" s="108"/>
    </row>
  </sheetData>
  <mergeCells count="399">
    <mergeCell ref="R374:R375"/>
    <mergeCell ref="S374:S375"/>
    <mergeCell ref="T374:T375"/>
    <mergeCell ref="U374:U375"/>
    <mergeCell ref="V374:V375"/>
    <mergeCell ref="R334:R335"/>
    <mergeCell ref="S334:S335"/>
    <mergeCell ref="T334:T335"/>
    <mergeCell ref="U334:U335"/>
    <mergeCell ref="V334:V335"/>
    <mergeCell ref="R355:R357"/>
    <mergeCell ref="S355:S357"/>
    <mergeCell ref="T355:T357"/>
    <mergeCell ref="U355:U357"/>
    <mergeCell ref="V355:V357"/>
    <mergeCell ref="R329:R330"/>
    <mergeCell ref="S329:S330"/>
    <mergeCell ref="T329:T330"/>
    <mergeCell ref="U329:U330"/>
    <mergeCell ref="V329:V330"/>
    <mergeCell ref="R332:R333"/>
    <mergeCell ref="S332:S333"/>
    <mergeCell ref="T332:T333"/>
    <mergeCell ref="U332:U333"/>
    <mergeCell ref="V332:V333"/>
    <mergeCell ref="R321:R324"/>
    <mergeCell ref="S321:S324"/>
    <mergeCell ref="T321:T324"/>
    <mergeCell ref="U321:U324"/>
    <mergeCell ref="V321:V324"/>
    <mergeCell ref="R326:R328"/>
    <mergeCell ref="S326:S328"/>
    <mergeCell ref="T326:T328"/>
    <mergeCell ref="U326:U328"/>
    <mergeCell ref="V326:V328"/>
    <mergeCell ref="AN307:AN308"/>
    <mergeCell ref="AO307:AO308"/>
    <mergeCell ref="R313:R314"/>
    <mergeCell ref="S313:S314"/>
    <mergeCell ref="T313:T314"/>
    <mergeCell ref="U313:U314"/>
    <mergeCell ref="V313:V314"/>
    <mergeCell ref="AG307:AG308"/>
    <mergeCell ref="AH307:AH308"/>
    <mergeCell ref="AJ307:AJ308"/>
    <mergeCell ref="AK307:AK308"/>
    <mergeCell ref="AL307:AL308"/>
    <mergeCell ref="AM307:AM308"/>
    <mergeCell ref="Z307:Z308"/>
    <mergeCell ref="AA307:AA308"/>
    <mergeCell ref="AB307:AB308"/>
    <mergeCell ref="AC307:AC308"/>
    <mergeCell ref="AD307:AD308"/>
    <mergeCell ref="AF307:AF308"/>
    <mergeCell ref="AM302:AM303"/>
    <mergeCell ref="AN302:AN303"/>
    <mergeCell ref="AO302:AO303"/>
    <mergeCell ref="R307:R308"/>
    <mergeCell ref="S307:S308"/>
    <mergeCell ref="T307:T308"/>
    <mergeCell ref="U307:U308"/>
    <mergeCell ref="V307:V308"/>
    <mergeCell ref="X307:X308"/>
    <mergeCell ref="Y307:Y308"/>
    <mergeCell ref="AF302:AF303"/>
    <mergeCell ref="AG302:AG303"/>
    <mergeCell ref="AH302:AH303"/>
    <mergeCell ref="AJ302:AJ303"/>
    <mergeCell ref="AK302:AK303"/>
    <mergeCell ref="AL302:AL303"/>
    <mergeCell ref="Y302:Y303"/>
    <mergeCell ref="Z302:Z303"/>
    <mergeCell ref="AA302:AA303"/>
    <mergeCell ref="AB302:AB303"/>
    <mergeCell ref="AC302:AC303"/>
    <mergeCell ref="AD302:AD303"/>
    <mergeCell ref="R302:R303"/>
    <mergeCell ref="S302:S303"/>
    <mergeCell ref="T302:T303"/>
    <mergeCell ref="U302:U303"/>
    <mergeCell ref="V302:V303"/>
    <mergeCell ref="X302:X303"/>
    <mergeCell ref="R289:R294"/>
    <mergeCell ref="S289:S294"/>
    <mergeCell ref="T289:T294"/>
    <mergeCell ref="U289:U294"/>
    <mergeCell ref="V289:V294"/>
    <mergeCell ref="R296:R300"/>
    <mergeCell ref="S296:S300"/>
    <mergeCell ref="T296:T300"/>
    <mergeCell ref="U296:U300"/>
    <mergeCell ref="V296:V300"/>
    <mergeCell ref="AM260:AM261"/>
    <mergeCell ref="AN260:AN261"/>
    <mergeCell ref="AO260:AO261"/>
    <mergeCell ref="R282:R287"/>
    <mergeCell ref="S282:S287"/>
    <mergeCell ref="T282:T287"/>
    <mergeCell ref="U282:U287"/>
    <mergeCell ref="V282:V287"/>
    <mergeCell ref="AF260:AF261"/>
    <mergeCell ref="AG260:AG261"/>
    <mergeCell ref="AH260:AH261"/>
    <mergeCell ref="AJ260:AJ261"/>
    <mergeCell ref="AK260:AK261"/>
    <mergeCell ref="AL260:AL261"/>
    <mergeCell ref="Y260:Y261"/>
    <mergeCell ref="Z260:Z261"/>
    <mergeCell ref="AA260:AA261"/>
    <mergeCell ref="AB260:AB261"/>
    <mergeCell ref="AC260:AC261"/>
    <mergeCell ref="AD260:AD261"/>
    <mergeCell ref="R260:R261"/>
    <mergeCell ref="S260:S261"/>
    <mergeCell ref="T260:T261"/>
    <mergeCell ref="U260:U261"/>
    <mergeCell ref="V260:V261"/>
    <mergeCell ref="X260:X261"/>
    <mergeCell ref="AD240:AD241"/>
    <mergeCell ref="R257:R258"/>
    <mergeCell ref="S257:S258"/>
    <mergeCell ref="T257:T258"/>
    <mergeCell ref="U257:U258"/>
    <mergeCell ref="V257:V258"/>
    <mergeCell ref="R223:R226"/>
    <mergeCell ref="S223:S226"/>
    <mergeCell ref="T223:T226"/>
    <mergeCell ref="U223:U226"/>
    <mergeCell ref="V223:V226"/>
    <mergeCell ref="AD237:AD238"/>
    <mergeCell ref="AL197:AL202"/>
    <mergeCell ref="AM197:AM202"/>
    <mergeCell ref="AA197:AA202"/>
    <mergeCell ref="AB197:AB202"/>
    <mergeCell ref="AC197:AC202"/>
    <mergeCell ref="AD197:AD202"/>
    <mergeCell ref="AE197:AE202"/>
    <mergeCell ref="AF197:AF202"/>
    <mergeCell ref="U197:U202"/>
    <mergeCell ref="V197:V202"/>
    <mergeCell ref="W197:W202"/>
    <mergeCell ref="X197:X202"/>
    <mergeCell ref="Y197:Y202"/>
    <mergeCell ref="Z197:Z202"/>
    <mergeCell ref="R218:R221"/>
    <mergeCell ref="S218:S221"/>
    <mergeCell ref="T218:T221"/>
    <mergeCell ref="U218:U221"/>
    <mergeCell ref="V218:V221"/>
    <mergeCell ref="AG197:AG202"/>
    <mergeCell ref="AH197:AH202"/>
    <mergeCell ref="AJ197:AJ202"/>
    <mergeCell ref="AK197:AK202"/>
    <mergeCell ref="AK186:AK193"/>
    <mergeCell ref="AL186:AL193"/>
    <mergeCell ref="AM186:AM193"/>
    <mergeCell ref="AN186:AN193"/>
    <mergeCell ref="AO186:AO193"/>
    <mergeCell ref="G197:G202"/>
    <mergeCell ref="Q197:Q202"/>
    <mergeCell ref="R197:R202"/>
    <mergeCell ref="S197:S202"/>
    <mergeCell ref="T197:T202"/>
    <mergeCell ref="AD186:AD193"/>
    <mergeCell ref="AE186:AE193"/>
    <mergeCell ref="AF186:AF193"/>
    <mergeCell ref="AG186:AG193"/>
    <mergeCell ref="AH186:AH193"/>
    <mergeCell ref="AJ186:AJ193"/>
    <mergeCell ref="X186:X193"/>
    <mergeCell ref="Y186:Y193"/>
    <mergeCell ref="Z186:Z193"/>
    <mergeCell ref="AA186:AA193"/>
    <mergeCell ref="AB186:AB193"/>
    <mergeCell ref="AC186:AC193"/>
    <mergeCell ref="AN197:AN202"/>
    <mergeCell ref="AO197:AO202"/>
    <mergeCell ref="AN178:AN183"/>
    <mergeCell ref="AO178:AO183"/>
    <mergeCell ref="G186:G193"/>
    <mergeCell ref="Q186:Q193"/>
    <mergeCell ref="R186:R193"/>
    <mergeCell ref="S186:S193"/>
    <mergeCell ref="T186:T193"/>
    <mergeCell ref="U186:U193"/>
    <mergeCell ref="V186:V193"/>
    <mergeCell ref="W186:W193"/>
    <mergeCell ref="AG178:AG183"/>
    <mergeCell ref="AH178:AH183"/>
    <mergeCell ref="AJ178:AJ183"/>
    <mergeCell ref="AK178:AK183"/>
    <mergeCell ref="AL178:AL183"/>
    <mergeCell ref="AM178:AM183"/>
    <mergeCell ref="AA178:AA183"/>
    <mergeCell ref="AB178:AB183"/>
    <mergeCell ref="AC178:AC183"/>
    <mergeCell ref="AD178:AD183"/>
    <mergeCell ref="AE178:AE183"/>
    <mergeCell ref="AF178:AF183"/>
    <mergeCell ref="U178:U183"/>
    <mergeCell ref="V178:V183"/>
    <mergeCell ref="W178:W183"/>
    <mergeCell ref="X178:X183"/>
    <mergeCell ref="Y178:Y183"/>
    <mergeCell ref="Z178:Z183"/>
    <mergeCell ref="R172:R175"/>
    <mergeCell ref="S172:S175"/>
    <mergeCell ref="T172:T175"/>
    <mergeCell ref="U172:U175"/>
    <mergeCell ref="V172:V175"/>
    <mergeCell ref="G178:G183"/>
    <mergeCell ref="Q178:Q183"/>
    <mergeCell ref="R178:R183"/>
    <mergeCell ref="S178:S183"/>
    <mergeCell ref="T178:T183"/>
    <mergeCell ref="AL161:AL163"/>
    <mergeCell ref="AM161:AM163"/>
    <mergeCell ref="AN161:AN163"/>
    <mergeCell ref="AO161:AO163"/>
    <mergeCell ref="R167:R170"/>
    <mergeCell ref="S167:S170"/>
    <mergeCell ref="T167:T170"/>
    <mergeCell ref="U167:U170"/>
    <mergeCell ref="V167:V170"/>
    <mergeCell ref="AC161:AC163"/>
    <mergeCell ref="AF161:AF163"/>
    <mergeCell ref="AG161:AG163"/>
    <mergeCell ref="AH161:AH163"/>
    <mergeCell ref="AJ161:AJ163"/>
    <mergeCell ref="AK161:AK163"/>
    <mergeCell ref="V161:V163"/>
    <mergeCell ref="X161:X163"/>
    <mergeCell ref="Y161:Y163"/>
    <mergeCell ref="Z161:Z163"/>
    <mergeCell ref="AA161:AA163"/>
    <mergeCell ref="AB161:AB163"/>
    <mergeCell ref="R151:R154"/>
    <mergeCell ref="S151:S154"/>
    <mergeCell ref="T151:T154"/>
    <mergeCell ref="U151:U154"/>
    <mergeCell ref="R161:R163"/>
    <mergeCell ref="S161:S163"/>
    <mergeCell ref="T161:T163"/>
    <mergeCell ref="U161:U163"/>
    <mergeCell ref="AN142:AN144"/>
    <mergeCell ref="AO142:AO144"/>
    <mergeCell ref="R146:R148"/>
    <mergeCell ref="S146:S148"/>
    <mergeCell ref="T146:T148"/>
    <mergeCell ref="U146:U148"/>
    <mergeCell ref="V146:V148"/>
    <mergeCell ref="AD142:AD144"/>
    <mergeCell ref="AF142:AF144"/>
    <mergeCell ref="AG142:AG144"/>
    <mergeCell ref="AH142:AH144"/>
    <mergeCell ref="AJ142:AJ144"/>
    <mergeCell ref="AK142:AK144"/>
    <mergeCell ref="X142:X144"/>
    <mergeCell ref="Y142:Y144"/>
    <mergeCell ref="Z142:Z144"/>
    <mergeCell ref="AA142:AA144"/>
    <mergeCell ref="AB142:AB144"/>
    <mergeCell ref="AC142:AC144"/>
    <mergeCell ref="AL121:AL125"/>
    <mergeCell ref="AM121:AM125"/>
    <mergeCell ref="AN121:AN125"/>
    <mergeCell ref="AO121:AO125"/>
    <mergeCell ref="AD139:AD140"/>
    <mergeCell ref="R142:R144"/>
    <mergeCell ref="S142:S144"/>
    <mergeCell ref="T142:T144"/>
    <mergeCell ref="U142:U144"/>
    <mergeCell ref="V142:V144"/>
    <mergeCell ref="AD121:AD125"/>
    <mergeCell ref="AF121:AF125"/>
    <mergeCell ref="AG121:AG125"/>
    <mergeCell ref="AH121:AH125"/>
    <mergeCell ref="AJ121:AJ125"/>
    <mergeCell ref="AK121:AK125"/>
    <mergeCell ref="X121:X125"/>
    <mergeCell ref="Y121:Y125"/>
    <mergeCell ref="Z121:Z125"/>
    <mergeCell ref="AA121:AA125"/>
    <mergeCell ref="AB121:AB125"/>
    <mergeCell ref="AC121:AC125"/>
    <mergeCell ref="AL142:AL144"/>
    <mergeCell ref="AM142:AM144"/>
    <mergeCell ref="R110:R111"/>
    <mergeCell ref="S110:S111"/>
    <mergeCell ref="T110:T111"/>
    <mergeCell ref="U110:U111"/>
    <mergeCell ref="V110:V111"/>
    <mergeCell ref="R121:R125"/>
    <mergeCell ref="S121:S125"/>
    <mergeCell ref="T121:T125"/>
    <mergeCell ref="U121:U125"/>
    <mergeCell ref="V121:V125"/>
    <mergeCell ref="R99:R100"/>
    <mergeCell ref="S99:S100"/>
    <mergeCell ref="T99:T100"/>
    <mergeCell ref="U99:U100"/>
    <mergeCell ref="R104:R108"/>
    <mergeCell ref="S104:S108"/>
    <mergeCell ref="T104:T108"/>
    <mergeCell ref="U104:U108"/>
    <mergeCell ref="AJ48:AJ58"/>
    <mergeCell ref="X48:X58"/>
    <mergeCell ref="Y48:Y58"/>
    <mergeCell ref="Z48:Z58"/>
    <mergeCell ref="AA48:AA58"/>
    <mergeCell ref="AB48:AB58"/>
    <mergeCell ref="AC48:AC58"/>
    <mergeCell ref="R48:R58"/>
    <mergeCell ref="S48:S58"/>
    <mergeCell ref="T48:T58"/>
    <mergeCell ref="U48:U58"/>
    <mergeCell ref="V48:V58"/>
    <mergeCell ref="W48:W58"/>
    <mergeCell ref="AK48:AK58"/>
    <mergeCell ref="AL48:AL58"/>
    <mergeCell ref="AM48:AM58"/>
    <mergeCell ref="AN48:AN58"/>
    <mergeCell ref="AO48:AO58"/>
    <mergeCell ref="AD48:AD58"/>
    <mergeCell ref="AE48:AE58"/>
    <mergeCell ref="AF48:AF58"/>
    <mergeCell ref="AG48:AG58"/>
    <mergeCell ref="AH48:AH58"/>
    <mergeCell ref="AI48:AI58"/>
    <mergeCell ref="U33:U36"/>
    <mergeCell ref="V33:V36"/>
    <mergeCell ref="G48:G58"/>
    <mergeCell ref="H48:H58"/>
    <mergeCell ref="I48:I58"/>
    <mergeCell ref="J48:J58"/>
    <mergeCell ref="K48:K58"/>
    <mergeCell ref="AD25:AD27"/>
    <mergeCell ref="R30:R31"/>
    <mergeCell ref="S30:S31"/>
    <mergeCell ref="T30:T31"/>
    <mergeCell ref="U30:U31"/>
    <mergeCell ref="V30:V31"/>
    <mergeCell ref="L48:L58"/>
    <mergeCell ref="M48:M58"/>
    <mergeCell ref="N48:N58"/>
    <mergeCell ref="O48:O58"/>
    <mergeCell ref="P48:P58"/>
    <mergeCell ref="Q48:Q58"/>
    <mergeCell ref="R33:R36"/>
    <mergeCell ref="S33:S36"/>
    <mergeCell ref="T33:T36"/>
    <mergeCell ref="AD12:AD14"/>
    <mergeCell ref="R21:R23"/>
    <mergeCell ref="S21:S23"/>
    <mergeCell ref="T21:T23"/>
    <mergeCell ref="U21:U23"/>
    <mergeCell ref="V21:V23"/>
    <mergeCell ref="AJ5:AJ6"/>
    <mergeCell ref="AK5:AK6"/>
    <mergeCell ref="AL5:AL6"/>
    <mergeCell ref="U5:U6"/>
    <mergeCell ref="V5:V6"/>
    <mergeCell ref="X5:X6"/>
    <mergeCell ref="Y5:Y6"/>
    <mergeCell ref="Z5:Z6"/>
    <mergeCell ref="AA5:AA6"/>
    <mergeCell ref="AM5:AM6"/>
    <mergeCell ref="AN5:AN6"/>
    <mergeCell ref="AO5:AO6"/>
    <mergeCell ref="AB5:AB6"/>
    <mergeCell ref="AC5:AC6"/>
    <mergeCell ref="AD5:AD6"/>
    <mergeCell ref="AF5:AF6"/>
    <mergeCell ref="AG5:AG6"/>
    <mergeCell ref="AH5:AH6"/>
    <mergeCell ref="X4:AD4"/>
    <mergeCell ref="AF4:AH4"/>
    <mergeCell ref="AJ4:AO4"/>
    <mergeCell ref="A5:A6"/>
    <mergeCell ref="B5:B6"/>
    <mergeCell ref="C5:C6"/>
    <mergeCell ref="D5:D6"/>
    <mergeCell ref="E5:E6"/>
    <mergeCell ref="F5:F6"/>
    <mergeCell ref="B4:F4"/>
    <mergeCell ref="H4:P4"/>
    <mergeCell ref="R4:V4"/>
    <mergeCell ref="N5:N6"/>
    <mergeCell ref="O5:O6"/>
    <mergeCell ref="P5:P6"/>
    <mergeCell ref="R5:R6"/>
    <mergeCell ref="S5:S6"/>
    <mergeCell ref="T5:T6"/>
    <mergeCell ref="H5:H6"/>
    <mergeCell ref="I5:I6"/>
    <mergeCell ref="J5:J6"/>
    <mergeCell ref="K5:K6"/>
    <mergeCell ref="L5:L6"/>
    <mergeCell ref="M5:M6"/>
  </mergeCells>
  <conditionalFormatting sqref="C1:C1048576">
    <cfRule type="expression" dxfId="1" priority="1">
      <formula>$C1="Sí"</formula>
    </cfRule>
    <cfRule type="expression" dxfId="0" priority="2">
      <formula>$C1="Si"</formula>
    </cfRule>
  </conditionalFormatting>
  <pageMargins left="0.7" right="0.7" top="0.75" bottom="0.75" header="0.3" footer="0.3"/>
  <pageSetup orientation="landscape"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9"/>
  <sheetViews>
    <sheetView showGridLines="0" workbookViewId="0">
      <selection sqref="A1:I1"/>
    </sheetView>
  </sheetViews>
  <sheetFormatPr baseColWidth="10" defaultColWidth="11.5" defaultRowHeight="15"/>
  <cols>
    <col min="1" max="1" width="5.5" style="272" customWidth="1"/>
    <col min="2" max="2" width="58.1640625" style="273" customWidth="1"/>
    <col min="3" max="3" width="14.5" style="333" customWidth="1"/>
    <col min="4" max="4" width="13" style="333" customWidth="1"/>
    <col min="5" max="5" width="12.5" style="333" customWidth="1"/>
    <col min="6" max="6" width="19.1640625" style="273" customWidth="1"/>
    <col min="7" max="7" width="17.5" style="273" customWidth="1"/>
    <col min="8" max="8" width="19" style="273" customWidth="1"/>
    <col min="9" max="9" width="26.5" style="273" customWidth="1"/>
    <col min="10" max="16384" width="11.5" style="273"/>
  </cols>
  <sheetData>
    <row r="1" spans="1:9" ht="16">
      <c r="A1" s="4722" t="s">
        <v>3815</v>
      </c>
      <c r="B1" s="4722"/>
      <c r="C1" s="4722"/>
      <c r="D1" s="4722"/>
      <c r="E1" s="4722"/>
      <c r="F1" s="4722"/>
      <c r="G1" s="4722"/>
      <c r="H1" s="4722"/>
      <c r="I1" s="4722"/>
    </row>
    <row r="2" spans="1:9" ht="16">
      <c r="A2" s="463" t="s">
        <v>319</v>
      </c>
      <c r="B2" s="463" t="s">
        <v>3816</v>
      </c>
      <c r="C2" s="464" t="s">
        <v>3817</v>
      </c>
      <c r="D2" s="464" t="s">
        <v>3818</v>
      </c>
      <c r="E2" s="464" t="s">
        <v>3819</v>
      </c>
      <c r="F2" s="464" t="s">
        <v>3820</v>
      </c>
      <c r="G2" s="464" t="s">
        <v>3821</v>
      </c>
      <c r="H2" s="464" t="s">
        <v>3822</v>
      </c>
      <c r="I2" s="464" t="s">
        <v>151</v>
      </c>
    </row>
    <row r="3" spans="1:9" ht="32">
      <c r="A3" s="465" t="s">
        <v>494</v>
      </c>
      <c r="B3" s="466" t="e">
        <f>+'4.2_CC P'!#REF!</f>
        <v>#REF!</v>
      </c>
      <c r="C3" s="468" t="s">
        <v>3823</v>
      </c>
      <c r="D3" s="468" t="s">
        <v>3824</v>
      </c>
      <c r="E3" s="468" t="s">
        <v>3825</v>
      </c>
      <c r="F3" s="467" t="s">
        <v>3826</v>
      </c>
      <c r="G3" s="467"/>
      <c r="H3" s="467"/>
      <c r="I3" s="467"/>
    </row>
    <row r="4" spans="1:9" ht="32">
      <c r="A4" s="465" t="s">
        <v>518</v>
      </c>
      <c r="B4" s="466" t="e">
        <f>+'4.2_CC P'!#REF!</f>
        <v>#REF!</v>
      </c>
      <c r="C4" s="468" t="s">
        <v>3823</v>
      </c>
      <c r="D4" s="468" t="s">
        <v>3825</v>
      </c>
      <c r="E4" s="468" t="s">
        <v>3827</v>
      </c>
      <c r="F4" s="467" t="s">
        <v>3826</v>
      </c>
      <c r="G4" s="467"/>
      <c r="H4" s="467"/>
      <c r="I4" s="467"/>
    </row>
    <row r="5" spans="1:9" ht="48">
      <c r="A5" s="465" t="str">
        <f>+'4.2_CC P'!L6</f>
        <v>3</v>
      </c>
      <c r="B5" s="466" t="str">
        <f>+'4.2_CC P'!M6</f>
        <v xml:space="preserve">Componente 3: Fortalecimiento del acceso a la información, participación ciudadana e integridad en la administración pública y sector privado </v>
      </c>
      <c r="C5" s="468" t="s">
        <v>3823</v>
      </c>
      <c r="D5" s="468" t="s">
        <v>3827</v>
      </c>
      <c r="E5" s="468" t="s">
        <v>3828</v>
      </c>
      <c r="F5" s="467" t="s">
        <v>3829</v>
      </c>
      <c r="G5" s="467"/>
      <c r="H5" s="467" t="s">
        <v>3830</v>
      </c>
      <c r="I5" s="467" t="s">
        <v>3831</v>
      </c>
    </row>
    <row r="6" spans="1:9" ht="48">
      <c r="A6" s="481" t="s">
        <v>576</v>
      </c>
      <c r="B6" s="482" t="e">
        <f>+'4.2_CC P'!#REF!</f>
        <v>#REF!</v>
      </c>
      <c r="C6" s="483" t="s">
        <v>3823</v>
      </c>
      <c r="D6" s="483" t="s">
        <v>3832</v>
      </c>
      <c r="E6" s="483" t="s">
        <v>3833</v>
      </c>
      <c r="F6" s="484" t="s">
        <v>3834</v>
      </c>
      <c r="G6" s="484"/>
      <c r="H6" s="484" t="s">
        <v>3834</v>
      </c>
      <c r="I6" s="484"/>
    </row>
    <row r="7" spans="1:9" ht="48">
      <c r="A7" s="469" t="s">
        <v>1680</v>
      </c>
      <c r="B7" s="470">
        <f>+'4.2_CC P'!M5</f>
        <v>0</v>
      </c>
      <c r="C7" s="471" t="s">
        <v>3835</v>
      </c>
      <c r="D7" s="471" t="s">
        <v>3836</v>
      </c>
      <c r="E7" s="471" t="s">
        <v>3837</v>
      </c>
      <c r="F7" s="472" t="s">
        <v>3838</v>
      </c>
      <c r="G7" s="472" t="s">
        <v>3839</v>
      </c>
      <c r="H7" s="472" t="s">
        <v>3838</v>
      </c>
      <c r="I7" s="472"/>
    </row>
    <row r="8" spans="1:9" ht="32">
      <c r="A8" s="477" t="s">
        <v>1682</v>
      </c>
      <c r="B8" s="478" t="e">
        <f>+'4.2_CC P'!#REF!</f>
        <v>#REF!</v>
      </c>
      <c r="C8" s="479" t="s">
        <v>3835</v>
      </c>
      <c r="D8" s="479" t="s">
        <v>3840</v>
      </c>
      <c r="E8" s="479" t="s">
        <v>3832</v>
      </c>
      <c r="F8" s="480" t="s">
        <v>3841</v>
      </c>
      <c r="G8" s="480"/>
      <c r="H8" s="480" t="s">
        <v>3841</v>
      </c>
      <c r="I8" s="480" t="s">
        <v>3842</v>
      </c>
    </row>
    <row r="9" spans="1:9" ht="32">
      <c r="A9" s="473" t="s">
        <v>3843</v>
      </c>
      <c r="B9" s="474" t="e">
        <f>+'4.2_CC P'!#REF!</f>
        <v>#REF!</v>
      </c>
      <c r="C9" s="475" t="s">
        <v>3844</v>
      </c>
      <c r="D9" s="475" t="s">
        <v>3845</v>
      </c>
      <c r="E9" s="475" t="s">
        <v>3824</v>
      </c>
      <c r="F9" s="476" t="s">
        <v>3846</v>
      </c>
      <c r="G9" s="476" t="s">
        <v>3847</v>
      </c>
      <c r="H9" s="476" t="s">
        <v>3848</v>
      </c>
      <c r="I9" s="476"/>
    </row>
  </sheetData>
  <mergeCells count="1">
    <mergeCell ref="A1:I1"/>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J33"/>
  <sheetViews>
    <sheetView zoomScaleNormal="100" workbookViewId="0">
      <selection sqref="A1:I1"/>
    </sheetView>
  </sheetViews>
  <sheetFormatPr baseColWidth="10" defaultColWidth="11.5" defaultRowHeight="14"/>
  <cols>
    <col min="1" max="1" width="4.5" style="115" customWidth="1"/>
    <col min="2" max="2" width="56.5" style="110" customWidth="1"/>
    <col min="3" max="3" width="27.1640625" style="110" customWidth="1"/>
    <col min="4" max="4" width="11.5" style="110"/>
    <col min="5" max="5" width="30.5" style="110" hidden="1" customWidth="1"/>
    <col min="6" max="11" width="0" style="110" hidden="1" customWidth="1"/>
    <col min="12" max="16384" width="11.5" style="110"/>
  </cols>
  <sheetData>
    <row r="1" spans="1:6">
      <c r="A1" s="4723" t="s">
        <v>3849</v>
      </c>
      <c r="B1" s="4723"/>
      <c r="C1" s="4723"/>
      <c r="D1" s="1061"/>
      <c r="E1" s="1061"/>
      <c r="F1" s="1061"/>
    </row>
    <row r="3" spans="1:6">
      <c r="A3" s="116" t="s">
        <v>319</v>
      </c>
      <c r="B3" s="119" t="s">
        <v>3850</v>
      </c>
      <c r="C3" s="116" t="s">
        <v>3817</v>
      </c>
      <c r="D3" s="1061"/>
      <c r="E3" s="1061"/>
      <c r="F3" s="1061"/>
    </row>
    <row r="4" spans="1:6">
      <c r="A4" s="1062" t="s">
        <v>496</v>
      </c>
      <c r="B4" s="1063" t="s">
        <v>3851</v>
      </c>
      <c r="C4" s="1064"/>
      <c r="D4" s="1061"/>
      <c r="E4" s="1061"/>
      <c r="F4" s="1061"/>
    </row>
    <row r="5" spans="1:6">
      <c r="A5" s="1062" t="s">
        <v>505</v>
      </c>
      <c r="B5" s="1063" t="s">
        <v>3852</v>
      </c>
      <c r="C5" s="1064"/>
      <c r="D5" s="1061"/>
      <c r="E5" s="1061"/>
      <c r="F5" s="1061"/>
    </row>
    <row r="6" spans="1:6">
      <c r="A6" s="1062" t="s">
        <v>511</v>
      </c>
      <c r="B6" s="1063" t="s">
        <v>3853</v>
      </c>
      <c r="C6" s="1064"/>
      <c r="D6" s="1061"/>
      <c r="E6" s="1061"/>
      <c r="F6" s="1061"/>
    </row>
    <row r="7" spans="1:6">
      <c r="A7" s="1062" t="s">
        <v>515</v>
      </c>
      <c r="B7" s="1063" t="s">
        <v>3854</v>
      </c>
      <c r="C7" s="1064"/>
      <c r="D7" s="1061"/>
      <c r="E7" s="1061"/>
      <c r="F7" s="1061"/>
    </row>
    <row r="8" spans="1:6">
      <c r="A8" s="1062" t="s">
        <v>3855</v>
      </c>
      <c r="B8" s="1061" t="s">
        <v>3856</v>
      </c>
      <c r="C8" s="1064"/>
      <c r="D8" s="1061"/>
      <c r="E8" s="1061"/>
      <c r="F8" s="1061"/>
    </row>
    <row r="9" spans="1:6">
      <c r="A9" s="1062" t="s">
        <v>3857</v>
      </c>
      <c r="B9" s="1063" t="s">
        <v>3858</v>
      </c>
      <c r="C9" s="1064"/>
      <c r="D9" s="1061"/>
      <c r="E9" s="1061"/>
      <c r="F9" s="1061"/>
    </row>
    <row r="10" spans="1:6" ht="13.5" customHeight="1">
      <c r="A10" s="1062" t="s">
        <v>3859</v>
      </c>
      <c r="B10" s="1065" t="s">
        <v>3860</v>
      </c>
      <c r="C10" s="1064"/>
      <c r="D10" s="1061"/>
      <c r="E10" s="1061"/>
      <c r="F10" s="1061"/>
    </row>
    <row r="11" spans="1:6">
      <c r="A11" s="1062" t="s">
        <v>3861</v>
      </c>
      <c r="B11" s="1063" t="s">
        <v>3862</v>
      </c>
      <c r="C11" s="1064"/>
      <c r="D11" s="1061"/>
      <c r="E11" s="1061" t="s">
        <v>3863</v>
      </c>
      <c r="F11" s="1061">
        <v>21</v>
      </c>
    </row>
    <row r="12" spans="1:6">
      <c r="A12" s="1062"/>
      <c r="B12" s="1061"/>
      <c r="C12" s="1061"/>
      <c r="D12" s="1061"/>
      <c r="E12" s="1061" t="s">
        <v>3864</v>
      </c>
      <c r="F12" s="1061">
        <f>(1439+229)/2</f>
        <v>834</v>
      </c>
    </row>
    <row r="13" spans="1:6">
      <c r="A13" s="116" t="s">
        <v>319</v>
      </c>
      <c r="B13" s="119" t="s">
        <v>3865</v>
      </c>
      <c r="C13" s="116" t="s">
        <v>151</v>
      </c>
      <c r="D13" s="1061"/>
      <c r="E13" s="1061" t="s">
        <v>3866</v>
      </c>
      <c r="F13" s="1061">
        <v>561</v>
      </c>
    </row>
    <row r="14" spans="1:6" ht="30">
      <c r="A14" s="1062" t="s">
        <v>519</v>
      </c>
      <c r="B14" s="1065" t="s">
        <v>3867</v>
      </c>
      <c r="C14" s="1064"/>
      <c r="D14" s="1061"/>
      <c r="E14" s="1061" t="s">
        <v>3868</v>
      </c>
      <c r="F14" s="1061">
        <v>104</v>
      </c>
    </row>
    <row r="15" spans="1:6" ht="60">
      <c r="A15" s="1062" t="s">
        <v>529</v>
      </c>
      <c r="B15" s="118" t="s">
        <v>3869</v>
      </c>
      <c r="C15" s="1061"/>
      <c r="D15" s="1061"/>
      <c r="E15" s="1061"/>
      <c r="F15" s="1061"/>
    </row>
    <row r="16" spans="1:6" ht="45">
      <c r="A16" s="1062" t="s">
        <v>538</v>
      </c>
      <c r="B16" s="1066" t="s">
        <v>3870</v>
      </c>
      <c r="C16" s="1061"/>
      <c r="D16" s="1061"/>
      <c r="E16" s="1061"/>
      <c r="F16" s="1061"/>
    </row>
    <row r="17" spans="1:10" ht="30">
      <c r="A17" s="1062" t="s">
        <v>3871</v>
      </c>
      <c r="B17" s="1066" t="s">
        <v>3872</v>
      </c>
      <c r="C17" s="1061"/>
      <c r="D17" s="1061"/>
      <c r="E17" s="1061"/>
      <c r="F17" s="1061"/>
      <c r="G17" s="1061"/>
      <c r="H17" s="1061"/>
      <c r="I17" s="1061"/>
      <c r="J17" s="1061"/>
    </row>
    <row r="18" spans="1:10">
      <c r="A18" s="1062"/>
      <c r="B18" s="118"/>
      <c r="C18" s="1061"/>
      <c r="D18" s="1061"/>
      <c r="E18" s="1061"/>
      <c r="F18" s="1061"/>
      <c r="G18" s="1061"/>
      <c r="H18" s="1061"/>
      <c r="I18" s="1061"/>
      <c r="J18" s="1061"/>
    </row>
    <row r="20" spans="1:10">
      <c r="A20" s="116" t="s">
        <v>319</v>
      </c>
      <c r="B20" s="119" t="s">
        <v>3873</v>
      </c>
      <c r="C20" s="1061"/>
      <c r="D20" s="1061"/>
      <c r="E20" s="1061"/>
      <c r="F20" s="1061"/>
      <c r="G20" s="1061"/>
      <c r="H20" s="1061"/>
      <c r="I20" s="1061"/>
      <c r="J20" s="1061"/>
    </row>
    <row r="21" spans="1:10" ht="45">
      <c r="A21" s="1062" t="s">
        <v>555</v>
      </c>
      <c r="B21" s="1066" t="s">
        <v>3874</v>
      </c>
      <c r="C21" s="1061"/>
      <c r="D21" s="1061"/>
      <c r="E21" s="1061"/>
      <c r="F21" s="1061"/>
      <c r="G21" s="1061"/>
      <c r="H21" s="1061"/>
      <c r="I21" s="1061"/>
      <c r="J21" s="1061"/>
    </row>
    <row r="22" spans="1:10">
      <c r="A22" s="1062"/>
      <c r="B22" s="117"/>
      <c r="C22" s="1061"/>
      <c r="D22" s="1061"/>
      <c r="E22" s="1061"/>
      <c r="F22" s="1061"/>
      <c r="G22" s="1061"/>
      <c r="H22" s="1061"/>
      <c r="I22" s="1061"/>
      <c r="J22" s="1061"/>
    </row>
    <row r="23" spans="1:10">
      <c r="A23" s="116" t="s">
        <v>319</v>
      </c>
      <c r="B23" s="119" t="s">
        <v>3875</v>
      </c>
      <c r="C23" s="1061"/>
      <c r="D23" s="1061"/>
      <c r="E23" s="1061"/>
      <c r="F23" s="1061"/>
      <c r="G23" s="1061"/>
      <c r="H23" s="1061"/>
      <c r="I23" s="1061"/>
      <c r="J23" s="1061"/>
    </row>
    <row r="24" spans="1:10" ht="30">
      <c r="A24" s="1062" t="s">
        <v>578</v>
      </c>
      <c r="B24" s="1066" t="s">
        <v>3876</v>
      </c>
      <c r="C24" s="1066"/>
      <c r="D24" s="1066"/>
      <c r="E24" s="1066"/>
      <c r="F24" s="1066"/>
      <c r="G24" s="1066"/>
      <c r="H24" s="1066"/>
      <c r="I24" s="1066"/>
      <c r="J24" s="1066"/>
    </row>
    <row r="25" spans="1:10" ht="45">
      <c r="A25" s="1062" t="s">
        <v>580</v>
      </c>
      <c r="B25" s="1066" t="s">
        <v>3877</v>
      </c>
      <c r="C25" s="1066"/>
      <c r="D25" s="1066"/>
      <c r="E25" s="1066"/>
      <c r="F25" s="1066"/>
      <c r="G25" s="1066"/>
      <c r="H25" s="1066"/>
      <c r="I25" s="1066"/>
      <c r="J25" s="1066"/>
    </row>
    <row r="26" spans="1:10" ht="30">
      <c r="A26" s="1062" t="s">
        <v>582</v>
      </c>
      <c r="B26" s="1066" t="s">
        <v>3878</v>
      </c>
      <c r="C26" s="1061"/>
      <c r="D26" s="1061"/>
      <c r="E26" s="1061"/>
      <c r="F26" s="1061"/>
      <c r="G26" s="1061"/>
      <c r="H26" s="1061"/>
      <c r="I26" s="1061"/>
      <c r="J26" s="1061"/>
    </row>
    <row r="33" spans="1:10">
      <c r="A33" s="1061"/>
      <c r="B33" s="1066"/>
      <c r="C33" s="1066"/>
      <c r="D33" s="1066"/>
      <c r="E33" s="1066"/>
      <c r="F33" s="1066"/>
      <c r="G33" s="1066"/>
      <c r="H33" s="1066"/>
      <c r="I33" s="1066"/>
      <c r="J33" s="1066"/>
    </row>
  </sheetData>
  <mergeCells count="1">
    <mergeCell ref="A1:C1"/>
  </mergeCells>
  <pageMargins left="0.70866141732283472" right="0.70866141732283472" top="0.74803149606299213" bottom="0.74803149606299213" header="0.31496062992125984" footer="0.31496062992125984"/>
  <pageSetup paperSize="9" scale="9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E38"/>
  <sheetViews>
    <sheetView topLeftCell="A4" zoomScale="80" zoomScaleNormal="80" zoomScalePageLayoutView="80" workbookViewId="0">
      <selection sqref="A1:I1"/>
    </sheetView>
  </sheetViews>
  <sheetFormatPr baseColWidth="10" defaultColWidth="11.5" defaultRowHeight="13"/>
  <cols>
    <col min="1" max="1" width="29.5" style="6" customWidth="1"/>
    <col min="2" max="2" width="31.5" style="6" customWidth="1"/>
    <col min="3" max="3" width="15" style="6" customWidth="1"/>
    <col min="4" max="4" width="5.5" style="6" customWidth="1"/>
    <col min="5" max="16384" width="11.5" style="6"/>
  </cols>
  <sheetData>
    <row r="1" spans="1:5" s="10" customFormat="1" ht="28.5" customHeight="1">
      <c r="A1" s="35" t="s">
        <v>3879</v>
      </c>
    </row>
    <row r="3" spans="1:5" ht="35.25" customHeight="1">
      <c r="A3" s="4724" t="s">
        <v>3880</v>
      </c>
      <c r="B3" s="4725"/>
      <c r="C3" s="4726"/>
      <c r="E3" s="34"/>
    </row>
    <row r="4" spans="1:5" ht="7.5" customHeight="1">
      <c r="A4" s="36"/>
      <c r="C4" s="37"/>
    </row>
    <row r="5" spans="1:5" ht="15.75" customHeight="1">
      <c r="A5" s="38" t="s">
        <v>3881</v>
      </c>
      <c r="B5" s="39"/>
      <c r="C5" s="37"/>
    </row>
    <row r="6" spans="1:5" ht="33.75" customHeight="1">
      <c r="A6" s="40" t="s">
        <v>774</v>
      </c>
      <c r="B6" s="41" t="s">
        <v>3882</v>
      </c>
      <c r="C6" s="42" t="s">
        <v>3883</v>
      </c>
    </row>
    <row r="7" spans="1:5" s="10" customFormat="1" ht="59.25" customHeight="1">
      <c r="A7" s="43" t="s">
        <v>2899</v>
      </c>
      <c r="B7" s="44" t="s">
        <v>3884</v>
      </c>
      <c r="C7" s="418"/>
    </row>
    <row r="8" spans="1:5" s="10" customFormat="1" ht="46.5" customHeight="1">
      <c r="A8" s="43" t="s">
        <v>2901</v>
      </c>
      <c r="B8" s="44" t="s">
        <v>3885</v>
      </c>
      <c r="C8" s="418"/>
    </row>
    <row r="9" spans="1:5" s="10" customFormat="1">
      <c r="A9" s="48"/>
      <c r="C9" s="418">
        <f>SUM(C7:C8)</f>
        <v>0</v>
      </c>
    </row>
    <row r="10" spans="1:5" s="10" customFormat="1">
      <c r="A10" s="48"/>
      <c r="C10" s="45"/>
    </row>
    <row r="11" spans="1:5" ht="33.75" customHeight="1">
      <c r="A11" s="40" t="s">
        <v>2904</v>
      </c>
      <c r="B11" s="41" t="s">
        <v>3882</v>
      </c>
      <c r="C11" s="42" t="s">
        <v>3883</v>
      </c>
    </row>
    <row r="12" spans="1:5" s="10" customFormat="1" ht="56.25" customHeight="1">
      <c r="A12" s="43" t="s">
        <v>2899</v>
      </c>
      <c r="B12" s="44" t="s">
        <v>3884</v>
      </c>
      <c r="C12" s="418"/>
    </row>
    <row r="13" spans="1:5" s="10" customFormat="1" ht="45.75" customHeight="1">
      <c r="A13" s="43" t="s">
        <v>2901</v>
      </c>
      <c r="B13" s="44" t="s">
        <v>3885</v>
      </c>
      <c r="C13" s="418"/>
    </row>
    <row r="14" spans="1:5" s="10" customFormat="1" ht="45.75" customHeight="1">
      <c r="A14" s="46" t="s">
        <v>3886</v>
      </c>
      <c r="B14" s="47" t="s">
        <v>3887</v>
      </c>
      <c r="C14" s="120"/>
    </row>
    <row r="15" spans="1:5">
      <c r="A15" s="36"/>
      <c r="C15" s="121">
        <f>SUM(C12:C14)</f>
        <v>0</v>
      </c>
    </row>
    <row r="16" spans="1:5">
      <c r="A16" s="36"/>
      <c r="C16" s="37"/>
    </row>
    <row r="17" spans="1:3" ht="38.25" customHeight="1">
      <c r="A17" s="40" t="s">
        <v>802</v>
      </c>
      <c r="B17" s="41" t="s">
        <v>3882</v>
      </c>
      <c r="C17" s="42" t="s">
        <v>3883</v>
      </c>
    </row>
    <row r="18" spans="1:3" s="10" customFormat="1" ht="58.5" customHeight="1">
      <c r="A18" s="43" t="s">
        <v>2899</v>
      </c>
      <c r="B18" s="44" t="s">
        <v>3888</v>
      </c>
      <c r="C18" s="418"/>
    </row>
    <row r="19" spans="1:3" s="10" customFormat="1" ht="47.25" customHeight="1">
      <c r="A19" s="43" t="s">
        <v>2901</v>
      </c>
      <c r="B19" s="44" t="s">
        <v>3885</v>
      </c>
      <c r="C19" s="418"/>
    </row>
    <row r="20" spans="1:3">
      <c r="A20" s="36"/>
      <c r="C20" s="121">
        <f>SUM(C18:C19)</f>
        <v>0</v>
      </c>
    </row>
    <row r="21" spans="1:3">
      <c r="A21" s="49" t="s">
        <v>3889</v>
      </c>
      <c r="B21" s="50"/>
      <c r="C21" s="37"/>
    </row>
    <row r="22" spans="1:3" ht="38.25" customHeight="1">
      <c r="A22" s="40" t="s">
        <v>3890</v>
      </c>
      <c r="B22" s="41" t="s">
        <v>3882</v>
      </c>
      <c r="C22" s="42" t="s">
        <v>3883</v>
      </c>
    </row>
    <row r="23" spans="1:3" s="10" customFormat="1" ht="47.25" customHeight="1">
      <c r="A23" s="43" t="s">
        <v>3891</v>
      </c>
      <c r="B23" s="44" t="s">
        <v>3892</v>
      </c>
      <c r="C23" s="4727"/>
    </row>
    <row r="24" spans="1:3" s="10" customFormat="1" ht="47.25" customHeight="1">
      <c r="A24" s="43" t="s">
        <v>3893</v>
      </c>
      <c r="B24" s="44" t="s">
        <v>3894</v>
      </c>
      <c r="C24" s="4727"/>
    </row>
    <row r="25" spans="1:3" s="10" customFormat="1" ht="47.25" customHeight="1">
      <c r="A25" s="43" t="s">
        <v>2901</v>
      </c>
      <c r="B25" s="44" t="s">
        <v>3885</v>
      </c>
      <c r="C25" s="418"/>
    </row>
    <row r="26" spans="1:3">
      <c r="A26" s="36"/>
      <c r="C26" s="121">
        <f>SUM(C23:C25)</f>
        <v>0</v>
      </c>
    </row>
    <row r="27" spans="1:3">
      <c r="A27" s="36"/>
      <c r="C27" s="37"/>
    </row>
    <row r="28" spans="1:3" ht="36" customHeight="1">
      <c r="A28" s="51" t="s">
        <v>838</v>
      </c>
      <c r="B28" s="52" t="s">
        <v>3882</v>
      </c>
      <c r="C28" s="53" t="s">
        <v>3883</v>
      </c>
    </row>
    <row r="29" spans="1:3" s="10" customFormat="1" ht="47.25" customHeight="1">
      <c r="A29" s="43" t="s">
        <v>3891</v>
      </c>
      <c r="B29" s="44" t="s">
        <v>3892</v>
      </c>
      <c r="C29" s="4727"/>
    </row>
    <row r="30" spans="1:3" s="10" customFormat="1" ht="47.25" customHeight="1">
      <c r="A30" s="43" t="s">
        <v>3893</v>
      </c>
      <c r="B30" s="44" t="s">
        <v>3894</v>
      </c>
      <c r="C30" s="4727"/>
    </row>
    <row r="31" spans="1:3" s="10" customFormat="1" ht="47.25" customHeight="1">
      <c r="A31" s="123" t="s">
        <v>2901</v>
      </c>
      <c r="B31" s="47" t="s">
        <v>3885</v>
      </c>
      <c r="C31" s="120"/>
    </row>
    <row r="32" spans="1:3">
      <c r="C32" s="122">
        <f>SUM(C29:C31)</f>
        <v>0</v>
      </c>
    </row>
    <row r="34" spans="1:3">
      <c r="A34" s="49" t="s">
        <v>3895</v>
      </c>
    </row>
    <row r="35" spans="1:3" ht="26">
      <c r="A35" s="51" t="s">
        <v>3896</v>
      </c>
      <c r="B35" s="52" t="s">
        <v>3882</v>
      </c>
      <c r="C35" s="53" t="s">
        <v>3883</v>
      </c>
    </row>
    <row r="36" spans="1:3" ht="42">
      <c r="A36" s="43" t="s">
        <v>3897</v>
      </c>
      <c r="B36" s="44" t="s">
        <v>3898</v>
      </c>
      <c r="C36" s="418"/>
    </row>
    <row r="37" spans="1:3" ht="42">
      <c r="A37" s="123" t="s">
        <v>2901</v>
      </c>
      <c r="B37" s="47" t="s">
        <v>3885</v>
      </c>
      <c r="C37" s="120"/>
    </row>
    <row r="38" spans="1:3">
      <c r="C38" s="122">
        <f>SUM(C36:C37)</f>
        <v>0</v>
      </c>
    </row>
  </sheetData>
  <mergeCells count="3">
    <mergeCell ref="A3:C3"/>
    <mergeCell ref="C29:C30"/>
    <mergeCell ref="C23:C24"/>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18"/>
  <sheetViews>
    <sheetView zoomScale="85" zoomScaleNormal="85" workbookViewId="0">
      <selection sqref="A1:I1"/>
    </sheetView>
  </sheetViews>
  <sheetFormatPr baseColWidth="10" defaultColWidth="11.5" defaultRowHeight="15"/>
  <cols>
    <col min="1" max="1" width="11" customWidth="1"/>
    <col min="2" max="2" width="12.5" customWidth="1"/>
    <col min="3" max="3" width="22" customWidth="1"/>
    <col min="4" max="4" width="21.5" customWidth="1"/>
    <col min="5" max="5" width="22.5" customWidth="1"/>
    <col min="6" max="6" width="18" customWidth="1"/>
    <col min="7" max="7" width="21.5" customWidth="1"/>
  </cols>
  <sheetData>
    <row r="1" spans="1:7">
      <c r="A1" s="3551" t="s">
        <v>3899</v>
      </c>
      <c r="B1" s="3551"/>
      <c r="C1" s="3551"/>
      <c r="D1" s="3551"/>
      <c r="E1" s="3551"/>
      <c r="F1" s="3551"/>
    </row>
    <row r="2" spans="1:7" ht="55.5" customHeight="1">
      <c r="A2" s="54" t="s">
        <v>3900</v>
      </c>
      <c r="B2" s="54" t="s">
        <v>3901</v>
      </c>
      <c r="C2" s="54" t="s">
        <v>3902</v>
      </c>
      <c r="D2" s="54" t="s">
        <v>3903</v>
      </c>
      <c r="E2" s="54" t="s">
        <v>3904</v>
      </c>
      <c r="F2" s="54" t="s">
        <v>3905</v>
      </c>
      <c r="G2" s="59" t="s">
        <v>3906</v>
      </c>
    </row>
    <row r="3" spans="1:7" ht="30">
      <c r="A3" s="4728" t="s">
        <v>3907</v>
      </c>
      <c r="B3" s="419" t="s">
        <v>774</v>
      </c>
      <c r="C3" s="419" t="s">
        <v>3908</v>
      </c>
      <c r="D3" s="419" t="s">
        <v>3909</v>
      </c>
      <c r="E3" s="419" t="s">
        <v>3910</v>
      </c>
      <c r="F3" s="419" t="s">
        <v>3911</v>
      </c>
      <c r="G3" s="419" t="s">
        <v>3912</v>
      </c>
    </row>
    <row r="4" spans="1:7" ht="30">
      <c r="A4" s="4728"/>
      <c r="B4" s="419" t="s">
        <v>3913</v>
      </c>
      <c r="C4" s="419" t="s">
        <v>3914</v>
      </c>
      <c r="D4" s="420" t="s">
        <v>3915</v>
      </c>
      <c r="E4" s="419" t="s">
        <v>3916</v>
      </c>
      <c r="F4" s="419" t="s">
        <v>3917</v>
      </c>
      <c r="G4" s="419" t="s">
        <v>3918</v>
      </c>
    </row>
    <row r="5" spans="1:7">
      <c r="A5" s="4728"/>
      <c r="B5" s="4728" t="s">
        <v>802</v>
      </c>
      <c r="C5" s="4729" t="s">
        <v>3919</v>
      </c>
      <c r="D5" s="4729" t="s">
        <v>3920</v>
      </c>
      <c r="E5" s="4729" t="s">
        <v>3921</v>
      </c>
      <c r="F5" s="419" t="s">
        <v>3917</v>
      </c>
      <c r="G5" s="419"/>
    </row>
    <row r="6" spans="1:7" ht="30">
      <c r="A6" s="4728"/>
      <c r="B6" s="4728"/>
      <c r="C6" s="4729"/>
      <c r="D6" s="4729"/>
      <c r="E6" s="4729"/>
      <c r="F6" s="419" t="s">
        <v>3922</v>
      </c>
      <c r="G6" s="419"/>
    </row>
    <row r="7" spans="1:7" ht="30">
      <c r="A7" s="4728"/>
      <c r="B7" s="4728"/>
      <c r="C7" s="4729"/>
      <c r="D7" s="4729"/>
      <c r="E7" s="4729"/>
      <c r="F7" s="419" t="s">
        <v>3923</v>
      </c>
      <c r="G7" s="419"/>
    </row>
    <row r="8" spans="1:7" ht="45">
      <c r="A8" s="4728" t="s">
        <v>3924</v>
      </c>
      <c r="B8" s="419" t="s">
        <v>774</v>
      </c>
      <c r="C8" s="419" t="s">
        <v>3925</v>
      </c>
      <c r="D8" s="419" t="s">
        <v>3926</v>
      </c>
      <c r="E8" s="419" t="s">
        <v>3927</v>
      </c>
      <c r="F8" s="419" t="s">
        <v>3928</v>
      </c>
      <c r="G8" s="419"/>
    </row>
    <row r="9" spans="1:7">
      <c r="A9" s="4728"/>
      <c r="B9" s="4728" t="s">
        <v>2904</v>
      </c>
      <c r="C9" s="4728" t="s">
        <v>3929</v>
      </c>
      <c r="D9" s="4728" t="s">
        <v>3930</v>
      </c>
      <c r="E9" s="4728" t="s">
        <v>3931</v>
      </c>
      <c r="F9" s="4728" t="s">
        <v>3917</v>
      </c>
      <c r="G9" s="4728"/>
    </row>
    <row r="10" spans="1:7">
      <c r="A10" s="4728"/>
      <c r="B10" s="4728"/>
      <c r="C10" s="4728"/>
      <c r="D10" s="4728"/>
      <c r="E10" s="4728"/>
      <c r="F10" s="4728"/>
      <c r="G10" s="4728"/>
    </row>
    <row r="11" spans="1:7" ht="45">
      <c r="A11" s="4728"/>
      <c r="B11" s="419" t="s">
        <v>802</v>
      </c>
      <c r="C11" s="419" t="s">
        <v>3932</v>
      </c>
      <c r="D11" s="419" t="s">
        <v>3933</v>
      </c>
      <c r="E11" s="419" t="s">
        <v>3934</v>
      </c>
      <c r="F11" s="419" t="s">
        <v>3935</v>
      </c>
      <c r="G11" s="419"/>
    </row>
    <row r="12" spans="1:7" ht="30">
      <c r="A12" s="4728" t="s">
        <v>3936</v>
      </c>
      <c r="B12" s="419" t="s">
        <v>3937</v>
      </c>
      <c r="C12" s="4728" t="s">
        <v>3938</v>
      </c>
      <c r="D12" s="4728" t="s">
        <v>3939</v>
      </c>
      <c r="E12" s="4728" t="s">
        <v>3940</v>
      </c>
      <c r="F12" s="55" t="s">
        <v>3941</v>
      </c>
      <c r="G12" s="55"/>
    </row>
    <row r="13" spans="1:7" ht="30">
      <c r="A13" s="4728"/>
      <c r="B13" s="419" t="s">
        <v>3942</v>
      </c>
      <c r="C13" s="4728"/>
      <c r="D13" s="4728"/>
      <c r="E13" s="4728"/>
      <c r="F13" s="419" t="s">
        <v>3943</v>
      </c>
      <c r="G13" s="419"/>
    </row>
    <row r="14" spans="1:7" ht="60">
      <c r="A14" s="4728"/>
      <c r="B14" s="4728" t="s">
        <v>3944</v>
      </c>
      <c r="C14" s="419" t="s">
        <v>3945</v>
      </c>
      <c r="D14" s="419" t="s">
        <v>3946</v>
      </c>
      <c r="E14" s="4728" t="s">
        <v>3947</v>
      </c>
      <c r="F14" s="419" t="s">
        <v>3948</v>
      </c>
      <c r="G14" s="419"/>
    </row>
    <row r="15" spans="1:7" ht="60">
      <c r="A15" s="4728"/>
      <c r="B15" s="4728"/>
      <c r="C15" s="419" t="s">
        <v>3949</v>
      </c>
      <c r="D15" s="419" t="s">
        <v>3950</v>
      </c>
      <c r="E15" s="4728"/>
      <c r="F15" s="419" t="s">
        <v>3943</v>
      </c>
      <c r="G15" s="419"/>
    </row>
    <row r="16" spans="1:7" ht="30">
      <c r="A16" s="4728"/>
      <c r="B16" s="419" t="s">
        <v>1202</v>
      </c>
      <c r="C16" s="419" t="s">
        <v>3951</v>
      </c>
      <c r="D16" s="419" t="s">
        <v>3952</v>
      </c>
      <c r="E16" s="419" t="s">
        <v>3947</v>
      </c>
      <c r="F16" s="419" t="s">
        <v>3943</v>
      </c>
      <c r="G16" s="419"/>
    </row>
    <row r="17" spans="1:7">
      <c r="A17" s="4728" t="s">
        <v>1187</v>
      </c>
      <c r="B17" s="419" t="s">
        <v>3896</v>
      </c>
      <c r="C17" s="4728" t="s">
        <v>3953</v>
      </c>
      <c r="D17" s="4728"/>
      <c r="E17" s="4728" t="s">
        <v>3954</v>
      </c>
      <c r="F17" s="4728" t="s">
        <v>3955</v>
      </c>
      <c r="G17" s="4728"/>
    </row>
    <row r="18" spans="1:7">
      <c r="A18" s="4728"/>
      <c r="B18" s="419" t="s">
        <v>1539</v>
      </c>
      <c r="C18" s="4728"/>
      <c r="D18" s="4728"/>
      <c r="E18" s="4728"/>
      <c r="F18" s="4728"/>
      <c r="G18" s="4728"/>
    </row>
  </sheetData>
  <mergeCells count="25">
    <mergeCell ref="G9:G10"/>
    <mergeCell ref="G17:G18"/>
    <mergeCell ref="F9:F10"/>
    <mergeCell ref="A8:A11"/>
    <mergeCell ref="B9:B10"/>
    <mergeCell ref="C9:C10"/>
    <mergeCell ref="D9:D10"/>
    <mergeCell ref="E9:E10"/>
    <mergeCell ref="A12:A16"/>
    <mergeCell ref="C12:C13"/>
    <mergeCell ref="F17:F18"/>
    <mergeCell ref="D12:D13"/>
    <mergeCell ref="E12:E13"/>
    <mergeCell ref="B14:B15"/>
    <mergeCell ref="E14:E15"/>
    <mergeCell ref="A17:A18"/>
    <mergeCell ref="C17:C18"/>
    <mergeCell ref="D17:D18"/>
    <mergeCell ref="E17:E18"/>
    <mergeCell ref="A1:F1"/>
    <mergeCell ref="A3:A7"/>
    <mergeCell ref="B5:B7"/>
    <mergeCell ref="C5:C7"/>
    <mergeCell ref="D5:D7"/>
    <mergeCell ref="E5:E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2:Q136"/>
  <sheetViews>
    <sheetView showGridLines="0" topLeftCell="A80" zoomScaleNormal="100" zoomScalePageLayoutView="125" workbookViewId="0">
      <selection activeCell="D42" sqref="A42:XFD42"/>
    </sheetView>
  </sheetViews>
  <sheetFormatPr baseColWidth="10" defaultColWidth="85.5" defaultRowHeight="12" outlineLevelRow="3"/>
  <cols>
    <col min="1" max="1" width="0.5" style="56" customWidth="1"/>
    <col min="2" max="2" width="34.5" style="213" customWidth="1"/>
    <col min="3" max="3" width="12.5" style="214" customWidth="1"/>
    <col min="4" max="4" width="7" style="56" customWidth="1"/>
    <col min="5" max="5" width="7.5" style="214" customWidth="1"/>
    <col min="6" max="6" width="7.5" style="214" hidden="1" customWidth="1"/>
    <col min="7" max="7" width="9.5" style="214" customWidth="1"/>
    <col min="8" max="8" width="12.5" style="214" customWidth="1"/>
    <col min="9" max="9" width="10.5" style="214" customWidth="1"/>
    <col min="10" max="11" width="7.5" style="214" customWidth="1"/>
    <col min="12" max="12" width="11.5" style="214" customWidth="1"/>
    <col min="13" max="13" width="7.5" style="214" customWidth="1"/>
    <col min="14" max="14" width="10.5" style="56" customWidth="1"/>
    <col min="15" max="15" width="11" style="56" customWidth="1"/>
    <col min="16" max="16" width="38.5" style="386" customWidth="1"/>
    <col min="17" max="17" width="26" style="56" customWidth="1"/>
    <col min="18" max="19" width="18.83203125" style="56" customWidth="1"/>
    <col min="20" max="16384" width="85.5" style="56"/>
  </cols>
  <sheetData>
    <row r="2" spans="2:17">
      <c r="B2" s="3598" t="s">
        <v>136</v>
      </c>
      <c r="C2" s="3598"/>
      <c r="D2" s="3598"/>
      <c r="E2" s="3598"/>
      <c r="F2" s="3598"/>
      <c r="G2" s="3598"/>
      <c r="H2" s="3598"/>
      <c r="I2" s="3598"/>
      <c r="J2" s="3598"/>
      <c r="K2" s="3598"/>
      <c r="L2" s="3598"/>
      <c r="M2" s="3598"/>
      <c r="N2" s="3598"/>
      <c r="O2" s="3598"/>
      <c r="P2" s="3598"/>
    </row>
    <row r="3" spans="2:17" ht="13" outlineLevel="2">
      <c r="B3" s="771" t="s">
        <v>137</v>
      </c>
      <c r="C3" s="3600" t="s">
        <v>138</v>
      </c>
      <c r="D3" s="3600"/>
      <c r="E3" s="3600"/>
      <c r="F3" s="3600"/>
      <c r="G3" s="3600"/>
      <c r="H3" s="3600"/>
      <c r="I3" s="3600"/>
      <c r="J3" s="3600"/>
      <c r="K3" s="3600"/>
      <c r="L3" s="3600"/>
      <c r="M3" s="3600"/>
      <c r="N3" s="3600"/>
      <c r="O3" s="3600"/>
      <c r="P3" s="3600"/>
    </row>
    <row r="4" spans="2:17" ht="13" outlineLevel="2">
      <c r="B4" s="771" t="s">
        <v>139</v>
      </c>
      <c r="C4" s="3599" t="s">
        <v>140</v>
      </c>
      <c r="D4" s="3599"/>
      <c r="E4" s="3599"/>
      <c r="F4" s="3599"/>
      <c r="G4" s="3599"/>
      <c r="H4" s="3599"/>
      <c r="I4" s="3599"/>
      <c r="J4" s="3599"/>
      <c r="K4" s="3599"/>
      <c r="L4" s="3599"/>
      <c r="M4" s="3599"/>
      <c r="N4" s="3599"/>
      <c r="O4" s="3599"/>
      <c r="P4" s="3599"/>
    </row>
    <row r="5" spans="2:17" ht="36.5" customHeight="1" outlineLevel="2">
      <c r="B5" s="771" t="s">
        <v>141</v>
      </c>
      <c r="C5" s="3599" t="s">
        <v>142</v>
      </c>
      <c r="D5" s="3599"/>
      <c r="E5" s="3599"/>
      <c r="F5" s="3599"/>
      <c r="G5" s="3599"/>
      <c r="H5" s="3599"/>
      <c r="I5" s="3599"/>
      <c r="J5" s="3599"/>
      <c r="K5" s="3599"/>
      <c r="L5" s="3599"/>
      <c r="M5" s="3599"/>
      <c r="N5" s="3599"/>
      <c r="O5" s="3599"/>
      <c r="P5" s="3599"/>
    </row>
    <row r="6" spans="2:17" outlineLevel="1">
      <c r="B6" s="215"/>
      <c r="C6" s="215"/>
      <c r="D6" s="216"/>
      <c r="E6" s="216"/>
      <c r="F6" s="216"/>
      <c r="G6" s="216"/>
      <c r="H6" s="216"/>
      <c r="I6" s="216"/>
      <c r="J6" s="216"/>
      <c r="K6" s="217"/>
      <c r="L6" s="217"/>
      <c r="M6" s="217"/>
      <c r="N6" s="217"/>
      <c r="O6" s="218"/>
      <c r="P6" s="387"/>
      <c r="Q6" s="212"/>
    </row>
    <row r="7" spans="2:17" outlineLevel="1">
      <c r="B7" s="3627" t="s">
        <v>143</v>
      </c>
      <c r="C7" s="3628"/>
      <c r="D7" s="3628"/>
      <c r="E7" s="3628"/>
      <c r="F7" s="3628"/>
      <c r="G7" s="3628"/>
      <c r="H7" s="3628"/>
      <c r="I7" s="3628"/>
      <c r="J7" s="3628"/>
      <c r="K7" s="3628"/>
      <c r="L7" s="3628"/>
      <c r="M7" s="3628"/>
      <c r="N7" s="3628"/>
      <c r="O7" s="3628"/>
      <c r="P7" s="3629"/>
      <c r="Q7" s="212"/>
    </row>
    <row r="8" spans="2:17" outlineLevel="2">
      <c r="B8" s="3607" t="s">
        <v>144</v>
      </c>
      <c r="C8" s="3607"/>
      <c r="D8" s="3601" t="s">
        <v>145</v>
      </c>
      <c r="E8" s="3601" t="s">
        <v>146</v>
      </c>
      <c r="F8" s="772"/>
      <c r="G8" s="772"/>
      <c r="H8" s="3601" t="s">
        <v>147</v>
      </c>
      <c r="I8" s="3601" t="s">
        <v>148</v>
      </c>
      <c r="J8" s="3601"/>
      <c r="K8" s="3601" t="s">
        <v>149</v>
      </c>
      <c r="L8" s="3601"/>
      <c r="M8" s="3601" t="s">
        <v>150</v>
      </c>
      <c r="N8" s="3601"/>
      <c r="O8" s="3601" t="s">
        <v>151</v>
      </c>
      <c r="P8" s="3601"/>
      <c r="Q8" s="212"/>
    </row>
    <row r="9" spans="2:17" ht="22.5" customHeight="1" outlineLevel="2">
      <c r="B9" s="3607"/>
      <c r="C9" s="3607"/>
      <c r="D9" s="3601"/>
      <c r="E9" s="3601"/>
      <c r="F9" s="772"/>
      <c r="G9" s="772"/>
      <c r="H9" s="3601"/>
      <c r="I9" s="772" t="s">
        <v>152</v>
      </c>
      <c r="J9" s="772" t="s">
        <v>153</v>
      </c>
      <c r="K9" s="772" t="s">
        <v>152</v>
      </c>
      <c r="L9" s="772" t="s">
        <v>153</v>
      </c>
      <c r="M9" s="3601"/>
      <c r="N9" s="3601"/>
      <c r="O9" s="3601"/>
      <c r="P9" s="3601"/>
      <c r="Q9" s="212"/>
    </row>
    <row r="10" spans="2:17" s="1108" customFormat="1" outlineLevel="2">
      <c r="B10" s="3590" t="s">
        <v>154</v>
      </c>
      <c r="C10" s="3590"/>
      <c r="D10" s="3590"/>
      <c r="E10" s="3590"/>
      <c r="F10" s="3590"/>
      <c r="G10" s="3590"/>
      <c r="H10" s="3590"/>
      <c r="I10" s="3590"/>
      <c r="J10" s="3590"/>
      <c r="K10" s="3590"/>
      <c r="L10" s="3590"/>
      <c r="M10" s="3590"/>
      <c r="N10" s="3590"/>
      <c r="O10" s="3590"/>
      <c r="P10" s="3590"/>
      <c r="Q10" s="1107"/>
    </row>
    <row r="11" spans="2:17" ht="30" hidden="1" customHeight="1" outlineLevel="3">
      <c r="B11" s="3591" t="s">
        <v>406</v>
      </c>
      <c r="C11" s="3592"/>
      <c r="D11" s="1806" t="s">
        <v>156</v>
      </c>
      <c r="E11" s="1806">
        <v>0</v>
      </c>
      <c r="F11" s="1806"/>
      <c r="G11" s="1806"/>
      <c r="H11" s="1806">
        <v>2022</v>
      </c>
      <c r="I11" s="1806" t="s">
        <v>157</v>
      </c>
      <c r="J11" s="1806" t="s">
        <v>157</v>
      </c>
      <c r="K11" s="1806">
        <v>60</v>
      </c>
      <c r="L11" s="1806">
        <v>2028</v>
      </c>
      <c r="M11" s="3589" t="s">
        <v>158</v>
      </c>
      <c r="N11" s="3589"/>
      <c r="O11" s="3589"/>
      <c r="P11" s="3589"/>
      <c r="Q11" s="212" t="s">
        <v>159</v>
      </c>
    </row>
    <row r="12" spans="2:17" ht="47.5" hidden="1" customHeight="1" outlineLevel="3">
      <c r="B12" s="3591" t="s">
        <v>160</v>
      </c>
      <c r="C12" s="3592"/>
      <c r="D12" s="1806" t="s">
        <v>156</v>
      </c>
      <c r="E12" s="1806">
        <v>58.43</v>
      </c>
      <c r="F12" s="1806"/>
      <c r="G12" s="1806"/>
      <c r="H12" s="1806">
        <v>2022</v>
      </c>
      <c r="I12" s="1806" t="s">
        <v>157</v>
      </c>
      <c r="J12" s="1806" t="s">
        <v>157</v>
      </c>
      <c r="K12" s="1806">
        <v>45</v>
      </c>
      <c r="L12" s="1806">
        <v>2028</v>
      </c>
      <c r="M12" s="3589" t="s">
        <v>158</v>
      </c>
      <c r="N12" s="3589"/>
      <c r="O12" s="3589" t="s">
        <v>161</v>
      </c>
      <c r="P12" s="3589"/>
      <c r="Q12" s="212" t="s">
        <v>162</v>
      </c>
    </row>
    <row r="13" spans="2:17" ht="35" hidden="1" customHeight="1" outlineLevel="3">
      <c r="B13" s="3591" t="s">
        <v>163</v>
      </c>
      <c r="C13" s="3592"/>
      <c r="D13" s="1806" t="s">
        <v>156</v>
      </c>
      <c r="E13" s="1806">
        <v>7.64</v>
      </c>
      <c r="F13" s="1806"/>
      <c r="G13" s="1806"/>
      <c r="H13" s="1806">
        <v>2022</v>
      </c>
      <c r="I13" s="1806" t="s">
        <v>157</v>
      </c>
      <c r="J13" s="1806" t="s">
        <v>157</v>
      </c>
      <c r="K13" s="1806">
        <v>10</v>
      </c>
      <c r="L13" s="1806">
        <v>2028</v>
      </c>
      <c r="M13" s="3589" t="s">
        <v>158</v>
      </c>
      <c r="N13" s="3589"/>
      <c r="O13" s="3589" t="s">
        <v>164</v>
      </c>
      <c r="P13" s="3589"/>
      <c r="Q13" s="212"/>
    </row>
    <row r="14" spans="2:17" ht="32.5" hidden="1" customHeight="1" outlineLevel="3">
      <c r="B14" s="3593" t="s">
        <v>165</v>
      </c>
      <c r="C14" s="3594"/>
      <c r="D14" s="1806" t="s">
        <v>156</v>
      </c>
      <c r="E14" s="1806">
        <v>0</v>
      </c>
      <c r="F14" s="1806"/>
      <c r="G14" s="1806"/>
      <c r="H14" s="1806">
        <v>2022</v>
      </c>
      <c r="I14" s="1806" t="s">
        <v>157</v>
      </c>
      <c r="J14" s="1806" t="s">
        <v>157</v>
      </c>
      <c r="K14" s="1806">
        <v>60</v>
      </c>
      <c r="L14" s="1806">
        <v>2028</v>
      </c>
      <c r="M14" s="3589" t="s">
        <v>166</v>
      </c>
      <c r="N14" s="3589"/>
      <c r="O14" s="3589" t="s">
        <v>167</v>
      </c>
      <c r="P14" s="3589"/>
      <c r="Q14" s="212" t="s">
        <v>168</v>
      </c>
    </row>
    <row r="15" spans="2:17" s="1108" customFormat="1" outlineLevel="2" collapsed="1">
      <c r="B15" s="3626" t="s">
        <v>169</v>
      </c>
      <c r="C15" s="3626"/>
      <c r="D15" s="3626"/>
      <c r="E15" s="3626"/>
      <c r="F15" s="3626"/>
      <c r="G15" s="3626"/>
      <c r="H15" s="3626"/>
      <c r="I15" s="3626"/>
      <c r="J15" s="3626"/>
      <c r="K15" s="3626"/>
      <c r="L15" s="3626"/>
      <c r="M15" s="3626"/>
      <c r="N15" s="3626"/>
      <c r="O15" s="3626"/>
      <c r="P15" s="3626"/>
      <c r="Q15" s="1107"/>
    </row>
    <row r="16" spans="2:17" ht="56.5" hidden="1" customHeight="1" outlineLevel="3">
      <c r="B16" s="3560" t="s">
        <v>170</v>
      </c>
      <c r="C16" s="3560"/>
      <c r="D16" s="2083" t="s">
        <v>156</v>
      </c>
      <c r="E16" s="2083">
        <v>0</v>
      </c>
      <c r="F16" s="2083"/>
      <c r="G16" s="2083"/>
      <c r="H16" s="2083">
        <v>2022</v>
      </c>
      <c r="I16" s="2083" t="s">
        <v>157</v>
      </c>
      <c r="J16" s="2083" t="s">
        <v>157</v>
      </c>
      <c r="K16" s="2083">
        <v>30</v>
      </c>
      <c r="L16" s="2083">
        <v>2028</v>
      </c>
      <c r="M16" s="3560" t="s">
        <v>171</v>
      </c>
      <c r="N16" s="3560"/>
      <c r="O16" s="3560" t="s">
        <v>360</v>
      </c>
      <c r="P16" s="3560"/>
      <c r="Q16" s="212"/>
    </row>
    <row r="17" spans="2:17" s="1108" customFormat="1" outlineLevel="2" collapsed="1">
      <c r="B17" s="3624" t="s">
        <v>173</v>
      </c>
      <c r="C17" s="3624"/>
      <c r="D17" s="3624"/>
      <c r="E17" s="3624"/>
      <c r="F17" s="3624"/>
      <c r="G17" s="3624"/>
      <c r="H17" s="3624"/>
      <c r="I17" s="3624"/>
      <c r="J17" s="3624"/>
      <c r="K17" s="3624"/>
      <c r="L17" s="3624"/>
      <c r="M17" s="3624"/>
      <c r="N17" s="3624"/>
      <c r="O17" s="3624"/>
      <c r="P17" s="3624"/>
      <c r="Q17" s="1107"/>
    </row>
    <row r="18" spans="2:17" ht="32" hidden="1" customHeight="1" outlineLevel="3">
      <c r="B18" s="3560" t="s">
        <v>174</v>
      </c>
      <c r="C18" s="3560"/>
      <c r="D18" s="2380" t="s">
        <v>156</v>
      </c>
      <c r="E18" s="2380">
        <v>12.8</v>
      </c>
      <c r="F18" s="2083"/>
      <c r="G18" s="2083"/>
      <c r="H18" s="2380">
        <v>2022</v>
      </c>
      <c r="I18" s="2083" t="s">
        <v>157</v>
      </c>
      <c r="J18" s="2083" t="s">
        <v>157</v>
      </c>
      <c r="K18" s="2381">
        <v>0.05</v>
      </c>
      <c r="L18" s="2380">
        <v>2028</v>
      </c>
      <c r="M18" s="3560" t="s">
        <v>175</v>
      </c>
      <c r="N18" s="3560"/>
      <c r="O18" s="3625" t="s">
        <v>176</v>
      </c>
      <c r="P18" s="3625"/>
      <c r="Q18" s="212"/>
    </row>
    <row r="19" spans="2:17" ht="41.5" hidden="1" customHeight="1" outlineLevel="3">
      <c r="B19" s="3560" t="s">
        <v>177</v>
      </c>
      <c r="C19" s="3560"/>
      <c r="D19" s="2083" t="s">
        <v>178</v>
      </c>
      <c r="E19" s="2083">
        <v>172</v>
      </c>
      <c r="F19" s="2083"/>
      <c r="G19" s="2083"/>
      <c r="H19" s="2083">
        <v>2022</v>
      </c>
      <c r="I19" s="2083" t="s">
        <v>157</v>
      </c>
      <c r="J19" s="2083" t="s">
        <v>157</v>
      </c>
      <c r="K19" s="2083">
        <v>100</v>
      </c>
      <c r="L19" s="2083">
        <v>2028</v>
      </c>
      <c r="M19" s="3560" t="s">
        <v>175</v>
      </c>
      <c r="N19" s="3560"/>
      <c r="O19" s="3560"/>
      <c r="P19" s="3560"/>
      <c r="Q19" s="212"/>
    </row>
    <row r="20" spans="2:17" ht="41" hidden="1" customHeight="1" outlineLevel="3">
      <c r="B20" s="3560" t="s">
        <v>179</v>
      </c>
      <c r="C20" s="3560"/>
      <c r="D20" s="2083" t="s">
        <v>180</v>
      </c>
      <c r="E20" s="2083">
        <v>3</v>
      </c>
      <c r="F20" s="2083"/>
      <c r="G20" s="2083"/>
      <c r="H20" s="2083">
        <v>2022</v>
      </c>
      <c r="I20" s="2083" t="s">
        <v>157</v>
      </c>
      <c r="J20" s="2083" t="s">
        <v>157</v>
      </c>
      <c r="K20" s="2083">
        <v>1</v>
      </c>
      <c r="L20" s="2083">
        <v>2028</v>
      </c>
      <c r="M20" s="3560" t="s">
        <v>175</v>
      </c>
      <c r="N20" s="3560"/>
      <c r="O20" s="3560" t="s">
        <v>181</v>
      </c>
      <c r="P20" s="3560"/>
      <c r="Q20" s="212"/>
    </row>
    <row r="21" spans="2:17" ht="39.5" hidden="1" customHeight="1" outlineLevel="3">
      <c r="B21" s="3560" t="s">
        <v>182</v>
      </c>
      <c r="C21" s="3560"/>
      <c r="D21" s="2083" t="s">
        <v>156</v>
      </c>
      <c r="E21" s="2083">
        <v>17</v>
      </c>
      <c r="F21" s="2083"/>
      <c r="G21" s="2083"/>
      <c r="H21" s="2083">
        <v>2022</v>
      </c>
      <c r="I21" s="2083" t="s">
        <v>157</v>
      </c>
      <c r="J21" s="2083" t="s">
        <v>157</v>
      </c>
      <c r="K21" s="2083">
        <v>5</v>
      </c>
      <c r="L21" s="2083">
        <v>2028</v>
      </c>
      <c r="M21" s="3560" t="s">
        <v>175</v>
      </c>
      <c r="N21" s="3560"/>
      <c r="O21" s="3560" t="s">
        <v>183</v>
      </c>
      <c r="P21" s="3560"/>
      <c r="Q21" s="212"/>
    </row>
    <row r="22" spans="2:17" outlineLevel="2" collapsed="1">
      <c r="B22" s="217"/>
      <c r="C22" s="217"/>
      <c r="D22" s="216"/>
      <c r="E22" s="216"/>
      <c r="F22" s="216"/>
      <c r="G22" s="216"/>
      <c r="H22" s="216"/>
      <c r="I22" s="216"/>
      <c r="J22" s="216"/>
      <c r="K22" s="217"/>
      <c r="L22" s="217"/>
      <c r="M22" s="217"/>
      <c r="N22" s="216"/>
      <c r="O22" s="216"/>
      <c r="P22" s="216"/>
      <c r="Q22" s="212"/>
    </row>
    <row r="23" spans="2:17" outlineLevel="1">
      <c r="B23" s="215"/>
      <c r="C23" s="215"/>
      <c r="D23" s="216"/>
      <c r="E23" s="216"/>
      <c r="F23" s="216"/>
      <c r="G23" s="216"/>
      <c r="H23" s="216"/>
      <c r="I23" s="216"/>
      <c r="J23" s="216"/>
      <c r="K23" s="217"/>
      <c r="L23" s="217"/>
      <c r="M23" s="217"/>
      <c r="N23" s="217"/>
      <c r="O23" s="218"/>
      <c r="P23" s="387"/>
      <c r="Q23" s="212"/>
    </row>
    <row r="24" spans="2:17">
      <c r="B24" s="3617" t="e">
        <f>+'8_MP'!#REF!</f>
        <v>#REF!</v>
      </c>
      <c r="C24" s="3617"/>
      <c r="D24" s="3617"/>
      <c r="E24" s="3617"/>
      <c r="F24" s="3617"/>
      <c r="G24" s="3617"/>
      <c r="H24" s="3617"/>
      <c r="I24" s="3617"/>
      <c r="J24" s="3617"/>
      <c r="K24" s="3617"/>
      <c r="L24" s="3617"/>
      <c r="M24" s="3617"/>
      <c r="N24" s="3617"/>
      <c r="O24" s="3617"/>
      <c r="P24" s="3617"/>
    </row>
    <row r="25" spans="2:17" ht="39">
      <c r="B25" s="2103" t="s">
        <v>184</v>
      </c>
      <c r="C25" s="2104" t="s">
        <v>185</v>
      </c>
      <c r="D25" s="2104" t="s">
        <v>186</v>
      </c>
      <c r="E25" s="2104" t="s">
        <v>147</v>
      </c>
      <c r="F25" s="2104"/>
      <c r="G25" s="2104" t="s">
        <v>361</v>
      </c>
      <c r="H25" s="2104" t="s">
        <v>188</v>
      </c>
      <c r="I25" s="2104" t="s">
        <v>189</v>
      </c>
      <c r="J25" s="2104" t="s">
        <v>190</v>
      </c>
      <c r="K25" s="2104" t="s">
        <v>191</v>
      </c>
      <c r="L25" s="2104" t="s">
        <v>192</v>
      </c>
      <c r="M25" s="2104" t="s">
        <v>193</v>
      </c>
      <c r="N25" s="3622" t="s">
        <v>194</v>
      </c>
      <c r="O25" s="3622"/>
      <c r="P25" s="2104" t="s">
        <v>151</v>
      </c>
    </row>
    <row r="26" spans="2:17">
      <c r="B26" s="3617" t="str">
        <f>+'8_MP'!H8</f>
        <v>Subcomponente 1.1 Transparencia en finanzas públicas</v>
      </c>
      <c r="C26" s="3617"/>
      <c r="D26" s="3617"/>
      <c r="E26" s="3617"/>
      <c r="F26" s="3617"/>
      <c r="G26" s="3617"/>
      <c r="H26" s="3617"/>
      <c r="I26" s="3617"/>
      <c r="J26" s="3617"/>
      <c r="K26" s="3617"/>
      <c r="L26" s="3617"/>
      <c r="M26" s="3617"/>
      <c r="N26" s="3617"/>
      <c r="O26" s="3617"/>
      <c r="P26" s="3617"/>
    </row>
    <row r="27" spans="2:17" ht="72" outlineLevel="1">
      <c r="B27" s="2365" t="str">
        <f>+'8_MP'!H9</f>
        <v xml:space="preserve">Producto 1: Procesos de interoperabilidad en MH, MEPyD, DGCP y CGRD, implementados. Incluye SIGEF ajustado al presupuesto plurianual </v>
      </c>
      <c r="C27" s="2366" t="s">
        <v>196</v>
      </c>
      <c r="D27" s="2367">
        <v>0</v>
      </c>
      <c r="E27" s="2368">
        <v>2022</v>
      </c>
      <c r="F27" s="2368"/>
      <c r="G27" s="2368" t="s">
        <v>157</v>
      </c>
      <c r="H27" s="2368" t="s">
        <v>157</v>
      </c>
      <c r="I27" s="2368" t="s">
        <v>157</v>
      </c>
      <c r="J27" s="2368">
        <v>1</v>
      </c>
      <c r="K27" s="2368">
        <v>1</v>
      </c>
      <c r="L27" s="2368">
        <v>1</v>
      </c>
      <c r="M27" s="2368">
        <f t="shared" ref="M27:M40" si="0">SUM(G27:L27)</f>
        <v>3</v>
      </c>
      <c r="N27" s="3635" t="s">
        <v>197</v>
      </c>
      <c r="O27" s="3635"/>
      <c r="P27" s="2369" t="s">
        <v>198</v>
      </c>
    </row>
    <row r="28" spans="2:17" s="2466" customFormat="1" ht="39.5" customHeight="1" outlineLevel="1">
      <c r="B28" s="2357" t="s">
        <v>407</v>
      </c>
      <c r="C28" s="2338" t="s">
        <v>196</v>
      </c>
      <c r="D28" s="2339">
        <v>0</v>
      </c>
      <c r="E28" s="2340">
        <v>2022</v>
      </c>
      <c r="F28" s="2340"/>
      <c r="G28" s="2341" t="s">
        <v>157</v>
      </c>
      <c r="H28" s="2355">
        <v>4</v>
      </c>
      <c r="I28" s="2341" t="s">
        <v>157</v>
      </c>
      <c r="J28" s="2341" t="s">
        <v>157</v>
      </c>
      <c r="K28" s="2341" t="s">
        <v>157</v>
      </c>
      <c r="L28" s="2341" t="s">
        <v>157</v>
      </c>
      <c r="M28" s="2465">
        <f>SUM(G28:L28)</f>
        <v>4</v>
      </c>
      <c r="N28" s="3630" t="s">
        <v>408</v>
      </c>
      <c r="O28" s="3630"/>
      <c r="P28" s="2448" t="s">
        <v>409</v>
      </c>
    </row>
    <row r="29" spans="2:17" s="2466" customFormat="1" ht="39.5" customHeight="1" outlineLevel="1">
      <c r="B29" s="2357" t="s">
        <v>410</v>
      </c>
      <c r="C29" s="2338" t="s">
        <v>196</v>
      </c>
      <c r="D29" s="2339">
        <v>0</v>
      </c>
      <c r="E29" s="2340">
        <v>2022</v>
      </c>
      <c r="F29" s="2340"/>
      <c r="G29" s="2341" t="s">
        <v>157</v>
      </c>
      <c r="H29" s="2355">
        <v>4</v>
      </c>
      <c r="I29" s="2341" t="s">
        <v>157</v>
      </c>
      <c r="J29" s="2341" t="s">
        <v>157</v>
      </c>
      <c r="K29" s="2341" t="s">
        <v>157</v>
      </c>
      <c r="L29" s="2341" t="s">
        <v>157</v>
      </c>
      <c r="M29" s="2465">
        <f>SUM(G29:L29)</f>
        <v>4</v>
      </c>
      <c r="N29" s="3630" t="s">
        <v>408</v>
      </c>
      <c r="O29" s="3630"/>
      <c r="P29" s="2448" t="s">
        <v>411</v>
      </c>
    </row>
    <row r="30" spans="2:17" s="2466" customFormat="1" ht="60" customHeight="1" outlineLevel="1">
      <c r="B30" s="2357" t="s">
        <v>412</v>
      </c>
      <c r="C30" s="2338" t="s">
        <v>196</v>
      </c>
      <c r="D30" s="2339">
        <v>0</v>
      </c>
      <c r="E30" s="2340">
        <v>2022</v>
      </c>
      <c r="F30" s="2340"/>
      <c r="G30" s="2341" t="s">
        <v>157</v>
      </c>
      <c r="H30" s="2355">
        <v>4</v>
      </c>
      <c r="I30" s="2341" t="s">
        <v>157</v>
      </c>
      <c r="J30" s="2341" t="s">
        <v>157</v>
      </c>
      <c r="K30" s="2341" t="s">
        <v>157</v>
      </c>
      <c r="L30" s="2341" t="s">
        <v>157</v>
      </c>
      <c r="M30" s="2465">
        <f>SUM(G30:L30)</f>
        <v>4</v>
      </c>
      <c r="N30" s="3630" t="s">
        <v>408</v>
      </c>
      <c r="O30" s="3630"/>
      <c r="P30" s="2448" t="s">
        <v>413</v>
      </c>
    </row>
    <row r="31" spans="2:17" s="1228" customFormat="1" ht="36" outlineLevel="1">
      <c r="B31" s="2467" t="s">
        <v>414</v>
      </c>
      <c r="C31" s="2358" t="s">
        <v>200</v>
      </c>
      <c r="D31" s="2438">
        <v>0</v>
      </c>
      <c r="E31" s="2341">
        <v>2022</v>
      </c>
      <c r="F31" s="2341"/>
      <c r="G31" s="2341" t="s">
        <v>157</v>
      </c>
      <c r="H31" s="2341" t="s">
        <v>157</v>
      </c>
      <c r="I31" s="2355">
        <v>1</v>
      </c>
      <c r="J31" s="2341" t="s">
        <v>157</v>
      </c>
      <c r="K31" s="2341" t="s">
        <v>157</v>
      </c>
      <c r="L31" s="2341" t="s">
        <v>157</v>
      </c>
      <c r="M31" s="2341">
        <f t="shared" si="0"/>
        <v>1</v>
      </c>
      <c r="N31" s="3631"/>
      <c r="O31" s="3631"/>
      <c r="P31" s="2468"/>
    </row>
    <row r="32" spans="2:17" ht="30" customHeight="1" outlineLevel="1">
      <c r="B32" s="2365" t="str">
        <f>+'8_MP'!H52</f>
        <v>Producto 2: Portal de transparencia fiscal y Tablero de control con funcionalidades analíticas, desarrollados</v>
      </c>
      <c r="C32" s="2366" t="s">
        <v>201</v>
      </c>
      <c r="D32" s="2367">
        <v>0</v>
      </c>
      <c r="E32" s="2368">
        <v>2022</v>
      </c>
      <c r="F32" s="2368"/>
      <c r="G32" s="2368" t="s">
        <v>157</v>
      </c>
      <c r="H32" s="2368" t="s">
        <v>157</v>
      </c>
      <c r="I32" s="2368" t="s">
        <v>157</v>
      </c>
      <c r="J32" s="2368">
        <v>1</v>
      </c>
      <c r="K32" s="2368" t="s">
        <v>157</v>
      </c>
      <c r="L32" s="2368" t="s">
        <v>157</v>
      </c>
      <c r="M32" s="2368">
        <f t="shared" si="0"/>
        <v>1</v>
      </c>
      <c r="N32" s="3632" t="s">
        <v>202</v>
      </c>
      <c r="O32" s="3632"/>
      <c r="P32" s="2370" t="s">
        <v>203</v>
      </c>
    </row>
    <row r="33" spans="2:16" s="1228" customFormat="1" ht="24" outlineLevel="1">
      <c r="B33" s="2467" t="s">
        <v>204</v>
      </c>
      <c r="C33" s="2358" t="s">
        <v>205</v>
      </c>
      <c r="D33" s="2438">
        <v>0</v>
      </c>
      <c r="E33" s="2341">
        <v>2022</v>
      </c>
      <c r="F33" s="2341"/>
      <c r="G33" s="2355" t="s">
        <v>157</v>
      </c>
      <c r="H33" s="2341" t="s">
        <v>157</v>
      </c>
      <c r="I33" s="2355" t="s">
        <v>157</v>
      </c>
      <c r="J33" s="2355">
        <v>2</v>
      </c>
      <c r="K33" s="2355" t="s">
        <v>157</v>
      </c>
      <c r="L33" s="2355" t="s">
        <v>157</v>
      </c>
      <c r="M33" s="2341">
        <f t="shared" si="0"/>
        <v>2</v>
      </c>
      <c r="N33" s="3630" t="s">
        <v>206</v>
      </c>
      <c r="O33" s="3630"/>
      <c r="P33" s="2399"/>
    </row>
    <row r="34" spans="2:16" s="2385" customFormat="1" ht="35.5" customHeight="1" outlineLevel="1">
      <c r="B34" s="2432" t="str">
        <f>+'8_MP'!H61</f>
        <v>Tablero de control y funcionalidades analíticas desarrollado</v>
      </c>
      <c r="C34" s="2433" t="s">
        <v>207</v>
      </c>
      <c r="D34" s="2434">
        <v>0</v>
      </c>
      <c r="E34" s="2435">
        <v>2022</v>
      </c>
      <c r="F34" s="2435"/>
      <c r="G34" s="2435" t="s">
        <v>157</v>
      </c>
      <c r="H34" s="2435" t="s">
        <v>157</v>
      </c>
      <c r="I34" s="2435" t="s">
        <v>157</v>
      </c>
      <c r="J34" s="2435" t="s">
        <v>157</v>
      </c>
      <c r="K34" s="2435">
        <v>1</v>
      </c>
      <c r="L34" s="2435" t="s">
        <v>157</v>
      </c>
      <c r="M34" s="2435">
        <f t="shared" si="0"/>
        <v>1</v>
      </c>
      <c r="N34" s="3633" t="s">
        <v>202</v>
      </c>
      <c r="O34" s="3633"/>
      <c r="P34" s="2436"/>
    </row>
    <row r="35" spans="2:16" s="2385" customFormat="1" ht="26" customHeight="1" outlineLevel="1">
      <c r="B35" s="2437" t="s">
        <v>208</v>
      </c>
      <c r="C35" s="2338" t="s">
        <v>200</v>
      </c>
      <c r="D35" s="2438">
        <v>0</v>
      </c>
      <c r="E35" s="2341">
        <v>2022</v>
      </c>
      <c r="F35" s="2341"/>
      <c r="G35" s="2341" t="s">
        <v>157</v>
      </c>
      <c r="H35" s="2341">
        <v>1</v>
      </c>
      <c r="I35" s="2341" t="s">
        <v>157</v>
      </c>
      <c r="J35" s="2341" t="s">
        <v>157</v>
      </c>
      <c r="K35" s="2341" t="s">
        <v>157</v>
      </c>
      <c r="L35" s="2341" t="s">
        <v>157</v>
      </c>
      <c r="M35" s="2341">
        <f t="shared" si="0"/>
        <v>1</v>
      </c>
      <c r="N35" s="3634" t="s">
        <v>209</v>
      </c>
      <c r="O35" s="3634"/>
      <c r="P35" s="2439"/>
    </row>
    <row r="36" spans="2:16" s="2385" customFormat="1" ht="17.5" customHeight="1" outlineLevel="1">
      <c r="B36" s="2437" t="s">
        <v>210</v>
      </c>
      <c r="C36" s="2338" t="s">
        <v>211</v>
      </c>
      <c r="D36" s="2438">
        <v>0</v>
      </c>
      <c r="E36" s="2341">
        <v>2022</v>
      </c>
      <c r="F36" s="2341"/>
      <c r="G36" s="2341" t="s">
        <v>157</v>
      </c>
      <c r="H36" s="2341" t="s">
        <v>157</v>
      </c>
      <c r="I36" s="2341">
        <v>2</v>
      </c>
      <c r="J36" s="2341" t="s">
        <v>157</v>
      </c>
      <c r="K36" s="2341" t="s">
        <v>157</v>
      </c>
      <c r="L36" s="2341" t="s">
        <v>157</v>
      </c>
      <c r="M36" s="2341">
        <f t="shared" si="0"/>
        <v>2</v>
      </c>
      <c r="N36" s="3634" t="s">
        <v>212</v>
      </c>
      <c r="O36" s="3634"/>
      <c r="P36" s="2439"/>
    </row>
    <row r="37" spans="2:16" ht="33" customHeight="1" outlineLevel="1">
      <c r="B37" s="2371" t="s">
        <v>363</v>
      </c>
      <c r="C37" s="2372" t="s">
        <v>213</v>
      </c>
      <c r="D37" s="2373">
        <v>0</v>
      </c>
      <c r="E37" s="2374">
        <v>2022</v>
      </c>
      <c r="F37" s="2374"/>
      <c r="G37" s="2374" t="s">
        <v>157</v>
      </c>
      <c r="H37" s="2374" t="s">
        <v>157</v>
      </c>
      <c r="I37" s="2374" t="s">
        <v>157</v>
      </c>
      <c r="J37" s="2374" t="s">
        <v>157</v>
      </c>
      <c r="K37" s="2374" t="s">
        <v>157</v>
      </c>
      <c r="L37" s="2374">
        <v>1</v>
      </c>
      <c r="M37" s="2374">
        <f t="shared" si="0"/>
        <v>1</v>
      </c>
      <c r="N37" s="3637" t="s">
        <v>214</v>
      </c>
      <c r="O37" s="3637"/>
      <c r="P37" s="2375"/>
    </row>
    <row r="38" spans="2:16" s="2385" customFormat="1" ht="27" customHeight="1" outlineLevel="1">
      <c r="B38" s="2437" t="s">
        <v>215</v>
      </c>
      <c r="C38" s="2338" t="s">
        <v>216</v>
      </c>
      <c r="D38" s="2438">
        <v>0</v>
      </c>
      <c r="E38" s="2341">
        <v>2022</v>
      </c>
      <c r="F38" s="2341"/>
      <c r="G38" s="2341" t="s">
        <v>157</v>
      </c>
      <c r="H38" s="2341" t="s">
        <v>157</v>
      </c>
      <c r="I38" s="2341">
        <v>1</v>
      </c>
      <c r="J38" s="2341" t="s">
        <v>157</v>
      </c>
      <c r="K38" s="2341" t="s">
        <v>157</v>
      </c>
      <c r="L38" s="2341" t="s">
        <v>157</v>
      </c>
      <c r="M38" s="2341">
        <f t="shared" si="0"/>
        <v>1</v>
      </c>
      <c r="N38" s="3634" t="s">
        <v>217</v>
      </c>
      <c r="O38" s="3634"/>
      <c r="P38" s="2439"/>
    </row>
    <row r="39" spans="2:16" s="2385" customFormat="1" ht="48" outlineLevel="1">
      <c r="B39" s="2437" t="s">
        <v>218</v>
      </c>
      <c r="C39" s="2338" t="s">
        <v>219</v>
      </c>
      <c r="D39" s="2438">
        <v>0</v>
      </c>
      <c r="E39" s="2341">
        <v>2022</v>
      </c>
      <c r="F39" s="2341"/>
      <c r="G39" s="2341" t="s">
        <v>157</v>
      </c>
      <c r="H39" s="2341" t="s">
        <v>157</v>
      </c>
      <c r="I39" s="2341">
        <v>5</v>
      </c>
      <c r="J39" s="2341">
        <v>5</v>
      </c>
      <c r="K39" s="2341">
        <v>5</v>
      </c>
      <c r="L39" s="2341">
        <v>3</v>
      </c>
      <c r="M39" s="2341">
        <f t="shared" si="0"/>
        <v>18</v>
      </c>
      <c r="N39" s="3634" t="s">
        <v>220</v>
      </c>
      <c r="O39" s="3634"/>
      <c r="P39" s="2439" t="s">
        <v>221</v>
      </c>
    </row>
    <row r="40" spans="2:16" s="2385" customFormat="1" ht="30.5" customHeight="1" outlineLevel="1">
      <c r="B40" s="2440" t="s">
        <v>17</v>
      </c>
      <c r="C40" s="2441" t="s">
        <v>196</v>
      </c>
      <c r="D40" s="2442">
        <v>0</v>
      </c>
      <c r="E40" s="2443">
        <v>2022</v>
      </c>
      <c r="F40" s="2443"/>
      <c r="G40" s="2444" t="s">
        <v>157</v>
      </c>
      <c r="H40" s="2443" t="s">
        <v>157</v>
      </c>
      <c r="I40" s="2443">
        <v>1</v>
      </c>
      <c r="J40" s="2443">
        <v>1</v>
      </c>
      <c r="K40" s="2443">
        <v>1</v>
      </c>
      <c r="L40" s="2443">
        <v>1</v>
      </c>
      <c r="M40" s="2443">
        <f t="shared" si="0"/>
        <v>4</v>
      </c>
      <c r="N40" s="3638" t="s">
        <v>222</v>
      </c>
      <c r="O40" s="3638"/>
      <c r="P40" s="2445"/>
    </row>
    <row r="41" spans="2:16" ht="21" customHeight="1">
      <c r="B41" s="3617" t="str">
        <f>+'8_MP'!H73</f>
        <v>Subcomponente 1.2 Eficiencia en las contrataciones públicas</v>
      </c>
      <c r="C41" s="3617"/>
      <c r="D41" s="3617"/>
      <c r="E41" s="3617"/>
      <c r="F41" s="3617"/>
      <c r="G41" s="3617"/>
      <c r="H41" s="3617"/>
      <c r="I41" s="3617"/>
      <c r="J41" s="3617"/>
      <c r="K41" s="3617"/>
      <c r="L41" s="3617"/>
      <c r="M41" s="3617"/>
      <c r="N41" s="3617"/>
      <c r="O41" s="3617"/>
      <c r="P41" s="3617"/>
    </row>
    <row r="42" spans="2:16" s="708" customFormat="1" ht="216" outlineLevel="1">
      <c r="B42" s="2376" t="str">
        <f>+'8_MP'!H74</f>
        <v>Producto 4: Modernización del Sistema de Contrataciones Públicas con accesibilidad para personas con discapacidad desarrollada. Incluye ajustes al sistema de información acutal de contrataciones y Sistema de detección de irregularidades y alertas tempranas</v>
      </c>
      <c r="C42" s="2366" t="s">
        <v>364</v>
      </c>
      <c r="D42" s="2377">
        <v>0</v>
      </c>
      <c r="E42" s="2378">
        <v>2022</v>
      </c>
      <c r="F42" s="2378"/>
      <c r="G42" s="2368" t="s">
        <v>157</v>
      </c>
      <c r="H42" s="2409" t="s">
        <v>415</v>
      </c>
      <c r="I42" s="2344" t="s">
        <v>157</v>
      </c>
      <c r="J42" s="2344">
        <v>2</v>
      </c>
      <c r="K42" s="2344">
        <v>1</v>
      </c>
      <c r="L42" s="2344">
        <v>1</v>
      </c>
      <c r="M42" s="2378">
        <f>SUM(G42:L42)</f>
        <v>4</v>
      </c>
      <c r="N42" s="3632" t="s">
        <v>202</v>
      </c>
      <c r="O42" s="3632"/>
      <c r="P42" s="2369" t="s">
        <v>365</v>
      </c>
    </row>
    <row r="43" spans="2:16" s="1595" customFormat="1" outlineLevel="1">
      <c r="B43" s="2410" t="s">
        <v>224</v>
      </c>
      <c r="C43" s="2358" t="s">
        <v>213</v>
      </c>
      <c r="D43" s="2339">
        <v>0</v>
      </c>
      <c r="E43" s="2340">
        <v>2022</v>
      </c>
      <c r="F43" s="2340"/>
      <c r="G43" s="2355" t="s">
        <v>157</v>
      </c>
      <c r="H43" s="2355">
        <v>1</v>
      </c>
      <c r="I43" s="2355" t="s">
        <v>157</v>
      </c>
      <c r="J43" s="2355" t="s">
        <v>157</v>
      </c>
      <c r="K43" s="2355" t="s">
        <v>157</v>
      </c>
      <c r="L43" s="2355" t="s">
        <v>157</v>
      </c>
      <c r="M43" s="2360">
        <f t="shared" ref="M43:M56" si="1">SUM(G43:L43)</f>
        <v>1</v>
      </c>
      <c r="N43" s="3630" t="s">
        <v>225</v>
      </c>
      <c r="O43" s="3630"/>
      <c r="P43" s="2411"/>
    </row>
    <row r="44" spans="2:16" s="1595" customFormat="1" outlineLevel="1">
      <c r="B44" s="2357" t="s">
        <v>226</v>
      </c>
      <c r="C44" s="2358" t="s">
        <v>213</v>
      </c>
      <c r="D44" s="2339">
        <v>0</v>
      </c>
      <c r="E44" s="2340">
        <v>2022</v>
      </c>
      <c r="F44" s="2340"/>
      <c r="G44" s="2355" t="s">
        <v>157</v>
      </c>
      <c r="H44" s="2355" t="s">
        <v>157</v>
      </c>
      <c r="I44" s="2355" t="s">
        <v>157</v>
      </c>
      <c r="J44" s="2355">
        <v>1</v>
      </c>
      <c r="K44" s="2355" t="s">
        <v>157</v>
      </c>
      <c r="L44" s="2355" t="s">
        <v>157</v>
      </c>
      <c r="M44" s="2360">
        <f t="shared" si="1"/>
        <v>1</v>
      </c>
      <c r="N44" s="3630" t="s">
        <v>202</v>
      </c>
      <c r="O44" s="3630"/>
      <c r="P44" s="2411"/>
    </row>
    <row r="45" spans="2:16" s="1595" customFormat="1" ht="24" outlineLevel="1">
      <c r="B45" s="2357" t="s">
        <v>227</v>
      </c>
      <c r="C45" s="2358" t="s">
        <v>213</v>
      </c>
      <c r="D45" s="2339">
        <v>0</v>
      </c>
      <c r="E45" s="2340">
        <v>2022</v>
      </c>
      <c r="F45" s="2340"/>
      <c r="G45" s="2355" t="s">
        <v>157</v>
      </c>
      <c r="H45" s="2355" t="s">
        <v>157</v>
      </c>
      <c r="I45" s="2355" t="s">
        <v>157</v>
      </c>
      <c r="J45" s="2355" t="s">
        <v>157</v>
      </c>
      <c r="K45" s="2355">
        <v>1</v>
      </c>
      <c r="L45" s="2355" t="s">
        <v>157</v>
      </c>
      <c r="M45" s="2360">
        <f t="shared" si="1"/>
        <v>1</v>
      </c>
      <c r="N45" s="3630" t="s">
        <v>202</v>
      </c>
      <c r="O45" s="3630"/>
      <c r="P45" s="2411"/>
    </row>
    <row r="46" spans="2:16" s="2343" customFormat="1" ht="24" outlineLevel="1">
      <c r="B46" s="2413" t="s">
        <v>21</v>
      </c>
      <c r="C46" s="2338" t="s">
        <v>213</v>
      </c>
      <c r="D46" s="2339">
        <v>0</v>
      </c>
      <c r="E46" s="2340">
        <v>2022</v>
      </c>
      <c r="F46" s="2340"/>
      <c r="G46" s="2341" t="s">
        <v>157</v>
      </c>
      <c r="H46" s="2341" t="s">
        <v>157</v>
      </c>
      <c r="I46" s="2341" t="s">
        <v>157</v>
      </c>
      <c r="J46" s="2414">
        <v>1</v>
      </c>
      <c r="K46" s="2341" t="s">
        <v>157</v>
      </c>
      <c r="L46" s="2341" t="s">
        <v>157</v>
      </c>
      <c r="M46" s="2340">
        <f t="shared" si="1"/>
        <v>1</v>
      </c>
      <c r="N46" s="3634" t="s">
        <v>202</v>
      </c>
      <c r="O46" s="3634"/>
      <c r="P46" s="3636" t="s">
        <v>228</v>
      </c>
    </row>
    <row r="47" spans="2:16" s="1595" customFormat="1" ht="24" outlineLevel="1">
      <c r="B47" s="2410" t="s">
        <v>229</v>
      </c>
      <c r="C47" s="2358" t="s">
        <v>213</v>
      </c>
      <c r="D47" s="2339">
        <v>0</v>
      </c>
      <c r="E47" s="2340">
        <v>2022</v>
      </c>
      <c r="F47" s="2340"/>
      <c r="G47" s="2415" t="s">
        <v>157</v>
      </c>
      <c r="H47" s="2415" t="s">
        <v>157</v>
      </c>
      <c r="I47" s="2415">
        <v>1</v>
      </c>
      <c r="J47" s="2415" t="s">
        <v>157</v>
      </c>
      <c r="K47" s="2415" t="s">
        <v>157</v>
      </c>
      <c r="L47" s="2415" t="s">
        <v>157</v>
      </c>
      <c r="M47" s="2360">
        <f t="shared" si="1"/>
        <v>1</v>
      </c>
      <c r="N47" s="3634"/>
      <c r="O47" s="3634"/>
      <c r="P47" s="3636"/>
    </row>
    <row r="48" spans="2:16" s="1595" customFormat="1" outlineLevel="1">
      <c r="B48" s="2410" t="s">
        <v>416</v>
      </c>
      <c r="C48" s="2358" t="s">
        <v>213</v>
      </c>
      <c r="D48" s="2339">
        <v>0</v>
      </c>
      <c r="E48" s="2340">
        <v>2022</v>
      </c>
      <c r="F48" s="2340"/>
      <c r="G48" s="2415" t="s">
        <v>157</v>
      </c>
      <c r="H48" s="2415" t="s">
        <v>157</v>
      </c>
      <c r="I48" s="2415">
        <v>1</v>
      </c>
      <c r="J48" s="2415" t="s">
        <v>157</v>
      </c>
      <c r="K48" s="2415" t="s">
        <v>157</v>
      </c>
      <c r="L48" s="2415" t="s">
        <v>157</v>
      </c>
      <c r="M48" s="2360">
        <f t="shared" si="1"/>
        <v>1</v>
      </c>
      <c r="N48" s="3634"/>
      <c r="O48" s="3634"/>
      <c r="P48" s="3636"/>
    </row>
    <row r="49" spans="2:16" s="1595" customFormat="1" outlineLevel="1">
      <c r="B49" s="2410" t="s">
        <v>231</v>
      </c>
      <c r="C49" s="2358" t="s">
        <v>213</v>
      </c>
      <c r="D49" s="2339">
        <v>0</v>
      </c>
      <c r="E49" s="2340">
        <v>2022</v>
      </c>
      <c r="F49" s="2340"/>
      <c r="G49" s="2415" t="s">
        <v>157</v>
      </c>
      <c r="H49" s="2415">
        <v>1</v>
      </c>
      <c r="I49" s="2415" t="s">
        <v>157</v>
      </c>
      <c r="J49" s="2415" t="s">
        <v>157</v>
      </c>
      <c r="K49" s="2415" t="s">
        <v>157</v>
      </c>
      <c r="L49" s="2415" t="s">
        <v>157</v>
      </c>
      <c r="M49" s="2360">
        <f t="shared" si="1"/>
        <v>1</v>
      </c>
      <c r="N49" s="3634"/>
      <c r="O49" s="3634"/>
      <c r="P49" s="3636"/>
    </row>
    <row r="50" spans="2:16" s="1595" customFormat="1" outlineLevel="1">
      <c r="B50" s="2357" t="s">
        <v>232</v>
      </c>
      <c r="C50" s="2358" t="s">
        <v>213</v>
      </c>
      <c r="D50" s="2339">
        <v>0</v>
      </c>
      <c r="E50" s="2340">
        <v>2022</v>
      </c>
      <c r="F50" s="2340"/>
      <c r="G50" s="2415" t="s">
        <v>157</v>
      </c>
      <c r="H50" s="2415" t="s">
        <v>157</v>
      </c>
      <c r="I50" s="2415">
        <v>1</v>
      </c>
      <c r="J50" s="2415" t="s">
        <v>157</v>
      </c>
      <c r="K50" s="2415" t="s">
        <v>157</v>
      </c>
      <c r="L50" s="2415" t="s">
        <v>157</v>
      </c>
      <c r="M50" s="2360">
        <f t="shared" si="1"/>
        <v>1</v>
      </c>
      <c r="N50" s="3634"/>
      <c r="O50" s="3634"/>
      <c r="P50" s="3636"/>
    </row>
    <row r="51" spans="2:16" s="2343" customFormat="1" ht="35.75" customHeight="1" outlineLevel="1">
      <c r="B51" s="2416" t="str">
        <f>+'8_MP'!H108</f>
        <v>Sistema de detección de irregularidades y alertas tempranas diseñado e implementado</v>
      </c>
      <c r="C51" s="2417" t="s">
        <v>213</v>
      </c>
      <c r="D51" s="2418">
        <v>0</v>
      </c>
      <c r="E51" s="2419">
        <v>2022</v>
      </c>
      <c r="F51" s="2419"/>
      <c r="G51" s="2420" t="s">
        <v>157</v>
      </c>
      <c r="H51" s="2420" t="s">
        <v>157</v>
      </c>
      <c r="I51" s="2420" t="s">
        <v>157</v>
      </c>
      <c r="J51" s="2414">
        <v>1</v>
      </c>
      <c r="K51" s="2420" t="s">
        <v>157</v>
      </c>
      <c r="L51" s="2420" t="s">
        <v>157</v>
      </c>
      <c r="M51" s="2419">
        <f t="shared" si="1"/>
        <v>1</v>
      </c>
      <c r="N51" s="3640" t="s">
        <v>202</v>
      </c>
      <c r="O51" s="3640"/>
      <c r="P51" s="2421" t="s">
        <v>233</v>
      </c>
    </row>
    <row r="52" spans="2:16" s="708" customFormat="1" ht="52" outlineLevel="1">
      <c r="B52" s="2091">
        <f>+'8_MP'!H120</f>
        <v>0</v>
      </c>
      <c r="C52" s="1882" t="s">
        <v>364</v>
      </c>
      <c r="D52" s="1883">
        <v>0</v>
      </c>
      <c r="E52" s="1884">
        <v>2022</v>
      </c>
      <c r="F52" s="1884"/>
      <c r="G52" s="1894" t="s">
        <v>157</v>
      </c>
      <c r="H52" s="2362" t="s">
        <v>417</v>
      </c>
      <c r="I52" s="2344">
        <v>1</v>
      </c>
      <c r="J52" s="2344">
        <v>1</v>
      </c>
      <c r="K52" s="2344">
        <v>1</v>
      </c>
      <c r="L52" s="1894" t="s">
        <v>157</v>
      </c>
      <c r="M52" s="1884">
        <f t="shared" si="1"/>
        <v>3</v>
      </c>
      <c r="N52" s="3560" t="s">
        <v>234</v>
      </c>
      <c r="O52" s="3560"/>
      <c r="P52" s="3641" t="s">
        <v>367</v>
      </c>
    </row>
    <row r="53" spans="2:16" s="1595" customFormat="1" ht="24" outlineLevel="1">
      <c r="B53" s="2357" t="s">
        <v>236</v>
      </c>
      <c r="C53" s="2358" t="s">
        <v>213</v>
      </c>
      <c r="D53" s="2339">
        <v>0</v>
      </c>
      <c r="E53" s="2340">
        <v>2022</v>
      </c>
      <c r="F53" s="2340"/>
      <c r="G53" s="2355" t="s">
        <v>157</v>
      </c>
      <c r="H53" s="2355" t="s">
        <v>157</v>
      </c>
      <c r="I53" s="2422">
        <v>1</v>
      </c>
      <c r="J53" s="2355" t="s">
        <v>157</v>
      </c>
      <c r="K53" s="2355" t="s">
        <v>157</v>
      </c>
      <c r="L53" s="2355" t="s">
        <v>157</v>
      </c>
      <c r="M53" s="2360">
        <f t="shared" si="1"/>
        <v>1</v>
      </c>
      <c r="N53" s="3560"/>
      <c r="O53" s="3560"/>
      <c r="P53" s="3641"/>
    </row>
    <row r="54" spans="2:16" s="1595" customFormat="1" outlineLevel="1">
      <c r="B54" s="2357" t="s">
        <v>237</v>
      </c>
      <c r="C54" s="2358" t="s">
        <v>213</v>
      </c>
      <c r="D54" s="2339">
        <v>0</v>
      </c>
      <c r="E54" s="2340">
        <v>2022</v>
      </c>
      <c r="F54" s="2340"/>
      <c r="G54" s="2355" t="s">
        <v>157</v>
      </c>
      <c r="H54" s="2355" t="s">
        <v>157</v>
      </c>
      <c r="I54" s="2422">
        <v>1</v>
      </c>
      <c r="J54" s="2355" t="s">
        <v>157</v>
      </c>
      <c r="K54" s="2355" t="s">
        <v>157</v>
      </c>
      <c r="L54" s="2355" t="s">
        <v>157</v>
      </c>
      <c r="M54" s="2360">
        <f t="shared" si="1"/>
        <v>1</v>
      </c>
      <c r="N54" s="3560"/>
      <c r="O54" s="3560"/>
      <c r="P54" s="3641"/>
    </row>
    <row r="55" spans="2:16" s="1595" customFormat="1" outlineLevel="1">
      <c r="B55" s="2357" t="s">
        <v>238</v>
      </c>
      <c r="C55" s="2358" t="s">
        <v>213</v>
      </c>
      <c r="D55" s="2339">
        <v>0</v>
      </c>
      <c r="E55" s="2340">
        <v>2022</v>
      </c>
      <c r="F55" s="2340"/>
      <c r="G55" s="2355" t="s">
        <v>157</v>
      </c>
      <c r="H55" s="2355" t="s">
        <v>157</v>
      </c>
      <c r="I55" s="2355" t="s">
        <v>157</v>
      </c>
      <c r="J55" s="2422">
        <v>1</v>
      </c>
      <c r="K55" s="2355" t="s">
        <v>157</v>
      </c>
      <c r="L55" s="2355" t="s">
        <v>157</v>
      </c>
      <c r="M55" s="2360">
        <f t="shared" si="1"/>
        <v>1</v>
      </c>
      <c r="N55" s="3560"/>
      <c r="O55" s="3560"/>
      <c r="P55" s="3641"/>
    </row>
    <row r="56" spans="2:16" s="1595" customFormat="1" outlineLevel="1">
      <c r="B56" s="2357" t="s">
        <v>239</v>
      </c>
      <c r="C56" s="2358" t="s">
        <v>213</v>
      </c>
      <c r="D56" s="2339">
        <v>0</v>
      </c>
      <c r="E56" s="2340">
        <v>2022</v>
      </c>
      <c r="F56" s="2340"/>
      <c r="G56" s="2355" t="s">
        <v>157</v>
      </c>
      <c r="H56" s="2422">
        <v>1</v>
      </c>
      <c r="I56" s="2355" t="s">
        <v>157</v>
      </c>
      <c r="J56" s="2355" t="s">
        <v>157</v>
      </c>
      <c r="K56" s="2355" t="s">
        <v>157</v>
      </c>
      <c r="L56" s="2355" t="s">
        <v>157</v>
      </c>
      <c r="M56" s="2360">
        <f t="shared" si="1"/>
        <v>1</v>
      </c>
      <c r="N56" s="3560"/>
      <c r="O56" s="3560"/>
      <c r="P56" s="3641"/>
    </row>
    <row r="57" spans="2:16" s="708" customFormat="1" ht="84" outlineLevel="1">
      <c r="B57" s="2091" t="str">
        <f>+'8_MP'!H134</f>
        <v>Centro de Estudios de Investigación en las Contrataciones Públicas</v>
      </c>
      <c r="C57" s="1882" t="s">
        <v>364</v>
      </c>
      <c r="D57" s="1883">
        <v>0</v>
      </c>
      <c r="E57" s="1884">
        <v>2022</v>
      </c>
      <c r="F57" s="1884"/>
      <c r="G57" s="1894" t="s">
        <v>157</v>
      </c>
      <c r="H57" s="2362" t="s">
        <v>418</v>
      </c>
      <c r="I57" s="2336" t="s">
        <v>419</v>
      </c>
      <c r="J57" s="2344" t="s">
        <v>369</v>
      </c>
      <c r="K57" s="2344" t="s">
        <v>370</v>
      </c>
      <c r="L57" s="2355" t="s">
        <v>157</v>
      </c>
      <c r="M57" s="1884">
        <v>2</v>
      </c>
      <c r="N57" s="3560" t="s">
        <v>371</v>
      </c>
      <c r="O57" s="3560"/>
      <c r="P57" s="3641" t="s">
        <v>372</v>
      </c>
    </row>
    <row r="58" spans="2:16" s="1595" customFormat="1" ht="60.5" customHeight="1" outlineLevel="1">
      <c r="B58" s="2357" t="s">
        <v>242</v>
      </c>
      <c r="C58" s="2358" t="s">
        <v>213</v>
      </c>
      <c r="D58" s="2339">
        <v>0</v>
      </c>
      <c r="E58" s="2340">
        <v>2022</v>
      </c>
      <c r="F58" s="2340"/>
      <c r="G58" s="2355" t="s">
        <v>157</v>
      </c>
      <c r="H58" s="2412">
        <v>1</v>
      </c>
      <c r="I58" s="2355" t="s">
        <v>157</v>
      </c>
      <c r="J58" s="2355" t="s">
        <v>157</v>
      </c>
      <c r="K58" s="2355" t="s">
        <v>157</v>
      </c>
      <c r="L58" s="2355" t="s">
        <v>157</v>
      </c>
      <c r="M58" s="2360">
        <f>SUM(G58:L58)</f>
        <v>1</v>
      </c>
      <c r="N58" s="3560"/>
      <c r="O58" s="3560"/>
      <c r="P58" s="3641"/>
    </row>
    <row r="59" spans="2:16">
      <c r="B59" s="3617">
        <f>+'8_MP'!H142</f>
        <v>0</v>
      </c>
      <c r="C59" s="3617"/>
      <c r="D59" s="3617"/>
      <c r="E59" s="3617"/>
      <c r="F59" s="3617"/>
      <c r="G59" s="3617"/>
      <c r="H59" s="3617"/>
      <c r="I59" s="3617"/>
      <c r="J59" s="3617"/>
      <c r="K59" s="3617"/>
      <c r="L59" s="3617"/>
      <c r="M59" s="3617"/>
      <c r="N59" s="3617"/>
      <c r="O59" s="3617"/>
      <c r="P59" s="3617"/>
    </row>
    <row r="60" spans="2:16" s="2084" customFormat="1" ht="46.5" customHeight="1" outlineLevel="1">
      <c r="B60" s="2087" t="s">
        <v>373</v>
      </c>
      <c r="C60" s="1882" t="s">
        <v>213</v>
      </c>
      <c r="D60" s="1883">
        <v>0</v>
      </c>
      <c r="E60" s="1884">
        <v>2022</v>
      </c>
      <c r="F60" s="1884"/>
      <c r="G60" s="2122">
        <v>1</v>
      </c>
      <c r="H60" s="2122">
        <v>1</v>
      </c>
      <c r="I60" s="2122">
        <v>3</v>
      </c>
      <c r="J60" s="2122">
        <v>3</v>
      </c>
      <c r="K60" s="2122" t="s">
        <v>157</v>
      </c>
      <c r="L60" s="2122" t="s">
        <v>157</v>
      </c>
      <c r="M60" s="2122">
        <f t="shared" ref="M60:M65" si="2">SUM(G60:L60)</f>
        <v>8</v>
      </c>
      <c r="N60" s="3619" t="s">
        <v>374</v>
      </c>
      <c r="O60" s="3620"/>
      <c r="P60" s="2088"/>
    </row>
    <row r="61" spans="2:16" s="2466" customFormat="1" ht="108" outlineLevel="1">
      <c r="B61" s="2469" t="s">
        <v>420</v>
      </c>
      <c r="C61" s="2338" t="s">
        <v>421</v>
      </c>
      <c r="D61" s="2339">
        <v>0</v>
      </c>
      <c r="E61" s="2340">
        <v>2022</v>
      </c>
      <c r="F61" s="2340"/>
      <c r="G61" s="2341">
        <v>1</v>
      </c>
      <c r="H61" s="2341" t="s">
        <v>157</v>
      </c>
      <c r="I61" s="2341" t="s">
        <v>157</v>
      </c>
      <c r="J61" s="2341" t="s">
        <v>157</v>
      </c>
      <c r="K61" s="2341" t="s">
        <v>157</v>
      </c>
      <c r="L61" s="2341" t="s">
        <v>157</v>
      </c>
      <c r="M61" s="2465">
        <f t="shared" si="2"/>
        <v>1</v>
      </c>
      <c r="N61" s="3639" t="s">
        <v>422</v>
      </c>
      <c r="O61" s="3630"/>
      <c r="P61" s="2452" t="s">
        <v>423</v>
      </c>
    </row>
    <row r="62" spans="2:16" s="2466" customFormat="1" ht="24" outlineLevel="1">
      <c r="B62" s="2469" t="s">
        <v>424</v>
      </c>
      <c r="C62" s="2338" t="s">
        <v>425</v>
      </c>
      <c r="D62" s="2339">
        <v>0</v>
      </c>
      <c r="E62" s="2340">
        <v>2022</v>
      </c>
      <c r="F62" s="2340"/>
      <c r="G62" s="2341" t="s">
        <v>157</v>
      </c>
      <c r="H62" s="2341">
        <v>1</v>
      </c>
      <c r="I62" s="2341" t="s">
        <v>157</v>
      </c>
      <c r="J62" s="2341" t="s">
        <v>157</v>
      </c>
      <c r="K62" s="2341" t="s">
        <v>157</v>
      </c>
      <c r="L62" s="2341" t="s">
        <v>157</v>
      </c>
      <c r="M62" s="2465">
        <f t="shared" si="2"/>
        <v>1</v>
      </c>
      <c r="N62" s="3630" t="s">
        <v>426</v>
      </c>
      <c r="O62" s="3630"/>
      <c r="P62" s="2452" t="s">
        <v>427</v>
      </c>
    </row>
    <row r="63" spans="2:16" s="2466" customFormat="1" ht="127.5" customHeight="1" outlineLevel="1">
      <c r="B63" s="2470" t="s">
        <v>428</v>
      </c>
      <c r="C63" s="2338" t="s">
        <v>196</v>
      </c>
      <c r="D63" s="2339">
        <v>0</v>
      </c>
      <c r="E63" s="2340">
        <v>2022</v>
      </c>
      <c r="F63" s="2340"/>
      <c r="G63" s="2341" t="s">
        <v>157</v>
      </c>
      <c r="H63" s="2341" t="s">
        <v>157</v>
      </c>
      <c r="I63" s="2355">
        <v>3</v>
      </c>
      <c r="J63" s="2341" t="s">
        <v>157</v>
      </c>
      <c r="K63" s="2341" t="s">
        <v>157</v>
      </c>
      <c r="L63" s="2341" t="s">
        <v>157</v>
      </c>
      <c r="M63" s="2465">
        <f t="shared" si="2"/>
        <v>3</v>
      </c>
      <c r="N63" s="3639" t="s">
        <v>429</v>
      </c>
      <c r="O63" s="3630"/>
      <c r="P63" s="2451" t="s">
        <v>430</v>
      </c>
    </row>
    <row r="64" spans="2:16" s="2466" customFormat="1" ht="108" customHeight="1" outlineLevel="1">
      <c r="B64" s="2470" t="s">
        <v>431</v>
      </c>
      <c r="C64" s="2338" t="s">
        <v>196</v>
      </c>
      <c r="D64" s="2339">
        <v>0</v>
      </c>
      <c r="E64" s="2340">
        <v>2022</v>
      </c>
      <c r="F64" s="2340"/>
      <c r="G64" s="2341" t="s">
        <v>157</v>
      </c>
      <c r="H64" s="2341" t="s">
        <v>157</v>
      </c>
      <c r="I64" s="2341" t="s">
        <v>157</v>
      </c>
      <c r="J64" s="2355">
        <v>3</v>
      </c>
      <c r="K64" s="2341" t="s">
        <v>157</v>
      </c>
      <c r="L64" s="2341" t="s">
        <v>157</v>
      </c>
      <c r="M64" s="2465">
        <f t="shared" si="2"/>
        <v>3</v>
      </c>
      <c r="N64" s="3639" t="s">
        <v>432</v>
      </c>
      <c r="O64" s="3630"/>
      <c r="P64" s="2451" t="s">
        <v>433</v>
      </c>
    </row>
    <row r="65" spans="2:17" s="2449" customFormat="1" ht="72" outlineLevel="1">
      <c r="B65" s="2337" t="s">
        <v>434</v>
      </c>
      <c r="C65" s="2338" t="s">
        <v>213</v>
      </c>
      <c r="D65" s="2339">
        <v>0</v>
      </c>
      <c r="E65" s="2340">
        <v>2022</v>
      </c>
      <c r="F65" s="2340"/>
      <c r="G65" s="2341" t="s">
        <v>157</v>
      </c>
      <c r="H65" s="2446">
        <v>3</v>
      </c>
      <c r="I65" s="2446">
        <v>7</v>
      </c>
      <c r="J65" s="2446">
        <v>5</v>
      </c>
      <c r="K65" s="2446">
        <v>5</v>
      </c>
      <c r="L65" s="2446" t="s">
        <v>157</v>
      </c>
      <c r="M65" s="2447">
        <f t="shared" si="2"/>
        <v>20</v>
      </c>
      <c r="N65" s="3634"/>
      <c r="O65" s="3634"/>
      <c r="P65" s="2448" t="s">
        <v>435</v>
      </c>
    </row>
    <row r="66" spans="2:17" s="2449" customFormat="1" ht="24" outlineLevel="1">
      <c r="B66" s="2450" t="s">
        <v>436</v>
      </c>
      <c r="C66" s="2338" t="s">
        <v>196</v>
      </c>
      <c r="D66" s="2339">
        <v>0</v>
      </c>
      <c r="E66" s="2340">
        <v>2022</v>
      </c>
      <c r="F66" s="2340"/>
      <c r="G66" s="2341" t="s">
        <v>157</v>
      </c>
      <c r="H66" s="2341">
        <v>1</v>
      </c>
      <c r="I66" s="2341" t="s">
        <v>157</v>
      </c>
      <c r="J66" s="2341" t="s">
        <v>157</v>
      </c>
      <c r="K66" s="2341" t="s">
        <v>157</v>
      </c>
      <c r="L66" s="2341" t="s">
        <v>157</v>
      </c>
      <c r="M66" s="2340">
        <f t="shared" ref="M66:M76" si="3">SUM(G66:L66)</f>
        <v>1</v>
      </c>
      <c r="N66" s="3634" t="s">
        <v>437</v>
      </c>
      <c r="O66" s="3634"/>
      <c r="P66" s="2448" t="s">
        <v>438</v>
      </c>
    </row>
    <row r="67" spans="2:17" s="2449" customFormat="1" ht="228" outlineLevel="1">
      <c r="B67" s="2450" t="s">
        <v>439</v>
      </c>
      <c r="C67" s="2338" t="s">
        <v>196</v>
      </c>
      <c r="D67" s="2339">
        <v>0</v>
      </c>
      <c r="E67" s="2340">
        <v>2022</v>
      </c>
      <c r="F67" s="2340"/>
      <c r="G67" s="2341" t="s">
        <v>157</v>
      </c>
      <c r="H67" s="2341">
        <v>2</v>
      </c>
      <c r="I67" s="2341">
        <v>3</v>
      </c>
      <c r="J67" s="2341">
        <v>4</v>
      </c>
      <c r="K67" s="2341" t="s">
        <v>157</v>
      </c>
      <c r="L67" s="2341" t="s">
        <v>157</v>
      </c>
      <c r="M67" s="2340">
        <f t="shared" si="3"/>
        <v>9</v>
      </c>
      <c r="N67" s="3634" t="s">
        <v>440</v>
      </c>
      <c r="O67" s="3634"/>
      <c r="P67" s="2448" t="s">
        <v>441</v>
      </c>
    </row>
    <row r="68" spans="2:17" s="2449" customFormat="1" ht="132" outlineLevel="1">
      <c r="B68" s="2450" t="s">
        <v>442</v>
      </c>
      <c r="C68" s="2338" t="s">
        <v>196</v>
      </c>
      <c r="D68" s="2339">
        <v>0</v>
      </c>
      <c r="E68" s="2340">
        <v>2022</v>
      </c>
      <c r="F68" s="2340"/>
      <c r="G68" s="2341" t="s">
        <v>157</v>
      </c>
      <c r="H68" s="2341" t="s">
        <v>157</v>
      </c>
      <c r="I68" s="2341">
        <v>4</v>
      </c>
      <c r="J68" s="2341" t="s">
        <v>157</v>
      </c>
      <c r="K68" s="2341" t="s">
        <v>157</v>
      </c>
      <c r="L68" s="2341" t="s">
        <v>157</v>
      </c>
      <c r="M68" s="2340">
        <f t="shared" si="3"/>
        <v>4</v>
      </c>
      <c r="N68" s="3634" t="s">
        <v>440</v>
      </c>
      <c r="O68" s="3634"/>
      <c r="P68" s="2451" t="s">
        <v>443</v>
      </c>
    </row>
    <row r="69" spans="2:17" s="2449" customFormat="1" ht="144" outlineLevel="1">
      <c r="B69" s="2450" t="s">
        <v>444</v>
      </c>
      <c r="C69" s="2338" t="s">
        <v>196</v>
      </c>
      <c r="D69" s="2339">
        <v>0</v>
      </c>
      <c r="E69" s="2340">
        <v>2022</v>
      </c>
      <c r="F69" s="2340"/>
      <c r="G69" s="2341" t="s">
        <v>157</v>
      </c>
      <c r="H69" s="2341" t="s">
        <v>157</v>
      </c>
      <c r="I69" s="2341" t="s">
        <v>157</v>
      </c>
      <c r="J69" s="2341">
        <v>1</v>
      </c>
      <c r="K69" s="2341" t="s">
        <v>157</v>
      </c>
      <c r="L69" s="2341" t="s">
        <v>157</v>
      </c>
      <c r="M69" s="2340">
        <f t="shared" si="3"/>
        <v>1</v>
      </c>
      <c r="N69" s="3634" t="s">
        <v>445</v>
      </c>
      <c r="O69" s="3634"/>
      <c r="P69" s="2452" t="s">
        <v>446</v>
      </c>
    </row>
    <row r="70" spans="2:17" s="2449" customFormat="1" ht="48" outlineLevel="1">
      <c r="B70" s="2450" t="s">
        <v>447</v>
      </c>
      <c r="C70" s="2338" t="s">
        <v>196</v>
      </c>
      <c r="D70" s="2339">
        <v>0</v>
      </c>
      <c r="E70" s="2340">
        <v>2022</v>
      </c>
      <c r="F70" s="2340"/>
      <c r="G70" s="2341" t="s">
        <v>157</v>
      </c>
      <c r="H70" s="2341" t="s">
        <v>157</v>
      </c>
      <c r="I70" s="2341" t="s">
        <v>157</v>
      </c>
      <c r="J70" s="2341" t="s">
        <v>157</v>
      </c>
      <c r="K70" s="2341">
        <v>3</v>
      </c>
      <c r="L70" s="2341" t="s">
        <v>157</v>
      </c>
      <c r="M70" s="2340">
        <f t="shared" si="3"/>
        <v>3</v>
      </c>
      <c r="N70" s="3634" t="s">
        <v>448</v>
      </c>
      <c r="O70" s="3634"/>
      <c r="P70" s="2452" t="s">
        <v>449</v>
      </c>
    </row>
    <row r="71" spans="2:17" s="2449" customFormat="1" ht="48" outlineLevel="1">
      <c r="B71" s="2450" t="s">
        <v>450</v>
      </c>
      <c r="C71" s="2338" t="s">
        <v>196</v>
      </c>
      <c r="D71" s="2339">
        <v>0</v>
      </c>
      <c r="E71" s="2340">
        <v>2022</v>
      </c>
      <c r="F71" s="2340"/>
      <c r="G71" s="2341" t="s">
        <v>157</v>
      </c>
      <c r="H71" s="2341" t="s">
        <v>157</v>
      </c>
      <c r="I71" s="2341" t="s">
        <v>157</v>
      </c>
      <c r="J71" s="2341" t="s">
        <v>157</v>
      </c>
      <c r="K71" s="2341">
        <v>2</v>
      </c>
      <c r="L71" s="2341" t="s">
        <v>157</v>
      </c>
      <c r="M71" s="2340">
        <f t="shared" si="3"/>
        <v>2</v>
      </c>
      <c r="N71" s="3642" t="s">
        <v>451</v>
      </c>
      <c r="O71" s="3634"/>
      <c r="P71" s="2453" t="s">
        <v>452</v>
      </c>
      <c r="Q71" s="2454"/>
    </row>
    <row r="72" spans="2:17" s="2456" customFormat="1" ht="72" outlineLevel="1">
      <c r="B72" s="2455" t="s">
        <v>453</v>
      </c>
      <c r="C72" s="2338" t="s">
        <v>213</v>
      </c>
      <c r="D72" s="2339">
        <v>0</v>
      </c>
      <c r="E72" s="2340">
        <v>2022</v>
      </c>
      <c r="F72" s="2340"/>
      <c r="G72" s="2446" t="s">
        <v>157</v>
      </c>
      <c r="H72" s="2446" t="s">
        <v>157</v>
      </c>
      <c r="I72" s="2446" t="s">
        <v>157</v>
      </c>
      <c r="J72" s="2446">
        <v>2</v>
      </c>
      <c r="K72" s="2446">
        <v>5</v>
      </c>
      <c r="L72" s="2446" t="s">
        <v>157</v>
      </c>
      <c r="M72" s="2446">
        <f t="shared" si="3"/>
        <v>7</v>
      </c>
      <c r="N72" s="3634"/>
      <c r="O72" s="3634"/>
      <c r="P72" s="2431" t="s">
        <v>454</v>
      </c>
    </row>
    <row r="73" spans="2:17" s="2456" customFormat="1" ht="48" outlineLevel="1">
      <c r="B73" s="2457" t="s">
        <v>455</v>
      </c>
      <c r="C73" s="2338" t="s">
        <v>196</v>
      </c>
      <c r="D73" s="2339">
        <v>0</v>
      </c>
      <c r="E73" s="2340">
        <v>2022</v>
      </c>
      <c r="F73" s="2340"/>
      <c r="G73" s="2341" t="s">
        <v>157</v>
      </c>
      <c r="H73" s="2341" t="s">
        <v>157</v>
      </c>
      <c r="I73" s="2341" t="s">
        <v>157</v>
      </c>
      <c r="J73" s="2340">
        <v>1</v>
      </c>
      <c r="K73" s="2341" t="s">
        <v>157</v>
      </c>
      <c r="L73" s="2341" t="s">
        <v>157</v>
      </c>
      <c r="M73" s="2340">
        <f t="shared" si="3"/>
        <v>1</v>
      </c>
      <c r="N73" s="3634" t="s">
        <v>456</v>
      </c>
      <c r="O73" s="3634"/>
      <c r="P73" s="2458" t="s">
        <v>457</v>
      </c>
    </row>
    <row r="74" spans="2:17" s="2456" customFormat="1" ht="72" outlineLevel="1">
      <c r="B74" s="2459" t="s">
        <v>458</v>
      </c>
      <c r="C74" s="2338" t="s">
        <v>196</v>
      </c>
      <c r="D74" s="2339">
        <v>0</v>
      </c>
      <c r="E74" s="2340">
        <v>2022</v>
      </c>
      <c r="F74" s="2340"/>
      <c r="G74" s="2341" t="s">
        <v>157</v>
      </c>
      <c r="H74" s="2341" t="s">
        <v>157</v>
      </c>
      <c r="I74" s="2341" t="s">
        <v>157</v>
      </c>
      <c r="J74" s="2340">
        <v>1</v>
      </c>
      <c r="K74" s="2341" t="s">
        <v>157</v>
      </c>
      <c r="L74" s="2341" t="s">
        <v>157</v>
      </c>
      <c r="M74" s="2340">
        <f t="shared" si="3"/>
        <v>1</v>
      </c>
      <c r="N74" s="3634" t="s">
        <v>459</v>
      </c>
      <c r="O74" s="3634"/>
      <c r="P74" s="2458" t="s">
        <v>460</v>
      </c>
    </row>
    <row r="75" spans="2:17" s="2456" customFormat="1" ht="24" outlineLevel="1">
      <c r="B75" s="2459" t="s">
        <v>461</v>
      </c>
      <c r="C75" s="2338" t="s">
        <v>196</v>
      </c>
      <c r="D75" s="2339">
        <v>0</v>
      </c>
      <c r="E75" s="2340">
        <v>2022</v>
      </c>
      <c r="F75" s="2340"/>
      <c r="G75" s="2341" t="s">
        <v>157</v>
      </c>
      <c r="H75" s="2341" t="s">
        <v>157</v>
      </c>
      <c r="I75" s="2341" t="s">
        <v>157</v>
      </c>
      <c r="J75" s="2341" t="s">
        <v>157</v>
      </c>
      <c r="K75" s="2340">
        <v>4</v>
      </c>
      <c r="L75" s="2341" t="s">
        <v>157</v>
      </c>
      <c r="M75" s="2340">
        <f t="shared" si="3"/>
        <v>4</v>
      </c>
      <c r="N75" s="3642" t="s">
        <v>245</v>
      </c>
      <c r="O75" s="3634"/>
      <c r="P75" s="2458" t="s">
        <v>462</v>
      </c>
    </row>
    <row r="76" spans="2:17" s="2456" customFormat="1" ht="36" outlineLevel="1">
      <c r="B76" s="2457" t="s">
        <v>463</v>
      </c>
      <c r="C76" s="2338" t="s">
        <v>196</v>
      </c>
      <c r="D76" s="2339">
        <v>0</v>
      </c>
      <c r="E76" s="2340">
        <v>2022</v>
      </c>
      <c r="F76" s="2340"/>
      <c r="G76" s="2341" t="s">
        <v>157</v>
      </c>
      <c r="H76" s="2341" t="s">
        <v>157</v>
      </c>
      <c r="I76" s="2341" t="s">
        <v>157</v>
      </c>
      <c r="J76" s="2341" t="s">
        <v>157</v>
      </c>
      <c r="K76" s="2340">
        <v>1</v>
      </c>
      <c r="L76" s="2341" t="s">
        <v>157</v>
      </c>
      <c r="M76" s="2340">
        <f t="shared" si="3"/>
        <v>1</v>
      </c>
      <c r="N76" s="3634" t="s">
        <v>464</v>
      </c>
      <c r="O76" s="3634"/>
      <c r="P76" s="2460" t="s">
        <v>465</v>
      </c>
    </row>
    <row r="77" spans="2:17">
      <c r="B77" s="3617" t="str">
        <f>+'8_MP'!H177</f>
        <v>Adquisición e implementación de la Infraestructura y servicios TIC necesarios para la migración del SNIP ajustado y el nuevo sistema de Monitoreo, Seguimiento &amp; Evaluación.</v>
      </c>
      <c r="C77" s="3617"/>
      <c r="D77" s="3617"/>
      <c r="E77" s="3617"/>
      <c r="F77" s="3617"/>
      <c r="G77" s="3617"/>
      <c r="H77" s="3617"/>
      <c r="I77" s="3617"/>
      <c r="J77" s="3617"/>
      <c r="K77" s="3617"/>
      <c r="L77" s="3617"/>
      <c r="M77" s="3617"/>
      <c r="N77" s="3617"/>
      <c r="O77" s="3617"/>
      <c r="P77" s="3617"/>
    </row>
    <row r="78" spans="2:17" s="708" customFormat="1" ht="84" outlineLevel="1">
      <c r="B78" s="1881" t="str">
        <f>+'8_MP'!H178</f>
        <v>Adquisición e implementación de la Infraestructura y servicios TIC necesarios para la migración del SNIP ajustado y el nuevo sistema de Monitoreo, Seguimiento &amp; Evaluación.</v>
      </c>
      <c r="C78" s="1882" t="s">
        <v>196</v>
      </c>
      <c r="D78" s="1883">
        <v>0</v>
      </c>
      <c r="E78" s="1884">
        <v>2022</v>
      </c>
      <c r="F78" s="1884"/>
      <c r="G78" s="1894" t="s">
        <v>157</v>
      </c>
      <c r="H78" s="2409" t="s">
        <v>466</v>
      </c>
      <c r="I78" s="2344">
        <v>1</v>
      </c>
      <c r="J78" s="2344">
        <v>1</v>
      </c>
      <c r="K78" s="2344">
        <v>1</v>
      </c>
      <c r="L78" s="2344">
        <v>1</v>
      </c>
      <c r="M78" s="1894">
        <v>5</v>
      </c>
      <c r="N78" s="3623" t="s">
        <v>248</v>
      </c>
      <c r="O78" s="3623"/>
      <c r="P78" s="2090" t="s">
        <v>467</v>
      </c>
    </row>
    <row r="79" spans="2:17" s="708" customFormat="1" ht="24" outlineLevel="1">
      <c r="B79" s="2423" t="s">
        <v>250</v>
      </c>
      <c r="C79" s="2338" t="s">
        <v>251</v>
      </c>
      <c r="D79" s="2339">
        <v>0</v>
      </c>
      <c r="E79" s="2340">
        <v>2022</v>
      </c>
      <c r="F79" s="2340"/>
      <c r="G79" s="2341" t="s">
        <v>157</v>
      </c>
      <c r="H79" s="2341" t="s">
        <v>157</v>
      </c>
      <c r="I79" s="2341">
        <v>1</v>
      </c>
      <c r="J79" s="2341" t="s">
        <v>157</v>
      </c>
      <c r="K79" s="2341" t="s">
        <v>157</v>
      </c>
      <c r="L79" s="2341" t="s">
        <v>157</v>
      </c>
      <c r="M79" s="2341">
        <f>SUM(H79:K79)</f>
        <v>1</v>
      </c>
      <c r="N79" s="3623" t="s">
        <v>252</v>
      </c>
      <c r="O79" s="3623"/>
      <c r="P79" s="2090"/>
    </row>
    <row r="80" spans="2:17" s="1506" customFormat="1" outlineLevel="1">
      <c r="B80" s="2423" t="s">
        <v>253</v>
      </c>
      <c r="C80" s="2338" t="s">
        <v>205</v>
      </c>
      <c r="D80" s="2339">
        <v>0</v>
      </c>
      <c r="E80" s="2340">
        <v>2022</v>
      </c>
      <c r="F80" s="2340"/>
      <c r="G80" s="2341" t="s">
        <v>157</v>
      </c>
      <c r="H80" s="2341" t="s">
        <v>157</v>
      </c>
      <c r="I80" s="2341" t="s">
        <v>157</v>
      </c>
      <c r="J80" s="2341">
        <v>1</v>
      </c>
      <c r="K80" s="2341" t="s">
        <v>157</v>
      </c>
      <c r="L80" s="2341" t="s">
        <v>157</v>
      </c>
      <c r="M80" s="2341">
        <f>SUM(H80:K80)</f>
        <v>1</v>
      </c>
      <c r="N80" s="3623" t="s">
        <v>254</v>
      </c>
      <c r="O80" s="3623"/>
      <c r="P80" s="2090"/>
    </row>
    <row r="81" spans="2:16" s="708" customFormat="1" ht="65.5" customHeight="1" outlineLevel="1">
      <c r="B81" s="2424" t="str">
        <f>+'8_MP'!H205</f>
        <v>Diseño de funciones de analítica avanzada sobre la base de los requisitos recogidos</v>
      </c>
      <c r="C81" s="2338" t="s">
        <v>255</v>
      </c>
      <c r="D81" s="2339">
        <v>0</v>
      </c>
      <c r="E81" s="2340">
        <v>2022</v>
      </c>
      <c r="F81" s="2340"/>
      <c r="G81" s="2341" t="s">
        <v>157</v>
      </c>
      <c r="H81" s="2341" t="s">
        <v>157</v>
      </c>
      <c r="I81" s="2341" t="s">
        <v>157</v>
      </c>
      <c r="J81" s="2341">
        <v>1</v>
      </c>
      <c r="K81" s="2341" t="s">
        <v>157</v>
      </c>
      <c r="L81" s="2341">
        <v>1</v>
      </c>
      <c r="M81" s="2341">
        <f>SUM(G81:K81)</f>
        <v>1</v>
      </c>
      <c r="N81" s="3623" t="s">
        <v>256</v>
      </c>
      <c r="O81" s="3623"/>
      <c r="P81" s="2090" t="s">
        <v>468</v>
      </c>
    </row>
    <row r="82" spans="2:16" outlineLevel="1">
      <c r="B82" s="2105"/>
      <c r="C82" s="2106"/>
      <c r="D82" s="2107"/>
      <c r="E82" s="2108"/>
      <c r="F82" s="2108"/>
      <c r="G82" s="2108"/>
      <c r="H82" s="2109"/>
      <c r="I82" s="2109"/>
      <c r="J82" s="2109"/>
      <c r="K82" s="2109"/>
      <c r="L82" s="2109"/>
      <c r="M82" s="2109"/>
      <c r="N82" s="2102"/>
      <c r="O82" s="2102"/>
      <c r="P82" s="2110"/>
    </row>
    <row r="83" spans="2:16">
      <c r="B83" s="3617" t="s">
        <v>258</v>
      </c>
      <c r="C83" s="3617"/>
      <c r="D83" s="3617"/>
      <c r="E83" s="3617"/>
      <c r="F83" s="3617"/>
      <c r="G83" s="3617"/>
      <c r="H83" s="3617"/>
      <c r="I83" s="3617"/>
      <c r="J83" s="3617"/>
      <c r="K83" s="3617"/>
      <c r="L83" s="3617"/>
      <c r="M83" s="3617"/>
      <c r="N83" s="3617"/>
      <c r="O83" s="3617"/>
      <c r="P83" s="3617"/>
    </row>
    <row r="84" spans="2:16" ht="39">
      <c r="B84" s="2104" t="s">
        <v>184</v>
      </c>
      <c r="C84" s="2104" t="s">
        <v>185</v>
      </c>
      <c r="D84" s="2104" t="s">
        <v>186</v>
      </c>
      <c r="E84" s="2104" t="s">
        <v>147</v>
      </c>
      <c r="F84" s="2104"/>
      <c r="G84" s="2104" t="s">
        <v>377</v>
      </c>
      <c r="H84" s="2104" t="s">
        <v>188</v>
      </c>
      <c r="I84" s="2104" t="s">
        <v>189</v>
      </c>
      <c r="J84" s="2104" t="s">
        <v>190</v>
      </c>
      <c r="K84" s="2104" t="s">
        <v>191</v>
      </c>
      <c r="L84" s="2104" t="s">
        <v>378</v>
      </c>
      <c r="M84" s="2104" t="s">
        <v>193</v>
      </c>
      <c r="N84" s="3622" t="s">
        <v>194</v>
      </c>
      <c r="O84" s="3622"/>
      <c r="P84" s="2104" t="s">
        <v>151</v>
      </c>
    </row>
    <row r="85" spans="2:16">
      <c r="B85" s="3617" t="s">
        <v>259</v>
      </c>
      <c r="C85" s="3617"/>
      <c r="D85" s="3617"/>
      <c r="E85" s="3617"/>
      <c r="F85" s="3617"/>
      <c r="G85" s="3617"/>
      <c r="H85" s="3617"/>
      <c r="I85" s="3617"/>
      <c r="J85" s="3617"/>
      <c r="K85" s="3617"/>
      <c r="L85" s="3617"/>
      <c r="M85" s="3617"/>
      <c r="N85" s="3617"/>
      <c r="O85" s="3617"/>
      <c r="P85" s="3617"/>
    </row>
    <row r="86" spans="2:16" s="708" customFormat="1" ht="71" customHeight="1" outlineLevel="1">
      <c r="B86" s="1889">
        <f>+'8_MP'!H217</f>
        <v>0</v>
      </c>
      <c r="C86" s="1882" t="s">
        <v>379</v>
      </c>
      <c r="D86" s="1883">
        <v>0</v>
      </c>
      <c r="E86" s="1884">
        <v>2022</v>
      </c>
      <c r="F86" s="1884" t="s">
        <v>380</v>
      </c>
      <c r="H86" s="1894"/>
      <c r="I86" s="2344">
        <v>1</v>
      </c>
      <c r="J86" s="2344">
        <v>1</v>
      </c>
      <c r="K86" s="1894" t="s">
        <v>157</v>
      </c>
      <c r="L86" s="1894" t="s">
        <v>157</v>
      </c>
      <c r="M86" s="1884">
        <v>2</v>
      </c>
      <c r="N86" s="3560" t="s">
        <v>234</v>
      </c>
      <c r="O86" s="3560"/>
      <c r="P86" s="2090" t="s">
        <v>381</v>
      </c>
    </row>
    <row r="87" spans="2:16" s="1361" customFormat="1" ht="77.75" customHeight="1" outlineLevel="1">
      <c r="B87" s="2345"/>
      <c r="C87" s="1855"/>
      <c r="D87" s="1856"/>
      <c r="E87" s="1857"/>
      <c r="F87" s="1857"/>
      <c r="H87" s="2346" t="s">
        <v>382</v>
      </c>
      <c r="I87" s="2347" t="s">
        <v>383</v>
      </c>
      <c r="J87" s="1858"/>
      <c r="K87" s="1858"/>
      <c r="L87" s="1858"/>
      <c r="M87" s="1857"/>
      <c r="N87" s="3578"/>
      <c r="O87" s="3579"/>
      <c r="P87" s="1859"/>
    </row>
    <row r="88" spans="2:16" s="708" customFormat="1" ht="24.5" customHeight="1" outlineLevel="1">
      <c r="B88" s="1889">
        <f>+'8_MP'!H247</f>
        <v>0</v>
      </c>
      <c r="C88" s="1882" t="s">
        <v>287</v>
      </c>
      <c r="D88" s="1883">
        <v>0</v>
      </c>
      <c r="E88" s="1884">
        <v>2022</v>
      </c>
      <c r="F88" s="1884"/>
      <c r="G88" s="1894" t="s">
        <v>157</v>
      </c>
      <c r="H88" s="1894" t="s">
        <v>157</v>
      </c>
      <c r="I88" s="1894" t="s">
        <v>157</v>
      </c>
      <c r="J88" s="2344">
        <v>1</v>
      </c>
      <c r="K88" s="2344">
        <v>1</v>
      </c>
      <c r="L88" s="1894" t="s">
        <v>157</v>
      </c>
      <c r="M88" s="1884">
        <f>SUM(G88:L88)</f>
        <v>2</v>
      </c>
      <c r="N88" s="3560" t="s">
        <v>234</v>
      </c>
      <c r="O88" s="3560"/>
      <c r="P88" s="2090" t="s">
        <v>384</v>
      </c>
    </row>
    <row r="89" spans="2:16" s="2343" customFormat="1" ht="36" outlineLevel="2">
      <c r="B89" s="2337" t="s">
        <v>262</v>
      </c>
      <c r="C89" s="2338" t="s">
        <v>263</v>
      </c>
      <c r="D89" s="2339">
        <v>0</v>
      </c>
      <c r="E89" s="2340">
        <v>2022</v>
      </c>
      <c r="F89" s="2340"/>
      <c r="G89" s="2341" t="s">
        <v>157</v>
      </c>
      <c r="H89" s="2341" t="s">
        <v>157</v>
      </c>
      <c r="I89" s="2341" t="s">
        <v>157</v>
      </c>
      <c r="J89" s="2341">
        <v>1</v>
      </c>
      <c r="K89" s="2341" t="s">
        <v>157</v>
      </c>
      <c r="L89" s="2341" t="s">
        <v>157</v>
      </c>
      <c r="M89" s="2340">
        <v>1</v>
      </c>
      <c r="N89" s="3634" t="s">
        <v>264</v>
      </c>
      <c r="O89" s="3634"/>
      <c r="P89" s="2342"/>
    </row>
    <row r="90" spans="2:16" s="1361" customFormat="1" ht="48" outlineLevel="2">
      <c r="B90" s="2348"/>
      <c r="C90" s="1855"/>
      <c r="D90" s="1856"/>
      <c r="E90" s="1857"/>
      <c r="F90" s="1857"/>
      <c r="G90" s="1858"/>
      <c r="H90" s="2346" t="s">
        <v>385</v>
      </c>
      <c r="I90" s="2346" t="s">
        <v>386</v>
      </c>
      <c r="J90" s="1858"/>
      <c r="K90" s="1858"/>
      <c r="L90" s="1858"/>
      <c r="M90" s="1857"/>
      <c r="N90" s="2322"/>
      <c r="O90" s="2322"/>
      <c r="P90" s="2112" t="s">
        <v>387</v>
      </c>
    </row>
    <row r="91" spans="2:16" s="708" customFormat="1" outlineLevel="1">
      <c r="B91" s="1889">
        <f>+'8_MP'!H265</f>
        <v>0</v>
      </c>
      <c r="C91" s="1882" t="s">
        <v>379</v>
      </c>
      <c r="D91" s="1883">
        <v>0</v>
      </c>
      <c r="E91" s="1884">
        <v>2022</v>
      </c>
      <c r="F91" s="1884"/>
      <c r="G91" s="1894" t="s">
        <v>157</v>
      </c>
      <c r="H91" s="1894" t="s">
        <v>157</v>
      </c>
      <c r="I91" s="2344">
        <v>1</v>
      </c>
      <c r="J91" s="2344">
        <v>1</v>
      </c>
      <c r="K91" s="2344">
        <v>1</v>
      </c>
      <c r="L91" s="1894"/>
      <c r="M91" s="1884">
        <v>3</v>
      </c>
      <c r="N91" s="3560" t="s">
        <v>234</v>
      </c>
      <c r="O91" s="3560"/>
    </row>
    <row r="92" spans="2:16" s="708" customFormat="1" ht="24" outlineLevel="1">
      <c r="B92" s="2087"/>
      <c r="C92" s="1882"/>
      <c r="D92" s="1883"/>
      <c r="E92" s="1884"/>
      <c r="F92" s="1884"/>
      <c r="G92" s="1894"/>
      <c r="H92" s="2349" t="s">
        <v>388</v>
      </c>
      <c r="I92" s="1894"/>
      <c r="J92" s="1894"/>
      <c r="K92" s="1894"/>
      <c r="L92" s="1894"/>
      <c r="M92" s="1884"/>
      <c r="N92" s="2321"/>
      <c r="O92" s="2321"/>
      <c r="P92" s="2112"/>
    </row>
    <row r="93" spans="2:16">
      <c r="B93" s="3617" t="s">
        <v>268</v>
      </c>
      <c r="C93" s="3618"/>
      <c r="D93" s="3618"/>
      <c r="E93" s="3618"/>
      <c r="F93" s="3618"/>
      <c r="G93" s="3618"/>
      <c r="H93" s="3618"/>
      <c r="I93" s="3618"/>
      <c r="J93" s="3618"/>
      <c r="K93" s="3618"/>
      <c r="L93" s="3618"/>
      <c r="M93" s="3618"/>
      <c r="N93" s="3618"/>
      <c r="O93" s="3618"/>
      <c r="P93" s="3618"/>
    </row>
    <row r="94" spans="2:16" s="708" customFormat="1" ht="48" customHeight="1" outlineLevel="1">
      <c r="B94" s="1889">
        <f>+'8_MP'!H278</f>
        <v>0</v>
      </c>
      <c r="C94" s="1882" t="s">
        <v>196</v>
      </c>
      <c r="D94" s="1883">
        <v>0</v>
      </c>
      <c r="E94" s="1884">
        <v>2022</v>
      </c>
      <c r="F94" s="1884"/>
      <c r="G94" s="1894" t="s">
        <v>157</v>
      </c>
      <c r="H94" s="2336" t="s">
        <v>389</v>
      </c>
      <c r="I94" s="2336" t="s">
        <v>390</v>
      </c>
      <c r="J94" s="2344">
        <v>1</v>
      </c>
      <c r="K94" s="2344">
        <v>1</v>
      </c>
      <c r="L94" s="1894" t="s">
        <v>157</v>
      </c>
      <c r="M94" s="1884">
        <v>2</v>
      </c>
      <c r="N94" s="3560" t="s">
        <v>234</v>
      </c>
      <c r="O94" s="3560"/>
      <c r="P94" s="2090" t="s">
        <v>391</v>
      </c>
    </row>
    <row r="95" spans="2:16" s="1595" customFormat="1" ht="24" outlineLevel="1">
      <c r="B95" s="2357" t="s">
        <v>271</v>
      </c>
      <c r="C95" s="2358" t="s">
        <v>272</v>
      </c>
      <c r="D95" s="2359">
        <v>0</v>
      </c>
      <c r="E95" s="2360">
        <v>2022</v>
      </c>
      <c r="F95" s="2360"/>
      <c r="G95" s="2355" t="s">
        <v>157</v>
      </c>
      <c r="H95" s="2355" t="s">
        <v>157</v>
      </c>
      <c r="I95" s="2355" t="s">
        <v>157</v>
      </c>
      <c r="J95" s="2355">
        <v>1</v>
      </c>
      <c r="K95" s="2355" t="s">
        <v>157</v>
      </c>
      <c r="L95" s="2355" t="s">
        <v>157</v>
      </c>
      <c r="M95" s="2360">
        <f>SUM(G95:L95)</f>
        <v>1</v>
      </c>
      <c r="N95" s="3630" t="s">
        <v>273</v>
      </c>
      <c r="O95" s="3630"/>
      <c r="P95" s="2361" t="s">
        <v>274</v>
      </c>
    </row>
    <row r="96" spans="2:16" s="708" customFormat="1" ht="72" outlineLevel="1">
      <c r="B96" s="1889">
        <f>+'8_MP'!H291</f>
        <v>0</v>
      </c>
      <c r="C96" s="1882" t="s">
        <v>287</v>
      </c>
      <c r="D96" s="1883">
        <v>0</v>
      </c>
      <c r="E96" s="1884">
        <v>2022</v>
      </c>
      <c r="F96" s="1884"/>
      <c r="G96" s="1894" t="s">
        <v>157</v>
      </c>
      <c r="H96" s="2344">
        <v>1</v>
      </c>
      <c r="I96" s="2344">
        <v>1</v>
      </c>
      <c r="J96" s="2344">
        <v>1</v>
      </c>
      <c r="K96" s="1894"/>
      <c r="L96" s="1858"/>
      <c r="M96" s="1884">
        <f>SUM(H96:L96)</f>
        <v>3</v>
      </c>
      <c r="N96" s="3560" t="s">
        <v>234</v>
      </c>
      <c r="O96" s="3560"/>
      <c r="P96" s="2090" t="s">
        <v>392</v>
      </c>
    </row>
    <row r="97" spans="2:16" s="708" customFormat="1" outlineLevel="1">
      <c r="B97" s="1889"/>
      <c r="C97" s="1882"/>
      <c r="D97" s="1883"/>
      <c r="E97" s="1884"/>
      <c r="F97" s="1884"/>
      <c r="G97" s="1894"/>
      <c r="H97" s="2341">
        <f>30+20+6</f>
        <v>56</v>
      </c>
      <c r="I97" s="2341">
        <v>4</v>
      </c>
      <c r="J97" s="2341">
        <f>30+20</f>
        <v>50</v>
      </c>
      <c r="K97" s="2341" t="s">
        <v>157</v>
      </c>
      <c r="L97" s="2355" t="s">
        <v>157</v>
      </c>
      <c r="M97" s="2340">
        <f>SUM(G96:G96)</f>
        <v>0</v>
      </c>
      <c r="N97" s="2321"/>
      <c r="O97" s="2321"/>
      <c r="P97" s="2090"/>
    </row>
    <row r="98" spans="2:16" s="708" customFormat="1" ht="39" outlineLevel="1">
      <c r="B98" s="1889"/>
      <c r="C98" s="1882"/>
      <c r="D98" s="1883"/>
      <c r="E98" s="1884"/>
      <c r="F98" s="1884"/>
      <c r="H98" s="2362" t="s">
        <v>393</v>
      </c>
      <c r="I98" s="1894"/>
      <c r="J98" s="1894"/>
      <c r="K98" s="1894"/>
      <c r="L98" s="1894"/>
      <c r="M98" s="1884"/>
      <c r="N98" s="2321"/>
      <c r="O98" s="2321"/>
      <c r="P98" s="2090"/>
    </row>
    <row r="99" spans="2:16" s="2343" customFormat="1" ht="36" outlineLevel="1">
      <c r="B99" s="2337" t="s">
        <v>278</v>
      </c>
      <c r="C99" s="2338" t="s">
        <v>255</v>
      </c>
      <c r="D99" s="2339">
        <v>0</v>
      </c>
      <c r="E99" s="2340">
        <v>2022</v>
      </c>
      <c r="F99" s="2340"/>
      <c r="G99" s="2341" t="s">
        <v>157</v>
      </c>
      <c r="H99" s="2341">
        <v>1</v>
      </c>
      <c r="I99" s="2341" t="s">
        <v>157</v>
      </c>
      <c r="J99" s="2341">
        <v>1</v>
      </c>
      <c r="K99" s="2341" t="s">
        <v>157</v>
      </c>
      <c r="L99" s="2355" t="s">
        <v>157</v>
      </c>
      <c r="M99" s="2340">
        <f>SUM(G99:L99)</f>
        <v>2</v>
      </c>
      <c r="N99" s="3634" t="s">
        <v>234</v>
      </c>
      <c r="O99" s="3634"/>
      <c r="P99" s="2342" t="s">
        <v>279</v>
      </c>
    </row>
    <row r="100" spans="2:16" s="708" customFormat="1" ht="26" outlineLevel="1">
      <c r="B100" s="2356">
        <f>+'8_MP'!H309</f>
        <v>0</v>
      </c>
      <c r="C100" s="1882" t="s">
        <v>287</v>
      </c>
      <c r="D100" s="1883">
        <v>0</v>
      </c>
      <c r="E100" s="1884">
        <v>2022</v>
      </c>
      <c r="F100" s="1884"/>
      <c r="G100" s="1894" t="s">
        <v>157</v>
      </c>
      <c r="H100" s="2362" t="s">
        <v>394</v>
      </c>
      <c r="I100" s="2362" t="s">
        <v>395</v>
      </c>
      <c r="J100" s="2344">
        <v>1</v>
      </c>
      <c r="K100" s="2344">
        <v>1</v>
      </c>
      <c r="L100" s="1894" t="s">
        <v>157</v>
      </c>
      <c r="M100" s="1884">
        <v>2</v>
      </c>
      <c r="N100" s="3621"/>
      <c r="O100" s="3621"/>
      <c r="P100" s="1902" t="s">
        <v>396</v>
      </c>
    </row>
    <row r="101" spans="2:16" s="708" customFormat="1" outlineLevel="1">
      <c r="B101" s="2356"/>
      <c r="C101" s="1882"/>
      <c r="D101" s="1883"/>
      <c r="E101" s="1884"/>
      <c r="F101" s="1884"/>
      <c r="G101" s="1894"/>
      <c r="J101" s="1894"/>
      <c r="K101" s="1894"/>
      <c r="L101" s="1894"/>
      <c r="M101" s="1884"/>
      <c r="N101" s="2083"/>
      <c r="O101" s="2083"/>
      <c r="P101" s="1902"/>
    </row>
    <row r="102" spans="2:16" s="708" customFormat="1" outlineLevel="1">
      <c r="B102" s="2356"/>
      <c r="C102" s="1882"/>
      <c r="D102" s="1883"/>
      <c r="E102" s="1884"/>
      <c r="F102" s="1884"/>
      <c r="G102" s="1894"/>
      <c r="H102" s="1894"/>
      <c r="I102" s="1894"/>
      <c r="J102" s="1894"/>
      <c r="K102" s="1894"/>
      <c r="L102" s="1894"/>
      <c r="M102" s="1884"/>
      <c r="N102" s="2083"/>
      <c r="O102" s="2083"/>
      <c r="P102" s="1902"/>
    </row>
    <row r="103" spans="2:16">
      <c r="B103" s="3617" t="s">
        <v>281</v>
      </c>
      <c r="C103" s="3618"/>
      <c r="D103" s="3618"/>
      <c r="E103" s="3618"/>
      <c r="F103" s="3618"/>
      <c r="G103" s="3618"/>
      <c r="H103" s="3618"/>
      <c r="I103" s="3618"/>
      <c r="J103" s="3618"/>
      <c r="K103" s="3618"/>
      <c r="L103" s="3618"/>
      <c r="M103" s="3618"/>
      <c r="N103" s="3618"/>
      <c r="O103" s="3618"/>
      <c r="P103" s="3618"/>
    </row>
    <row r="104" spans="2:16" s="708" customFormat="1" ht="43.25" customHeight="1" outlineLevel="1">
      <c r="B104" s="2356">
        <f>+'8_MP'!H324</f>
        <v>0</v>
      </c>
      <c r="C104" s="1882" t="s">
        <v>287</v>
      </c>
      <c r="D104" s="1883"/>
      <c r="E104" s="1884"/>
      <c r="F104" s="1884"/>
      <c r="G104" s="1894"/>
      <c r="H104" s="1894"/>
      <c r="I104" s="2344">
        <v>1</v>
      </c>
      <c r="J104" s="2344">
        <v>1</v>
      </c>
      <c r="K104" s="2344">
        <v>1</v>
      </c>
      <c r="L104" s="2344">
        <v>1</v>
      </c>
      <c r="M104" s="2089">
        <f>SUM(I104:L104)</f>
        <v>4</v>
      </c>
      <c r="N104" s="3560"/>
      <c r="O104" s="3560"/>
      <c r="P104" s="2090"/>
    </row>
    <row r="105" spans="2:16" s="708" customFormat="1" ht="111.5" customHeight="1" outlineLevel="1">
      <c r="B105" s="1901"/>
      <c r="C105" s="1882"/>
      <c r="D105" s="1883"/>
      <c r="E105" s="1884"/>
      <c r="F105" s="1884"/>
      <c r="G105" s="1894"/>
      <c r="H105" s="2364" t="s">
        <v>397</v>
      </c>
      <c r="I105" s="1894"/>
      <c r="J105" s="1894"/>
      <c r="K105" s="1894"/>
      <c r="L105" s="1894"/>
      <c r="M105" s="2089"/>
      <c r="N105" s="2321"/>
      <c r="O105" s="2321"/>
      <c r="P105" s="2090"/>
    </row>
    <row r="106" spans="2:16" s="2343" customFormat="1" ht="24" outlineLevel="1">
      <c r="B106" s="2461" t="s">
        <v>282</v>
      </c>
      <c r="C106" s="2338" t="s">
        <v>255</v>
      </c>
      <c r="D106" s="2339">
        <v>0</v>
      </c>
      <c r="E106" s="2340">
        <v>2022</v>
      </c>
      <c r="F106" s="2340"/>
      <c r="G106" s="2341" t="s">
        <v>157</v>
      </c>
      <c r="H106" s="2341" t="s">
        <v>157</v>
      </c>
      <c r="I106" s="2341" t="s">
        <v>157</v>
      </c>
      <c r="J106" s="2341">
        <v>1</v>
      </c>
      <c r="K106" s="2341" t="s">
        <v>157</v>
      </c>
      <c r="L106" s="2341">
        <v>1</v>
      </c>
      <c r="M106" s="2462">
        <f>SUM(G106:L106)</f>
        <v>2</v>
      </c>
      <c r="N106" s="3634" t="s">
        <v>248</v>
      </c>
      <c r="O106" s="3634"/>
      <c r="P106" s="2463" t="s">
        <v>283</v>
      </c>
    </row>
    <row r="107" spans="2:16" s="2343" customFormat="1" ht="36" outlineLevel="1">
      <c r="B107" s="2461" t="s">
        <v>284</v>
      </c>
      <c r="C107" s="2338" t="s">
        <v>255</v>
      </c>
      <c r="D107" s="2339">
        <v>0</v>
      </c>
      <c r="E107" s="2340">
        <v>2022</v>
      </c>
      <c r="F107" s="2340"/>
      <c r="G107" s="2341" t="s">
        <v>157</v>
      </c>
      <c r="H107" s="2341" t="s">
        <v>157</v>
      </c>
      <c r="I107" s="2341" t="s">
        <v>157</v>
      </c>
      <c r="J107" s="2341">
        <v>1</v>
      </c>
      <c r="K107" s="2341" t="s">
        <v>157</v>
      </c>
      <c r="L107" s="2341">
        <v>1</v>
      </c>
      <c r="M107" s="2462">
        <f>SUM(G107:L107)</f>
        <v>2</v>
      </c>
      <c r="N107" s="3634" t="s">
        <v>248</v>
      </c>
      <c r="O107" s="3634"/>
      <c r="P107" s="2463" t="s">
        <v>283</v>
      </c>
    </row>
    <row r="108" spans="2:16" s="2343" customFormat="1" ht="48" outlineLevel="1">
      <c r="B108" s="2461" t="s">
        <v>285</v>
      </c>
      <c r="C108" s="2338" t="s">
        <v>207</v>
      </c>
      <c r="D108" s="2339">
        <v>0</v>
      </c>
      <c r="E108" s="2340">
        <v>2022</v>
      </c>
      <c r="F108" s="2340"/>
      <c r="G108" s="2341" t="s">
        <v>157</v>
      </c>
      <c r="H108" s="2341" t="s">
        <v>157</v>
      </c>
      <c r="I108" s="2341" t="s">
        <v>157</v>
      </c>
      <c r="J108" s="2341" t="s">
        <v>157</v>
      </c>
      <c r="K108" s="2341">
        <v>1</v>
      </c>
      <c r="L108" s="2341" t="s">
        <v>157</v>
      </c>
      <c r="M108" s="2462">
        <f>SUM(G108:L108)</f>
        <v>1</v>
      </c>
      <c r="N108" s="3634" t="s">
        <v>248</v>
      </c>
      <c r="O108" s="3634"/>
      <c r="P108" s="2342"/>
    </row>
    <row r="109" spans="2:16" s="2343" customFormat="1" ht="51" customHeight="1" outlineLevel="1">
      <c r="B109" s="2461" t="s">
        <v>286</v>
      </c>
      <c r="C109" s="2338" t="s">
        <v>287</v>
      </c>
      <c r="D109" s="2339">
        <v>0</v>
      </c>
      <c r="E109" s="2340">
        <v>2022</v>
      </c>
      <c r="F109" s="2340"/>
      <c r="G109" s="2341" t="s">
        <v>157</v>
      </c>
      <c r="H109" s="2341" t="s">
        <v>157</v>
      </c>
      <c r="I109" s="2341" t="s">
        <v>157</v>
      </c>
      <c r="J109" s="2341" t="s">
        <v>157</v>
      </c>
      <c r="K109" s="2341">
        <v>1</v>
      </c>
      <c r="L109" s="2341" t="s">
        <v>157</v>
      </c>
      <c r="M109" s="2462">
        <f>SUM(G109:L109)</f>
        <v>1</v>
      </c>
      <c r="N109" s="3634" t="s">
        <v>248</v>
      </c>
      <c r="O109" s="3634"/>
      <c r="P109" s="2342"/>
    </row>
    <row r="110" spans="2:16" s="2343" customFormat="1" ht="36" outlineLevel="1">
      <c r="B110" s="2461" t="s">
        <v>288</v>
      </c>
      <c r="C110" s="2338" t="s">
        <v>213</v>
      </c>
      <c r="D110" s="2339">
        <v>0</v>
      </c>
      <c r="E110" s="2340">
        <v>2022</v>
      </c>
      <c r="F110" s="2340"/>
      <c r="G110" s="2341" t="s">
        <v>157</v>
      </c>
      <c r="H110" s="2341" t="s">
        <v>157</v>
      </c>
      <c r="I110" s="2341" t="s">
        <v>157</v>
      </c>
      <c r="J110" s="2341" t="s">
        <v>157</v>
      </c>
      <c r="K110" s="2341">
        <v>1</v>
      </c>
      <c r="L110" s="2341" t="s">
        <v>157</v>
      </c>
      <c r="M110" s="2462">
        <f>SUM(G110:L110)</f>
        <v>1</v>
      </c>
      <c r="N110" s="3634" t="s">
        <v>248</v>
      </c>
      <c r="O110" s="3634"/>
      <c r="P110" s="2342"/>
    </row>
    <row r="111" spans="2:16" s="708" customFormat="1">
      <c r="B111" s="1736"/>
      <c r="C111" s="2106"/>
      <c r="D111" s="2085"/>
      <c r="E111" s="2109"/>
      <c r="F111" s="2109"/>
      <c r="G111" s="2111"/>
      <c r="H111" s="2111"/>
      <c r="I111" s="2111"/>
      <c r="J111" s="2111"/>
      <c r="K111" s="2111"/>
      <c r="L111" s="2111"/>
      <c r="M111" s="2086"/>
      <c r="N111" s="217"/>
      <c r="O111" s="217"/>
      <c r="P111" s="2113"/>
    </row>
    <row r="112" spans="2:16">
      <c r="B112" s="3617" t="str">
        <f>+'8_MP'!H368</f>
        <v xml:space="preserve">Componente 3: Fortalecimiento del acceso a la información, participación ciudadana e integridad en la administración pública y sector privado </v>
      </c>
      <c r="C112" s="3618"/>
      <c r="D112" s="3618"/>
      <c r="E112" s="3618"/>
      <c r="F112" s="3618"/>
      <c r="G112" s="3618"/>
      <c r="H112" s="3618"/>
      <c r="I112" s="3618"/>
      <c r="J112" s="3618"/>
      <c r="K112" s="3618"/>
      <c r="L112" s="3618"/>
      <c r="M112" s="3618"/>
      <c r="N112" s="3618"/>
      <c r="O112" s="3618"/>
      <c r="P112" s="3618"/>
    </row>
    <row r="113" spans="2:16" ht="39">
      <c r="B113" s="2104" t="s">
        <v>184</v>
      </c>
      <c r="C113" s="2104" t="s">
        <v>185</v>
      </c>
      <c r="D113" s="2104" t="s">
        <v>186</v>
      </c>
      <c r="E113" s="2104" t="s">
        <v>147</v>
      </c>
      <c r="F113" s="2104"/>
      <c r="G113" s="2104" t="s">
        <v>398</v>
      </c>
      <c r="H113" s="2104" t="s">
        <v>188</v>
      </c>
      <c r="I113" s="2104" t="s">
        <v>189</v>
      </c>
      <c r="J113" s="2104" t="s">
        <v>190</v>
      </c>
      <c r="K113" s="2104" t="s">
        <v>191</v>
      </c>
      <c r="L113" s="2104" t="s">
        <v>399</v>
      </c>
      <c r="M113" s="2104" t="s">
        <v>193</v>
      </c>
      <c r="N113" s="3622" t="s">
        <v>194</v>
      </c>
      <c r="O113" s="3622"/>
      <c r="P113" s="2114" t="s">
        <v>151</v>
      </c>
    </row>
    <row r="114" spans="2:16">
      <c r="B114" s="3617" t="str">
        <f>+'8_MP'!H369</f>
        <v>Subcomponente 3.1. Innovación pública para la Integridad y prevención de la corrupción</v>
      </c>
      <c r="C114" s="3618"/>
      <c r="D114" s="3618"/>
      <c r="E114" s="3618"/>
      <c r="F114" s="3618"/>
      <c r="G114" s="3618"/>
      <c r="H114" s="3618"/>
      <c r="I114" s="3618"/>
      <c r="J114" s="3618"/>
      <c r="K114" s="3618"/>
      <c r="L114" s="3618"/>
      <c r="M114" s="3618"/>
      <c r="N114" s="3618"/>
      <c r="O114" s="3618"/>
      <c r="P114" s="3618"/>
    </row>
    <row r="115" spans="2:16" s="708" customFormat="1" ht="59" customHeight="1" outlineLevel="1">
      <c r="B115" s="2087" t="str">
        <f>+'8_MP'!H370</f>
        <v>Producto 16: Sistema Nacional Integrado de Transparencia e Integridad Implementado. Incluye Plataforma de seguimiento y evaluación de componentes de integridad y sistema para el seguimiento de compromisos internacionales</v>
      </c>
      <c r="C115" s="1882" t="s">
        <v>196</v>
      </c>
      <c r="D115" s="1908">
        <v>0</v>
      </c>
      <c r="E115" s="1884">
        <v>2022</v>
      </c>
      <c r="F115" s="1884"/>
      <c r="G115" s="1857" t="s">
        <v>157</v>
      </c>
      <c r="H115" s="2388" t="s">
        <v>469</v>
      </c>
      <c r="I115" s="2344">
        <v>1</v>
      </c>
      <c r="J115" s="2344">
        <v>1</v>
      </c>
      <c r="K115" s="2344">
        <v>1</v>
      </c>
      <c r="L115" s="2344">
        <v>1</v>
      </c>
      <c r="M115" s="1894">
        <f>SUM(G115:L115)</f>
        <v>4</v>
      </c>
      <c r="N115" s="3560" t="s">
        <v>248</v>
      </c>
      <c r="O115" s="3560"/>
      <c r="P115" s="2090" t="s">
        <v>470</v>
      </c>
    </row>
    <row r="116" spans="2:16" s="1595" customFormat="1" ht="36" outlineLevel="1">
      <c r="B116" s="2390" t="s">
        <v>290</v>
      </c>
      <c r="C116" s="2358" t="s">
        <v>291</v>
      </c>
      <c r="D116" s="2359">
        <v>0</v>
      </c>
      <c r="E116" s="2360">
        <v>2022</v>
      </c>
      <c r="F116" s="2360"/>
      <c r="G116" s="2360" t="s">
        <v>157</v>
      </c>
      <c r="I116" s="2355">
        <v>1</v>
      </c>
      <c r="J116" s="2360" t="s">
        <v>157</v>
      </c>
      <c r="K116" s="2360" t="s">
        <v>157</v>
      </c>
      <c r="L116" s="2360" t="s">
        <v>157</v>
      </c>
      <c r="M116" s="2341">
        <f>SUM(G116:L116)</f>
        <v>1</v>
      </c>
      <c r="N116" s="3634" t="s">
        <v>248</v>
      </c>
      <c r="O116" s="3634"/>
      <c r="P116" s="2361"/>
    </row>
    <row r="117" spans="2:16" s="708" customFormat="1" ht="48" outlineLevel="1">
      <c r="B117" s="2087" t="str">
        <f>+'8_MP'!H393</f>
        <v>Producto 17: Marco regulatorio en materia de integridad, fortalecido. Incluye protección a denunciantes y normativas sobre conflictos de interes</v>
      </c>
      <c r="C117" s="1882" t="s">
        <v>196</v>
      </c>
      <c r="D117" s="1883">
        <v>0</v>
      </c>
      <c r="E117" s="1884">
        <v>2022</v>
      </c>
      <c r="F117" s="1884"/>
      <c r="G117" s="1857" t="s">
        <v>157</v>
      </c>
      <c r="H117" s="2388" t="s">
        <v>471</v>
      </c>
      <c r="I117" s="2392">
        <v>1</v>
      </c>
      <c r="J117" s="2392">
        <v>1</v>
      </c>
      <c r="K117" s="1857" t="s">
        <v>157</v>
      </c>
      <c r="L117" s="1857" t="s">
        <v>157</v>
      </c>
      <c r="M117" s="1894">
        <f>SUM(G117:L117)</f>
        <v>2</v>
      </c>
      <c r="N117" s="3560" t="s">
        <v>248</v>
      </c>
      <c r="O117" s="3560"/>
      <c r="P117" s="2090" t="s">
        <v>293</v>
      </c>
    </row>
    <row r="118" spans="2:16" s="2385" customFormat="1" ht="24" outlineLevel="1">
      <c r="B118" s="2383" t="str">
        <f>+'8_MP'!H378</f>
        <v>Plataforma TI de Seguimiento y Evaluación de componentes de integridad desarrollado e implementado</v>
      </c>
      <c r="C118" s="2338" t="s">
        <v>294</v>
      </c>
      <c r="D118" s="2339">
        <v>0</v>
      </c>
      <c r="E118" s="2340">
        <v>2022</v>
      </c>
      <c r="F118" s="2340"/>
      <c r="G118" s="2360" t="s">
        <v>157</v>
      </c>
      <c r="H118" s="2360" t="s">
        <v>157</v>
      </c>
      <c r="I118" s="2340" t="s">
        <v>157</v>
      </c>
      <c r="J118" s="2360">
        <v>1</v>
      </c>
      <c r="K118" s="2360" t="s">
        <v>157</v>
      </c>
      <c r="L118" s="2360" t="s">
        <v>157</v>
      </c>
      <c r="M118" s="2341">
        <f>SUM(G118:L118)</f>
        <v>1</v>
      </c>
      <c r="N118" s="3634" t="s">
        <v>202</v>
      </c>
      <c r="O118" s="3634"/>
      <c r="P118" s="2384" t="s">
        <v>295</v>
      </c>
    </row>
    <row r="119" spans="2:16" ht="71" customHeight="1" outlineLevel="1">
      <c r="B119" s="2087" t="str">
        <f>+'8_MP'!H398</f>
        <v>Producto 18: Programa de cumplimiento e integridad para el sector privado desarrollado</v>
      </c>
      <c r="C119" s="1882" t="s">
        <v>364</v>
      </c>
      <c r="D119" s="1883">
        <v>0</v>
      </c>
      <c r="E119" s="1884">
        <v>2022</v>
      </c>
      <c r="F119" s="1884"/>
      <c r="G119" s="1857" t="s">
        <v>157</v>
      </c>
      <c r="H119" s="2388" t="s">
        <v>472</v>
      </c>
      <c r="I119" s="2392">
        <v>1</v>
      </c>
      <c r="J119" s="2392">
        <v>1</v>
      </c>
      <c r="K119" s="2392">
        <v>1</v>
      </c>
      <c r="L119" s="1857" t="s">
        <v>157</v>
      </c>
      <c r="M119" s="1884">
        <f>SUM(G119:K119)</f>
        <v>3</v>
      </c>
      <c r="N119" s="3560" t="s">
        <v>248</v>
      </c>
      <c r="O119" s="3560"/>
      <c r="P119" s="2092" t="s">
        <v>402</v>
      </c>
    </row>
    <row r="120" spans="2:16" s="2385" customFormat="1" ht="60" outlineLevel="1">
      <c r="B120" s="2386" t="str">
        <f>+'8_MP'!H382</f>
        <v>Estándar OCDE piloteado</v>
      </c>
      <c r="C120" s="2338" t="s">
        <v>294</v>
      </c>
      <c r="D120" s="2339">
        <v>0</v>
      </c>
      <c r="E120" s="2340">
        <v>2022</v>
      </c>
      <c r="F120" s="2340"/>
      <c r="G120" s="2360" t="s">
        <v>157</v>
      </c>
      <c r="H120" s="2360" t="s">
        <v>157</v>
      </c>
      <c r="I120" s="2360" t="s">
        <v>157</v>
      </c>
      <c r="J120" s="2360">
        <v>1</v>
      </c>
      <c r="K120" s="2340" t="s">
        <v>157</v>
      </c>
      <c r="L120" s="2360" t="s">
        <v>157</v>
      </c>
      <c r="M120" s="2340">
        <f>SUM(G120:K120)</f>
        <v>1</v>
      </c>
      <c r="N120" s="3634" t="s">
        <v>202</v>
      </c>
      <c r="O120" s="3634"/>
      <c r="P120" s="2387" t="s">
        <v>298</v>
      </c>
    </row>
    <row r="121" spans="2:16">
      <c r="B121" s="3617" t="str">
        <f>+'8_MP'!H405</f>
        <v>Subcomponente 3.2. Participación, control social y gestión de denuncias de corrupción administrativa</v>
      </c>
      <c r="C121" s="3618"/>
      <c r="D121" s="3618"/>
      <c r="E121" s="3618"/>
      <c r="F121" s="3618"/>
      <c r="G121" s="3618"/>
      <c r="H121" s="3618"/>
      <c r="I121" s="3618"/>
      <c r="J121" s="3618"/>
      <c r="K121" s="3618"/>
      <c r="L121" s="3618"/>
      <c r="M121" s="3618"/>
      <c r="N121" s="3618"/>
      <c r="O121" s="3618"/>
      <c r="P121" s="3618"/>
    </row>
    <row r="122" spans="2:16" ht="120" outlineLevel="1">
      <c r="B122" s="2093" t="str">
        <f>+'8_MP'!H406</f>
        <v>Producto 19: Sistema para realizar investigaciones, seguimiento y respuesta a las denuncias ciudadanas desarrollado. Incluye metodologías y plataforma tecnológica de participación ciudadana y seguimiento de denuncias con enfoque de género y diversidad.</v>
      </c>
      <c r="C122" s="2096" t="s">
        <v>287</v>
      </c>
      <c r="D122" s="1908">
        <v>0</v>
      </c>
      <c r="E122" s="1884">
        <v>2022</v>
      </c>
      <c r="F122" s="1884"/>
      <c r="G122" s="1857" t="s">
        <v>157</v>
      </c>
      <c r="H122" s="2336" t="s">
        <v>473</v>
      </c>
      <c r="I122" s="2393" t="s">
        <v>474</v>
      </c>
      <c r="J122" s="2393">
        <v>1</v>
      </c>
      <c r="K122" s="2392">
        <v>1</v>
      </c>
      <c r="L122" s="2392">
        <v>1</v>
      </c>
      <c r="M122" s="1884">
        <v>4</v>
      </c>
      <c r="N122" s="3560" t="s">
        <v>248</v>
      </c>
      <c r="O122" s="3560"/>
      <c r="P122" s="2094" t="s">
        <v>475</v>
      </c>
    </row>
    <row r="123" spans="2:16" s="2385" customFormat="1" ht="24" outlineLevel="1">
      <c r="B123" s="2386" t="str">
        <f>+'8_MP'!H411</f>
        <v>Plataforma tecnológica de participación ciudadana con enfoque de género y diversidad, implementado</v>
      </c>
      <c r="C123" s="2394" t="s">
        <v>294</v>
      </c>
      <c r="D123" s="2395">
        <v>0</v>
      </c>
      <c r="E123" s="2340">
        <v>2022</v>
      </c>
      <c r="F123" s="2340"/>
      <c r="G123" s="2360" t="s">
        <v>157</v>
      </c>
      <c r="H123" s="2360" t="s">
        <v>157</v>
      </c>
      <c r="I123" s="2340" t="s">
        <v>157</v>
      </c>
      <c r="J123" s="2360">
        <v>1</v>
      </c>
      <c r="K123" s="2360" t="s">
        <v>157</v>
      </c>
      <c r="L123" s="2360" t="s">
        <v>157</v>
      </c>
      <c r="M123" s="2340">
        <f>SUM(G123:K123)</f>
        <v>1</v>
      </c>
      <c r="N123" s="3634" t="s">
        <v>248</v>
      </c>
      <c r="O123" s="3634"/>
      <c r="P123" s="2396" t="s">
        <v>300</v>
      </c>
    </row>
    <row r="124" spans="2:16" s="1228" customFormat="1" ht="24" outlineLevel="1">
      <c r="B124" s="2397" t="s">
        <v>301</v>
      </c>
      <c r="C124" s="2398" t="s">
        <v>213</v>
      </c>
      <c r="D124" s="2395">
        <v>0</v>
      </c>
      <c r="E124" s="2340">
        <v>2022</v>
      </c>
      <c r="F124" s="2340"/>
      <c r="G124" s="2360" t="s">
        <v>157</v>
      </c>
      <c r="H124" s="2360">
        <v>1</v>
      </c>
      <c r="I124" s="2360" t="s">
        <v>157</v>
      </c>
      <c r="J124" s="2360" t="s">
        <v>157</v>
      </c>
      <c r="K124" s="2360" t="s">
        <v>157</v>
      </c>
      <c r="L124" s="2360" t="s">
        <v>157</v>
      </c>
      <c r="M124" s="2360">
        <f>SUM(G124:K124)</f>
        <v>1</v>
      </c>
      <c r="N124" s="3643" t="s">
        <v>302</v>
      </c>
      <c r="O124" s="3643"/>
      <c r="P124" s="2399"/>
    </row>
    <row r="125" spans="2:16">
      <c r="B125" s="3617" t="str">
        <f>+'8_MP'!H421</f>
        <v xml:space="preserve">Subcomponente 3.3. Innovación para la transparencia y el acceso a la información </v>
      </c>
      <c r="C125" s="3618"/>
      <c r="D125" s="3618"/>
      <c r="E125" s="3618"/>
      <c r="F125" s="3618"/>
      <c r="G125" s="3618"/>
      <c r="H125" s="3618"/>
      <c r="I125" s="3618"/>
      <c r="J125" s="3618"/>
      <c r="K125" s="3618"/>
      <c r="L125" s="3618"/>
      <c r="M125" s="3618"/>
      <c r="N125" s="3618"/>
      <c r="O125" s="3618"/>
      <c r="P125" s="3618"/>
    </row>
    <row r="126" spans="2:16" ht="84" outlineLevel="1">
      <c r="B126" s="2097" t="str">
        <f>+'8_MP'!H422</f>
        <v>Producto 20: Plataforma tecnológica Nacional de Transparencia diseñado e implementado</v>
      </c>
      <c r="C126" s="2096" t="s">
        <v>287</v>
      </c>
      <c r="D126" s="1908">
        <v>0</v>
      </c>
      <c r="E126" s="1884">
        <v>2021</v>
      </c>
      <c r="F126" s="1884"/>
      <c r="G126" s="1857" t="s">
        <v>157</v>
      </c>
      <c r="H126" s="2336" t="s">
        <v>476</v>
      </c>
      <c r="I126" s="2393" t="s">
        <v>477</v>
      </c>
      <c r="J126" s="2393">
        <v>1</v>
      </c>
      <c r="K126" s="2393">
        <v>1</v>
      </c>
      <c r="L126" s="2393">
        <v>1</v>
      </c>
      <c r="M126" s="1884">
        <v>4</v>
      </c>
      <c r="N126" s="3560" t="s">
        <v>248</v>
      </c>
      <c r="O126" s="3560"/>
      <c r="P126" s="2115" t="s">
        <v>303</v>
      </c>
    </row>
    <row r="127" spans="2:16" s="2385" customFormat="1" ht="22.25" customHeight="1" outlineLevel="1">
      <c r="B127" s="2397" t="s">
        <v>304</v>
      </c>
      <c r="C127" s="2398" t="s">
        <v>213</v>
      </c>
      <c r="D127" s="2395">
        <v>0</v>
      </c>
      <c r="E127" s="2360">
        <v>2021</v>
      </c>
      <c r="F127" s="2360"/>
      <c r="G127" s="2360" t="s">
        <v>157</v>
      </c>
      <c r="H127" s="2340">
        <v>1</v>
      </c>
      <c r="I127" s="2340">
        <v>1</v>
      </c>
      <c r="J127" s="2340">
        <v>1</v>
      </c>
      <c r="K127" s="2340">
        <v>1</v>
      </c>
      <c r="L127" s="2360" t="s">
        <v>157</v>
      </c>
      <c r="M127" s="2340">
        <f>SUM(G127:K127)</f>
        <v>4</v>
      </c>
      <c r="N127" s="3643" t="s">
        <v>305</v>
      </c>
      <c r="O127" s="3643"/>
      <c r="P127" s="2399"/>
    </row>
    <row r="128" spans="2:16">
      <c r="B128" s="3617" t="str">
        <f>+'8_MP'!H439</f>
        <v>Subcomponente 3.4. Comunicación y capacitación para la transparencia y la integridad</v>
      </c>
      <c r="C128" s="3618"/>
      <c r="D128" s="3618"/>
      <c r="E128" s="3618"/>
      <c r="F128" s="3618"/>
      <c r="G128" s="3618"/>
      <c r="H128" s="3618"/>
      <c r="I128" s="3618"/>
      <c r="J128" s="3618"/>
      <c r="K128" s="3618"/>
      <c r="L128" s="3618"/>
      <c r="M128" s="3618"/>
      <c r="N128" s="3618"/>
      <c r="O128" s="3618"/>
      <c r="P128" s="3618"/>
    </row>
    <row r="129" spans="2:16" ht="94.25" customHeight="1" outlineLevel="1">
      <c r="B129" s="2093" t="str">
        <f>+'8_MP'!H440</f>
        <v>Producto 21: Programa de Gestión del Cambio para la transparencia e integridad, desarrollado. Incluye programa de comunicación y difusión a la ciudadanía sobre DIGEIG y capacitación  interna de las nuevas modalidades de gestión</v>
      </c>
      <c r="C129" s="1886" t="s">
        <v>196</v>
      </c>
      <c r="D129" s="1908">
        <v>0</v>
      </c>
      <c r="E129" s="1884">
        <v>2021</v>
      </c>
      <c r="F129" s="1884"/>
      <c r="G129" s="1857" t="s">
        <v>157</v>
      </c>
      <c r="H129" s="2364" t="s">
        <v>478</v>
      </c>
      <c r="I129" s="2364" t="s">
        <v>479</v>
      </c>
      <c r="J129" s="2392">
        <v>1</v>
      </c>
      <c r="K129" s="2392">
        <v>1</v>
      </c>
      <c r="L129" s="2392">
        <v>1</v>
      </c>
      <c r="M129" s="1884">
        <f>SUM(G129:L129)</f>
        <v>3</v>
      </c>
      <c r="N129" s="3560" t="s">
        <v>248</v>
      </c>
      <c r="O129" s="3560"/>
      <c r="P129" s="2095"/>
    </row>
    <row r="130" spans="2:16" s="2385" customFormat="1" ht="60" outlineLevel="1">
      <c r="B130" s="2400" t="s">
        <v>306</v>
      </c>
      <c r="C130" s="2394" t="s">
        <v>213</v>
      </c>
      <c r="D130" s="2401">
        <v>0</v>
      </c>
      <c r="E130" s="2402">
        <v>2021</v>
      </c>
      <c r="F130" s="2402"/>
      <c r="G130" s="2403" t="s">
        <v>157</v>
      </c>
      <c r="H130" s="2403">
        <v>1</v>
      </c>
      <c r="I130" s="2403" t="s">
        <v>157</v>
      </c>
      <c r="J130" s="2403" t="s">
        <v>157</v>
      </c>
      <c r="K130" s="2403" t="s">
        <v>157</v>
      </c>
      <c r="L130" s="2403" t="s">
        <v>157</v>
      </c>
      <c r="M130" s="2340">
        <f>SUM(G130:L130)</f>
        <v>1</v>
      </c>
      <c r="N130" s="3634" t="s">
        <v>248</v>
      </c>
      <c r="O130" s="3634"/>
      <c r="P130" s="2342" t="s">
        <v>307</v>
      </c>
    </row>
    <row r="131" spans="2:16" s="2385" customFormat="1" ht="24" outlineLevel="1">
      <c r="B131" s="2400" t="s">
        <v>308</v>
      </c>
      <c r="C131" s="2394" t="s">
        <v>309</v>
      </c>
      <c r="D131" s="2401">
        <v>0</v>
      </c>
      <c r="E131" s="2402">
        <v>2021</v>
      </c>
      <c r="F131" s="2402"/>
      <c r="G131" s="2403" t="s">
        <v>157</v>
      </c>
      <c r="H131" s="2403" t="s">
        <v>157</v>
      </c>
      <c r="I131" s="2403">
        <v>1</v>
      </c>
      <c r="J131" s="2403">
        <v>1</v>
      </c>
      <c r="K131" s="2403">
        <v>1</v>
      </c>
      <c r="L131" s="2403" t="s">
        <v>157</v>
      </c>
      <c r="M131" s="2340">
        <f>SUM(G131:L131)</f>
        <v>3</v>
      </c>
      <c r="N131" s="3634" t="s">
        <v>310</v>
      </c>
      <c r="O131" s="3634"/>
      <c r="P131" s="2342" t="s">
        <v>311</v>
      </c>
    </row>
    <row r="132" spans="2:16" s="2385" customFormat="1" ht="36" outlineLevel="1">
      <c r="B132" s="2400" t="s">
        <v>312</v>
      </c>
      <c r="C132" s="2394" t="s">
        <v>313</v>
      </c>
      <c r="D132" s="2401">
        <v>0</v>
      </c>
      <c r="E132" s="2402">
        <v>2021</v>
      </c>
      <c r="F132" s="2402"/>
      <c r="G132" s="2403" t="s">
        <v>157</v>
      </c>
      <c r="H132" s="2403">
        <v>1</v>
      </c>
      <c r="I132" s="2403">
        <v>1</v>
      </c>
      <c r="J132" s="2403">
        <v>1</v>
      </c>
      <c r="K132" s="2403">
        <v>1</v>
      </c>
      <c r="L132" s="2403" t="s">
        <v>157</v>
      </c>
      <c r="M132" s="2340">
        <f>SUM(G132:L132)</f>
        <v>4</v>
      </c>
      <c r="N132" s="3634" t="s">
        <v>314</v>
      </c>
      <c r="O132" s="3634"/>
      <c r="P132" s="2342" t="s">
        <v>315</v>
      </c>
    </row>
    <row r="133" spans="2:16" s="2385" customFormat="1" ht="27" customHeight="1" outlineLevel="1">
      <c r="B133" s="2404" t="str">
        <f>+'8_MP'!H444</f>
        <v>Programa de capacitación, desarrollado</v>
      </c>
      <c r="C133" s="2394" t="s">
        <v>213</v>
      </c>
      <c r="D133" s="2395">
        <v>0</v>
      </c>
      <c r="E133" s="2340">
        <v>2021</v>
      </c>
      <c r="F133" s="2340"/>
      <c r="G133" s="2360" t="s">
        <v>157</v>
      </c>
      <c r="H133" s="2340" t="s">
        <v>157</v>
      </c>
      <c r="I133" s="2340" t="s">
        <v>157</v>
      </c>
      <c r="J133" s="2340" t="s">
        <v>157</v>
      </c>
      <c r="K133" s="2340" t="s">
        <v>157</v>
      </c>
      <c r="L133" s="2360">
        <v>1</v>
      </c>
      <c r="M133" s="2340">
        <f>SUM(G133:L133)</f>
        <v>1</v>
      </c>
      <c r="N133" s="3634" t="s">
        <v>248</v>
      </c>
      <c r="O133" s="3634"/>
      <c r="P133" s="2405"/>
    </row>
    <row r="135" spans="2:16" ht="13">
      <c r="B135" s="213" t="s">
        <v>316</v>
      </c>
    </row>
    <row r="136" spans="2:16">
      <c r="B136" s="3606" t="s">
        <v>317</v>
      </c>
      <c r="C136" s="3606"/>
      <c r="D136" s="3606"/>
      <c r="E136" s="3606"/>
      <c r="F136" s="3606"/>
      <c r="G136" s="3606"/>
      <c r="H136" s="3606"/>
      <c r="I136" s="3606"/>
      <c r="J136" s="3606"/>
      <c r="K136" s="3606"/>
      <c r="L136" s="3606"/>
      <c r="M136" s="3606"/>
      <c r="N136" s="3606"/>
      <c r="O136" s="3606"/>
      <c r="P136" s="3606"/>
    </row>
  </sheetData>
  <mergeCells count="139">
    <mergeCell ref="N129:O129"/>
    <mergeCell ref="N130:O130"/>
    <mergeCell ref="N131:O131"/>
    <mergeCell ref="N132:O132"/>
    <mergeCell ref="N133:O133"/>
    <mergeCell ref="B136:P136"/>
    <mergeCell ref="N123:O123"/>
    <mergeCell ref="N124:O124"/>
    <mergeCell ref="B125:P125"/>
    <mergeCell ref="N126:O126"/>
    <mergeCell ref="N127:O127"/>
    <mergeCell ref="B128:P128"/>
    <mergeCell ref="N117:O117"/>
    <mergeCell ref="N118:O118"/>
    <mergeCell ref="N119:O119"/>
    <mergeCell ref="N120:O120"/>
    <mergeCell ref="B121:P121"/>
    <mergeCell ref="N122:O122"/>
    <mergeCell ref="N110:O110"/>
    <mergeCell ref="B112:P112"/>
    <mergeCell ref="N113:O113"/>
    <mergeCell ref="B114:P114"/>
    <mergeCell ref="N115:O115"/>
    <mergeCell ref="N116:O116"/>
    <mergeCell ref="B103:P103"/>
    <mergeCell ref="N104:O104"/>
    <mergeCell ref="N106:O106"/>
    <mergeCell ref="N107:O107"/>
    <mergeCell ref="N108:O108"/>
    <mergeCell ref="N109:O109"/>
    <mergeCell ref="B93:P93"/>
    <mergeCell ref="N94:O94"/>
    <mergeCell ref="N95:O95"/>
    <mergeCell ref="N96:O96"/>
    <mergeCell ref="N99:O99"/>
    <mergeCell ref="N100:O100"/>
    <mergeCell ref="B85:P85"/>
    <mergeCell ref="N86:O86"/>
    <mergeCell ref="N87:O87"/>
    <mergeCell ref="N88:O88"/>
    <mergeCell ref="N89:O89"/>
    <mergeCell ref="N91:O91"/>
    <mergeCell ref="N78:O78"/>
    <mergeCell ref="N79:O79"/>
    <mergeCell ref="N80:O80"/>
    <mergeCell ref="N81:O81"/>
    <mergeCell ref="B83:P83"/>
    <mergeCell ref="N84:O84"/>
    <mergeCell ref="N72:O72"/>
    <mergeCell ref="N73:O73"/>
    <mergeCell ref="N74:O74"/>
    <mergeCell ref="N75:O75"/>
    <mergeCell ref="N76:O76"/>
    <mergeCell ref="B77:P77"/>
    <mergeCell ref="N66:O66"/>
    <mergeCell ref="N67:O67"/>
    <mergeCell ref="N68:O68"/>
    <mergeCell ref="N69:O69"/>
    <mergeCell ref="N70:O70"/>
    <mergeCell ref="N71:O71"/>
    <mergeCell ref="N60:O60"/>
    <mergeCell ref="N61:O61"/>
    <mergeCell ref="N62:O62"/>
    <mergeCell ref="N63:O63"/>
    <mergeCell ref="N64:O64"/>
    <mergeCell ref="N65:O65"/>
    <mergeCell ref="N51:O51"/>
    <mergeCell ref="N52:O56"/>
    <mergeCell ref="P52:P56"/>
    <mergeCell ref="N57:O58"/>
    <mergeCell ref="P57:P58"/>
    <mergeCell ref="B59:P59"/>
    <mergeCell ref="N42:O42"/>
    <mergeCell ref="N43:O43"/>
    <mergeCell ref="N44:O44"/>
    <mergeCell ref="N45:O45"/>
    <mergeCell ref="N46:O50"/>
    <mergeCell ref="P46:P50"/>
    <mergeCell ref="N36:O36"/>
    <mergeCell ref="N37:O37"/>
    <mergeCell ref="N38:O38"/>
    <mergeCell ref="N39:O39"/>
    <mergeCell ref="N40:O40"/>
    <mergeCell ref="B41:P41"/>
    <mergeCell ref="N30:O30"/>
    <mergeCell ref="N31:O31"/>
    <mergeCell ref="N32:O32"/>
    <mergeCell ref="N33:O33"/>
    <mergeCell ref="N34:O34"/>
    <mergeCell ref="N35:O35"/>
    <mergeCell ref="B24:P24"/>
    <mergeCell ref="N25:O25"/>
    <mergeCell ref="B26:P26"/>
    <mergeCell ref="N27:O27"/>
    <mergeCell ref="N28:O28"/>
    <mergeCell ref="N29:O29"/>
    <mergeCell ref="B20:C20"/>
    <mergeCell ref="M20:N20"/>
    <mergeCell ref="O20:P20"/>
    <mergeCell ref="B21:C21"/>
    <mergeCell ref="M21:N21"/>
    <mergeCell ref="O21:P21"/>
    <mergeCell ref="B17:P17"/>
    <mergeCell ref="B18:C18"/>
    <mergeCell ref="M18:N18"/>
    <mergeCell ref="O18:P18"/>
    <mergeCell ref="B19:C19"/>
    <mergeCell ref="M19:N19"/>
    <mergeCell ref="O19:P19"/>
    <mergeCell ref="B14:C14"/>
    <mergeCell ref="M14:N14"/>
    <mergeCell ref="O14:P14"/>
    <mergeCell ref="B15:P15"/>
    <mergeCell ref="B16:C16"/>
    <mergeCell ref="M16:N16"/>
    <mergeCell ref="O16:P16"/>
    <mergeCell ref="B12:C12"/>
    <mergeCell ref="M12:N12"/>
    <mergeCell ref="O12:P12"/>
    <mergeCell ref="B13:C13"/>
    <mergeCell ref="M13:N13"/>
    <mergeCell ref="O13:P13"/>
    <mergeCell ref="K8:L8"/>
    <mergeCell ref="M8:N9"/>
    <mergeCell ref="O8:P9"/>
    <mergeCell ref="B10:P10"/>
    <mergeCell ref="B11:C11"/>
    <mergeCell ref="M11:N11"/>
    <mergeCell ref="O11:P11"/>
    <mergeCell ref="B2:P2"/>
    <mergeCell ref="C3:P3"/>
    <mergeCell ref="C4:P4"/>
    <mergeCell ref="C5:P5"/>
    <mergeCell ref="B7:P7"/>
    <mergeCell ref="B8:C9"/>
    <mergeCell ref="D8:D9"/>
    <mergeCell ref="E8:E9"/>
    <mergeCell ref="H8:H9"/>
    <mergeCell ref="I8:J8"/>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T1"/>
  <sheetViews>
    <sheetView showGridLines="0" zoomScale="115" zoomScaleNormal="115" zoomScalePageLayoutView="75" workbookViewId="0">
      <selection activeCell="R14" sqref="R14"/>
    </sheetView>
  </sheetViews>
  <sheetFormatPr baseColWidth="10" defaultColWidth="11.5" defaultRowHeight="15"/>
  <cols>
    <col min="1" max="19" width="11.5" style="80"/>
    <col min="20" max="20" width="65.1640625" style="80" customWidth="1"/>
    <col min="21" max="16384" width="11.5" style="80"/>
  </cols>
  <sheetData>
    <row r="1" spans="1:20" ht="16">
      <c r="A1" s="124" t="s">
        <v>480</v>
      </c>
      <c r="B1" s="124"/>
      <c r="C1" s="124"/>
      <c r="D1" s="124"/>
      <c r="E1" s="124"/>
      <c r="F1" s="124"/>
      <c r="G1" s="124"/>
      <c r="H1" s="124"/>
      <c r="I1" s="124"/>
      <c r="J1" s="124"/>
      <c r="K1" s="124"/>
      <c r="L1" s="124"/>
      <c r="M1" s="124"/>
      <c r="N1" s="124"/>
      <c r="O1" s="124"/>
      <c r="P1" s="124"/>
      <c r="Q1" s="124"/>
      <c r="R1" s="124"/>
      <c r="S1" s="124"/>
      <c r="T1" s="124"/>
    </row>
  </sheetData>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N9"/>
  <sheetViews>
    <sheetView showGridLines="0" zoomScaleNormal="100" workbookViewId="0">
      <selection sqref="A1:M1"/>
    </sheetView>
  </sheetViews>
  <sheetFormatPr baseColWidth="10" defaultColWidth="11.5" defaultRowHeight="15"/>
  <cols>
    <col min="1" max="16384" width="11.5" style="75"/>
  </cols>
  <sheetData>
    <row r="1" spans="1:14">
      <c r="A1" s="3551" t="s">
        <v>481</v>
      </c>
      <c r="B1" s="3551"/>
      <c r="C1" s="3551"/>
      <c r="D1" s="3551"/>
      <c r="E1" s="3551"/>
      <c r="F1" s="3551"/>
      <c r="G1" s="3551"/>
      <c r="H1" s="3551"/>
      <c r="I1" s="3551"/>
      <c r="J1" s="3551"/>
      <c r="K1" s="3551"/>
      <c r="L1" s="3551"/>
      <c r="M1" s="3551"/>
      <c r="N1" s="137"/>
    </row>
    <row r="4" spans="1:14">
      <c r="A4" s="137"/>
      <c r="B4" s="137"/>
      <c r="C4" s="137"/>
      <c r="D4" s="137"/>
      <c r="E4" s="137"/>
      <c r="F4" s="137"/>
      <c r="G4" s="137"/>
      <c r="H4" s="137"/>
      <c r="I4" s="137"/>
      <c r="J4" s="137"/>
      <c r="K4" s="137"/>
      <c r="L4" s="137"/>
      <c r="M4" s="137"/>
      <c r="N4" s="137"/>
    </row>
    <row r="5" spans="1:14">
      <c r="A5" s="137"/>
      <c r="B5" s="137"/>
      <c r="C5" s="137"/>
      <c r="D5" s="137"/>
      <c r="E5" s="137"/>
      <c r="F5" s="137"/>
      <c r="G5" s="137"/>
      <c r="H5" s="137"/>
      <c r="I5" s="137"/>
      <c r="J5" s="137"/>
      <c r="K5" s="137"/>
      <c r="L5" s="137"/>
      <c r="M5" s="137"/>
      <c r="N5" s="137"/>
    </row>
    <row r="6" spans="1:14">
      <c r="A6" s="137"/>
      <c r="B6" s="137"/>
      <c r="C6" s="137"/>
      <c r="D6" s="137"/>
      <c r="E6" s="137"/>
      <c r="F6" s="137"/>
      <c r="G6" s="137"/>
      <c r="H6" s="137"/>
      <c r="I6" s="137"/>
      <c r="J6" s="137"/>
      <c r="K6" s="137"/>
      <c r="L6" s="137"/>
      <c r="M6" s="137"/>
      <c r="N6" s="137"/>
    </row>
    <row r="7" spans="1:14">
      <c r="A7" s="137"/>
      <c r="B7" s="137"/>
      <c r="C7" s="137"/>
      <c r="D7" s="137"/>
      <c r="E7" s="137"/>
      <c r="F7" s="137"/>
      <c r="G7" s="137"/>
      <c r="H7" s="137"/>
      <c r="I7" s="137"/>
      <c r="J7" s="137"/>
      <c r="K7" s="137"/>
      <c r="L7" s="137"/>
      <c r="M7" s="137"/>
      <c r="N7" s="137"/>
    </row>
    <row r="8" spans="1:14">
      <c r="A8" s="137"/>
      <c r="B8" s="137"/>
      <c r="C8" s="137"/>
      <c r="D8" s="137"/>
      <c r="E8" s="137"/>
      <c r="F8" s="137"/>
      <c r="G8" s="137"/>
      <c r="H8" s="137"/>
      <c r="I8" s="137"/>
      <c r="J8" s="137"/>
      <c r="K8" s="137"/>
      <c r="L8" s="137"/>
      <c r="M8" s="137"/>
      <c r="N8" s="137"/>
    </row>
    <row r="9" spans="1:14">
      <c r="A9" s="137"/>
      <c r="B9" s="137"/>
      <c r="C9" s="137"/>
      <c r="D9" s="137"/>
      <c r="E9" s="137"/>
      <c r="F9" s="137"/>
      <c r="G9" s="137"/>
      <c r="H9" s="137"/>
      <c r="I9" s="137"/>
      <c r="J9" s="137"/>
      <c r="K9" s="137"/>
      <c r="L9" s="137"/>
      <c r="M9" s="137"/>
      <c r="N9" s="137"/>
    </row>
  </sheetData>
  <mergeCells count="1">
    <mergeCell ref="A1:M1"/>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G20"/>
  <sheetViews>
    <sheetView showGridLines="0" zoomScale="145" zoomScaleNormal="145" workbookViewId="0">
      <selection activeCell="A6" sqref="A6:XFD9"/>
    </sheetView>
  </sheetViews>
  <sheetFormatPr baseColWidth="10" defaultColWidth="11.5" defaultRowHeight="15"/>
  <cols>
    <col min="1" max="1" width="4.5" style="63" customWidth="1"/>
    <col min="2" max="2" width="30.5" style="63" customWidth="1"/>
    <col min="3" max="5" width="11.5" style="63"/>
    <col min="6" max="6" width="7.5" style="63" customWidth="1"/>
    <col min="7" max="7" width="11.5" style="63"/>
    <col min="8" max="8" width="6.5" style="63" customWidth="1"/>
    <col min="9" max="9" width="44.5" style="63" customWidth="1"/>
    <col min="10" max="10" width="11.5" style="63"/>
    <col min="11" max="11" width="19.5" style="63" customWidth="1"/>
    <col min="12" max="16384" width="11.5" style="63"/>
  </cols>
  <sheetData>
    <row r="1" spans="1:7">
      <c r="A1" s="3644" t="s">
        <v>482</v>
      </c>
      <c r="B1" s="3644"/>
      <c r="C1" s="3644"/>
      <c r="D1" s="3644"/>
      <c r="E1" s="3644"/>
      <c r="F1" s="3644"/>
      <c r="G1" s="137"/>
    </row>
    <row r="2" spans="1:7" ht="30.75" customHeight="1">
      <c r="A2" s="3645" t="s">
        <v>483</v>
      </c>
      <c r="B2" s="3646"/>
      <c r="C2" s="3646"/>
      <c r="D2" s="3646"/>
      <c r="E2" s="3646"/>
      <c r="F2" s="3647"/>
      <c r="G2" s="137"/>
    </row>
    <row r="3" spans="1:7" ht="36">
      <c r="A3" s="138" t="s">
        <v>484</v>
      </c>
      <c r="B3" s="139" t="s">
        <v>6</v>
      </c>
      <c r="C3" s="139" t="s">
        <v>485</v>
      </c>
      <c r="D3" s="1137" t="s">
        <v>486</v>
      </c>
      <c r="E3" s="138" t="s">
        <v>487</v>
      </c>
      <c r="F3" s="140" t="s">
        <v>156</v>
      </c>
      <c r="G3" s="137"/>
    </row>
    <row r="4" spans="1:7" ht="36" hidden="1" customHeight="1">
      <c r="A4" s="141" t="str">
        <f>+'8_MP'!D215</f>
        <v>2</v>
      </c>
      <c r="B4" s="2">
        <f>+'8_MP'!H215</f>
        <v>0</v>
      </c>
      <c r="C4" s="1122">
        <v>0</v>
      </c>
      <c r="D4" s="142">
        <f>+'8_MP'!AI215</f>
        <v>0</v>
      </c>
      <c r="E4" s="142">
        <f t="shared" ref="E4:E5" si="0">+D4+C4</f>
        <v>0</v>
      </c>
      <c r="F4" s="61">
        <f>E4/$E$6</f>
        <v>0</v>
      </c>
      <c r="G4" s="137"/>
    </row>
    <row r="5" spans="1:7" ht="45" customHeight="1">
      <c r="A5" s="141" t="str">
        <f>+'8_MP'!$D$368</f>
        <v>3</v>
      </c>
      <c r="B5" s="2" t="str">
        <f>+'8_MP'!$H$368</f>
        <v xml:space="preserve">Componente 3: Fortalecimiento del acceso a la información, participación ciudadana e integridad en la administración pública y sector privado </v>
      </c>
      <c r="C5" s="142">
        <f>+'8_MP'!AI368</f>
        <v>7205000</v>
      </c>
      <c r="D5" s="1122">
        <v>0</v>
      </c>
      <c r="E5" s="142">
        <f t="shared" si="0"/>
        <v>7205000</v>
      </c>
      <c r="F5" s="61">
        <f>E5/$E$6</f>
        <v>1</v>
      </c>
      <c r="G5" s="137"/>
    </row>
    <row r="6" spans="1:7">
      <c r="A6" s="3"/>
      <c r="B6" s="4" t="s">
        <v>488</v>
      </c>
      <c r="C6" s="5">
        <f>SUM(C4:C5)</f>
        <v>7205000</v>
      </c>
      <c r="D6" s="5">
        <f>SUM(D4:D5)</f>
        <v>0</v>
      </c>
      <c r="E6" s="5">
        <f>SUM(E4:E5)</f>
        <v>7205000</v>
      </c>
      <c r="F6" s="146">
        <f>SUM(F4:F5)</f>
        <v>1</v>
      </c>
      <c r="G6" s="137"/>
    </row>
    <row r="7" spans="1:7" s="64" customFormat="1" ht="12">
      <c r="A7" s="56"/>
      <c r="B7" s="56"/>
      <c r="C7" s="57"/>
      <c r="D7" s="57"/>
      <c r="E7" s="57"/>
      <c r="F7" s="56"/>
      <c r="G7" s="56"/>
    </row>
    <row r="8" spans="1:7" s="64" customFormat="1" ht="12">
      <c r="A8" s="56"/>
      <c r="B8" s="56"/>
      <c r="C8" s="58"/>
      <c r="D8" s="58"/>
      <c r="E8" s="58"/>
      <c r="F8" s="56"/>
      <c r="G8" s="56"/>
    </row>
    <row r="9" spans="1:7" hidden="1">
      <c r="A9" s="3644"/>
      <c r="B9" s="3644"/>
      <c r="C9" s="3644"/>
      <c r="D9" s="3644"/>
      <c r="E9" s="3644"/>
      <c r="F9" s="3644"/>
      <c r="G9" s="137"/>
    </row>
    <row r="10" spans="1:7" ht="26.25" hidden="1" customHeight="1">
      <c r="A10" s="3648"/>
      <c r="B10" s="3649"/>
      <c r="C10" s="3649"/>
      <c r="D10" s="3649"/>
      <c r="E10" s="3649"/>
      <c r="F10" s="3649"/>
      <c r="G10" s="137"/>
    </row>
    <row r="11" spans="1:7" hidden="1">
      <c r="A11" s="138"/>
      <c r="B11" s="139"/>
      <c r="C11" s="139"/>
      <c r="D11" s="138"/>
      <c r="E11" s="138"/>
      <c r="F11" s="140"/>
      <c r="G11" s="137"/>
    </row>
    <row r="12" spans="1:7" ht="23.25" hidden="1" customHeight="1">
      <c r="A12" s="141"/>
      <c r="B12" s="2"/>
      <c r="C12" s="71"/>
      <c r="D12" s="71"/>
      <c r="E12" s="71"/>
      <c r="F12" s="143"/>
      <c r="G12" s="137"/>
    </row>
    <row r="13" spans="1:7" ht="36" hidden="1" customHeight="1">
      <c r="A13" s="141"/>
      <c r="B13" s="2"/>
      <c r="C13" s="71"/>
      <c r="D13" s="71"/>
      <c r="E13" s="71"/>
      <c r="F13" s="143"/>
      <c r="G13" s="137"/>
    </row>
    <row r="14" spans="1:7" hidden="1">
      <c r="A14" s="141"/>
      <c r="B14" s="2"/>
      <c r="C14" s="71"/>
      <c r="D14" s="71"/>
      <c r="E14" s="71"/>
      <c r="F14" s="143"/>
      <c r="G14" s="137"/>
    </row>
    <row r="15" spans="1:7" ht="15.75" hidden="1" customHeight="1">
      <c r="A15" s="141"/>
      <c r="B15" s="2"/>
      <c r="C15" s="71"/>
      <c r="D15" s="71"/>
      <c r="E15" s="71"/>
      <c r="F15" s="143"/>
      <c r="G15" s="144"/>
    </row>
    <row r="16" spans="1:7" ht="15.75" hidden="1" customHeight="1">
      <c r="A16" s="141"/>
      <c r="B16" s="2"/>
      <c r="C16" s="71"/>
      <c r="D16" s="71"/>
      <c r="E16" s="71"/>
      <c r="F16" s="143"/>
      <c r="G16" s="144"/>
    </row>
    <row r="17" spans="1:7" hidden="1">
      <c r="A17" s="3"/>
      <c r="B17" s="4"/>
      <c r="C17" s="145"/>
      <c r="D17" s="145"/>
      <c r="E17" s="145"/>
      <c r="F17" s="146"/>
      <c r="G17" s="137"/>
    </row>
    <row r="18" spans="1:7">
      <c r="A18" s="137"/>
      <c r="B18" s="137"/>
      <c r="C18" s="137"/>
      <c r="D18" s="137"/>
      <c r="E18" s="3501"/>
      <c r="F18" s="137"/>
      <c r="G18" s="137"/>
    </row>
    <row r="20" spans="1:7">
      <c r="A20" s="137"/>
      <c r="B20" s="137"/>
      <c r="C20" s="147"/>
      <c r="D20" s="137"/>
      <c r="E20" s="137"/>
      <c r="F20" s="137"/>
      <c r="G20" s="137"/>
    </row>
  </sheetData>
  <mergeCells count="4">
    <mergeCell ref="A1:F1"/>
    <mergeCell ref="A2:F2"/>
    <mergeCell ref="A9:F9"/>
    <mergeCell ref="A10:F10"/>
  </mergeCells>
  <phoneticPr fontId="9" type="noConversion"/>
  <pageMargins left="0.7" right="0.7" top="0.75" bottom="0.75" header="0.3" footer="0.3"/>
  <pageSetup paperSize="9" orientation="portrait" horizontalDpi="4294967292" verticalDpi="4294967292" r:id="rId1"/>
  <ignoredErrors>
    <ignoredError sqref="B4"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a2b39a5b-117b-4deb-9d39-126fcad1f950">
      <UserInfo>
        <DisplayName>Integrantes de la Documentos Compartidos</DisplayName>
        <AccountId>36</AccountId>
        <AccountType/>
      </UserInfo>
      <UserInfo>
        <DisplayName>Colaborador invitado</DisplayName>
        <AccountId>37</AccountId>
        <AccountType/>
      </UserInfo>
    </SharedWithUsers>
    <MediaLengthInSeconds xmlns="cf4825ec-8b7d-496c-8d0b-0e99286c4243" xsi:nil="true"/>
    <lcf76f155ced4ddcb4097134ff3c332f xmlns="cf4825ec-8b7d-496c-8d0b-0e99286c4243">
      <Terms xmlns="http://schemas.microsoft.com/office/infopath/2007/PartnerControls"/>
    </lcf76f155ced4ddcb4097134ff3c332f>
    <TaxCatchAll xmlns="a2b39a5b-117b-4deb-9d39-126fcad1f95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C11F3CEEDD64640A73EAE50FCC13EDA" ma:contentTypeVersion="15" ma:contentTypeDescription="Crear nuevo documento." ma:contentTypeScope="" ma:versionID="30c2e2eba403eb007085071df2f878fc">
  <xsd:schema xmlns:xsd="http://www.w3.org/2001/XMLSchema" xmlns:xs="http://www.w3.org/2001/XMLSchema" xmlns:p="http://schemas.microsoft.com/office/2006/metadata/properties" xmlns:ns2="cf4825ec-8b7d-496c-8d0b-0e99286c4243" xmlns:ns3="a2b39a5b-117b-4deb-9d39-126fcad1f950" targetNamespace="http://schemas.microsoft.com/office/2006/metadata/properties" ma:root="true" ma:fieldsID="3a2cb2b72af0db1338b9069a2108ca26" ns2:_="" ns3:_="">
    <xsd:import namespace="cf4825ec-8b7d-496c-8d0b-0e99286c4243"/>
    <xsd:import namespace="a2b39a5b-117b-4deb-9d39-126fcad1f95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825ec-8b7d-496c-8d0b-0e99286c42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b0dfa37c-5262-4bb7-92f8-1d445de7041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b39a5b-117b-4deb-9d39-126fcad1f950"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457e0115-a2f7-4214-a442-965fae5ee902}" ma:internalName="TaxCatchAll" ma:showField="CatchAllData" ma:web="a2b39a5b-117b-4deb-9d39-126fcad1f9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D74D8F-4904-49D9-93AC-B26358FBB12B}">
  <ds:schemaRefs>
    <ds:schemaRef ds:uri="http://schemas.microsoft.com/sharepoint/v3/contenttype/forms"/>
  </ds:schemaRefs>
</ds:datastoreItem>
</file>

<file path=customXml/itemProps2.xml><?xml version="1.0" encoding="utf-8"?>
<ds:datastoreItem xmlns:ds="http://schemas.openxmlformats.org/officeDocument/2006/customXml" ds:itemID="{A1E919D0-CD9D-4857-B9B2-12977335A74B}">
  <ds:schemaRefs>
    <ds:schemaRef ds:uri="http://purl.org/dc/elements/1.1/"/>
    <ds:schemaRef ds:uri="cf4825ec-8b7d-496c-8d0b-0e99286c4243"/>
    <ds:schemaRef ds:uri="http://www.w3.org/XML/1998/namespace"/>
    <ds:schemaRef ds:uri="http://schemas.microsoft.com/office/2006/metadata/properties"/>
    <ds:schemaRef ds:uri="http://schemas.microsoft.com/office/2006/documentManagement/types"/>
    <ds:schemaRef ds:uri="a2b39a5b-117b-4deb-9d39-126fcad1f950"/>
    <ds:schemaRef ds:uri="http://schemas.microsoft.com/office/infopath/2007/PartnerControls"/>
    <ds:schemaRef ds:uri="http://schemas.openxmlformats.org/package/2006/metadata/core-properties"/>
    <ds:schemaRef ds:uri="http://purl.org/dc/dcmitype/"/>
    <ds:schemaRef ds:uri="http://purl.org/dc/terms/"/>
  </ds:schemaRefs>
</ds:datastoreItem>
</file>

<file path=customXml/itemProps3.xml><?xml version="1.0" encoding="utf-8"?>
<ds:datastoreItem xmlns:ds="http://schemas.openxmlformats.org/officeDocument/2006/customXml" ds:itemID="{3A3542B2-0E63-458D-A49F-E2CC015E04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825ec-8b7d-496c-8d0b-0e99286c4243"/>
    <ds:schemaRef ds:uri="a2b39a5b-117b-4deb-9d39-126fcad1f9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59</vt:i4>
      </vt:variant>
      <vt:variant>
        <vt:lpstr>Rangos con nombre</vt:lpstr>
      </vt:variant>
      <vt:variant>
        <vt:i4>5</vt:i4>
      </vt:variant>
    </vt:vector>
  </HeadingPairs>
  <TitlesOfParts>
    <vt:vector size="64" baseType="lpstr">
      <vt:lpstr>MH</vt:lpstr>
      <vt:lpstr>Índice</vt:lpstr>
      <vt:lpstr>1_MdR_Limpia</vt:lpstr>
      <vt:lpstr>Próximos pasos</vt:lpstr>
      <vt:lpstr>1_MdR</vt:lpstr>
      <vt:lpstr>1_MdR_con cambios</vt:lpstr>
      <vt:lpstr>2_EDT</vt:lpstr>
      <vt:lpstr>3_EE</vt:lpstr>
      <vt:lpstr>4.1_CC C</vt:lpstr>
      <vt:lpstr>4.2_CC P</vt:lpstr>
      <vt:lpstr>GC_Estruc. Prod.</vt:lpstr>
      <vt:lpstr>GC_CC P</vt:lpstr>
      <vt:lpstr>C.C ADQUISICIONES</vt:lpstr>
      <vt:lpstr>6_PD</vt:lpstr>
      <vt:lpstr>5_Info_PMR</vt:lpstr>
      <vt:lpstr>Flujo Caja</vt:lpstr>
      <vt:lpstr>8_MP</vt:lpstr>
      <vt:lpstr>7_Curva S</vt:lpstr>
      <vt:lpstr>Rev MH</vt:lpstr>
      <vt:lpstr>Teoría del Cambio</vt:lpstr>
      <vt:lpstr>PA 25-28 SIN AGRUPAR </vt:lpstr>
      <vt:lpstr>Adq Detalle</vt:lpstr>
      <vt:lpstr>9_Resumen del PA - MH</vt:lpstr>
      <vt:lpstr>PA</vt:lpstr>
      <vt:lpstr>EAdq</vt:lpstr>
      <vt:lpstr>Rev CGR</vt:lpstr>
      <vt:lpstr>PFM_v17-08</vt:lpstr>
      <vt:lpstr>9_Resumen del PA - MH (3)</vt:lpstr>
      <vt:lpstr>9.1_PA_OB&amp;S - MH</vt:lpstr>
      <vt:lpstr>9.2_PA_SC - MH</vt:lpstr>
      <vt:lpstr>9.3_PA_Aud. - MH</vt:lpstr>
      <vt:lpstr>9.4_PA_SN - MH</vt:lpstr>
      <vt:lpstr>9.1_PA_OB&amp;S - MH (3)</vt:lpstr>
      <vt:lpstr>9.2_PA_SC - MH (3)</vt:lpstr>
      <vt:lpstr>9.3_PA_Aud. - MH (3)</vt:lpstr>
      <vt:lpstr>9.4_PA_SN - MH (3)</vt:lpstr>
      <vt:lpstr>10_Resumen del PA - CGR</vt:lpstr>
      <vt:lpstr>10.1_PA_OB&amp;S - CGR</vt:lpstr>
      <vt:lpstr>10.2_PA_SC - CGR</vt:lpstr>
      <vt:lpstr>10.3_PA_Aud. - CGR</vt:lpstr>
      <vt:lpstr>10.4_PA_SN - CGR</vt:lpstr>
      <vt:lpstr>Tiempos adq.</vt:lpstr>
      <vt:lpstr>Quick Wins</vt:lpstr>
      <vt:lpstr>Prior 18m</vt:lpstr>
      <vt:lpstr>9.1_Est_Proy</vt:lpstr>
      <vt:lpstr>9.2_PA</vt:lpstr>
      <vt:lpstr>CriterioFechas</vt:lpstr>
      <vt:lpstr>Cooperación Técnica</vt:lpstr>
      <vt:lpstr>CA_C2</vt:lpstr>
      <vt:lpstr>CA_Costos_Admin.</vt:lpstr>
      <vt:lpstr>9.3_PA_Det</vt:lpstr>
      <vt:lpstr>PA Inicial</vt:lpstr>
      <vt:lpstr>1_MdR (2)</vt:lpstr>
      <vt:lpstr>8_MP_PEP (3)</vt:lpstr>
      <vt:lpstr>8_MP_PEP_v.diseño</vt:lpstr>
      <vt:lpstr>Agenda</vt:lpstr>
      <vt:lpstr>Criterios</vt:lpstr>
      <vt:lpstr>CA1_ET</vt:lpstr>
      <vt:lpstr>CA2_U</vt:lpstr>
      <vt:lpstr>'C.C ADQUISICIONES'!Área_de_impresión</vt:lpstr>
      <vt:lpstr>'Flujo Caja'!Área_de_impresión</vt:lpstr>
      <vt:lpstr>PA!Área_de_impresión</vt:lpstr>
      <vt:lpstr>'C.C ADQUISICIONES'!Títulos_a_imprimir</vt:lpstr>
      <vt:lpstr>'Flujo Caja'!Títulos_a_imprimir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Cristina Mongelós</dc:creator>
  <cp:keywords/>
  <dc:description/>
  <cp:lastModifiedBy>Federico Emilio Montero Lebrón</cp:lastModifiedBy>
  <cp:revision/>
  <dcterms:created xsi:type="dcterms:W3CDTF">2017-06-18T21:54:36Z</dcterms:created>
  <dcterms:modified xsi:type="dcterms:W3CDTF">2025-05-20T14:39:32Z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0x010100355C98E94D74924AA7616BC0ECD33720</vt:lpwstr>
  </property>
  <property fmtid="{D5CDD505-2E9C-101B-9397-08002B2CF9AE}" pid="3" name="MediaServiceImageTags">
    <vt:lpwstr/>
  </property>
  <property fmtid="{D5CDD505-2E9C-101B-9397-08002B2CF9AE}" pid="4" name="Order">
    <vt:r8>1888700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